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myjcuedu-my.sharepoint.com/personal/elliott_schmidt_my_jcu_edu_au/Documents/OrangeMitesSmallMammal/N.-harperi-and-small-mammal-communities/data/"/>
    </mc:Choice>
  </mc:AlternateContent>
  <xr:revisionPtr revIDLastSave="2" documentId="13_ncr:1_{AFBA6C84-FB01-41D7-BDFD-F81182232973}" xr6:coauthVersionLast="47" xr6:coauthVersionMax="47" xr10:uidLastSave="{8E26EA26-829C-466B-AEF7-1FEB07F4F492}"/>
  <bookViews>
    <workbookView xWindow="-28920" yWindow="-120" windowWidth="29040" windowHeight="157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73" i="3" l="1"/>
  <c r="K477" i="3"/>
  <c r="K464" i="3"/>
  <c r="K198" i="3"/>
  <c r="K653" i="3"/>
  <c r="K595" i="3"/>
  <c r="K533" i="3"/>
  <c r="K330" i="3"/>
  <c r="K329" i="3"/>
  <c r="K108" i="3"/>
  <c r="K163" i="3"/>
  <c r="K128" i="3"/>
  <c r="K162" i="3"/>
  <c r="K652" i="3"/>
  <c r="K594" i="3"/>
  <c r="K411" i="3"/>
  <c r="K328" i="3"/>
  <c r="K532" i="3"/>
  <c r="K531" i="3"/>
  <c r="K197" i="3"/>
  <c r="K161" i="3"/>
  <c r="K127" i="3"/>
  <c r="K593" i="3"/>
  <c r="K530" i="3"/>
  <c r="K410" i="3"/>
  <c r="K364" i="3"/>
  <c r="K327" i="3"/>
  <c r="K463" i="3"/>
  <c r="K651" i="3"/>
  <c r="K592" i="3"/>
  <c r="K650" i="3"/>
  <c r="K591" i="3"/>
  <c r="K649" i="3"/>
  <c r="K590" i="3"/>
  <c r="K462" i="3"/>
  <c r="K648" i="3"/>
  <c r="K589" i="3"/>
  <c r="K529" i="3"/>
  <c r="K409" i="3"/>
  <c r="K647" i="3"/>
  <c r="K408" i="3"/>
  <c r="K528" i="3"/>
  <c r="K646" i="3"/>
  <c r="K588" i="3"/>
  <c r="K527" i="3"/>
  <c r="K407" i="3"/>
  <c r="K160" i="3"/>
  <c r="K159" i="3"/>
  <c r="K645" i="3"/>
  <c r="K526" i="3"/>
  <c r="K406" i="3"/>
  <c r="K363" i="3"/>
  <c r="K326" i="3"/>
  <c r="K362" i="3"/>
  <c r="K304" i="3"/>
  <c r="K65" i="3"/>
  <c r="K158" i="3"/>
  <c r="K196" i="3"/>
  <c r="K12" i="3"/>
  <c r="K587" i="3"/>
  <c r="K644" i="3"/>
  <c r="K525" i="3"/>
  <c r="K643" i="3"/>
  <c r="K642" i="3"/>
  <c r="K524" i="3"/>
  <c r="K586" i="3"/>
  <c r="K523" i="3"/>
  <c r="K325" i="3"/>
  <c r="K324" i="3"/>
  <c r="K443" i="3"/>
  <c r="K442" i="3"/>
  <c r="K361" i="3"/>
  <c r="K585" i="3"/>
  <c r="K522" i="3"/>
  <c r="K405" i="3"/>
  <c r="K404" i="3"/>
  <c r="K360" i="3"/>
  <c r="K195" i="3"/>
  <c r="K584" i="3"/>
  <c r="K194" i="3"/>
  <c r="K193" i="3"/>
  <c r="K641" i="3"/>
  <c r="K583" i="3"/>
  <c r="K521" i="3"/>
  <c r="K403" i="3"/>
  <c r="K359" i="3"/>
  <c r="K323" i="3"/>
  <c r="K272" i="3"/>
  <c r="K231" i="3"/>
  <c r="K441" i="3"/>
  <c r="K230" i="3"/>
  <c r="K302" i="3"/>
  <c r="K229" i="3"/>
  <c r="K228" i="3"/>
  <c r="K227" i="3"/>
  <c r="K301" i="3"/>
  <c r="K440" i="3"/>
  <c r="K300" i="3"/>
  <c r="K299" i="3"/>
  <c r="K298" i="3"/>
  <c r="K460" i="3"/>
  <c r="K297" i="3"/>
  <c r="K296" i="3"/>
  <c r="K439" i="3"/>
  <c r="K295" i="3"/>
  <c r="K476" i="3"/>
  <c r="K294" i="3"/>
  <c r="K475" i="3"/>
  <c r="K402" i="3"/>
  <c r="K358" i="3"/>
  <c r="K322" i="3"/>
  <c r="K226" i="3"/>
  <c r="K225" i="3"/>
  <c r="K438" i="3"/>
  <c r="K271" i="3"/>
  <c r="K270" i="3"/>
  <c r="K437" i="3"/>
  <c r="K269" i="3"/>
  <c r="K268" i="3"/>
  <c r="K267" i="3"/>
  <c r="K266" i="3"/>
  <c r="K640" i="3"/>
  <c r="K126" i="3"/>
  <c r="K582" i="3"/>
  <c r="K520" i="3"/>
  <c r="K401" i="3"/>
  <c r="K357" i="3"/>
  <c r="K157" i="3"/>
  <c r="K156" i="3"/>
  <c r="K400" i="3"/>
  <c r="K155" i="3"/>
  <c r="K581" i="3"/>
  <c r="K519" i="3"/>
  <c r="K153" i="3"/>
  <c r="K518" i="3"/>
  <c r="K356" i="3"/>
  <c r="K152" i="3"/>
  <c r="K355" i="3"/>
  <c r="K151" i="3"/>
  <c r="K639" i="3"/>
  <c r="K580" i="3"/>
  <c r="K517" i="3"/>
  <c r="K321" i="3"/>
  <c r="K191" i="3"/>
  <c r="K638" i="3"/>
  <c r="K516" i="3"/>
  <c r="K399" i="3"/>
  <c r="K354" i="3"/>
  <c r="K320" i="3"/>
  <c r="K107" i="3"/>
  <c r="K150" i="3"/>
  <c r="K125" i="3"/>
  <c r="K190" i="3"/>
  <c r="K124" i="3"/>
  <c r="K398" i="3"/>
  <c r="K149" i="3"/>
  <c r="K123" i="3"/>
  <c r="K189" i="3"/>
  <c r="K148" i="3"/>
  <c r="K122" i="3"/>
  <c r="K147" i="3"/>
  <c r="K121" i="3"/>
  <c r="K579" i="3"/>
  <c r="K515" i="3"/>
  <c r="K397" i="3"/>
  <c r="K353" i="3"/>
  <c r="K319" i="3"/>
  <c r="K146" i="3"/>
  <c r="K120" i="3"/>
  <c r="K578" i="3"/>
  <c r="K188" i="3"/>
  <c r="K145" i="3"/>
  <c r="K637" i="3"/>
  <c r="K119" i="3"/>
  <c r="K577" i="3"/>
  <c r="K514" i="3"/>
  <c r="K352" i="3"/>
  <c r="K187" i="3"/>
  <c r="K636" i="3"/>
  <c r="K118" i="3"/>
  <c r="K576" i="3"/>
  <c r="K513" i="3"/>
  <c r="K186" i="3"/>
  <c r="K117" i="3"/>
  <c r="K575" i="3"/>
  <c r="K512" i="3"/>
  <c r="K396" i="3"/>
  <c r="K265" i="3"/>
  <c r="K92" i="3"/>
  <c r="K436" i="3"/>
  <c r="K91" i="3"/>
  <c r="K264" i="3"/>
  <c r="K90" i="3"/>
  <c r="K435" i="3"/>
  <c r="K89" i="3"/>
  <c r="K263" i="3"/>
  <c r="K88" i="3"/>
  <c r="K474" i="3"/>
  <c r="K434" i="3"/>
  <c r="K87" i="3"/>
  <c r="K224" i="3"/>
  <c r="K106" i="3"/>
  <c r="K459" i="3"/>
  <c r="K293" i="3"/>
  <c r="K262" i="3"/>
  <c r="K105" i="3"/>
  <c r="K473" i="3"/>
  <c r="K458" i="3"/>
  <c r="K433" i="3"/>
  <c r="K432" i="3"/>
  <c r="K261" i="3"/>
  <c r="K223" i="3"/>
  <c r="K104" i="3"/>
  <c r="K431" i="3"/>
  <c r="K292" i="3"/>
  <c r="K260" i="3"/>
  <c r="K103" i="3"/>
  <c r="K457" i="3"/>
  <c r="K102" i="3"/>
  <c r="K86" i="3"/>
  <c r="K64" i="3"/>
  <c r="K85" i="3"/>
  <c r="K430" i="3"/>
  <c r="K291" i="3"/>
  <c r="K259" i="3"/>
  <c r="K222" i="3"/>
  <c r="K101" i="3"/>
  <c r="K84" i="3"/>
  <c r="K456" i="3"/>
  <c r="K429" i="3"/>
  <c r="K83" i="3"/>
  <c r="K258" i="3"/>
  <c r="K82" i="3"/>
  <c r="K428" i="3"/>
  <c r="K290" i="3"/>
  <c r="K221" i="3"/>
  <c r="K81" i="3"/>
  <c r="K289" i="3"/>
  <c r="K257" i="3"/>
  <c r="K220" i="3"/>
  <c r="K100" i="3"/>
  <c r="K80" i="3"/>
  <c r="K472" i="3"/>
  <c r="K455" i="3"/>
  <c r="K288" i="3"/>
  <c r="K256" i="3"/>
  <c r="K219" i="3"/>
  <c r="K99" i="3"/>
  <c r="K79" i="3"/>
  <c r="K427" i="3"/>
  <c r="K287" i="3"/>
  <c r="K78" i="3"/>
  <c r="K286" i="3"/>
  <c r="K255" i="3"/>
  <c r="K218" i="3"/>
  <c r="K98" i="3"/>
  <c r="K77" i="3"/>
  <c r="K471" i="3"/>
  <c r="K454" i="3"/>
  <c r="K285" i="3"/>
  <c r="K254" i="3"/>
  <c r="K76" i="3"/>
  <c r="K53" i="3"/>
  <c r="K52" i="3"/>
  <c r="K253" i="3"/>
  <c r="K217" i="3"/>
  <c r="K51" i="3"/>
  <c r="K252" i="3"/>
  <c r="K50" i="3"/>
  <c r="K49" i="3"/>
  <c r="K426" i="3"/>
  <c r="K48" i="3"/>
  <c r="K47" i="3"/>
  <c r="K46" i="3"/>
  <c r="K45" i="3"/>
  <c r="K44" i="3"/>
  <c r="K43" i="3"/>
  <c r="K251" i="3"/>
  <c r="K42" i="3"/>
  <c r="K453" i="3"/>
  <c r="K185" i="3"/>
  <c r="K184" i="3"/>
  <c r="K395" i="3"/>
  <c r="K183" i="3"/>
  <c r="K216" i="3"/>
  <c r="K452" i="3"/>
  <c r="K284" i="3"/>
  <c r="K250" i="3"/>
  <c r="K215" i="3"/>
  <c r="K451" i="3"/>
  <c r="K425" i="3"/>
  <c r="K249" i="3"/>
  <c r="K248" i="3"/>
  <c r="K182" i="3"/>
  <c r="K144" i="3"/>
  <c r="K574" i="3"/>
  <c r="K394" i="3"/>
  <c r="K181" i="3"/>
  <c r="K143" i="3"/>
  <c r="K635" i="3"/>
  <c r="K511" i="3"/>
  <c r="K351" i="3"/>
  <c r="K318" i="3"/>
  <c r="K142" i="3"/>
  <c r="K634" i="3"/>
  <c r="K393" i="3"/>
  <c r="K350" i="3"/>
  <c r="K180" i="3"/>
  <c r="K141" i="3"/>
  <c r="K633" i="3"/>
  <c r="K573" i="3"/>
  <c r="K510" i="3"/>
  <c r="K392" i="3"/>
  <c r="K179" i="3"/>
  <c r="K140" i="3"/>
  <c r="K632" i="3"/>
  <c r="K391" i="3"/>
  <c r="K349" i="3"/>
  <c r="K178" i="3"/>
  <c r="K177" i="3"/>
  <c r="K572" i="3"/>
  <c r="K176" i="3"/>
  <c r="K631" i="3"/>
  <c r="K571" i="3"/>
  <c r="K509" i="3"/>
  <c r="K317" i="3"/>
  <c r="K175" i="3"/>
  <c r="K630" i="3"/>
  <c r="K570" i="3"/>
  <c r="K508" i="3"/>
  <c r="K348" i="3"/>
  <c r="K41" i="3"/>
  <c r="K40" i="3"/>
  <c r="K283" i="3"/>
  <c r="K247" i="3"/>
  <c r="K214" i="3"/>
  <c r="K75" i="3"/>
  <c r="K63" i="3"/>
  <c r="K74" i="3"/>
  <c r="K62" i="3"/>
  <c r="K282" i="3"/>
  <c r="K246" i="3"/>
  <c r="K213" i="3"/>
  <c r="K97" i="3"/>
  <c r="K73" i="3"/>
  <c r="K61" i="3"/>
  <c r="K450" i="3"/>
  <c r="K424" i="3"/>
  <c r="K72" i="3"/>
  <c r="K60" i="3"/>
  <c r="K281" i="3"/>
  <c r="K212" i="3"/>
  <c r="K96" i="3"/>
  <c r="K71" i="3"/>
  <c r="K59" i="3"/>
  <c r="K470" i="3"/>
  <c r="K280" i="3"/>
  <c r="K245" i="3"/>
  <c r="K211" i="3"/>
  <c r="K95" i="3"/>
  <c r="K70" i="3"/>
  <c r="K58" i="3"/>
  <c r="K279" i="3"/>
  <c r="K244" i="3"/>
  <c r="K210" i="3"/>
  <c r="K94" i="3"/>
  <c r="K69" i="3"/>
  <c r="K57" i="3"/>
  <c r="K243" i="3"/>
  <c r="K68" i="3"/>
  <c r="K56" i="3"/>
  <c r="K278" i="3"/>
  <c r="K242" i="3"/>
  <c r="K209" i="3"/>
  <c r="K93" i="3"/>
  <c r="K67" i="3"/>
  <c r="K55" i="3"/>
  <c r="K66" i="3"/>
  <c r="K54" i="3"/>
  <c r="K277" i="3"/>
  <c r="K241" i="3"/>
  <c r="K208" i="3"/>
  <c r="K29" i="3"/>
  <c r="K11" i="3"/>
  <c r="K423" i="3"/>
  <c r="K39" i="3"/>
  <c r="K28" i="3"/>
  <c r="K10" i="3"/>
  <c r="K240" i="3"/>
  <c r="K27" i="3"/>
  <c r="K9" i="3"/>
  <c r="K239" i="3"/>
  <c r="K8" i="3"/>
  <c r="K207" i="3"/>
  <c r="K7" i="3"/>
  <c r="K422" i="3"/>
  <c r="K206" i="3"/>
  <c r="K26" i="3"/>
  <c r="K6" i="3"/>
  <c r="K25" i="3"/>
  <c r="K5" i="3"/>
  <c r="K205" i="3"/>
  <c r="K38" i="3"/>
  <c r="K24" i="3"/>
  <c r="K4" i="3"/>
  <c r="K238" i="3"/>
  <c r="K204" i="3"/>
  <c r="K37" i="3"/>
  <c r="K23" i="3"/>
  <c r="K3" i="3"/>
  <c r="K276" i="3"/>
  <c r="K237" i="3"/>
  <c r="K203" i="3"/>
  <c r="K36" i="3"/>
  <c r="K22" i="3"/>
  <c r="K2" i="3"/>
  <c r="K236" i="3"/>
  <c r="K35" i="3"/>
  <c r="K21" i="3"/>
  <c r="K20" i="3"/>
  <c r="K275" i="3"/>
  <c r="K19" i="3"/>
  <c r="K449" i="3"/>
  <c r="K421" i="3"/>
  <c r="K202" i="3"/>
  <c r="K34" i="3"/>
  <c r="K18" i="3"/>
  <c r="K201" i="3"/>
  <c r="K33" i="3"/>
  <c r="K17" i="3"/>
  <c r="K235" i="3"/>
  <c r="K200" i="3"/>
  <c r="K32" i="3"/>
  <c r="K16" i="3"/>
  <c r="K234" i="3"/>
  <c r="K31" i="3"/>
  <c r="K15" i="3"/>
  <c r="K420" i="3"/>
  <c r="K233" i="3"/>
  <c r="K199" i="3"/>
  <c r="K30" i="3"/>
  <c r="K14" i="3"/>
  <c r="K13" i="3"/>
  <c r="K174" i="3"/>
  <c r="K139" i="3"/>
  <c r="K629" i="3"/>
  <c r="K116" i="3"/>
  <c r="K569" i="3"/>
  <c r="K506" i="3"/>
  <c r="K390" i="3"/>
  <c r="K347" i="3"/>
  <c r="K316" i="3"/>
  <c r="K173" i="3"/>
  <c r="K138" i="3"/>
  <c r="K628" i="3"/>
  <c r="K115" i="3"/>
  <c r="K568" i="3"/>
  <c r="K505" i="3"/>
  <c r="K389" i="3"/>
  <c r="K346" i="3"/>
  <c r="K315" i="3"/>
  <c r="K172" i="3"/>
  <c r="K114" i="3"/>
  <c r="K171" i="3"/>
  <c r="K137" i="3"/>
  <c r="K627" i="3"/>
  <c r="K113" i="3"/>
  <c r="K567" i="3"/>
  <c r="K504" i="3"/>
  <c r="K388" i="3"/>
  <c r="K345" i="3"/>
  <c r="K314" i="3"/>
  <c r="K170" i="3"/>
  <c r="K136" i="3"/>
  <c r="K626" i="3"/>
  <c r="K112" i="3"/>
  <c r="K566" i="3"/>
  <c r="K503" i="3"/>
  <c r="K387" i="3"/>
  <c r="K344" i="3"/>
  <c r="K313" i="3"/>
  <c r="K169" i="3"/>
  <c r="K135" i="3"/>
  <c r="K111" i="3"/>
  <c r="K386" i="3"/>
  <c r="K343" i="3"/>
  <c r="K312" i="3"/>
  <c r="K134" i="3"/>
  <c r="K110" i="3"/>
  <c r="K168" i="3"/>
  <c r="K133" i="3"/>
  <c r="K109" i="3"/>
  <c r="K167" i="3"/>
  <c r="K132" i="3"/>
  <c r="K385" i="3"/>
  <c r="K342" i="3"/>
  <c r="K311" i="3"/>
  <c r="K166" i="3"/>
  <c r="K131" i="3"/>
  <c r="K625" i="3"/>
  <c r="K565" i="3"/>
  <c r="K502" i="3"/>
  <c r="K384" i="3"/>
  <c r="K310" i="3"/>
  <c r="K165" i="3"/>
  <c r="K130" i="3"/>
  <c r="K624" i="3"/>
  <c r="K564" i="3"/>
  <c r="K501" i="3"/>
  <c r="K383" i="3"/>
  <c r="K341" i="3"/>
  <c r="K309" i="3"/>
  <c r="K164" i="3"/>
  <c r="K129" i="3"/>
  <c r="K563" i="3"/>
  <c r="K500" i="3"/>
  <c r="K499" i="3"/>
  <c r="K498" i="3"/>
  <c r="K623" i="3"/>
  <c r="K622" i="3"/>
  <c r="K621" i="3"/>
  <c r="K620" i="3"/>
  <c r="K619" i="3"/>
  <c r="K562" i="3"/>
  <c r="K497" i="3"/>
  <c r="K618" i="3"/>
  <c r="K561" i="3"/>
  <c r="K496" i="3"/>
  <c r="K560" i="3"/>
  <c r="K617" i="3"/>
  <c r="K559" i="3"/>
  <c r="K558" i="3"/>
  <c r="K616" i="3"/>
  <c r="K557" i="3"/>
  <c r="K615" i="3"/>
  <c r="K614" i="3"/>
  <c r="K613" i="3"/>
  <c r="K612" i="3"/>
  <c r="K611" i="3"/>
  <c r="K495" i="3"/>
  <c r="K610" i="3"/>
  <c r="K494" i="3"/>
  <c r="K556" i="3"/>
  <c r="K609" i="3"/>
  <c r="K555" i="3"/>
  <c r="K554" i="3"/>
  <c r="K553" i="3"/>
  <c r="K552" i="3"/>
  <c r="K551" i="3"/>
  <c r="K608" i="3"/>
  <c r="K550" i="3"/>
  <c r="K493" i="3"/>
  <c r="K607" i="3"/>
  <c r="K549" i="3"/>
  <c r="K492" i="3"/>
  <c r="K469" i="3"/>
  <c r="K468" i="3"/>
  <c r="K467" i="3"/>
  <c r="K466" i="3"/>
  <c r="K491" i="3"/>
  <c r="K606" i="3"/>
  <c r="K548" i="3"/>
  <c r="K490" i="3"/>
  <c r="K547" i="3"/>
  <c r="K489" i="3"/>
  <c r="K546" i="3"/>
  <c r="K488" i="3"/>
  <c r="K605" i="3"/>
  <c r="K545" i="3"/>
  <c r="K487" i="3"/>
  <c r="K604" i="3"/>
  <c r="K544" i="3"/>
  <c r="K486" i="3"/>
  <c r="K232" i="3"/>
  <c r="K274" i="3"/>
  <c r="K308" i="3"/>
  <c r="K340" i="3"/>
  <c r="K307" i="3"/>
  <c r="K543" i="3"/>
  <c r="K485" i="3"/>
  <c r="K339" i="3"/>
  <c r="K338" i="3"/>
  <c r="K337" i="3"/>
  <c r="K382" i="3"/>
  <c r="K542" i="3"/>
  <c r="K484" i="3"/>
  <c r="K381" i="3"/>
  <c r="K306" i="3"/>
  <c r="K380" i="3"/>
  <c r="K336" i="3"/>
  <c r="K305" i="3"/>
  <c r="K603" i="3"/>
  <c r="K379" i="3"/>
  <c r="K541" i="3"/>
  <c r="K378" i="3"/>
  <c r="K483" i="3"/>
  <c r="K377" i="3"/>
  <c r="K602" i="3"/>
  <c r="K376" i="3"/>
  <c r="K601" i="3"/>
  <c r="K540" i="3"/>
  <c r="K375" i="3"/>
  <c r="K374" i="3"/>
  <c r="K419" i="3"/>
  <c r="K418" i="3"/>
  <c r="K448" i="3"/>
  <c r="K447" i="3"/>
  <c r="K465" i="3"/>
  <c r="K446" i="3"/>
  <c r="K417" i="3"/>
  <c r="K416" i="3"/>
  <c r="K415" i="3"/>
  <c r="K414" i="3"/>
  <c r="K413" i="3"/>
  <c r="K445" i="3"/>
  <c r="K412" i="3"/>
  <c r="K444" i="3"/>
  <c r="K482" i="3"/>
  <c r="K600" i="3"/>
  <c r="K481" i="3"/>
  <c r="K539" i="3"/>
  <c r="K373" i="3"/>
  <c r="K335" i="3"/>
  <c r="K599" i="3"/>
  <c r="K538" i="3"/>
  <c r="K372" i="3"/>
  <c r="K334" i="3"/>
  <c r="K598" i="3"/>
  <c r="K537" i="3"/>
  <c r="K371" i="3"/>
  <c r="K333" i="3"/>
  <c r="K597" i="3"/>
  <c r="K536" i="3"/>
  <c r="K480" i="3"/>
  <c r="K370" i="3"/>
  <c r="K332" i="3"/>
  <c r="K369" i="3"/>
  <c r="K331" i="3"/>
  <c r="K368" i="3"/>
  <c r="K596" i="3"/>
  <c r="K535" i="3"/>
  <c r="K479" i="3"/>
  <c r="K367" i="3"/>
  <c r="K534" i="3"/>
  <c r="K478" i="3"/>
  <c r="K366" i="3"/>
  <c r="K365" i="3"/>
  <c r="I182" i="2"/>
  <c r="K1410" i="2"/>
  <c r="K1412" i="2"/>
  <c r="K49" i="2"/>
  <c r="K286" i="2"/>
  <c r="K361" i="2"/>
  <c r="K96" i="2"/>
  <c r="K372" i="2"/>
  <c r="K253" i="2"/>
  <c r="K327" i="2"/>
  <c r="K22" i="2"/>
  <c r="K356" i="2"/>
  <c r="K120" i="2"/>
  <c r="K326" i="2"/>
  <c r="K138" i="2"/>
  <c r="K167" i="2"/>
  <c r="K170" i="2"/>
  <c r="K141" i="2"/>
  <c r="K155" i="2"/>
  <c r="K139" i="2"/>
  <c r="K1772" i="2"/>
  <c r="K1775" i="2"/>
  <c r="K1404" i="2"/>
  <c r="K1483" i="2"/>
  <c r="K273" i="2"/>
  <c r="K292" i="2"/>
  <c r="K387" i="2"/>
  <c r="K368" i="2"/>
  <c r="K266" i="2"/>
  <c r="K405" i="2"/>
  <c r="K862" i="2"/>
  <c r="K365" i="2"/>
  <c r="K340" i="2"/>
  <c r="K88" i="2"/>
  <c r="K414" i="2"/>
  <c r="K28" i="2"/>
  <c r="K151" i="2"/>
  <c r="K143" i="2"/>
  <c r="K137" i="2"/>
  <c r="K140" i="2"/>
  <c r="K464" i="2"/>
  <c r="K11" i="2"/>
  <c r="K133" i="2"/>
  <c r="K337" i="2"/>
  <c r="K452" i="2"/>
  <c r="K68" i="2"/>
  <c r="K1409" i="2"/>
  <c r="K1411" i="2"/>
  <c r="K48" i="2"/>
  <c r="K285" i="2"/>
  <c r="K360" i="2"/>
  <c r="K256" i="2"/>
  <c r="K95" i="2"/>
  <c r="K252" i="2"/>
  <c r="K358" i="2"/>
  <c r="K371" i="2"/>
  <c r="K370" i="2"/>
  <c r="K369" i="2"/>
  <c r="K389" i="2"/>
  <c r="K21" i="2"/>
  <c r="K355" i="2"/>
  <c r="K119" i="2"/>
  <c r="K166" i="2"/>
  <c r="K144" i="2"/>
  <c r="K169" i="2"/>
  <c r="K164" i="2"/>
  <c r="K84" i="2"/>
  <c r="K1771" i="2"/>
  <c r="K1774" i="2"/>
  <c r="K1403" i="2"/>
  <c r="K1456" i="2"/>
  <c r="K386" i="2"/>
  <c r="K265" i="2"/>
  <c r="K271" i="2"/>
  <c r="K367" i="2"/>
  <c r="K366" i="2"/>
  <c r="K861" i="2"/>
  <c r="K404" i="2"/>
  <c r="K364" i="2"/>
  <c r="K339" i="2"/>
  <c r="K27" i="2"/>
  <c r="K413" i="2"/>
  <c r="K150" i="2"/>
  <c r="K159" i="2"/>
  <c r="K142" i="2"/>
  <c r="K132" i="2"/>
  <c r="K463" i="2"/>
  <c r="K10" i="2"/>
  <c r="K451" i="2"/>
  <c r="K336" i="2"/>
  <c r="K67" i="2"/>
  <c r="K331" i="2"/>
  <c r="K1395" i="2"/>
  <c r="K1408" i="2"/>
  <c r="K1397" i="2"/>
  <c r="K1455" i="2"/>
  <c r="K359" i="2"/>
  <c r="K94" i="2"/>
  <c r="K319" i="2"/>
  <c r="K357" i="2"/>
  <c r="K111" i="2"/>
  <c r="K57" i="2"/>
  <c r="K118" i="2"/>
  <c r="K354" i="2"/>
  <c r="K165" i="2"/>
  <c r="K168" i="2"/>
  <c r="K83" i="2"/>
  <c r="K1770" i="2"/>
  <c r="K1773" i="2"/>
  <c r="K362" i="2"/>
  <c r="K264" i="2"/>
  <c r="K860" i="2"/>
  <c r="K403" i="2"/>
  <c r="K412" i="2"/>
  <c r="K158" i="2"/>
  <c r="K131" i="2"/>
  <c r="K334" i="2"/>
  <c r="K462" i="2"/>
  <c r="K9" i="2"/>
  <c r="K450" i="2"/>
  <c r="K66" i="2"/>
  <c r="K1407" i="2"/>
  <c r="K347" i="2"/>
  <c r="K353" i="2"/>
  <c r="K163" i="2"/>
  <c r="K298" i="2"/>
  <c r="K352" i="2"/>
  <c r="K106" i="2"/>
  <c r="K304" i="2"/>
  <c r="K237" i="2"/>
  <c r="K248" i="2"/>
  <c r="K281" i="2"/>
  <c r="K221" i="2"/>
  <c r="K216" i="2"/>
  <c r="K324" i="2"/>
  <c r="K1405" i="2"/>
  <c r="K312" i="2"/>
  <c r="K109" i="2"/>
  <c r="K307" i="2"/>
  <c r="K315" i="2"/>
  <c r="K295" i="2"/>
  <c r="K189" i="2"/>
  <c r="K185" i="2"/>
  <c r="K301" i="2"/>
  <c r="K241" i="2"/>
  <c r="K225" i="2"/>
  <c r="K34" i="2"/>
  <c r="K211" i="2"/>
  <c r="K223" i="2"/>
  <c r="K231" i="2"/>
  <c r="K325" i="2"/>
  <c r="K378" i="2"/>
  <c r="K39" i="2"/>
  <c r="K396" i="2"/>
  <c r="K201" i="2"/>
  <c r="K75" i="2"/>
  <c r="K209" i="2"/>
  <c r="K1406" i="2"/>
  <c r="K318" i="2"/>
  <c r="K194" i="2"/>
  <c r="K348" i="2"/>
  <c r="K297" i="2"/>
  <c r="K105" i="2"/>
  <c r="K303" i="2"/>
  <c r="K313" i="2"/>
  <c r="K236" i="2"/>
  <c r="K247" i="2"/>
  <c r="K280" i="2"/>
  <c r="K220" i="2"/>
  <c r="K215" i="2"/>
  <c r="K202" i="2"/>
  <c r="K311" i="2"/>
  <c r="K108" i="2"/>
  <c r="K346" i="2"/>
  <c r="K180" i="2"/>
  <c r="K351" i="2"/>
  <c r="K350" i="2"/>
  <c r="K349" i="2"/>
  <c r="K309" i="2"/>
  <c r="K294" i="2"/>
  <c r="K316" i="2"/>
  <c r="K314" i="2"/>
  <c r="K188" i="2"/>
  <c r="K300" i="2"/>
  <c r="K306" i="2"/>
  <c r="K184" i="2"/>
  <c r="K240" i="2"/>
  <c r="K224" i="2"/>
  <c r="K230" i="2"/>
  <c r="K33" i="2"/>
  <c r="K377" i="2"/>
  <c r="K395" i="2"/>
  <c r="K200" i="2"/>
  <c r="K205" i="2"/>
  <c r="K208" i="2"/>
  <c r="K74" i="2"/>
  <c r="K193" i="2"/>
  <c r="K317" i="2"/>
  <c r="K296" i="2"/>
  <c r="K104" i="2"/>
  <c r="K302" i="2"/>
  <c r="K235" i="2"/>
  <c r="K219" i="2"/>
  <c r="K214" i="2"/>
  <c r="K310" i="2"/>
  <c r="K183" i="2"/>
  <c r="K308" i="2"/>
  <c r="K299" i="2"/>
  <c r="K293" i="2"/>
  <c r="K305" i="2"/>
  <c r="K323" i="2"/>
  <c r="K322" i="2"/>
  <c r="K321" i="2"/>
  <c r="K320" i="2"/>
  <c r="K239" i="2"/>
  <c r="K229" i="2"/>
  <c r="K38" i="2"/>
  <c r="K394" i="2"/>
  <c r="K204" i="2"/>
  <c r="K207" i="2"/>
  <c r="K47" i="2"/>
  <c r="K262" i="2"/>
  <c r="K284" i="2"/>
  <c r="K291" i="2"/>
  <c r="K93" i="2"/>
  <c r="K269" i="2"/>
  <c r="K251" i="2"/>
  <c r="K174" i="2"/>
  <c r="K56" i="2"/>
  <c r="K20" i="2"/>
  <c r="K341" i="2"/>
  <c r="K117" i="2"/>
  <c r="K1805" i="2"/>
  <c r="K1402" i="2"/>
  <c r="K259" i="2"/>
  <c r="K344" i="2"/>
  <c r="K385" i="2"/>
  <c r="K343" i="2"/>
  <c r="K859" i="2"/>
  <c r="K402" i="2"/>
  <c r="K338" i="2"/>
  <c r="K411" i="2"/>
  <c r="K342" i="2"/>
  <c r="K261" i="2"/>
  <c r="K283" i="2"/>
  <c r="K255" i="2"/>
  <c r="K92" i="2"/>
  <c r="K250" i="2"/>
  <c r="K268" i="2"/>
  <c r="K388" i="2"/>
  <c r="K55" i="2"/>
  <c r="K19" i="2"/>
  <c r="K116" i="2"/>
  <c r="K1769" i="2"/>
  <c r="K1768" i="2"/>
  <c r="K1804" i="2"/>
  <c r="K1401" i="2"/>
  <c r="K258" i="2"/>
  <c r="K272" i="2"/>
  <c r="K384" i="2"/>
  <c r="K270" i="2"/>
  <c r="K267" i="2"/>
  <c r="K263" i="2"/>
  <c r="K858" i="2"/>
  <c r="K401" i="2"/>
  <c r="K410" i="2"/>
  <c r="K26" i="2"/>
  <c r="K260" i="2"/>
  <c r="K254" i="2"/>
  <c r="K91" i="2"/>
  <c r="K249" i="2"/>
  <c r="K173" i="2"/>
  <c r="K54" i="2"/>
  <c r="K115" i="2"/>
  <c r="K1400" i="2"/>
  <c r="K257" i="2"/>
  <c r="K383" i="2"/>
  <c r="K400" i="2"/>
  <c r="K288" i="2"/>
  <c r="K857" i="2"/>
  <c r="K409" i="2"/>
  <c r="K62" i="2"/>
  <c r="K154" i="2"/>
  <c r="K82" i="2"/>
  <c r="K110" i="2"/>
  <c r="K1448" i="2"/>
  <c r="K149" i="2"/>
  <c r="K157" i="2"/>
  <c r="K59" i="2"/>
  <c r="K469" i="2"/>
  <c r="K455" i="2"/>
  <c r="K130" i="2"/>
  <c r="K333" i="2"/>
  <c r="K461" i="2"/>
  <c r="K65" i="2"/>
  <c r="K8" i="2"/>
  <c r="K335" i="2"/>
  <c r="K449" i="2"/>
  <c r="K61" i="2"/>
  <c r="K328" i="2"/>
  <c r="K81" i="2"/>
  <c r="K153" i="2"/>
  <c r="K330" i="2"/>
  <c r="K1453" i="2"/>
  <c r="K1447" i="2"/>
  <c r="K156" i="2"/>
  <c r="K468" i="2"/>
  <c r="K460" i="2"/>
  <c r="K129" i="2"/>
  <c r="K7" i="2"/>
  <c r="K64" i="2"/>
  <c r="K448" i="2"/>
  <c r="K332" i="2"/>
  <c r="K60" i="2"/>
  <c r="K80" i="2"/>
  <c r="K1452" i="2"/>
  <c r="K1446" i="2"/>
  <c r="K128" i="2"/>
  <c r="K459" i="2"/>
  <c r="K6" i="2"/>
  <c r="K447" i="2"/>
  <c r="K63" i="2"/>
  <c r="K1396" i="2"/>
  <c r="K162" i="2"/>
  <c r="K78" i="2"/>
  <c r="K101" i="2"/>
  <c r="K103" i="2"/>
  <c r="K345" i="2"/>
  <c r="K246" i="2"/>
  <c r="K234" i="2"/>
  <c r="K218" i="2"/>
  <c r="K213" i="2"/>
  <c r="K277" i="2"/>
  <c r="K278" i="2"/>
  <c r="K279" i="2"/>
  <c r="K179" i="2"/>
  <c r="K182" i="2"/>
  <c r="K228" i="2"/>
  <c r="K37" i="2"/>
  <c r="K393" i="2"/>
  <c r="K203" i="2"/>
  <c r="K206" i="2"/>
  <c r="K73" i="2"/>
  <c r="K77" i="2"/>
  <c r="K373" i="2"/>
  <c r="K70" i="2"/>
  <c r="K233" i="2"/>
  <c r="K426" i="2"/>
  <c r="K217" i="2"/>
  <c r="K212" i="2"/>
  <c r="K227" i="2"/>
  <c r="K243" i="2"/>
  <c r="K375" i="2"/>
  <c r="K36" i="2"/>
  <c r="K392" i="2"/>
  <c r="K72" i="2"/>
  <c r="K23" i="2"/>
  <c r="K46" i="2"/>
  <c r="K98" i="2"/>
  <c r="K282" i="2"/>
  <c r="K122" i="2"/>
  <c r="K45" i="2"/>
  <c r="K90" i="2"/>
  <c r="K397" i="2"/>
  <c r="K53" i="2"/>
  <c r="K18" i="2"/>
  <c r="K177" i="2"/>
  <c r="K42" i="2"/>
  <c r="K172" i="2"/>
  <c r="K114" i="2"/>
  <c r="K1767" i="2"/>
  <c r="K1803" i="2"/>
  <c r="K1762" i="2"/>
  <c r="K1399" i="2"/>
  <c r="K112" i="2"/>
  <c r="K382" i="2"/>
  <c r="K195" i="2"/>
  <c r="K31" i="2"/>
  <c r="K856" i="2"/>
  <c r="K50" i="2"/>
  <c r="K289" i="2"/>
  <c r="K125" i="2"/>
  <c r="K408" i="2"/>
  <c r="K147" i="2"/>
  <c r="K30" i="2"/>
  <c r="K287" i="2"/>
  <c r="K1766" i="2"/>
  <c r="K1761" i="2"/>
  <c r="K52" i="2"/>
  <c r="K41" i="2"/>
  <c r="K17" i="2"/>
  <c r="K43" i="2"/>
  <c r="K381" i="2"/>
  <c r="K855" i="2"/>
  <c r="K399" i="2"/>
  <c r="K29" i="2"/>
  <c r="K407" i="2"/>
  <c r="K124" i="2"/>
  <c r="K25" i="2"/>
  <c r="K1760" i="2"/>
  <c r="K44" i="2"/>
  <c r="K16" i="2"/>
  <c r="K51" i="2"/>
  <c r="K40" i="2"/>
  <c r="K175" i="2"/>
  <c r="K1398" i="2"/>
  <c r="K854" i="2"/>
  <c r="K398" i="2"/>
  <c r="K24" i="2"/>
  <c r="K146" i="2"/>
  <c r="K406" i="2"/>
  <c r="K123" i="2"/>
  <c r="K1765" i="2"/>
  <c r="K1393" i="2"/>
  <c r="K454" i="2"/>
  <c r="K3" i="2"/>
  <c r="K136" i="2"/>
  <c r="K160" i="2"/>
  <c r="K148" i="2"/>
  <c r="K58" i="2"/>
  <c r="K467" i="2"/>
  <c r="K99" i="2"/>
  <c r="K458" i="2"/>
  <c r="K127" i="2"/>
  <c r="K5" i="2"/>
  <c r="K161" i="2"/>
  <c r="K134" i="2"/>
  <c r="K79" i="2"/>
  <c r="K1764" i="2"/>
  <c r="K1474" i="2"/>
  <c r="K1450" i="2"/>
  <c r="K1445" i="2"/>
  <c r="K2" i="2"/>
  <c r="K466" i="2"/>
  <c r="K457" i="2"/>
  <c r="K4" i="2"/>
  <c r="K126" i="2"/>
  <c r="K1763" i="2"/>
  <c r="K1497" i="2"/>
  <c r="K1482" i="2"/>
  <c r="K152" i="2"/>
  <c r="K13" i="2"/>
  <c r="K135" i="2"/>
  <c r="K1473" i="2"/>
  <c r="K1449" i="2"/>
  <c r="K1444" i="2"/>
  <c r="K456" i="2"/>
  <c r="K445" i="2"/>
  <c r="K276" i="2"/>
  <c r="K275" i="2"/>
  <c r="K290" i="2"/>
  <c r="K274" i="2"/>
  <c r="K196" i="2"/>
  <c r="K192" i="2"/>
  <c r="K191" i="2"/>
  <c r="K190" i="2"/>
  <c r="K198" i="2"/>
  <c r="K76" i="2"/>
  <c r="K100" i="2"/>
  <c r="K102" i="2"/>
  <c r="K186" i="2"/>
  <c r="K232" i="2"/>
  <c r="K69" i="2"/>
  <c r="K210" i="2"/>
  <c r="K245" i="2"/>
  <c r="K222" i="2"/>
  <c r="K87" i="2"/>
  <c r="K107" i="2"/>
  <c r="K199" i="2"/>
  <c r="K187" i="2"/>
  <c r="K181" i="2"/>
  <c r="K238" i="2"/>
  <c r="K226" i="2"/>
  <c r="K32" i="2"/>
  <c r="K242" i="2"/>
  <c r="K35" i="2"/>
  <c r="K374" i="2"/>
  <c r="K391" i="2"/>
  <c r="K379" i="2"/>
  <c r="K71" i="2"/>
  <c r="K1394" i="2"/>
  <c r="K428" i="2"/>
  <c r="K86" i="2"/>
  <c r="K197" i="2"/>
  <c r="K1619" i="2"/>
  <c r="K806" i="2"/>
  <c r="K794" i="2"/>
  <c r="K1899" i="2"/>
  <c r="K1894" i="2"/>
  <c r="K1887" i="2"/>
  <c r="K744" i="2"/>
  <c r="K741" i="2"/>
  <c r="K1883" i="2"/>
  <c r="K1876" i="2"/>
  <c r="K695" i="2"/>
  <c r="K653" i="2"/>
  <c r="K1882" i="2"/>
  <c r="K1616" i="2"/>
  <c r="K1620" i="2"/>
  <c r="K1618" i="2"/>
  <c r="K883" i="2"/>
  <c r="K1919" i="2"/>
  <c r="K853" i="2"/>
  <c r="K1602" i="2"/>
  <c r="K820" i="2"/>
  <c r="K814" i="2"/>
  <c r="K1585" i="2"/>
  <c r="K1571" i="2"/>
  <c r="K1568" i="2"/>
  <c r="K720" i="2"/>
  <c r="K625" i="2"/>
  <c r="K1802" i="2"/>
  <c r="K886" i="2"/>
  <c r="K1898" i="2"/>
  <c r="K790" i="2"/>
  <c r="K770" i="2"/>
  <c r="K743" i="2"/>
  <c r="K1875" i="2"/>
  <c r="K694" i="2"/>
  <c r="K1881" i="2"/>
  <c r="K1581" i="2"/>
  <c r="K1924" i="2"/>
  <c r="K885" i="2"/>
  <c r="K882" i="2"/>
  <c r="K1918" i="2"/>
  <c r="K852" i="2"/>
  <c r="K819" i="2"/>
  <c r="K813" i="2"/>
  <c r="K740" i="2"/>
  <c r="K731" i="2"/>
  <c r="K719" i="2"/>
  <c r="K652" i="2"/>
  <c r="K1801" i="2"/>
  <c r="K1880" i="2"/>
  <c r="K881" i="2"/>
  <c r="K789" i="2"/>
  <c r="K749" i="2"/>
  <c r="K1580" i="2"/>
  <c r="K1874" i="2"/>
  <c r="K693" i="2"/>
  <c r="K1615" i="2"/>
  <c r="K1613" i="2"/>
  <c r="K1612" i="2"/>
  <c r="K1614" i="2"/>
  <c r="K1917" i="2"/>
  <c r="K851" i="2"/>
  <c r="K1601" i="2"/>
  <c r="K824" i="2"/>
  <c r="K818" i="2"/>
  <c r="K812" i="2"/>
  <c r="K1584" i="2"/>
  <c r="K718" i="2"/>
  <c r="K651" i="2"/>
  <c r="K644" i="2"/>
  <c r="K1800" i="2"/>
  <c r="K887" i="2"/>
  <c r="K792" i="2"/>
  <c r="K735" i="2"/>
  <c r="K684" i="2"/>
  <c r="K669" i="2"/>
  <c r="K605" i="2"/>
  <c r="K439" i="2"/>
  <c r="K888" i="2"/>
  <c r="K761" i="2"/>
  <c r="K756" i="2"/>
  <c r="K752" i="2"/>
  <c r="K1885" i="2"/>
  <c r="K1578" i="2"/>
  <c r="K614" i="2"/>
  <c r="K1515" i="2"/>
  <c r="K738" i="2"/>
  <c r="K803" i="2"/>
  <c r="K764" i="2"/>
  <c r="K737" i="2"/>
  <c r="K734" i="2"/>
  <c r="K683" i="2"/>
  <c r="K604" i="2"/>
  <c r="K755" i="2"/>
  <c r="K1884" i="2"/>
  <c r="K1579" i="2"/>
  <c r="K613" i="2"/>
  <c r="K1514" i="2"/>
  <c r="K736" i="2"/>
  <c r="K682" i="2"/>
  <c r="K668" i="2"/>
  <c r="K603" i="2"/>
  <c r="K437" i="2"/>
  <c r="K1582" i="2"/>
  <c r="K1611" i="2"/>
  <c r="K763" i="2"/>
  <c r="K612" i="2"/>
  <c r="K1513" i="2"/>
  <c r="K1879" i="2"/>
  <c r="K871" i="2"/>
  <c r="K850" i="2"/>
  <c r="K817" i="2"/>
  <c r="K811" i="2"/>
  <c r="K805" i="2"/>
  <c r="K769" i="2"/>
  <c r="K739" i="2"/>
  <c r="K733" i="2"/>
  <c r="K1577" i="2"/>
  <c r="K732" i="2"/>
  <c r="K730" i="2"/>
  <c r="K650" i="2"/>
  <c r="K643" i="2"/>
  <c r="K1787" i="2"/>
  <c r="K1621" i="2"/>
  <c r="K1597" i="2"/>
  <c r="K788" i="2"/>
  <c r="K746" i="2"/>
  <c r="K1587" i="2"/>
  <c r="K1586" i="2"/>
  <c r="K1567" i="2"/>
  <c r="K717" i="2"/>
  <c r="K1558" i="2"/>
  <c r="K692" i="2"/>
  <c r="K1552" i="2"/>
  <c r="K1910" i="2"/>
  <c r="K1607" i="2"/>
  <c r="K849" i="2"/>
  <c r="K838" i="2"/>
  <c r="K1600" i="2"/>
  <c r="K816" i="2"/>
  <c r="K810" i="2"/>
  <c r="K768" i="2"/>
  <c r="K716" i="2"/>
  <c r="K1564" i="2"/>
  <c r="K649" i="2"/>
  <c r="K642" i="2"/>
  <c r="K1786" i="2"/>
  <c r="K1596" i="2"/>
  <c r="K1593" i="2"/>
  <c r="K1897" i="2"/>
  <c r="K1893" i="2"/>
  <c r="K1886" i="2"/>
  <c r="K742" i="2"/>
  <c r="K1557" i="2"/>
  <c r="K1873" i="2"/>
  <c r="K691" i="2"/>
  <c r="K1946" i="2"/>
  <c r="K1909" i="2"/>
  <c r="K1916" i="2"/>
  <c r="K848" i="2"/>
  <c r="K837" i="2"/>
  <c r="K809" i="2"/>
  <c r="K767" i="2"/>
  <c r="K1574" i="2"/>
  <c r="K1570" i="2"/>
  <c r="K641" i="2"/>
  <c r="K823" i="2"/>
  <c r="K1595" i="2"/>
  <c r="K786" i="2"/>
  <c r="K748" i="2"/>
  <c r="K747" i="2"/>
  <c r="K745" i="2"/>
  <c r="K1556" i="2"/>
  <c r="K1872" i="2"/>
  <c r="K690" i="2"/>
  <c r="K662" i="2"/>
  <c r="K800" i="2"/>
  <c r="K766" i="2"/>
  <c r="K765" i="2"/>
  <c r="K759" i="2"/>
  <c r="K758" i="2"/>
  <c r="K676" i="2"/>
  <c r="K667" i="2"/>
  <c r="K602" i="2"/>
  <c r="K1589" i="2"/>
  <c r="K1610" i="2"/>
  <c r="K762" i="2"/>
  <c r="K760" i="2"/>
  <c r="K757" i="2"/>
  <c r="K754" i="2"/>
  <c r="K751" i="2"/>
  <c r="K681" i="2"/>
  <c r="K611" i="2"/>
  <c r="K1509" i="2"/>
  <c r="K1889" i="2"/>
  <c r="K802" i="2"/>
  <c r="K797" i="2"/>
  <c r="K729" i="2"/>
  <c r="K675" i="2"/>
  <c r="K1836" i="2"/>
  <c r="K436" i="2"/>
  <c r="K1588" i="2"/>
  <c r="K799" i="2"/>
  <c r="K753" i="2"/>
  <c r="K750" i="2"/>
  <c r="K680" i="2"/>
  <c r="K634" i="2"/>
  <c r="K610" i="2"/>
  <c r="K1878" i="2"/>
  <c r="K798" i="2"/>
  <c r="K796" i="2"/>
  <c r="K1888" i="2"/>
  <c r="K728" i="2"/>
  <c r="K727" i="2"/>
  <c r="K702" i="2"/>
  <c r="K674" i="2"/>
  <c r="K666" i="2"/>
  <c r="K633" i="2"/>
  <c r="K623" i="2"/>
  <c r="K1835" i="2"/>
  <c r="K435" i="2"/>
  <c r="K801" i="2"/>
  <c r="K1901" i="2"/>
  <c r="K795" i="2"/>
  <c r="K679" i="2"/>
  <c r="K619" i="2"/>
  <c r="K1908" i="2"/>
  <c r="K1915" i="2"/>
  <c r="K842" i="2"/>
  <c r="K836" i="2"/>
  <c r="K831" i="2"/>
  <c r="K1904" i="2"/>
  <c r="K822" i="2"/>
  <c r="K815" i="2"/>
  <c r="K808" i="2"/>
  <c r="K807" i="2"/>
  <c r="K804" i="2"/>
  <c r="K793" i="2"/>
  <c r="K1896" i="2"/>
  <c r="K1892" i="2"/>
  <c r="K785" i="2"/>
  <c r="K782" i="2"/>
  <c r="K726" i="2"/>
  <c r="K725" i="2"/>
  <c r="K722" i="2"/>
  <c r="K714" i="2"/>
  <c r="K1877" i="2"/>
  <c r="K698" i="2"/>
  <c r="K689" i="2"/>
  <c r="K1871" i="2"/>
  <c r="K657" i="2"/>
  <c r="K638" i="2"/>
  <c r="K1945" i="2"/>
  <c r="K865" i="2"/>
  <c r="K847" i="2"/>
  <c r="K1599" i="2"/>
  <c r="K828" i="2"/>
  <c r="K821" i="2"/>
  <c r="K1594" i="2"/>
  <c r="K1592" i="2"/>
  <c r="K1576" i="2"/>
  <c r="K1573" i="2"/>
  <c r="K1566" i="2"/>
  <c r="K1563" i="2"/>
  <c r="K1555" i="2"/>
  <c r="K699" i="2"/>
  <c r="K1551" i="2"/>
  <c r="K661" i="2"/>
  <c r="K648" i="2"/>
  <c r="K1799" i="2"/>
  <c r="K1785" i="2"/>
  <c r="K1944" i="2"/>
  <c r="K1907" i="2"/>
  <c r="K1999" i="2"/>
  <c r="K1921" i="2"/>
  <c r="K846" i="2"/>
  <c r="K841" i="2"/>
  <c r="K835" i="2"/>
  <c r="K1903" i="2"/>
  <c r="K1895" i="2"/>
  <c r="K1891" i="2"/>
  <c r="K791" i="2"/>
  <c r="K781" i="2"/>
  <c r="K1575" i="2"/>
  <c r="K724" i="2"/>
  <c r="K723" i="2"/>
  <c r="K1572" i="2"/>
  <c r="K1569" i="2"/>
  <c r="K721" i="2"/>
  <c r="K715" i="2"/>
  <c r="K713" i="2"/>
  <c r="K688" i="2"/>
  <c r="K647" i="2"/>
  <c r="K640" i="2"/>
  <c r="K637" i="2"/>
  <c r="K1798" i="2"/>
  <c r="K1784" i="2"/>
  <c r="K1605" i="2"/>
  <c r="K825" i="2"/>
  <c r="K1591" i="2"/>
  <c r="K1900" i="2"/>
  <c r="K784" i="2"/>
  <c r="K779" i="2"/>
  <c r="K1565" i="2"/>
  <c r="K1561" i="2"/>
  <c r="K1554" i="2"/>
  <c r="K1550" i="2"/>
  <c r="K660" i="2"/>
  <c r="K656" i="2"/>
  <c r="K1943" i="2"/>
  <c r="K1906" i="2"/>
  <c r="K1998" i="2"/>
  <c r="K869" i="2"/>
  <c r="K864" i="2"/>
  <c r="K845" i="2"/>
  <c r="K840" i="2"/>
  <c r="K834" i="2"/>
  <c r="K1912" i="2"/>
  <c r="K830" i="2"/>
  <c r="K827" i="2"/>
  <c r="K783" i="2"/>
  <c r="K780" i="2"/>
  <c r="K778" i="2"/>
  <c r="K712" i="2"/>
  <c r="K711" i="2"/>
  <c r="K1560" i="2"/>
  <c r="K1870" i="2"/>
  <c r="K646" i="2"/>
  <c r="K636" i="2"/>
  <c r="K1604" i="2"/>
  <c r="K1562" i="2"/>
  <c r="K1553" i="2"/>
  <c r="K697" i="2"/>
  <c r="K687" i="2"/>
  <c r="K1549" i="2"/>
  <c r="K659" i="2"/>
  <c r="K655" i="2"/>
  <c r="K631" i="2"/>
  <c r="K880" i="2"/>
  <c r="K777" i="2"/>
  <c r="K776" i="2"/>
  <c r="K772" i="2"/>
  <c r="K678" i="2"/>
  <c r="K673" i="2"/>
  <c r="K665" i="2"/>
  <c r="K601" i="2"/>
  <c r="K434" i="2"/>
  <c r="K431" i="2"/>
  <c r="K876" i="2"/>
  <c r="K1590" i="2"/>
  <c r="K774" i="2"/>
  <c r="K1548" i="2"/>
  <c r="K609" i="2"/>
  <c r="K1512" i="2"/>
  <c r="K1361" i="2"/>
  <c r="K879" i="2"/>
  <c r="K1923" i="2"/>
  <c r="K775" i="2"/>
  <c r="K773" i="2"/>
  <c r="K771" i="2"/>
  <c r="K1890" i="2"/>
  <c r="K709" i="2"/>
  <c r="K708" i="2"/>
  <c r="K707" i="2"/>
  <c r="K706" i="2"/>
  <c r="K705" i="2"/>
  <c r="K704" i="2"/>
  <c r="K701" i="2"/>
  <c r="K672" i="2"/>
  <c r="K664" i="2"/>
  <c r="K632" i="2"/>
  <c r="K629" i="2"/>
  <c r="K628" i="2"/>
  <c r="K626" i="2"/>
  <c r="K622" i="2"/>
  <c r="K617" i="2"/>
  <c r="K616" i="2"/>
  <c r="K606" i="2"/>
  <c r="K600" i="2"/>
  <c r="K1834" i="2"/>
  <c r="K433" i="2"/>
  <c r="K430" i="2"/>
  <c r="K1609" i="2"/>
  <c r="K875" i="2"/>
  <c r="K608" i="2"/>
  <c r="K1516" i="2"/>
  <c r="K654" i="2"/>
  <c r="K1360" i="2"/>
  <c r="K1996" i="2"/>
  <c r="K878" i="2"/>
  <c r="K874" i="2"/>
  <c r="K1922" i="2"/>
  <c r="K873" i="2"/>
  <c r="K703" i="2"/>
  <c r="K1559" i="2"/>
  <c r="K700" i="2"/>
  <c r="K677" i="2"/>
  <c r="K671" i="2"/>
  <c r="K670" i="2"/>
  <c r="K663" i="2"/>
  <c r="K627" i="2"/>
  <c r="K621" i="2"/>
  <c r="K620" i="2"/>
  <c r="K618" i="2"/>
  <c r="K615" i="2"/>
  <c r="K607" i="2"/>
  <c r="K599" i="2"/>
  <c r="K432" i="2"/>
  <c r="K429" i="2"/>
  <c r="K1413" i="2"/>
  <c r="K1608" i="2"/>
  <c r="K1547" i="2"/>
  <c r="K1511" i="2"/>
  <c r="K1942" i="2"/>
  <c r="K1913" i="2"/>
  <c r="K1905" i="2"/>
  <c r="K1385" i="2"/>
  <c r="K872" i="2"/>
  <c r="K868" i="2"/>
  <c r="K867" i="2"/>
  <c r="K1920" i="2"/>
  <c r="K1914" i="2"/>
  <c r="K866" i="2"/>
  <c r="K863" i="2"/>
  <c r="K844" i="2"/>
  <c r="K843" i="2"/>
  <c r="K839" i="2"/>
  <c r="K833" i="2"/>
  <c r="K832" i="2"/>
  <c r="K1911" i="2"/>
  <c r="K829" i="2"/>
  <c r="K826" i="2"/>
  <c r="K1902" i="2"/>
  <c r="K1598" i="2"/>
  <c r="K696" i="2"/>
  <c r="K686" i="2"/>
  <c r="K685" i="2"/>
  <c r="K658" i="2"/>
  <c r="K1869" i="2"/>
  <c r="K645" i="2"/>
  <c r="K639" i="2"/>
  <c r="K635" i="2"/>
  <c r="K624" i="2"/>
  <c r="K1797" i="2"/>
  <c r="K1603" i="2"/>
  <c r="K1414" i="2"/>
  <c r="K1416" i="2"/>
  <c r="K1417" i="2"/>
  <c r="K1422" i="2"/>
  <c r="K416" i="2"/>
  <c r="K1424" i="2"/>
  <c r="K1426" i="2"/>
  <c r="K1432" i="2"/>
  <c r="K1434" i="2"/>
  <c r="K423" i="2"/>
  <c r="K1437" i="2"/>
  <c r="K1438" i="2"/>
  <c r="K1441" i="2"/>
  <c r="K440" i="2"/>
  <c r="K1788" i="2"/>
  <c r="K1789" i="2"/>
  <c r="K1458" i="2"/>
  <c r="K1460" i="2"/>
  <c r="K1463" i="2"/>
  <c r="K1465" i="2"/>
  <c r="K1467" i="2"/>
  <c r="K1480" i="2"/>
  <c r="K473" i="2"/>
  <c r="K479" i="2"/>
  <c r="K481" i="2"/>
  <c r="K486" i="2"/>
  <c r="K483" i="2"/>
  <c r="K484" i="2"/>
  <c r="K487" i="2"/>
  <c r="K488" i="2"/>
  <c r="K492" i="2"/>
  <c r="K1486" i="2"/>
  <c r="K1487" i="2"/>
  <c r="K494" i="2"/>
  <c r="K495" i="2"/>
  <c r="K497" i="2"/>
  <c r="K1489" i="2"/>
  <c r="K1490" i="2"/>
  <c r="K1492" i="2"/>
  <c r="K1493" i="2"/>
  <c r="K1810" i="2"/>
  <c r="K1811" i="2"/>
  <c r="K1808" i="2"/>
  <c r="K1809" i="2"/>
  <c r="K498" i="2"/>
  <c r="K499" i="2"/>
  <c r="K1813" i="2"/>
  <c r="K1814" i="2"/>
  <c r="K1815" i="2"/>
  <c r="K1817" i="2"/>
  <c r="K1818" i="2"/>
  <c r="K1820" i="2"/>
  <c r="K1821" i="2"/>
  <c r="K1822" i="2"/>
  <c r="K1823" i="2"/>
  <c r="K502" i="2"/>
  <c r="K503" i="2"/>
  <c r="K506" i="2"/>
  <c r="K507" i="2"/>
  <c r="K510" i="2"/>
  <c r="K513" i="2"/>
  <c r="K517" i="2"/>
  <c r="K518" i="2"/>
  <c r="K515" i="2"/>
  <c r="K519" i="2"/>
  <c r="K516" i="2"/>
  <c r="K1318" i="2"/>
  <c r="K539" i="2"/>
  <c r="K1806" i="2"/>
  <c r="K1165" i="2"/>
  <c r="K1697" i="2"/>
  <c r="K1475" i="2"/>
  <c r="K1779" i="2"/>
  <c r="K1430" i="2"/>
  <c r="K1782" i="2"/>
  <c r="K573" i="2"/>
  <c r="K1427" i="2"/>
  <c r="K586" i="2"/>
  <c r="K1753" i="2"/>
  <c r="K1418" i="2"/>
  <c r="K1429" i="2"/>
  <c r="K575" i="2"/>
  <c r="K1042" i="2"/>
  <c r="K1677" i="2"/>
  <c r="K590" i="2"/>
  <c r="K1425" i="2"/>
  <c r="K1545" i="2"/>
  <c r="K1421" i="2"/>
  <c r="K417" i="2"/>
  <c r="K1154" i="2"/>
  <c r="K1442" i="2"/>
  <c r="K1439" i="2"/>
  <c r="K1382" i="2"/>
  <c r="K419" i="2"/>
  <c r="K1546" i="2"/>
  <c r="K424" i="2"/>
  <c r="K1956" i="2"/>
  <c r="K1783" i="2"/>
  <c r="K1428" i="2"/>
  <c r="K1433" i="2"/>
  <c r="K1435" i="2"/>
  <c r="K418" i="2"/>
  <c r="K598" i="2"/>
  <c r="K1423" i="2"/>
  <c r="K1781" i="2"/>
  <c r="K572" i="2"/>
  <c r="K1747" i="2"/>
  <c r="K585" i="2"/>
  <c r="K1780" i="2"/>
  <c r="K1676" i="2"/>
  <c r="K1415" i="2"/>
  <c r="K589" i="2"/>
  <c r="K1544" i="2"/>
  <c r="K592" i="2"/>
  <c r="K1153" i="2"/>
  <c r="K1381" i="2"/>
  <c r="K1778" i="2"/>
  <c r="K1777" i="2"/>
  <c r="K415" i="2"/>
  <c r="K1759" i="2"/>
  <c r="K597" i="2"/>
  <c r="K1967" i="2"/>
  <c r="K1317" i="2"/>
  <c r="K1338" i="2"/>
  <c r="K1164" i="2"/>
  <c r="K1166" i="2"/>
  <c r="K1476" i="2"/>
  <c r="K970" i="2"/>
  <c r="K1794" i="2"/>
  <c r="K1795" i="2"/>
  <c r="K1477" i="2"/>
  <c r="K554" i="2"/>
  <c r="K1481" i="2"/>
  <c r="K1505" i="2"/>
  <c r="K1478" i="2"/>
  <c r="K1776" i="2"/>
  <c r="K571" i="2"/>
  <c r="K1752" i="2"/>
  <c r="K1675" i="2"/>
  <c r="K1041" i="2"/>
  <c r="K1419" i="2"/>
  <c r="K1543" i="2"/>
  <c r="K1440" i="2"/>
  <c r="K425" i="2"/>
  <c r="K577" i="2"/>
  <c r="K1436" i="2"/>
  <c r="K422" i="2"/>
  <c r="K1443" i="2"/>
  <c r="K1479" i="2"/>
  <c r="K1966" i="2"/>
  <c r="K1726" i="2"/>
  <c r="K558" i="2"/>
  <c r="K1796" i="2"/>
  <c r="K565" i="2"/>
  <c r="K1163" i="2"/>
  <c r="K1173" i="2"/>
  <c r="K979" i="2"/>
  <c r="K1530" i="2"/>
  <c r="K1528" i="2"/>
  <c r="K1104" i="2"/>
  <c r="K1504" i="2"/>
  <c r="K1696" i="2"/>
  <c r="K421" i="2"/>
  <c r="K1431" i="2"/>
  <c r="K1715" i="2"/>
  <c r="K420" i="2"/>
  <c r="K1746" i="2"/>
  <c r="K1472" i="2"/>
  <c r="K1350" i="2"/>
  <c r="K1793" i="2"/>
  <c r="K1245" i="2"/>
  <c r="K1733" i="2"/>
  <c r="K1085" i="2"/>
  <c r="K441" i="2"/>
  <c r="K474" i="2"/>
  <c r="K1468" i="2"/>
  <c r="K1466" i="2"/>
  <c r="K1471" i="2"/>
  <c r="K1255" i="2"/>
  <c r="K1464" i="2"/>
  <c r="K1791" i="2"/>
  <c r="K1260" i="2"/>
  <c r="K1952" i="2"/>
  <c r="K1271" i="2"/>
  <c r="K1278" i="2"/>
  <c r="K908" i="2"/>
  <c r="K1285" i="2"/>
  <c r="K1533" i="2"/>
  <c r="K1461" i="2"/>
  <c r="K1265" i="2"/>
  <c r="K444" i="2"/>
  <c r="K896" i="2"/>
  <c r="K443" i="2"/>
  <c r="K1195" i="2"/>
  <c r="K427" i="2"/>
  <c r="K1840" i="2"/>
  <c r="K1470" i="2"/>
  <c r="K1469" i="2"/>
  <c r="K1738" i="2"/>
  <c r="K1742" i="2"/>
  <c r="K1488" i="2"/>
  <c r="K1459" i="2"/>
  <c r="K1714" i="2"/>
  <c r="K1663" i="2"/>
  <c r="K1745" i="2"/>
  <c r="K1349" i="2"/>
  <c r="K1084" i="2"/>
  <c r="K1732" i="2"/>
  <c r="K1792" i="2"/>
  <c r="K1951" i="2"/>
  <c r="K442" i="2"/>
  <c r="K1790" i="2"/>
  <c r="K1987" i="2"/>
  <c r="K1277" i="2"/>
  <c r="K1462" i="2"/>
  <c r="K1270" i="2"/>
  <c r="K1284" i="2"/>
  <c r="K1532" i="2"/>
  <c r="K1264" i="2"/>
  <c r="K895" i="2"/>
  <c r="K1194" i="2"/>
  <c r="K1525" i="2"/>
  <c r="K1519" i="2"/>
  <c r="K1843" i="2"/>
  <c r="K1842" i="2"/>
  <c r="K1838" i="2"/>
  <c r="K526" i="2"/>
  <c r="K1026" i="2"/>
  <c r="K1841" i="2"/>
  <c r="K1839" i="2"/>
  <c r="K1501" i="2"/>
  <c r="K1500" i="2"/>
  <c r="K1510" i="2"/>
  <c r="K1499" i="2"/>
  <c r="K1837" i="2"/>
  <c r="K535" i="2"/>
  <c r="K525" i="2"/>
  <c r="K1833" i="2"/>
  <c r="K1025" i="2"/>
  <c r="K1359" i="2"/>
  <c r="K530" i="2"/>
  <c r="K1235" i="2"/>
  <c r="K1737" i="2"/>
  <c r="K1741" i="2"/>
  <c r="K496" i="2"/>
  <c r="K1457" i="2"/>
  <c r="K482" i="2"/>
  <c r="K1744" i="2"/>
  <c r="K1348" i="2"/>
  <c r="K1244" i="2"/>
  <c r="K1083" i="2"/>
  <c r="K1092" i="2"/>
  <c r="K1731" i="2"/>
  <c r="K957" i="2"/>
  <c r="K1508" i="2"/>
  <c r="K1863" i="2"/>
  <c r="K1986" i="2"/>
  <c r="K1259" i="2"/>
  <c r="K1254" i="2"/>
  <c r="K569" i="2"/>
  <c r="K1531" i="2"/>
  <c r="K1276" i="2"/>
  <c r="K907" i="2"/>
  <c r="K1283" i="2"/>
  <c r="K1342" i="2"/>
  <c r="K1703" i="2"/>
  <c r="K1193" i="2"/>
  <c r="K561" i="2"/>
  <c r="K1965" i="2"/>
  <c r="K568" i="2"/>
  <c r="K1847" i="2"/>
  <c r="K1845" i="2"/>
  <c r="K541" i="2"/>
  <c r="K1297" i="2"/>
  <c r="K1316" i="2"/>
  <c r="K1861" i="2"/>
  <c r="K540" i="2"/>
  <c r="K1314" i="2"/>
  <c r="K1507" i="2"/>
  <c r="K1312" i="2"/>
  <c r="K1063" i="2"/>
  <c r="K538" i="2"/>
  <c r="K537" i="2"/>
  <c r="K1172" i="2"/>
  <c r="K557" i="2"/>
  <c r="K1162" i="2"/>
  <c r="K536" i="2"/>
  <c r="K978" i="2"/>
  <c r="K969" i="2"/>
  <c r="K1506" i="2"/>
  <c r="K1118" i="2"/>
  <c r="K553" i="2"/>
  <c r="K1307" i="2"/>
  <c r="K1527" i="2"/>
  <c r="K988" i="2"/>
  <c r="K1503" i="2"/>
  <c r="K917" i="2"/>
  <c r="K1868" i="2"/>
  <c r="K581" i="2"/>
  <c r="K570" i="2"/>
  <c r="K1040" i="2"/>
  <c r="K588" i="2"/>
  <c r="K574" i="2"/>
  <c r="K576" i="2"/>
  <c r="K1674" i="2"/>
  <c r="K1521" i="2"/>
  <c r="K1542" i="2"/>
  <c r="K1540" i="2"/>
  <c r="K1535" i="2"/>
  <c r="K1534" i="2"/>
  <c r="K1149" i="2"/>
  <c r="K1152" i="2"/>
  <c r="K1376" i="2"/>
  <c r="K578" i="2"/>
  <c r="K579" i="2"/>
  <c r="K596" i="2"/>
  <c r="K580" i="2"/>
  <c r="K1749" i="2"/>
  <c r="K1536" i="2"/>
  <c r="K584" i="2"/>
  <c r="K1867" i="2"/>
  <c r="K1751" i="2"/>
  <c r="K1673" i="2"/>
  <c r="K587" i="2"/>
  <c r="K1539" i="2"/>
  <c r="K1148" i="2"/>
  <c r="K1379" i="2"/>
  <c r="K1865" i="2"/>
  <c r="K1758" i="2"/>
  <c r="K560" i="2"/>
  <c r="K1846" i="2"/>
  <c r="K1844" i="2"/>
  <c r="K1502" i="2"/>
  <c r="K1941" i="2"/>
  <c r="K1848" i="2"/>
  <c r="K1954" i="2"/>
  <c r="K567" i="2"/>
  <c r="K566" i="2"/>
  <c r="K2006" i="2"/>
  <c r="K1862" i="2"/>
  <c r="K1296" i="2"/>
  <c r="K1686" i="2"/>
  <c r="K1859" i="2"/>
  <c r="K564" i="2"/>
  <c r="K1062" i="2"/>
  <c r="K556" i="2"/>
  <c r="K939" i="2"/>
  <c r="K563" i="2"/>
  <c r="K968" i="2"/>
  <c r="K1171" i="2"/>
  <c r="K977" i="2"/>
  <c r="K1161" i="2"/>
  <c r="K1306" i="2"/>
  <c r="K987" i="2"/>
  <c r="K1529" i="2"/>
  <c r="K1117" i="2"/>
  <c r="K562" i="2"/>
  <c r="K552" i="2"/>
  <c r="K1695" i="2"/>
  <c r="K1858" i="2"/>
  <c r="K1067" i="2"/>
  <c r="K1103" i="2"/>
  <c r="K1389" i="2"/>
  <c r="K559" i="2"/>
  <c r="K1964" i="2"/>
  <c r="K1295" i="2"/>
  <c r="K1685" i="2"/>
  <c r="K1725" i="2"/>
  <c r="K1857" i="2"/>
  <c r="K555" i="2"/>
  <c r="K1689" i="2"/>
  <c r="K1170" i="2"/>
  <c r="K1160" i="2"/>
  <c r="K976" i="2"/>
  <c r="K967" i="2"/>
  <c r="K986" i="2"/>
  <c r="K916" i="2"/>
  <c r="K551" i="2"/>
  <c r="K1526" i="2"/>
  <c r="K1061" i="2"/>
  <c r="K1116" i="2"/>
  <c r="K1305" i="2"/>
  <c r="K1721" i="2"/>
  <c r="K947" i="2"/>
  <c r="K1866" i="2"/>
  <c r="K1672" i="2"/>
  <c r="K1039" i="2"/>
  <c r="K1537" i="2"/>
  <c r="K1538" i="2"/>
  <c r="K2005" i="2"/>
  <c r="K1520" i="2"/>
  <c r="K1541" i="2"/>
  <c r="K591" i="2"/>
  <c r="K1378" i="2"/>
  <c r="K593" i="2"/>
  <c r="K594" i="2"/>
  <c r="K1852" i="2"/>
  <c r="K1832" i="2"/>
  <c r="K1517" i="2"/>
  <c r="K1327" i="2"/>
  <c r="K997" i="2"/>
  <c r="K583" i="2"/>
  <c r="K1975" i="2"/>
  <c r="K1371" i="2"/>
  <c r="K1214" i="2"/>
  <c r="K1816" i="2"/>
  <c r="K1001" i="2"/>
  <c r="K1365" i="2"/>
  <c r="K1024" i="2"/>
  <c r="K504" i="2"/>
  <c r="K582" i="2"/>
  <c r="K490" i="2"/>
  <c r="K534" i="2"/>
  <c r="K1864" i="2"/>
  <c r="K1850" i="2"/>
  <c r="K1331" i="2"/>
  <c r="K1291" i="2"/>
  <c r="K548" i="2"/>
  <c r="K1050" i="2"/>
  <c r="K520" i="2"/>
  <c r="K1824" i="2"/>
  <c r="K524" i="2"/>
  <c r="K545" i="2"/>
  <c r="K1932" i="2"/>
  <c r="K1140" i="2"/>
  <c r="K542" i="2"/>
  <c r="K529" i="2"/>
  <c r="K1017" i="2"/>
  <c r="K508" i="2"/>
  <c r="K543" i="2"/>
  <c r="K1223" i="2"/>
  <c r="K1849" i="2"/>
  <c r="K1851" i="2"/>
  <c r="K1524" i="2"/>
  <c r="K533" i="2"/>
  <c r="K1330" i="2"/>
  <c r="K1290" i="2"/>
  <c r="K1230" i="2"/>
  <c r="K531" i="2"/>
  <c r="K1853" i="2"/>
  <c r="K500" i="2"/>
  <c r="K1370" i="2"/>
  <c r="K523" i="2"/>
  <c r="K1213" i="2"/>
  <c r="K1000" i="2"/>
  <c r="K962" i="2"/>
  <c r="K544" i="2"/>
  <c r="K1139" i="2"/>
  <c r="K546" i="2"/>
  <c r="K1016" i="2"/>
  <c r="K485" i="2"/>
  <c r="K1718" i="2"/>
  <c r="K1494" i="2"/>
  <c r="K532" i="2"/>
  <c r="K1133" i="2"/>
  <c r="K996" i="2"/>
  <c r="K1323" i="2"/>
  <c r="K1049" i="2"/>
  <c r="K1980" i="2"/>
  <c r="K1023" i="2"/>
  <c r="K1831" i="2"/>
  <c r="K1364" i="2"/>
  <c r="K1819" i="2"/>
  <c r="K528" i="2"/>
  <c r="K527" i="2"/>
  <c r="K1854" i="2"/>
  <c r="K1523" i="2"/>
  <c r="K1855" i="2"/>
  <c r="K1518" i="2"/>
  <c r="K1229" i="2"/>
  <c r="K1326" i="2"/>
  <c r="K995" i="2"/>
  <c r="K1334" i="2"/>
  <c r="K550" i="2"/>
  <c r="K514" i="2"/>
  <c r="K1132" i="2"/>
  <c r="K547" i="2"/>
  <c r="K549" i="2"/>
  <c r="K1048" i="2"/>
  <c r="K1212" i="2"/>
  <c r="K1974" i="2"/>
  <c r="K1369" i="2"/>
  <c r="K522" i="2"/>
  <c r="K999" i="2"/>
  <c r="K1830" i="2"/>
  <c r="K1125" i="2"/>
  <c r="K1022" i="2"/>
  <c r="K1856" i="2"/>
  <c r="K1015" i="2"/>
  <c r="K1825" i="2"/>
  <c r="K1356" i="2"/>
  <c r="K1234" i="2"/>
  <c r="K493" i="2"/>
  <c r="K1826" i="2"/>
  <c r="K480" i="2"/>
  <c r="K509" i="2"/>
  <c r="K1827" i="2"/>
  <c r="K1828" i="2"/>
  <c r="K1329" i="2"/>
  <c r="K1289" i="2"/>
  <c r="K1325" i="2"/>
  <c r="K1228" i="2"/>
  <c r="K2003" i="2"/>
  <c r="K512" i="2"/>
  <c r="K994" i="2"/>
  <c r="K1368" i="2"/>
  <c r="K1047" i="2"/>
  <c r="K1931" i="2"/>
  <c r="K961" i="2"/>
  <c r="K521" i="2"/>
  <c r="K1124" i="2"/>
  <c r="K1829" i="2"/>
  <c r="K1979" i="2"/>
  <c r="K1807" i="2"/>
  <c r="K1138" i="2"/>
  <c r="K1014" i="2"/>
  <c r="K1496" i="2"/>
  <c r="K470" i="2"/>
  <c r="K1200" i="2"/>
  <c r="K1238" i="2"/>
  <c r="K471" i="2"/>
  <c r="K1240" i="2"/>
  <c r="K472" i="2"/>
  <c r="K1082" i="2"/>
  <c r="K1354" i="2"/>
  <c r="K1243" i="2"/>
  <c r="K1730" i="2"/>
  <c r="K1950" i="2"/>
  <c r="K1091" i="2"/>
  <c r="K1985" i="2"/>
  <c r="K1249" i="2"/>
  <c r="K1253" i="2"/>
  <c r="K475" i="2"/>
  <c r="K476" i="2"/>
  <c r="K1275" i="2"/>
  <c r="K1484" i="2"/>
  <c r="K1263" i="2"/>
  <c r="K1658" i="2"/>
  <c r="K906" i="2"/>
  <c r="K1341" i="2"/>
  <c r="K477" i="2"/>
  <c r="K478" i="2"/>
  <c r="K1269" i="2"/>
  <c r="K1192" i="2"/>
  <c r="K1352" i="2"/>
  <c r="K491" i="2"/>
  <c r="K1740" i="2"/>
  <c r="K1498" i="2"/>
  <c r="K1723" i="2"/>
  <c r="K1706" i="2"/>
  <c r="K1708" i="2"/>
  <c r="K993" i="2"/>
  <c r="K1288" i="2"/>
  <c r="K1227" i="2"/>
  <c r="K1333" i="2"/>
  <c r="K1322" i="2"/>
  <c r="K1046" i="2"/>
  <c r="K1925" i="2"/>
  <c r="K1495" i="2"/>
  <c r="K1367" i="2"/>
  <c r="K1021" i="2"/>
  <c r="K501" i="2"/>
  <c r="K1123" i="2"/>
  <c r="K1233" i="2"/>
  <c r="K1736" i="2"/>
  <c r="K1485" i="2"/>
  <c r="K1199" i="2"/>
  <c r="K1743" i="2"/>
  <c r="K1237" i="2"/>
  <c r="K1187" i="2"/>
  <c r="K1346" i="2"/>
  <c r="K1242" i="2"/>
  <c r="K1086" i="2"/>
  <c r="K1353" i="2"/>
  <c r="K1090" i="2"/>
  <c r="K1984" i="2"/>
  <c r="K956" i="2"/>
  <c r="K1248" i="2"/>
  <c r="K1252" i="2"/>
  <c r="K1257" i="2"/>
  <c r="K1949" i="2"/>
  <c r="K905" i="2"/>
  <c r="K1262" i="2"/>
  <c r="K1281" i="2"/>
  <c r="K1274" i="2"/>
  <c r="K1340" i="2"/>
  <c r="K1702" i="2"/>
  <c r="K1268" i="2"/>
  <c r="K894" i="2"/>
  <c r="K1191" i="2"/>
  <c r="K1735" i="2"/>
  <c r="K1232" i="2"/>
  <c r="K1734" i="2"/>
  <c r="K1995" i="2"/>
  <c r="K1994" i="2"/>
  <c r="K1345" i="2"/>
  <c r="K1081" i="2"/>
  <c r="K1089" i="2"/>
  <c r="K1241" i="2"/>
  <c r="K1948" i="2"/>
  <c r="K1729" i="2"/>
  <c r="K1983" i="2"/>
  <c r="K1247" i="2"/>
  <c r="K897" i="2"/>
  <c r="K1251" i="2"/>
  <c r="K1993" i="2"/>
  <c r="K1267" i="2"/>
  <c r="K1344" i="2"/>
  <c r="K1280" i="2"/>
  <c r="K1273" i="2"/>
  <c r="K1339" i="2"/>
  <c r="K1727" i="2"/>
  <c r="K1190" i="2"/>
  <c r="K1992" i="2"/>
  <c r="K1522" i="2"/>
  <c r="K1722" i="2"/>
  <c r="K1699" i="2"/>
  <c r="K1328" i="2"/>
  <c r="K1324" i="2"/>
  <c r="K992" i="2"/>
  <c r="K1131" i="2"/>
  <c r="K1321" i="2"/>
  <c r="K1332" i="2"/>
  <c r="K1991" i="2"/>
  <c r="K1319" i="2"/>
  <c r="K1366" i="2"/>
  <c r="K1020" i="2"/>
  <c r="K1362" i="2"/>
  <c r="K1978" i="2"/>
  <c r="K1122" i="2"/>
  <c r="K1137" i="2"/>
  <c r="K1355" i="2"/>
  <c r="K1221" i="2"/>
  <c r="K1005" i="2"/>
  <c r="K1013" i="2"/>
  <c r="K902" i="2"/>
  <c r="K1219" i="2"/>
  <c r="K1054" i="2"/>
  <c r="K951" i="2"/>
  <c r="K1216" i="2"/>
  <c r="K1336" i="2"/>
  <c r="K1178" i="2"/>
  <c r="K1303" i="2"/>
  <c r="K1971" i="2"/>
  <c r="K1337" i="2"/>
  <c r="K1313" i="2"/>
  <c r="K1311" i="2"/>
  <c r="K1110" i="2"/>
  <c r="K1060" i="2"/>
  <c r="K1990" i="2"/>
  <c r="K938" i="2"/>
  <c r="K1169" i="2"/>
  <c r="K966" i="2"/>
  <c r="K975" i="2"/>
  <c r="K1388" i="2"/>
  <c r="K2001" i="2"/>
  <c r="K1959" i="2"/>
  <c r="K1294" i="2"/>
  <c r="K1684" i="2"/>
  <c r="K1309" i="2"/>
  <c r="K1755" i="2"/>
  <c r="K943" i="2"/>
  <c r="K1997" i="2"/>
  <c r="K1748" i="2"/>
  <c r="K1038" i="2"/>
  <c r="K1750" i="2"/>
  <c r="K1156" i="2"/>
  <c r="K1031" i="2"/>
  <c r="K1626" i="2"/>
  <c r="K1754" i="2"/>
  <c r="K1147" i="2"/>
  <c r="K1151" i="2"/>
  <c r="K1372" i="2"/>
  <c r="K1373" i="2"/>
  <c r="K1374" i="2"/>
  <c r="K2000" i="2"/>
  <c r="K1711" i="2"/>
  <c r="K1383" i="2"/>
  <c r="K1384" i="2"/>
  <c r="K903" i="2"/>
  <c r="K1077" i="2"/>
  <c r="K1180" i="2"/>
  <c r="K914" i="2"/>
  <c r="K1939" i="2"/>
  <c r="K1310" i="2"/>
  <c r="K1958" i="2"/>
  <c r="K1961" i="2"/>
  <c r="K1299" i="2"/>
  <c r="K1963" i="2"/>
  <c r="K1970" i="2"/>
  <c r="K1302" i="2"/>
  <c r="K1293" i="2"/>
  <c r="K1935" i="2"/>
  <c r="K1683" i="2"/>
  <c r="K1308" i="2"/>
  <c r="K1115" i="2"/>
  <c r="K1649" i="2"/>
  <c r="K1688" i="2"/>
  <c r="K937" i="2"/>
  <c r="K1304" i="2"/>
  <c r="K1066" i="2"/>
  <c r="K1694" i="2"/>
  <c r="K1639" i="2"/>
  <c r="K915" i="2"/>
  <c r="K1037" i="2"/>
  <c r="K1671" i="2"/>
  <c r="K1632" i="2"/>
  <c r="K1030" i="2"/>
  <c r="K1146" i="2"/>
  <c r="K1654" i="2"/>
  <c r="K1657" i="2"/>
  <c r="K1756" i="2"/>
  <c r="K898" i="2"/>
  <c r="K1076" i="2"/>
  <c r="K1176" i="2"/>
  <c r="K913" i="2"/>
  <c r="K1301" i="2"/>
  <c r="K1298" i="2"/>
  <c r="K1292" i="2"/>
  <c r="K1058" i="2"/>
  <c r="K1687" i="2"/>
  <c r="K973" i="2"/>
  <c r="K936" i="2"/>
  <c r="K1114" i="2"/>
  <c r="K1101" i="2"/>
  <c r="K1637" i="2"/>
  <c r="K1720" i="2"/>
  <c r="K1693" i="2"/>
  <c r="K1107" i="2"/>
  <c r="K2004" i="2"/>
  <c r="K1036" i="2"/>
  <c r="K1670" i="2"/>
  <c r="K1631" i="2"/>
  <c r="K1624" i="2"/>
  <c r="K923" i="2"/>
  <c r="K1145" i="2"/>
  <c r="K1653" i="2"/>
  <c r="K1719" i="2"/>
  <c r="K1717" i="2"/>
  <c r="K1287" i="2"/>
  <c r="K1286" i="2"/>
  <c r="K991" i="2"/>
  <c r="K1225" i="2"/>
  <c r="K1661" i="2"/>
  <c r="K1930" i="2"/>
  <c r="K1211" i="2"/>
  <c r="K1709" i="2"/>
  <c r="K998" i="2"/>
  <c r="K1006" i="2"/>
  <c r="K1977" i="2"/>
  <c r="K1019" i="2"/>
  <c r="K1973" i="2"/>
  <c r="K1121" i="2"/>
  <c r="K1222" i="2"/>
  <c r="K1220" i="2"/>
  <c r="K1136" i="2"/>
  <c r="K1218" i="2"/>
  <c r="K950" i="2"/>
  <c r="K1215" i="2"/>
  <c r="K1004" i="2"/>
  <c r="K1231" i="2"/>
  <c r="K1623" i="2"/>
  <c r="K1712" i="2"/>
  <c r="K1198" i="2"/>
  <c r="K1236" i="2"/>
  <c r="K1185" i="2"/>
  <c r="K1239" i="2"/>
  <c r="K1080" i="2"/>
  <c r="K1981" i="2"/>
  <c r="K1982" i="2"/>
  <c r="K1947" i="2"/>
  <c r="K1716" i="2"/>
  <c r="K1246" i="2"/>
  <c r="K1256" i="2"/>
  <c r="K1261" i="2"/>
  <c r="K904" i="2"/>
  <c r="K1279" i="2"/>
  <c r="K1189" i="2"/>
  <c r="K1701" i="2"/>
  <c r="K1704" i="2"/>
  <c r="K1129" i="2"/>
  <c r="K990" i="2"/>
  <c r="K1127" i="2"/>
  <c r="K1976" i="2"/>
  <c r="K959" i="2"/>
  <c r="K1210" i="2"/>
  <c r="K1929" i="2"/>
  <c r="K1044" i="2"/>
  <c r="K1018" i="2"/>
  <c r="K1135" i="2"/>
  <c r="K1003" i="2"/>
  <c r="K1134" i="2"/>
  <c r="K900" i="2"/>
  <c r="K949" i="2"/>
  <c r="K1203" i="2"/>
  <c r="K1184" i="2"/>
  <c r="K892" i="2"/>
  <c r="K1662" i="2"/>
  <c r="K1936" i="2"/>
  <c r="K1128" i="2"/>
  <c r="K1660" i="2"/>
  <c r="K958" i="2"/>
  <c r="K1119" i="2"/>
  <c r="K899" i="2"/>
  <c r="K1700" i="2"/>
  <c r="K1087" i="2"/>
  <c r="K1012" i="2"/>
  <c r="K1196" i="2"/>
  <c r="K1197" i="2"/>
  <c r="K919" i="2"/>
  <c r="K1202" i="2"/>
  <c r="K1204" i="2"/>
  <c r="K955" i="2"/>
  <c r="K1079" i="2"/>
  <c r="K1093" i="2"/>
  <c r="K1205" i="2"/>
  <c r="K891" i="2"/>
  <c r="K1078" i="2"/>
  <c r="K1075" i="2"/>
  <c r="K1175" i="2"/>
  <c r="K1969" i="2"/>
  <c r="K1957" i="2"/>
  <c r="K932" i="2"/>
  <c r="K1182" i="2"/>
  <c r="K1934" i="2"/>
  <c r="K1681" i="2"/>
  <c r="K1645" i="2"/>
  <c r="K945" i="2"/>
  <c r="K1698" i="2"/>
  <c r="K941" i="2"/>
  <c r="K981" i="2"/>
  <c r="K964" i="2"/>
  <c r="K972" i="2"/>
  <c r="K1648" i="2"/>
  <c r="K1065" i="2"/>
  <c r="K1113" i="2"/>
  <c r="K1691" i="2"/>
  <c r="K1100" i="2"/>
  <c r="K1656" i="2"/>
  <c r="K984" i="2"/>
  <c r="K954" i="2"/>
  <c r="K1692" i="2"/>
  <c r="K1106" i="2"/>
  <c r="K1035" i="2"/>
  <c r="K1628" i="2"/>
  <c r="K1669" i="2"/>
  <c r="K1666" i="2"/>
  <c r="K1678" i="2"/>
  <c r="K1630" i="2"/>
  <c r="K1157" i="2"/>
  <c r="K1155" i="2"/>
  <c r="K920" i="2"/>
  <c r="K1150" i="2"/>
  <c r="K927" i="2"/>
  <c r="K1143" i="2"/>
  <c r="K1955" i="2"/>
  <c r="K931" i="2"/>
  <c r="K1074" i="2"/>
  <c r="K1174" i="2"/>
  <c r="K1391" i="2"/>
  <c r="K1179" i="2"/>
  <c r="K934" i="2"/>
  <c r="K1181" i="2"/>
  <c r="K1069" i="2"/>
  <c r="K1183" i="2"/>
  <c r="K1641" i="2"/>
  <c r="K1095" i="2"/>
  <c r="K1644" i="2"/>
  <c r="K1108" i="2"/>
  <c r="K1928" i="2"/>
  <c r="K918" i="2"/>
  <c r="K963" i="2"/>
  <c r="K940" i="2"/>
  <c r="K971" i="2"/>
  <c r="K910" i="2"/>
  <c r="K1064" i="2"/>
  <c r="K980" i="2"/>
  <c r="K1112" i="2"/>
  <c r="K1655" i="2"/>
  <c r="K1638" i="2"/>
  <c r="K953" i="2"/>
  <c r="K983" i="2"/>
  <c r="K944" i="2"/>
  <c r="K1105" i="2"/>
  <c r="K1034" i="2"/>
  <c r="K1665" i="2"/>
  <c r="K1622" i="2"/>
  <c r="K1668" i="2"/>
  <c r="K1667" i="2"/>
  <c r="K924" i="2"/>
  <c r="K922" i="2"/>
  <c r="K1926" i="2"/>
  <c r="K930" i="2"/>
  <c r="K1390" i="2"/>
  <c r="K933" i="2"/>
  <c r="K1933" i="2"/>
  <c r="K1640" i="2"/>
  <c r="K1068" i="2"/>
  <c r="K1643" i="2"/>
  <c r="K1055" i="2"/>
  <c r="K1646" i="2"/>
  <c r="K909" i="2"/>
  <c r="K935" i="2"/>
  <c r="K982" i="2"/>
  <c r="K1111" i="2"/>
  <c r="K1099" i="2"/>
  <c r="K952" i="2"/>
  <c r="K889" i="2"/>
  <c r="K1651" i="2"/>
  <c r="K1007" i="2"/>
  <c r="K1953" i="2"/>
  <c r="K1141" i="2"/>
  <c r="Q4069" i="1"/>
  <c r="Q4068" i="1"/>
  <c r="Q4065" i="1"/>
  <c r="Q4060" i="1"/>
  <c r="Q4059" i="1"/>
  <c r="Q4055" i="1"/>
  <c r="Q4054" i="1"/>
  <c r="Q4050" i="1"/>
  <c r="Q4049" i="1"/>
  <c r="Q4048" i="1"/>
  <c r="Q4047" i="1"/>
  <c r="Q4045" i="1"/>
  <c r="Q4044" i="1"/>
  <c r="Q4040" i="1"/>
  <c r="Q4039" i="1"/>
  <c r="Q4036" i="1"/>
  <c r="Q4034" i="1"/>
  <c r="Q4032" i="1"/>
  <c r="Q4030" i="1"/>
  <c r="Q4029" i="1"/>
  <c r="Q4026" i="1"/>
  <c r="Q4025" i="1"/>
  <c r="Q4024" i="1"/>
  <c r="Q4023" i="1"/>
  <c r="Q4022" i="1"/>
  <c r="Q4020" i="1"/>
  <c r="Q4016" i="1"/>
  <c r="Q4014" i="1"/>
  <c r="Q4013" i="1"/>
  <c r="Q4009" i="1"/>
  <c r="Q4008" i="1"/>
  <c r="Q4007" i="1"/>
  <c r="Q4006" i="1"/>
  <c r="Q4002" i="1"/>
  <c r="Q3999" i="1"/>
  <c r="Q3998" i="1"/>
  <c r="Q3996" i="1"/>
  <c r="Q3995" i="1"/>
  <c r="Q3992" i="1"/>
  <c r="Q3986" i="1"/>
  <c r="Q3985" i="1"/>
  <c r="Q3984" i="1"/>
  <c r="Q3981" i="1"/>
  <c r="Q3980" i="1"/>
  <c r="Q3977" i="1"/>
  <c r="Q3976" i="1"/>
  <c r="Q3973" i="1"/>
  <c r="Q3972" i="1"/>
  <c r="Q3968" i="1"/>
  <c r="Q3965" i="1"/>
  <c r="Q3964" i="1"/>
  <c r="Q3963" i="1"/>
  <c r="Q3962" i="1"/>
  <c r="Q3955" i="1"/>
  <c r="Q3954" i="1"/>
  <c r="Q3953" i="1"/>
  <c r="Q3950" i="1"/>
  <c r="Q3949" i="1"/>
  <c r="Q3945" i="1"/>
  <c r="Q3942" i="1"/>
  <c r="Q3941" i="1"/>
  <c r="Q3940" i="1"/>
  <c r="Q3939" i="1"/>
  <c r="Q3937" i="1"/>
  <c r="Q3934" i="1"/>
  <c r="Q3933" i="1"/>
  <c r="Q3927" i="1"/>
  <c r="Q3926" i="1"/>
  <c r="Q3925" i="1"/>
  <c r="Q3924" i="1"/>
  <c r="Q3920" i="1"/>
  <c r="Q3919" i="1"/>
  <c r="Q3915" i="1"/>
  <c r="Q3912" i="1"/>
  <c r="Q3910" i="1"/>
  <c r="Q3909" i="1"/>
  <c r="Q3908" i="1"/>
  <c r="Q3902" i="1"/>
  <c r="Q3901" i="1"/>
  <c r="Q3893" i="1"/>
  <c r="Q3891" i="1"/>
  <c r="Q3890" i="1"/>
  <c r="Q3887" i="1"/>
  <c r="Q3885" i="1"/>
  <c r="Q3884" i="1"/>
  <c r="Q3882" i="1"/>
  <c r="Q3881" i="1"/>
  <c r="Q3878" i="1"/>
  <c r="Q3877" i="1"/>
  <c r="Q3868" i="1"/>
  <c r="Q3864" i="1"/>
  <c r="Q3862" i="1"/>
  <c r="Q3860" i="1"/>
  <c r="Q3857" i="1"/>
  <c r="Q3856" i="1"/>
  <c r="Q3853" i="1"/>
  <c r="Q3844" i="1"/>
  <c r="Q3843" i="1"/>
  <c r="Q3838" i="1"/>
  <c r="Q3832" i="1"/>
  <c r="Q3821" i="1"/>
  <c r="Q3819" i="1"/>
  <c r="Q3817" i="1"/>
  <c r="Q3815" i="1"/>
  <c r="Q3811" i="1"/>
  <c r="Q3807" i="1"/>
  <c r="Q3805" i="1"/>
  <c r="Q3802" i="1"/>
  <c r="Q3800" i="1"/>
  <c r="Q3799" i="1"/>
  <c r="Q3798" i="1"/>
  <c r="Q3795" i="1"/>
  <c r="Q3794" i="1"/>
  <c r="Q3793" i="1"/>
  <c r="Q3792" i="1"/>
  <c r="Q3791" i="1"/>
  <c r="Q3790" i="1"/>
  <c r="Q3789" i="1"/>
  <c r="Q3787" i="1"/>
  <c r="Q3785" i="1"/>
  <c r="Q3784" i="1"/>
  <c r="Q3783" i="1"/>
  <c r="Q3780" i="1"/>
  <c r="Q3778" i="1"/>
  <c r="Q3775" i="1"/>
  <c r="Q3774" i="1"/>
  <c r="Q3773" i="1"/>
  <c r="Q3772" i="1"/>
  <c r="Q3771" i="1"/>
  <c r="Q3770" i="1"/>
  <c r="Q3769" i="1"/>
  <c r="Q3768" i="1"/>
  <c r="Q3755" i="1"/>
  <c r="Q3751" i="1"/>
  <c r="Q3748" i="1"/>
  <c r="Q3745" i="1"/>
  <c r="Q3744" i="1"/>
  <c r="Q3741" i="1"/>
  <c r="Q3740" i="1"/>
  <c r="Q3737" i="1"/>
  <c r="Q3730" i="1"/>
  <c r="Q3728" i="1"/>
  <c r="Q3726" i="1"/>
  <c r="Q3724" i="1"/>
  <c r="Q3720" i="1"/>
  <c r="Q3718" i="1"/>
  <c r="Q3715" i="1"/>
  <c r="Q3714" i="1"/>
  <c r="Q3712" i="1"/>
  <c r="Q3711" i="1"/>
  <c r="Q3710" i="1"/>
  <c r="Q3700" i="1"/>
  <c r="Q3695" i="1"/>
  <c r="Q3688" i="1"/>
  <c r="Q3685" i="1"/>
  <c r="Q3684" i="1"/>
  <c r="Q3682" i="1"/>
  <c r="Q3681" i="1"/>
  <c r="Q3675" i="1"/>
  <c r="Q3672" i="1"/>
  <c r="Q3670" i="1"/>
  <c r="Q3666" i="1"/>
  <c r="Q3665" i="1"/>
  <c r="Q3664" i="1"/>
  <c r="Q3661" i="1"/>
  <c r="Q3660" i="1"/>
  <c r="Q3658" i="1"/>
  <c r="Q3656" i="1"/>
  <c r="Q3654" i="1"/>
  <c r="Q3652" i="1"/>
  <c r="Q3650" i="1"/>
  <c r="Q3649" i="1"/>
  <c r="Q3648" i="1"/>
  <c r="Q3646" i="1"/>
  <c r="Q3645" i="1"/>
  <c r="Q3641" i="1"/>
  <c r="Q3640" i="1"/>
  <c r="Q3639" i="1"/>
  <c r="Q3635" i="1"/>
  <c r="Q3632" i="1"/>
  <c r="Q3630" i="1"/>
  <c r="Q3626" i="1"/>
  <c r="Q3621" i="1"/>
  <c r="Q3615" i="1"/>
  <c r="Q3614" i="1"/>
  <c r="Q3612" i="1"/>
  <c r="Q3611" i="1"/>
  <c r="Q3610" i="1"/>
  <c r="Q3609" i="1"/>
  <c r="Q3608" i="1"/>
  <c r="Q3607" i="1"/>
  <c r="Q3606" i="1"/>
  <c r="Q3604" i="1"/>
  <c r="Q3602" i="1"/>
  <c r="Q3601" i="1"/>
  <c r="Q3600" i="1"/>
  <c r="Q3599" i="1"/>
  <c r="Q3597" i="1"/>
  <c r="Q3595" i="1"/>
  <c r="Q3594" i="1"/>
  <c r="Q3590" i="1"/>
  <c r="Q3589" i="1"/>
  <c r="Q3587" i="1"/>
  <c r="Q3585" i="1"/>
  <c r="Q3584" i="1"/>
  <c r="Q3582" i="1"/>
  <c r="Q3581" i="1"/>
  <c r="Q3580" i="1"/>
  <c r="Q3579" i="1"/>
  <c r="Q3578" i="1"/>
  <c r="Q3577" i="1"/>
  <c r="Q3555" i="1"/>
  <c r="Q3553" i="1"/>
  <c r="Q3550" i="1"/>
  <c r="Q3548" i="1"/>
  <c r="Q3547" i="1"/>
  <c r="Q3546" i="1"/>
  <c r="Q3542" i="1"/>
  <c r="Q3541" i="1"/>
  <c r="Q3540" i="1"/>
  <c r="Q3538" i="1"/>
  <c r="Q3536" i="1"/>
  <c r="Q3534" i="1"/>
  <c r="Q3533" i="1"/>
  <c r="Q3530" i="1"/>
  <c r="Q3529" i="1"/>
  <c r="Q3528" i="1"/>
  <c r="Q3524" i="1"/>
  <c r="Q3522" i="1"/>
  <c r="Q3519" i="1"/>
  <c r="Q3518" i="1"/>
  <c r="Q3514" i="1"/>
  <c r="Q3511" i="1"/>
  <c r="Q3510" i="1"/>
  <c r="Q3509" i="1"/>
  <c r="Q3508" i="1"/>
  <c r="Q3506" i="1"/>
  <c r="Q3502" i="1"/>
  <c r="Q3490" i="1"/>
  <c r="Q3489" i="1"/>
  <c r="Q3485" i="1"/>
  <c r="Q3484" i="1"/>
  <c r="Q3483" i="1"/>
  <c r="Q3482" i="1"/>
  <c r="Q3481" i="1"/>
  <c r="Q3480" i="1"/>
  <c r="Q3479" i="1"/>
  <c r="Q3477" i="1"/>
  <c r="Q3476" i="1"/>
  <c r="Q3475" i="1"/>
  <c r="Q3474" i="1"/>
  <c r="Q3470" i="1"/>
  <c r="Q3469" i="1"/>
  <c r="Q3468" i="1"/>
  <c r="Q3467" i="1"/>
  <c r="Q3464" i="1"/>
  <c r="Q3462" i="1"/>
  <c r="Q3460" i="1"/>
  <c r="Q3459" i="1"/>
  <c r="Q3458" i="1"/>
  <c r="Q3457" i="1"/>
  <c r="Q3452" i="1"/>
  <c r="Q3447" i="1"/>
  <c r="Q3446" i="1"/>
  <c r="Q3442" i="1"/>
  <c r="Q3441" i="1"/>
  <c r="Q3440" i="1"/>
  <c r="Q3435" i="1"/>
  <c r="Q3434" i="1"/>
  <c r="Q3433" i="1"/>
  <c r="Q3432" i="1"/>
  <c r="Q3430" i="1"/>
  <c r="Q3427" i="1"/>
  <c r="Q3426" i="1"/>
  <c r="Q3425" i="1"/>
  <c r="Q3421" i="1"/>
  <c r="Q3420" i="1"/>
  <c r="Q3419" i="1"/>
  <c r="Q3417" i="1"/>
  <c r="Q3415" i="1"/>
  <c r="Q3414" i="1"/>
  <c r="Q3413" i="1"/>
  <c r="Q3412" i="1"/>
  <c r="Q3411" i="1"/>
  <c r="Q3410" i="1"/>
  <c r="Q3409" i="1"/>
  <c r="Q3408" i="1"/>
  <c r="Q3405" i="1"/>
  <c r="Q3403" i="1"/>
  <c r="Q3401" i="1"/>
  <c r="Q3398" i="1"/>
  <c r="Q3396" i="1"/>
  <c r="Q3395" i="1"/>
  <c r="Q3393" i="1"/>
  <c r="Q3392" i="1"/>
  <c r="Q3386" i="1"/>
  <c r="Q3385" i="1"/>
  <c r="Q3383" i="1"/>
  <c r="Q3382" i="1"/>
  <c r="Q3378" i="1"/>
  <c r="Q3372" i="1"/>
  <c r="Q3371" i="1"/>
  <c r="Q3368" i="1"/>
  <c r="Q3367" i="1"/>
  <c r="Q3366" i="1"/>
  <c r="Q3363" i="1"/>
  <c r="Q3361" i="1"/>
  <c r="Q3360" i="1"/>
  <c r="Q3356" i="1"/>
  <c r="Q3353" i="1"/>
  <c r="Q3352" i="1"/>
  <c r="Q3351" i="1"/>
  <c r="Q3350" i="1"/>
  <c r="Q3347" i="1"/>
  <c r="Q3346" i="1"/>
  <c r="Q3338" i="1"/>
  <c r="Q3336" i="1"/>
  <c r="Q3334" i="1"/>
  <c r="Q3333" i="1"/>
  <c r="Q3331" i="1"/>
  <c r="Q3329" i="1"/>
  <c r="Q3328" i="1"/>
  <c r="Q3327" i="1"/>
  <c r="Q3326" i="1"/>
  <c r="Q3323" i="1"/>
  <c r="Q3321" i="1"/>
  <c r="Q3315" i="1"/>
  <c r="Q3312" i="1"/>
  <c r="Q3311" i="1"/>
  <c r="Q3310" i="1"/>
  <c r="Q3308" i="1"/>
  <c r="Q3305" i="1"/>
  <c r="Q3304" i="1"/>
  <c r="Q3302" i="1"/>
  <c r="Q3301" i="1"/>
  <c r="Q3300" i="1"/>
  <c r="Q3299" i="1"/>
  <c r="Q3298" i="1"/>
  <c r="Q3297" i="1"/>
  <c r="Q3294" i="1"/>
  <c r="Q3289" i="1"/>
  <c r="Q3287" i="1"/>
  <c r="Q3286" i="1"/>
  <c r="Q3283" i="1"/>
  <c r="Q3282" i="1"/>
  <c r="Q3281" i="1"/>
  <c r="Q3279" i="1"/>
  <c r="Q3273" i="1"/>
  <c r="Q3268" i="1"/>
  <c r="Q3267" i="1"/>
  <c r="Q3265" i="1"/>
  <c r="Q3264" i="1"/>
  <c r="Q3261" i="1"/>
  <c r="Q3260" i="1"/>
  <c r="Q3258" i="1"/>
  <c r="Q3254" i="1"/>
  <c r="Q3253" i="1"/>
  <c r="Q3252" i="1"/>
  <c r="Q3249" i="1"/>
  <c r="Q3248" i="1"/>
  <c r="Q3247" i="1"/>
  <c r="Q3246" i="1"/>
  <c r="Q3245" i="1"/>
  <c r="Q3244" i="1"/>
  <c r="Q3243" i="1"/>
  <c r="Q3242" i="1"/>
  <c r="Q3241" i="1"/>
  <c r="Q3240" i="1"/>
  <c r="Q3236" i="1"/>
  <c r="Q3235" i="1"/>
  <c r="Q3233" i="1"/>
  <c r="Q3232" i="1"/>
  <c r="Q3231" i="1"/>
  <c r="Q3230" i="1"/>
  <c r="Q3229" i="1"/>
  <c r="Q3227" i="1"/>
  <c r="Q3226" i="1"/>
  <c r="Q3222" i="1"/>
  <c r="Q3220" i="1"/>
  <c r="Q3218" i="1"/>
  <c r="Q3217" i="1"/>
  <c r="Q3216" i="1"/>
  <c r="Q3214" i="1"/>
  <c r="Q3210" i="1"/>
  <c r="Q3209" i="1"/>
  <c r="Q3208" i="1"/>
  <c r="Q3205" i="1"/>
  <c r="Q3204" i="1"/>
  <c r="Q3202" i="1"/>
  <c r="Q3201" i="1"/>
  <c r="Q3195" i="1"/>
  <c r="Q3189" i="1"/>
  <c r="Q3188" i="1"/>
  <c r="Q3187" i="1"/>
  <c r="Q3185" i="1"/>
  <c r="Q3184" i="1"/>
  <c r="Q3182" i="1"/>
  <c r="Q3181" i="1"/>
  <c r="Q3180" i="1"/>
  <c r="Q3178" i="1"/>
  <c r="Q3176" i="1"/>
  <c r="Q3175" i="1"/>
  <c r="Q3174" i="1"/>
  <c r="Q3173" i="1"/>
  <c r="Q3172" i="1"/>
  <c r="Q3166" i="1"/>
  <c r="Q3162" i="1"/>
  <c r="Q3161" i="1"/>
  <c r="Q3157" i="1"/>
  <c r="Q3155" i="1"/>
  <c r="Q3150" i="1"/>
  <c r="Q3149" i="1"/>
  <c r="Q3144" i="1"/>
  <c r="Q3143" i="1"/>
  <c r="Q3142" i="1"/>
  <c r="Q3141" i="1"/>
  <c r="Q3140" i="1"/>
  <c r="Q3134" i="1"/>
  <c r="Q3133" i="1"/>
  <c r="Q3129" i="1"/>
  <c r="Q3128" i="1"/>
  <c r="Q3127" i="1"/>
  <c r="Q3125" i="1"/>
  <c r="Q3121" i="1"/>
  <c r="Q3112" i="1"/>
  <c r="Q3109" i="1"/>
  <c r="Q3100" i="1"/>
  <c r="Q3092" i="1"/>
  <c r="Q3091" i="1"/>
  <c r="Q3088" i="1"/>
  <c r="Q3087" i="1"/>
  <c r="Q3086" i="1"/>
  <c r="Q3085" i="1"/>
  <c r="Q3082" i="1"/>
  <c r="Q3081" i="1"/>
  <c r="Q3080" i="1"/>
  <c r="Q3079" i="1"/>
  <c r="Q3076" i="1"/>
  <c r="Q3074" i="1"/>
  <c r="Q3073" i="1"/>
  <c r="Q3072" i="1"/>
  <c r="Q3070" i="1"/>
  <c r="Q3069" i="1"/>
  <c r="Q3064" i="1"/>
  <c r="Q3063" i="1"/>
  <c r="Q3062" i="1"/>
  <c r="Q3059" i="1"/>
  <c r="Q3058" i="1"/>
  <c r="Q3057" i="1"/>
  <c r="Q3055" i="1"/>
  <c r="Q3054" i="1"/>
  <c r="Q3051" i="1"/>
  <c r="Q3050" i="1"/>
  <c r="Q3049" i="1"/>
  <c r="Q3046" i="1"/>
  <c r="Q3045" i="1"/>
  <c r="Q3042" i="1"/>
  <c r="Q3041" i="1"/>
  <c r="Q3040" i="1"/>
  <c r="Q3039" i="1"/>
  <c r="Q3038" i="1"/>
  <c r="Q3034" i="1"/>
  <c r="Q3030" i="1"/>
  <c r="Q3029" i="1"/>
  <c r="Q3026" i="1"/>
  <c r="Q3025" i="1"/>
  <c r="Q3024" i="1"/>
  <c r="Q3018" i="1"/>
  <c r="Q3017" i="1"/>
  <c r="Q3016" i="1"/>
  <c r="Q3012" i="1"/>
  <c r="Q3008" i="1"/>
  <c r="Q3004" i="1"/>
  <c r="Q3003" i="1"/>
  <c r="Q3001" i="1"/>
  <c r="Q3000" i="1"/>
  <c r="Q2996" i="1"/>
  <c r="Q2995" i="1"/>
  <c r="Q2992" i="1"/>
  <c r="Q2991" i="1"/>
  <c r="Q2990" i="1"/>
  <c r="Q2987" i="1"/>
  <c r="Q2986" i="1"/>
  <c r="Q2980" i="1"/>
  <c r="Q2979" i="1"/>
  <c r="Q2977" i="1"/>
  <c r="Q2976" i="1"/>
  <c r="Q2975" i="1"/>
  <c r="Q2973" i="1"/>
  <c r="Q2967" i="1"/>
  <c r="Q2965" i="1"/>
  <c r="Q2962" i="1"/>
  <c r="Q2960" i="1"/>
  <c r="Q2955" i="1"/>
  <c r="Q2953" i="1"/>
  <c r="Q2951" i="1"/>
  <c r="Q2948" i="1"/>
  <c r="Q2945" i="1"/>
  <c r="Q2944" i="1"/>
  <c r="Q2932" i="1"/>
  <c r="Q2920" i="1"/>
  <c r="Q2919" i="1"/>
  <c r="Q2918" i="1"/>
  <c r="Q2916" i="1"/>
  <c r="Q2915" i="1"/>
  <c r="Q2914" i="1"/>
  <c r="Q2909" i="1"/>
  <c r="Q2906" i="1"/>
  <c r="Q2905" i="1"/>
  <c r="Q2904" i="1"/>
  <c r="Q2903" i="1"/>
  <c r="Q2902" i="1"/>
  <c r="Q2901" i="1"/>
  <c r="Q2900" i="1"/>
  <c r="Q2899" i="1"/>
  <c r="Q2896" i="1"/>
  <c r="Q2894" i="1"/>
  <c r="Q2892" i="1"/>
  <c r="Q2891" i="1"/>
  <c r="Q2890" i="1"/>
  <c r="Q2889" i="1"/>
  <c r="Q2887" i="1"/>
  <c r="Q2886" i="1"/>
  <c r="Q2880" i="1"/>
  <c r="Q2879" i="1"/>
  <c r="Q2872" i="1"/>
  <c r="Q2869" i="1"/>
  <c r="Q2868" i="1"/>
  <c r="Q2867" i="1"/>
  <c r="Q2866" i="1"/>
  <c r="Q2865" i="1"/>
  <c r="Q2864" i="1"/>
  <c r="Q2861" i="1"/>
  <c r="Q2859" i="1"/>
  <c r="Q2858" i="1"/>
  <c r="Q2857" i="1"/>
  <c r="Q2856" i="1"/>
  <c r="Q2855" i="1"/>
  <c r="Q2854" i="1"/>
  <c r="Q2853" i="1"/>
  <c r="Q2852" i="1"/>
  <c r="Q2849" i="1"/>
  <c r="Q2848" i="1"/>
  <c r="Q2847" i="1"/>
  <c r="Q2844" i="1"/>
  <c r="Q2841" i="1"/>
  <c r="Q2839" i="1"/>
  <c r="Q2838" i="1"/>
  <c r="Q2837" i="1"/>
  <c r="Q2836" i="1"/>
  <c r="Q2835" i="1"/>
  <c r="Q2834" i="1"/>
  <c r="Q2833" i="1"/>
  <c r="Q2832" i="1"/>
  <c r="Q2830" i="1"/>
  <c r="Q2829" i="1"/>
  <c r="Q2827" i="1"/>
  <c r="Q2826" i="1"/>
  <c r="Q2824" i="1"/>
  <c r="Q2823" i="1"/>
  <c r="Q2822" i="1"/>
  <c r="Q2821" i="1"/>
  <c r="Q2820" i="1"/>
  <c r="Q2818" i="1"/>
  <c r="Q2817" i="1"/>
  <c r="Q2816" i="1"/>
  <c r="Q2812" i="1"/>
  <c r="Q2811" i="1"/>
  <c r="Q2810" i="1"/>
  <c r="Q2809" i="1"/>
  <c r="Q2808" i="1"/>
  <c r="Q2806" i="1"/>
  <c r="Q2805" i="1"/>
  <c r="Q2804" i="1"/>
  <c r="Q2802" i="1"/>
  <c r="Q2801" i="1"/>
  <c r="Q2800" i="1"/>
  <c r="Q2799" i="1"/>
  <c r="Q2797" i="1"/>
  <c r="Q2796" i="1"/>
  <c r="Q2795" i="1"/>
  <c r="Q2794" i="1"/>
  <c r="Q2792" i="1"/>
  <c r="Q2791" i="1"/>
  <c r="Q2789" i="1"/>
  <c r="Q2788" i="1"/>
  <c r="Q2787" i="1"/>
  <c r="Q2782" i="1"/>
  <c r="Q2781" i="1"/>
  <c r="Q2779" i="1"/>
  <c r="Q2778" i="1"/>
  <c r="Q2777" i="1"/>
  <c r="Q2776" i="1"/>
  <c r="Q2772" i="1"/>
  <c r="Q2769" i="1"/>
  <c r="Q2768" i="1"/>
  <c r="Q2766" i="1"/>
  <c r="Q2765" i="1"/>
  <c r="Q2764" i="1"/>
  <c r="Q2763" i="1"/>
  <c r="Q2761" i="1"/>
  <c r="Q2759" i="1"/>
  <c r="Q2758" i="1"/>
  <c r="Q2757" i="1"/>
  <c r="Q2754" i="1"/>
  <c r="Q2753" i="1"/>
  <c r="Q2752" i="1"/>
  <c r="Q2751" i="1"/>
  <c r="Q2749" i="1"/>
  <c r="Q2748" i="1"/>
  <c r="Q2746" i="1"/>
  <c r="Q2745" i="1"/>
  <c r="Q2744" i="1"/>
  <c r="Q2742" i="1"/>
  <c r="Q2741" i="1"/>
  <c r="Q2738" i="1"/>
  <c r="Q2737" i="1"/>
  <c r="Q2736" i="1"/>
  <c r="Q2735" i="1"/>
  <c r="Q2732" i="1"/>
  <c r="Q2731" i="1"/>
  <c r="Q2729" i="1"/>
  <c r="Q2728" i="1"/>
  <c r="Q2727" i="1"/>
  <c r="Q2726" i="1"/>
  <c r="Q2725" i="1"/>
  <c r="Q2724" i="1"/>
  <c r="Q2723" i="1"/>
  <c r="Q2722" i="1"/>
  <c r="Q2717" i="1"/>
  <c r="Q2703" i="1"/>
  <c r="Q2702" i="1"/>
  <c r="Q2699" i="1"/>
  <c r="Q2696" i="1"/>
  <c r="Q2695" i="1"/>
  <c r="Q2692" i="1"/>
  <c r="Q2691" i="1"/>
  <c r="Q2690" i="1"/>
  <c r="Q2689" i="1"/>
  <c r="Q2685" i="1"/>
  <c r="Q2684" i="1"/>
  <c r="Q2683" i="1"/>
  <c r="Q2679" i="1"/>
  <c r="Q2678" i="1"/>
  <c r="Q2677" i="1"/>
  <c r="Q2676" i="1"/>
  <c r="Q2675" i="1"/>
  <c r="Q2673" i="1"/>
  <c r="Q2672" i="1"/>
  <c r="Q2671" i="1"/>
  <c r="Q2668" i="1"/>
  <c r="Q2666" i="1"/>
  <c r="Q2664" i="1"/>
  <c r="Q2661" i="1"/>
  <c r="Q2658" i="1"/>
  <c r="Q2657" i="1"/>
  <c r="Q2656" i="1"/>
  <c r="Q2654" i="1"/>
  <c r="Q2653" i="1"/>
  <c r="Q2652" i="1"/>
  <c r="Q2649" i="1"/>
  <c r="Q2648" i="1"/>
  <c r="Q2644" i="1"/>
  <c r="Q2643" i="1"/>
  <c r="Q2640" i="1"/>
  <c r="Q2636" i="1"/>
  <c r="Q2635" i="1"/>
  <c r="Q2634" i="1"/>
  <c r="Q2633" i="1"/>
  <c r="Q2632" i="1"/>
  <c r="Q2631" i="1"/>
  <c r="Q2630" i="1"/>
  <c r="Q2629" i="1"/>
  <c r="Q2627" i="1"/>
  <c r="Q2626" i="1"/>
  <c r="Q2625" i="1"/>
  <c r="Q2624" i="1"/>
  <c r="Q2623" i="1"/>
  <c r="Q2622" i="1"/>
  <c r="Q2621" i="1"/>
  <c r="Q2618" i="1"/>
  <c r="Q2617" i="1"/>
  <c r="Q2616" i="1"/>
  <c r="Q2615" i="1"/>
  <c r="Q2614" i="1"/>
  <c r="Q2609" i="1"/>
  <c r="Q2608" i="1"/>
  <c r="Q2607" i="1"/>
  <c r="Q2606" i="1"/>
  <c r="Q2603" i="1"/>
  <c r="Q2602" i="1"/>
  <c r="Q2601" i="1"/>
  <c r="Q2600" i="1"/>
  <c r="Q2599" i="1"/>
  <c r="Q2597" i="1"/>
  <c r="Q2596" i="1"/>
  <c r="Q2594" i="1"/>
  <c r="Q2591" i="1"/>
  <c r="Q2590" i="1"/>
  <c r="Q2587" i="1"/>
  <c r="Q2586" i="1"/>
  <c r="Q2580" i="1"/>
  <c r="Q2579" i="1"/>
  <c r="Q2578" i="1"/>
  <c r="Q2577" i="1"/>
  <c r="Q2576" i="1"/>
  <c r="Q2575" i="1"/>
  <c r="Q2570" i="1"/>
  <c r="Q2564" i="1"/>
  <c r="Q2560" i="1"/>
  <c r="Q2558" i="1"/>
  <c r="Q2556" i="1"/>
  <c r="Q2555" i="1"/>
  <c r="Q2553" i="1"/>
  <c r="Q2549" i="1"/>
  <c r="Q2548" i="1"/>
  <c r="Q2546" i="1"/>
  <c r="Q2545" i="1"/>
  <c r="Q2543" i="1"/>
  <c r="Q2541" i="1"/>
  <c r="Q2540" i="1"/>
  <c r="Q2539" i="1"/>
  <c r="Q2519" i="1"/>
  <c r="Q2518" i="1"/>
  <c r="Q2516" i="1"/>
  <c r="Q2510" i="1"/>
  <c r="Q2509" i="1"/>
  <c r="Q2508" i="1"/>
  <c r="Q2507" i="1"/>
  <c r="Q2506" i="1"/>
  <c r="Q2503" i="1"/>
  <c r="Q2502" i="1"/>
  <c r="Q2501" i="1"/>
  <c r="Q2500" i="1"/>
  <c r="Q2499" i="1"/>
  <c r="Q2498" i="1"/>
  <c r="Q2497" i="1"/>
  <c r="Q2494" i="1"/>
  <c r="Q2492" i="1"/>
  <c r="Q2491" i="1"/>
  <c r="Q2490" i="1"/>
  <c r="Q2489" i="1"/>
  <c r="Q2486" i="1"/>
  <c r="Q2482" i="1"/>
  <c r="Q2480" i="1"/>
  <c r="Q2479" i="1"/>
  <c r="Q2478" i="1"/>
  <c r="Q2477" i="1"/>
  <c r="Q2476" i="1"/>
  <c r="Q2475" i="1"/>
  <c r="Q2474" i="1"/>
  <c r="Q2470" i="1"/>
  <c r="Q2468" i="1"/>
  <c r="Q2462" i="1"/>
  <c r="Q2459" i="1"/>
  <c r="Q2457" i="1"/>
  <c r="Q2452" i="1"/>
  <c r="Q2448" i="1"/>
  <c r="Q2444" i="1"/>
  <c r="Q2443" i="1"/>
  <c r="Q2442" i="1"/>
  <c r="Q2440" i="1"/>
  <c r="Q2439" i="1"/>
  <c r="Q2436" i="1"/>
  <c r="Q2434" i="1"/>
  <c r="Q2430" i="1"/>
  <c r="Q2427" i="1"/>
  <c r="Q2426" i="1"/>
  <c r="Q2425" i="1"/>
  <c r="Q2424" i="1"/>
  <c r="Q2423" i="1"/>
  <c r="Q2422" i="1"/>
  <c r="Q2421" i="1"/>
  <c r="Q2419" i="1"/>
  <c r="Q2416" i="1"/>
  <c r="Q2415" i="1"/>
  <c r="Q2411" i="1"/>
  <c r="Q2409" i="1"/>
  <c r="Q2408" i="1"/>
  <c r="Q2406" i="1"/>
  <c r="Q2405" i="1"/>
  <c r="Q2398" i="1"/>
  <c r="Q2397" i="1"/>
  <c r="Q2395" i="1"/>
  <c r="Q2394" i="1"/>
  <c r="Q2393" i="1"/>
  <c r="Q2392" i="1"/>
  <c r="Q2388" i="1"/>
  <c r="Q2387" i="1"/>
  <c r="Q2384" i="1"/>
  <c r="Q2383" i="1"/>
  <c r="Q2381" i="1"/>
  <c r="Q2377" i="1"/>
  <c r="Q2376" i="1"/>
  <c r="Q2375" i="1"/>
  <c r="Q2374" i="1"/>
  <c r="Q2371" i="1"/>
  <c r="Q2370" i="1"/>
  <c r="Q2369" i="1"/>
  <c r="Q2368" i="1"/>
  <c r="Q2367" i="1"/>
  <c r="Q2366" i="1"/>
  <c r="Q2365" i="1"/>
  <c r="Q2364" i="1"/>
  <c r="Q2360" i="1"/>
  <c r="Q2358" i="1"/>
  <c r="Q2357" i="1"/>
  <c r="Q2353" i="1"/>
  <c r="Q2352" i="1"/>
  <c r="Q2351" i="1"/>
  <c r="Q2350" i="1"/>
  <c r="Q2349" i="1"/>
  <c r="Q2348" i="1"/>
  <c r="Q2347" i="1"/>
  <c r="Q2346" i="1"/>
  <c r="Q2345" i="1"/>
  <c r="Q2339" i="1"/>
  <c r="Q2338" i="1"/>
  <c r="Q2336" i="1"/>
  <c r="Q2331" i="1"/>
  <c r="Q2326" i="1"/>
  <c r="Q2324" i="1"/>
  <c r="Q2323" i="1"/>
  <c r="Q2320" i="1"/>
  <c r="Q2316" i="1"/>
  <c r="Q2314" i="1"/>
  <c r="Q2313" i="1"/>
  <c r="Q2310" i="1"/>
  <c r="Q2307" i="1"/>
  <c r="Q2305" i="1"/>
  <c r="Q2301" i="1"/>
  <c r="Q2300" i="1"/>
  <c r="Q2297" i="1"/>
  <c r="Q2294" i="1"/>
  <c r="Q2293" i="1"/>
  <c r="Q2284" i="1"/>
  <c r="Q2281" i="1"/>
  <c r="Q2280" i="1"/>
  <c r="Q2279" i="1"/>
  <c r="Q2278" i="1"/>
  <c r="Q2277" i="1"/>
  <c r="Q2275" i="1"/>
  <c r="Q2272" i="1"/>
  <c r="Q2266" i="1"/>
  <c r="Q2259" i="1"/>
  <c r="Q2256" i="1"/>
  <c r="Q2252" i="1"/>
  <c r="Q2251" i="1"/>
  <c r="Q2248" i="1"/>
  <c r="Q2247" i="1"/>
  <c r="Q2245" i="1"/>
  <c r="Q2244" i="1"/>
  <c r="Q2243" i="1"/>
  <c r="Q2242" i="1"/>
  <c r="Q2241" i="1"/>
  <c r="Q2240" i="1"/>
  <c r="Q2239" i="1"/>
  <c r="Q2238" i="1"/>
  <c r="Q2237" i="1"/>
  <c r="Q2235" i="1"/>
  <c r="Q2234" i="1"/>
  <c r="Q2232" i="1"/>
  <c r="Q2230" i="1"/>
  <c r="Q2226" i="1"/>
  <c r="Q2223" i="1"/>
  <c r="Q2219" i="1"/>
  <c r="Q2217" i="1"/>
  <c r="Q2216" i="1"/>
  <c r="Q2208" i="1"/>
  <c r="Q2205" i="1"/>
  <c r="Q2200" i="1"/>
  <c r="Q2199" i="1"/>
  <c r="Q2196" i="1"/>
  <c r="Q2193" i="1"/>
  <c r="Q2186" i="1"/>
  <c r="Q2182" i="1"/>
  <c r="Q2180" i="1"/>
  <c r="Q2176" i="1"/>
  <c r="Q2175" i="1"/>
  <c r="Q2172" i="1"/>
  <c r="Q2169" i="1"/>
  <c r="Q2163" i="1"/>
  <c r="Q2160" i="1"/>
  <c r="Q2148" i="1"/>
  <c r="Q2144" i="1"/>
  <c r="Q2143" i="1"/>
  <c r="Q2142" i="1"/>
  <c r="Q2140" i="1"/>
  <c r="Q2130" i="1"/>
  <c r="Q2128" i="1"/>
  <c r="Q2127" i="1"/>
  <c r="Q2122" i="1"/>
  <c r="Q2116" i="1"/>
  <c r="Q2112" i="1"/>
  <c r="Q2103" i="1"/>
  <c r="Q2099" i="1"/>
  <c r="Q2091" i="1"/>
  <c r="Q2089" i="1"/>
  <c r="Q2081" i="1"/>
  <c r="Q2079" i="1"/>
  <c r="Q2077" i="1"/>
  <c r="Q2076" i="1"/>
  <c r="Q2073" i="1"/>
  <c r="Q2067" i="1"/>
  <c r="Q2062" i="1"/>
  <c r="Q2056" i="1"/>
  <c r="Q2054" i="1"/>
  <c r="Q2050" i="1"/>
  <c r="Q2049" i="1"/>
  <c r="Q2048" i="1"/>
  <c r="Q2037" i="1"/>
  <c r="Q2036" i="1"/>
  <c r="Q2026" i="1"/>
  <c r="Q2007" i="1"/>
  <c r="Q2003" i="1"/>
  <c r="Q2001" i="1"/>
  <c r="Q2000" i="1"/>
  <c r="Q1999" i="1"/>
  <c r="Q1997" i="1"/>
  <c r="Q1992" i="1"/>
  <c r="Q1984" i="1"/>
  <c r="Q1983" i="1"/>
  <c r="Q1980" i="1"/>
  <c r="Q1977" i="1"/>
  <c r="Q1976" i="1"/>
  <c r="Q1974" i="1"/>
  <c r="Q1973" i="1"/>
  <c r="Q1972" i="1"/>
  <c r="Q1970" i="1"/>
  <c r="Q1969" i="1"/>
  <c r="Q1968" i="1"/>
  <c r="Q1967" i="1"/>
  <c r="Q1965" i="1"/>
  <c r="Q1963" i="1"/>
  <c r="Q1961" i="1"/>
  <c r="Q1957" i="1"/>
  <c r="Q1956" i="1"/>
  <c r="Q1954" i="1"/>
  <c r="Q1951" i="1"/>
  <c r="Q1950" i="1"/>
  <c r="Q1949" i="1"/>
  <c r="Q1946" i="1"/>
  <c r="Q1935" i="1"/>
  <c r="Q1930" i="1"/>
  <c r="Q1929" i="1"/>
  <c r="Q1922" i="1"/>
  <c r="Q1921" i="1"/>
  <c r="Q1920" i="1"/>
  <c r="Q1916" i="1"/>
  <c r="Q1915" i="1"/>
  <c r="Q1914" i="1"/>
  <c r="Q1913" i="1"/>
  <c r="Q1912" i="1"/>
  <c r="Q1911" i="1"/>
  <c r="Q1909" i="1"/>
  <c r="Q1906" i="1"/>
  <c r="Q1904" i="1"/>
  <c r="Q1898" i="1"/>
  <c r="Q1896" i="1"/>
  <c r="Q1894" i="1"/>
  <c r="Q1892" i="1"/>
  <c r="Q1880" i="1"/>
  <c r="Q1879" i="1"/>
  <c r="Q1877" i="1"/>
  <c r="Q1873" i="1"/>
  <c r="Q1871" i="1"/>
  <c r="Q1870" i="1"/>
  <c r="Q1868" i="1"/>
  <c r="Q1867" i="1"/>
  <c r="Q1865" i="1"/>
  <c r="Q1863" i="1"/>
  <c r="Q1862" i="1"/>
  <c r="Q1855" i="1"/>
  <c r="Q1852" i="1"/>
  <c r="Q1850" i="1"/>
  <c r="Q1848" i="1"/>
  <c r="Q1845" i="1"/>
  <c r="Q1825" i="1"/>
  <c r="Q1821" i="1"/>
  <c r="Q1784" i="1"/>
  <c r="Q1770" i="1"/>
  <c r="Q1769" i="1"/>
  <c r="Q1768" i="1"/>
  <c r="Q1763" i="1"/>
  <c r="Q1752" i="1"/>
  <c r="Q1749" i="1"/>
  <c r="Q1748" i="1"/>
  <c r="Q1729" i="1"/>
  <c r="Q1724" i="1"/>
  <c r="Q1723" i="1"/>
  <c r="Q1717" i="1"/>
  <c r="Q1715" i="1"/>
  <c r="Q1709" i="1"/>
  <c r="Q1708" i="1"/>
  <c r="Q1707" i="1"/>
  <c r="Q1706" i="1"/>
  <c r="Q1702" i="1"/>
  <c r="Q1699" i="1"/>
  <c r="Q1697" i="1"/>
  <c r="Q1695" i="1"/>
  <c r="Q1688" i="1"/>
  <c r="Q1680" i="1"/>
  <c r="Q1679" i="1"/>
  <c r="Q1678" i="1"/>
  <c r="Q1677" i="1"/>
  <c r="Q1676" i="1"/>
  <c r="Q1669" i="1"/>
  <c r="Q1666" i="1"/>
  <c r="Q1663" i="1"/>
  <c r="Q1659" i="1"/>
  <c r="Q1657" i="1"/>
  <c r="Q1656" i="1"/>
  <c r="Q1652" i="1"/>
  <c r="Q1651" i="1"/>
  <c r="Q1650" i="1"/>
  <c r="Q1648" i="1"/>
  <c r="Q1647" i="1"/>
  <c r="Q1641" i="1"/>
  <c r="Q1639" i="1"/>
  <c r="Q1635" i="1"/>
  <c r="Q1630" i="1"/>
  <c r="Q1628" i="1"/>
  <c r="Q1626" i="1"/>
  <c r="Q1624" i="1"/>
  <c r="Q1623" i="1"/>
  <c r="Q1620" i="1"/>
  <c r="Q1619" i="1"/>
  <c r="Q1617" i="1"/>
  <c r="Q1616" i="1"/>
  <c r="Q1615" i="1"/>
  <c r="Q1612" i="1"/>
  <c r="Q1610" i="1"/>
  <c r="Q1609" i="1"/>
  <c r="Q1608" i="1"/>
  <c r="Q1605" i="1"/>
  <c r="Q1604" i="1"/>
  <c r="Q1602" i="1"/>
  <c r="Q1595" i="1"/>
  <c r="Q1591" i="1"/>
  <c r="Q1589" i="1"/>
  <c r="Q1588" i="1"/>
  <c r="Q1583" i="1"/>
  <c r="Q1577" i="1"/>
  <c r="Q1575" i="1"/>
  <c r="Q1574" i="1"/>
  <c r="Q1573" i="1"/>
  <c r="Q1571" i="1"/>
  <c r="Q1569" i="1"/>
  <c r="Q1564" i="1"/>
  <c r="Q1554" i="1"/>
  <c r="Q1549" i="1"/>
  <c r="Q1548" i="1"/>
  <c r="Q1547" i="1"/>
  <c r="Q1545" i="1"/>
  <c r="Q1544" i="1"/>
  <c r="Q1542" i="1"/>
  <c r="Q1541" i="1"/>
  <c r="Q1540" i="1"/>
  <c r="Q1539" i="1"/>
  <c r="Q1537" i="1"/>
  <c r="Q1535" i="1"/>
  <c r="Q1529" i="1"/>
  <c r="Q1526" i="1"/>
  <c r="Q1525" i="1"/>
  <c r="Q1521" i="1"/>
  <c r="Q1520" i="1"/>
  <c r="Q1519" i="1"/>
  <c r="Q1517" i="1"/>
  <c r="Q1513" i="1"/>
  <c r="Q1511" i="1"/>
  <c r="Q1509" i="1"/>
  <c r="Q1507" i="1"/>
  <c r="Q1506" i="1"/>
  <c r="Q1505" i="1"/>
  <c r="Q1504" i="1"/>
  <c r="Q1502" i="1"/>
  <c r="Q1501" i="1"/>
  <c r="Q1500" i="1"/>
  <c r="Q1495" i="1"/>
  <c r="Q1494" i="1"/>
  <c r="Q1489" i="1"/>
  <c r="Q1488" i="1"/>
  <c r="Q1487" i="1"/>
  <c r="Q1484" i="1"/>
  <c r="Q1481" i="1"/>
  <c r="Q1479" i="1"/>
  <c r="Q1476" i="1"/>
  <c r="Q1474" i="1"/>
  <c r="Q1473" i="1"/>
  <c r="Q1471" i="1"/>
  <c r="Q1470" i="1"/>
  <c r="Q1465" i="1"/>
  <c r="Q1459" i="1"/>
  <c r="Q1455" i="1"/>
  <c r="Q1454" i="1"/>
  <c r="Q1446" i="1"/>
  <c r="Q1442" i="1"/>
  <c r="Q1440" i="1"/>
  <c r="Q1437" i="1"/>
  <c r="Q1432" i="1"/>
  <c r="Q1429" i="1"/>
  <c r="Q1428" i="1"/>
  <c r="Q1421" i="1"/>
  <c r="Q1420" i="1"/>
  <c r="Q1417" i="1"/>
  <c r="Q1415" i="1"/>
  <c r="Q1412" i="1"/>
  <c r="Q1405" i="1"/>
  <c r="Q1403" i="1"/>
  <c r="Q1402" i="1"/>
  <c r="Q1400" i="1"/>
  <c r="Q1399" i="1"/>
  <c r="Q1397" i="1"/>
  <c r="Q1393" i="1"/>
  <c r="Q1391" i="1"/>
  <c r="Q1389" i="1"/>
  <c r="Q1382" i="1"/>
  <c r="Q1381" i="1"/>
  <c r="Q1378" i="1"/>
  <c r="Q1356" i="1"/>
  <c r="Q1353" i="1"/>
  <c r="Q1351" i="1"/>
  <c r="Q1347" i="1"/>
  <c r="Q1335" i="1"/>
  <c r="Q1330" i="1"/>
  <c r="Q1318" i="1"/>
  <c r="Q1308" i="1"/>
  <c r="Q1307" i="1"/>
  <c r="Q1306" i="1"/>
  <c r="Q1304" i="1"/>
  <c r="Q1302" i="1"/>
  <c r="Q1300" i="1"/>
  <c r="Q1296" i="1"/>
  <c r="Q1294" i="1"/>
  <c r="Q1286" i="1"/>
  <c r="Q1284" i="1"/>
  <c r="T1283" i="1"/>
  <c r="Q1283" i="1"/>
  <c r="Q1281" i="1"/>
  <c r="Q1274" i="1"/>
  <c r="Q1263" i="1"/>
  <c r="Q1251" i="1"/>
  <c r="Q1239" i="1"/>
  <c r="Q1236" i="1"/>
  <c r="Q1223" i="1"/>
  <c r="Q1220" i="1"/>
  <c r="Q1219" i="1"/>
  <c r="Q1216" i="1"/>
  <c r="Q1215" i="1"/>
  <c r="Q1214" i="1"/>
  <c r="Q1213" i="1"/>
  <c r="Q1212" i="1"/>
  <c r="Q1210" i="1"/>
  <c r="Q1208" i="1"/>
  <c r="Q1207" i="1"/>
  <c r="Q1204" i="1"/>
  <c r="Q1202" i="1"/>
  <c r="Q1201" i="1"/>
  <c r="Q1200" i="1"/>
  <c r="Q1196" i="1"/>
  <c r="Q1192" i="1"/>
  <c r="Q1191" i="1"/>
  <c r="Q1190" i="1"/>
  <c r="Q1185" i="1"/>
  <c r="Q1184" i="1"/>
  <c r="Q1183" i="1"/>
  <c r="Q1181" i="1"/>
  <c r="Q1180" i="1"/>
  <c r="Q1178" i="1"/>
  <c r="Q1173" i="1"/>
  <c r="Q1172" i="1"/>
  <c r="Q1169" i="1"/>
  <c r="Q1163" i="1"/>
  <c r="Q1161" i="1"/>
  <c r="Q1159" i="1"/>
  <c r="Q1157" i="1"/>
  <c r="Q1153" i="1"/>
  <c r="Q1152" i="1"/>
  <c r="Q1151" i="1"/>
  <c r="Q1149" i="1"/>
  <c r="Q1126" i="1"/>
  <c r="Q1121" i="1"/>
  <c r="T1118" i="1"/>
  <c r="Q1118" i="1"/>
  <c r="Q1114" i="1"/>
  <c r="Q1111" i="1"/>
  <c r="Q1110" i="1"/>
  <c r="Q1109" i="1"/>
  <c r="Q1104" i="1"/>
  <c r="Q1103" i="1"/>
  <c r="Q1101" i="1"/>
  <c r="Q1100" i="1"/>
  <c r="Q1086" i="1"/>
  <c r="Q1085" i="1"/>
  <c r="Q1082" i="1"/>
  <c r="Q1080" i="1"/>
  <c r="Q1078" i="1"/>
  <c r="Q1077" i="1"/>
  <c r="Q1074" i="1"/>
  <c r="Q1072" i="1"/>
  <c r="Q1067" i="1"/>
  <c r="Q1066" i="1"/>
  <c r="Q1062" i="1"/>
  <c r="Q1060" i="1"/>
  <c r="Q1059" i="1"/>
  <c r="Q1057" i="1"/>
  <c r="Q1055" i="1"/>
  <c r="Q1047" i="1"/>
  <c r="Q1044" i="1"/>
  <c r="Q1043" i="1"/>
  <c r="Q1042" i="1"/>
  <c r="Q1041" i="1"/>
  <c r="Q1039" i="1"/>
  <c r="Q1037" i="1"/>
  <c r="Q1035" i="1"/>
  <c r="Q1034" i="1"/>
  <c r="Q1033" i="1"/>
  <c r="Q1030" i="1"/>
  <c r="Q1029" i="1"/>
  <c r="Q1027" i="1"/>
  <c r="Q1026" i="1"/>
  <c r="Q1025" i="1"/>
  <c r="Q1020" i="1"/>
  <c r="Q1018" i="1"/>
  <c r="Q1017" i="1"/>
  <c r="Q1016" i="1"/>
  <c r="Q1015" i="1"/>
  <c r="Q1014" i="1"/>
  <c r="Q1013" i="1"/>
  <c r="Q1010" i="1"/>
  <c r="Q1008" i="1"/>
  <c r="Q1006" i="1"/>
  <c r="Q1005" i="1"/>
  <c r="Q1002" i="1"/>
  <c r="Q1001" i="1"/>
  <c r="Q999" i="1"/>
  <c r="Q994" i="1"/>
  <c r="Q993" i="1"/>
  <c r="Q992" i="1"/>
  <c r="Q991" i="1"/>
  <c r="Q990" i="1"/>
  <c r="Q988" i="1"/>
  <c r="Q987" i="1"/>
  <c r="Q986" i="1"/>
  <c r="Q985" i="1"/>
  <c r="Q979" i="1"/>
  <c r="Q978" i="1"/>
  <c r="Q977" i="1"/>
  <c r="Q973" i="1"/>
  <c r="Q972" i="1"/>
  <c r="Q970" i="1"/>
  <c r="Q968" i="1"/>
  <c r="Q964" i="1"/>
  <c r="Q961" i="1"/>
  <c r="Q958" i="1"/>
  <c r="Q957" i="1"/>
  <c r="Q954" i="1"/>
  <c r="Q951" i="1"/>
  <c r="Q947" i="1"/>
  <c r="Q946" i="1"/>
  <c r="Q940" i="1"/>
  <c r="Q939" i="1"/>
  <c r="Q937" i="1"/>
  <c r="Q936" i="1"/>
  <c r="Q932" i="1"/>
  <c r="Q931" i="1"/>
  <c r="Q930" i="1"/>
  <c r="Q928" i="1"/>
  <c r="Q925" i="1"/>
  <c r="Q924" i="1"/>
  <c r="Q923" i="1"/>
  <c r="Q922" i="1"/>
  <c r="Q921" i="1"/>
  <c r="Q919" i="1"/>
  <c r="Q917" i="1"/>
  <c r="Q916" i="1"/>
  <c r="Q910" i="1"/>
  <c r="Q905" i="1"/>
  <c r="Q904" i="1"/>
  <c r="Q899" i="1"/>
  <c r="Q896" i="1"/>
  <c r="Q891" i="1"/>
  <c r="Q889" i="1"/>
  <c r="Q888" i="1"/>
  <c r="Q887" i="1"/>
  <c r="Q884" i="1"/>
  <c r="Q881" i="1"/>
  <c r="Q879" i="1"/>
  <c r="Q878" i="1"/>
  <c r="Q877" i="1"/>
  <c r="Q872" i="1"/>
  <c r="Q863" i="1"/>
  <c r="Q857" i="1"/>
  <c r="Q854" i="1"/>
  <c r="Q853" i="1"/>
  <c r="Q851" i="1"/>
  <c r="Q850" i="1"/>
  <c r="Q848" i="1"/>
  <c r="Q847" i="1"/>
  <c r="Q843" i="1"/>
  <c r="Q840" i="1"/>
  <c r="Q836" i="1"/>
  <c r="Q834" i="1"/>
  <c r="Q833" i="1"/>
  <c r="Q831" i="1"/>
  <c r="Q829" i="1"/>
  <c r="Q828" i="1"/>
  <c r="Q827" i="1"/>
  <c r="Q825" i="1"/>
  <c r="Q823" i="1"/>
  <c r="Q820" i="1"/>
  <c r="Q819" i="1"/>
  <c r="Q817" i="1"/>
  <c r="Q816" i="1"/>
  <c r="Q815" i="1"/>
  <c r="Q813" i="1"/>
  <c r="Q811" i="1"/>
  <c r="Q810" i="1"/>
  <c r="Q805" i="1"/>
  <c r="Q800" i="1"/>
  <c r="Q799" i="1"/>
  <c r="Q798" i="1"/>
  <c r="Q797" i="1"/>
  <c r="Q796" i="1"/>
  <c r="Q793" i="1"/>
  <c r="Q792" i="1"/>
  <c r="Q791" i="1"/>
  <c r="Q788" i="1"/>
  <c r="Q784" i="1"/>
  <c r="Q776" i="1"/>
  <c r="Q772" i="1"/>
  <c r="Q771" i="1"/>
  <c r="Q770" i="1"/>
  <c r="Q765" i="1"/>
  <c r="Q763" i="1"/>
  <c r="Q760" i="1"/>
  <c r="Q740" i="1"/>
  <c r="Q739" i="1"/>
  <c r="Q737" i="1"/>
  <c r="Q736" i="1"/>
  <c r="Q735" i="1"/>
  <c r="Q734" i="1"/>
  <c r="Q731" i="1"/>
  <c r="Q730" i="1"/>
  <c r="Q727" i="1"/>
  <c r="Q726" i="1"/>
  <c r="Q724" i="1"/>
  <c r="Q721" i="1"/>
  <c r="Q719" i="1"/>
  <c r="Q718" i="1"/>
  <c r="Q717" i="1"/>
  <c r="Q715" i="1"/>
  <c r="Q712" i="1"/>
  <c r="Q700" i="1"/>
  <c r="Q699" i="1"/>
  <c r="Q693" i="1"/>
  <c r="Q692" i="1"/>
  <c r="Q691" i="1"/>
  <c r="Q690" i="1"/>
  <c r="Q688" i="1"/>
  <c r="Q686" i="1"/>
  <c r="Q685" i="1"/>
  <c r="Q682" i="1"/>
  <c r="Q679" i="1"/>
  <c r="Q678" i="1"/>
  <c r="Q676" i="1"/>
  <c r="Q675" i="1"/>
  <c r="Q671" i="1"/>
  <c r="Q668" i="1"/>
  <c r="Q667" i="1"/>
  <c r="Q662" i="1"/>
  <c r="Q661" i="1"/>
  <c r="Q658" i="1"/>
  <c r="Q654" i="1"/>
  <c r="Q650" i="1"/>
  <c r="Q648" i="1"/>
  <c r="Q647" i="1"/>
  <c r="Q646" i="1"/>
  <c r="Q644" i="1"/>
  <c r="Q642" i="1"/>
  <c r="Q641" i="1"/>
  <c r="Q639" i="1"/>
  <c r="Q638" i="1"/>
  <c r="Q637" i="1"/>
  <c r="Q636" i="1"/>
  <c r="Q635" i="1"/>
  <c r="Q632" i="1"/>
  <c r="Q630" i="1"/>
  <c r="Q627" i="1"/>
  <c r="Q626" i="1"/>
  <c r="Q624" i="1"/>
  <c r="Q623" i="1"/>
  <c r="Q622" i="1"/>
  <c r="Q621" i="1"/>
  <c r="Q619" i="1"/>
  <c r="Q618" i="1"/>
  <c r="Q617" i="1"/>
  <c r="Q614" i="1"/>
  <c r="Q611" i="1"/>
  <c r="Q603" i="1"/>
  <c r="Q602" i="1"/>
  <c r="Q600" i="1"/>
  <c r="Q598" i="1"/>
  <c r="Q594" i="1"/>
  <c r="Q593" i="1"/>
  <c r="Q586" i="1"/>
  <c r="Q584" i="1"/>
  <c r="Q583" i="1"/>
  <c r="Q582" i="1"/>
  <c r="Q581" i="1"/>
  <c r="Q574" i="1"/>
  <c r="Q573" i="1"/>
  <c r="Q571" i="1"/>
  <c r="Q562" i="1"/>
  <c r="Q561" i="1"/>
  <c r="Q559" i="1"/>
  <c r="Q557" i="1"/>
  <c r="Q556" i="1"/>
  <c r="Q545" i="1"/>
  <c r="Q535" i="1"/>
  <c r="Q532" i="1"/>
  <c r="Q527" i="1"/>
  <c r="Q505" i="1"/>
  <c r="Q481" i="1"/>
  <c r="Q480" i="1"/>
  <c r="Q479" i="1"/>
  <c r="Q432" i="1"/>
  <c r="Q431" i="1"/>
  <c r="Q430" i="1"/>
  <c r="Q428" i="1"/>
  <c r="Q421" i="1"/>
  <c r="Q369" i="1"/>
  <c r="Q366" i="1"/>
  <c r="Q312" i="1"/>
  <c r="Q311" i="1"/>
  <c r="Q307" i="1"/>
  <c r="Q306" i="1"/>
  <c r="Q304" i="1"/>
  <c r="Q299" i="1"/>
  <c r="Q290" i="1"/>
  <c r="Q285" i="1"/>
  <c r="Q282" i="1"/>
  <c r="Q280" i="1"/>
  <c r="Q277" i="1"/>
  <c r="Q275" i="1"/>
  <c r="Q273" i="1"/>
  <c r="Q272" i="1"/>
  <c r="Q265" i="1"/>
  <c r="Q263" i="1"/>
  <c r="Q254" i="1"/>
  <c r="Q241" i="1"/>
  <c r="Q240" i="1"/>
  <c r="Q238" i="1"/>
  <c r="Q236" i="1"/>
  <c r="Q234" i="1"/>
  <c r="Q233" i="1"/>
  <c r="Q227" i="1"/>
  <c r="Q225" i="1"/>
  <c r="Q223" i="1"/>
  <c r="Q219" i="1"/>
  <c r="Q217" i="1"/>
  <c r="Q214" i="1"/>
  <c r="Q213" i="1"/>
  <c r="Q212" i="1"/>
  <c r="Q209" i="1"/>
  <c r="Q208" i="1"/>
  <c r="Q202" i="1"/>
  <c r="Q200" i="1"/>
  <c r="Q199" i="1"/>
  <c r="Q198" i="1"/>
  <c r="Q197" i="1"/>
  <c r="Q195" i="1"/>
  <c r="Q194" i="1"/>
  <c r="Q190" i="1"/>
  <c r="Q181" i="1"/>
  <c r="Q159" i="1"/>
  <c r="Q132" i="1"/>
  <c r="Q128" i="1"/>
  <c r="Q127" i="1"/>
  <c r="Q126" i="1"/>
  <c r="Q125" i="1"/>
  <c r="Q124" i="1"/>
  <c r="Q123" i="1"/>
  <c r="Q121" i="1"/>
  <c r="Q97" i="1"/>
  <c r="Q95" i="1"/>
  <c r="Q94" i="1"/>
  <c r="Q93" i="1"/>
  <c r="Q92" i="1"/>
  <c r="Q90" i="1"/>
  <c r="Q89" i="1"/>
  <c r="Q88" i="1"/>
  <c r="Q86" i="1"/>
  <c r="Q85" i="1"/>
  <c r="Q84" i="1"/>
  <c r="Q82" i="1"/>
  <c r="Q79" i="1"/>
  <c r="Q78" i="1"/>
  <c r="Q76" i="1"/>
  <c r="Q75" i="1"/>
  <c r="Q73" i="1"/>
  <c r="Q72" i="1"/>
  <c r="Q71" i="1"/>
  <c r="Q63" i="1"/>
  <c r="Q61" i="1"/>
  <c r="Q57" i="1"/>
  <c r="Q55" i="1"/>
  <c r="Q45" i="1"/>
  <c r="Q41" i="1"/>
  <c r="Q39" i="1"/>
  <c r="Q35" i="1"/>
  <c r="Q25" i="1"/>
  <c r="Q23" i="1"/>
  <c r="Q22" i="1"/>
  <c r="Q21" i="1"/>
  <c r="Q20" i="1"/>
  <c r="Q18" i="1"/>
  <c r="Q17" i="1"/>
  <c r="Q16" i="1"/>
  <c r="Q14" i="1"/>
  <c r="Q13" i="1"/>
  <c r="Q9" i="1"/>
  <c r="Q7" i="1"/>
  <c r="Q4" i="1"/>
  <c r="Q3" i="1"/>
  <c r="Q2" i="1"/>
</calcChain>
</file>

<file path=xl/sharedStrings.xml><?xml version="1.0" encoding="utf-8"?>
<sst xmlns="http://schemas.openxmlformats.org/spreadsheetml/2006/main" count="49637" uniqueCount="1412">
  <si>
    <t>Date</t>
  </si>
  <si>
    <t>Grid</t>
  </si>
  <si>
    <t>Trapline</t>
  </si>
  <si>
    <t>Station</t>
  </si>
  <si>
    <t>Trap</t>
  </si>
  <si>
    <t>Observer</t>
  </si>
  <si>
    <t>TrapType</t>
  </si>
  <si>
    <t>Feed Used</t>
  </si>
  <si>
    <t>Species</t>
  </si>
  <si>
    <t>Fate</t>
  </si>
  <si>
    <t>Age</t>
  </si>
  <si>
    <t>Sex</t>
  </si>
  <si>
    <t>TagChange</t>
  </si>
  <si>
    <t>Unique</t>
  </si>
  <si>
    <t>TagLeft</t>
  </si>
  <si>
    <t>TagRight</t>
  </si>
  <si>
    <t>Weight</t>
  </si>
  <si>
    <t>ReproCond</t>
  </si>
  <si>
    <t>Lactating</t>
  </si>
  <si>
    <t>Hindfoot</t>
  </si>
  <si>
    <t>Tail</t>
  </si>
  <si>
    <t>Ear</t>
  </si>
  <si>
    <t>Skull Width</t>
  </si>
  <si>
    <t>Skull Length</t>
  </si>
  <si>
    <t>Parasites</t>
  </si>
  <si>
    <t>Orange Mites (Y/N)</t>
  </si>
  <si>
    <t>Orange Mite Vial</t>
  </si>
  <si>
    <t>Weather</t>
  </si>
  <si>
    <t>Temperature</t>
  </si>
  <si>
    <t>Comments</t>
  </si>
  <si>
    <t>Falls</t>
  </si>
  <si>
    <t>EAS</t>
  </si>
  <si>
    <t>Sherman</t>
  </si>
  <si>
    <t>Sunflower Seeds</t>
  </si>
  <si>
    <t>DM</t>
  </si>
  <si>
    <t>Recap</t>
  </si>
  <si>
    <t>A</t>
  </si>
  <si>
    <t>F</t>
  </si>
  <si>
    <t>NR</t>
  </si>
  <si>
    <t>N</t>
  </si>
  <si>
    <t>Clear</t>
  </si>
  <si>
    <t xml:space="preserve">AS </t>
  </si>
  <si>
    <t>New Tag</t>
  </si>
  <si>
    <t>M</t>
  </si>
  <si>
    <t>NSC</t>
  </si>
  <si>
    <t>H273</t>
  </si>
  <si>
    <t>H272</t>
  </si>
  <si>
    <t>SCR</t>
  </si>
  <si>
    <t>H331</t>
  </si>
  <si>
    <t>H332</t>
  </si>
  <si>
    <t xml:space="preserve">Trap Mal </t>
  </si>
  <si>
    <t>Retag</t>
  </si>
  <si>
    <t>H232</t>
  </si>
  <si>
    <t>Sorex</t>
  </si>
  <si>
    <t>Released</t>
  </si>
  <si>
    <t xml:space="preserve">Clear </t>
  </si>
  <si>
    <t>Cool</t>
  </si>
  <si>
    <t>Trap Malfunction</t>
  </si>
  <si>
    <t>RBV</t>
  </si>
  <si>
    <t>Partly Cloudy</t>
  </si>
  <si>
    <t>H301</t>
  </si>
  <si>
    <t>H302</t>
  </si>
  <si>
    <t>Trap Death</t>
  </si>
  <si>
    <t>Perf</t>
  </si>
  <si>
    <t>RS</t>
  </si>
  <si>
    <t>NSCR</t>
  </si>
  <si>
    <t>H415</t>
  </si>
  <si>
    <t>H645</t>
  </si>
  <si>
    <t xml:space="preserve">Cool </t>
  </si>
  <si>
    <t>Trap Disturbed - Was closed and had martin poop on top of the trap</t>
  </si>
  <si>
    <t>STS</t>
  </si>
  <si>
    <t>H322</t>
  </si>
  <si>
    <t>H323</t>
  </si>
  <si>
    <t>ECHIP</t>
  </si>
  <si>
    <t>LAC</t>
  </si>
  <si>
    <t>FLYER</t>
  </si>
  <si>
    <t xml:space="preserve">Not identified as Northern or Southern </t>
  </si>
  <si>
    <t xml:space="preserve">Trap Disturbed </t>
  </si>
  <si>
    <t>Cold</t>
  </si>
  <si>
    <t>Trap Disturbed</t>
  </si>
  <si>
    <t>NFS</t>
  </si>
  <si>
    <t>PREG</t>
  </si>
  <si>
    <t>Tag Change</t>
  </si>
  <si>
    <t>PERF</t>
  </si>
  <si>
    <t>Trap Disturbance</t>
  </si>
  <si>
    <t>Trap Disturance</t>
  </si>
  <si>
    <t xml:space="preserve">Trap Disturbance </t>
  </si>
  <si>
    <t>Cloudy</t>
  </si>
  <si>
    <t>Warm</t>
  </si>
  <si>
    <t>J</t>
  </si>
  <si>
    <t>P002-16;P015-16</t>
  </si>
  <si>
    <t>WJM</t>
  </si>
  <si>
    <t>Escaped</t>
  </si>
  <si>
    <t>P017-16;P026-16</t>
  </si>
  <si>
    <t>D279</t>
  </si>
  <si>
    <t>BITEY!!</t>
  </si>
  <si>
    <t>Cloudy/Drizzling</t>
  </si>
  <si>
    <t>Y</t>
  </si>
  <si>
    <t>Trap not set</t>
  </si>
  <si>
    <t>Cloudy/Dizzling</t>
  </si>
  <si>
    <t>Handling Death</t>
  </si>
  <si>
    <t>P012-16;P019-16</t>
  </si>
  <si>
    <t xml:space="preserve">Cloudy </t>
  </si>
  <si>
    <t>MJM</t>
  </si>
  <si>
    <t>H382</t>
  </si>
  <si>
    <t>H391</t>
  </si>
  <si>
    <t>P029-16;P007-16</t>
  </si>
  <si>
    <t>WJW</t>
  </si>
  <si>
    <t>Partly Clody</t>
  </si>
  <si>
    <t>Trap Distured</t>
  </si>
  <si>
    <t>H236</t>
  </si>
  <si>
    <t>P024-16</t>
  </si>
  <si>
    <t>Rip in left ear suggesting there used to be a tag</t>
  </si>
  <si>
    <t xml:space="preserve">A </t>
  </si>
  <si>
    <t>SA</t>
  </si>
  <si>
    <t>Found foot belonging to red squirrel in trap door</t>
  </si>
  <si>
    <t>P027-16</t>
  </si>
  <si>
    <t>Cloudy Cool</t>
  </si>
  <si>
    <t>Partly cloudy</t>
  </si>
  <si>
    <t>P021-16 and P022-16</t>
  </si>
  <si>
    <t>Preg</t>
  </si>
  <si>
    <t xml:space="preserve">Trap was found under an uprooted tree. Scratch marks  in dirt </t>
  </si>
  <si>
    <t>ESCAPED</t>
  </si>
  <si>
    <t xml:space="preserve">Released </t>
  </si>
  <si>
    <t>When seeting the lines, noticced that the trap was deformed and thus could not e set (might have been stepped on by a moose or bear)</t>
  </si>
  <si>
    <t>P013-16</t>
  </si>
  <si>
    <t xml:space="preserve">Clear  </t>
  </si>
  <si>
    <t>P004-16; P003-16</t>
  </si>
  <si>
    <t>NFLYER</t>
  </si>
  <si>
    <t>Handling death</t>
  </si>
  <si>
    <t>P020-16</t>
  </si>
  <si>
    <t>P011-16</t>
  </si>
  <si>
    <t>P025-16</t>
  </si>
  <si>
    <t>Recap/ESCAPED</t>
  </si>
  <si>
    <t>H410</t>
  </si>
  <si>
    <t>H455</t>
  </si>
  <si>
    <t>Lac</t>
  </si>
  <si>
    <t>Hot</t>
  </si>
  <si>
    <t xml:space="preserve">Partly Cloudy </t>
  </si>
  <si>
    <t>Party Cloudy</t>
  </si>
  <si>
    <t>H276</t>
  </si>
  <si>
    <t>Predation</t>
  </si>
  <si>
    <t>Only foot was found in the trap</t>
  </si>
  <si>
    <t>Preg/Lac</t>
  </si>
  <si>
    <t>Had a parasite on it</t>
  </si>
  <si>
    <t>Had a rip on the right ear which may have been from a previous tag</t>
  </si>
  <si>
    <t>Had a tick on the right side of its face</t>
  </si>
  <si>
    <t>Escaped before measurements could be taken</t>
  </si>
  <si>
    <t>G196</t>
  </si>
  <si>
    <t>PREG/LAC</t>
  </si>
  <si>
    <t>P009-16</t>
  </si>
  <si>
    <t>P008-16</t>
  </si>
  <si>
    <t xml:space="preserve">Partly </t>
  </si>
  <si>
    <t>Marten found at trap</t>
  </si>
  <si>
    <t>New individual (died following ear tag)</t>
  </si>
  <si>
    <t>H542</t>
  </si>
  <si>
    <t>H543</t>
  </si>
  <si>
    <t>P025-16 &amp; P031-16</t>
  </si>
  <si>
    <t>P006-16</t>
  </si>
  <si>
    <t>P005-16</t>
  </si>
  <si>
    <t>REcap</t>
  </si>
  <si>
    <t>Could not get accurate measurements for the skull length and skull width</t>
  </si>
  <si>
    <t>Not Set</t>
  </si>
  <si>
    <t>Bear had trappled the trap</t>
  </si>
  <si>
    <t>Perf/Lac</t>
  </si>
  <si>
    <t>RIP</t>
  </si>
  <si>
    <t>H328</t>
  </si>
  <si>
    <t>H329</t>
  </si>
  <si>
    <t>Could not get skull length or width measurements</t>
  </si>
  <si>
    <t>H629</t>
  </si>
  <si>
    <t>Could not get skull length or width measurements. Vagina was bleeding</t>
  </si>
  <si>
    <t>H291</t>
  </si>
  <si>
    <t>P060-16</t>
  </si>
  <si>
    <t>P050-16</t>
  </si>
  <si>
    <t>P014-16</t>
  </si>
  <si>
    <t>Was not doing well upon release - drunk walk</t>
  </si>
  <si>
    <t>RIP/RIP</t>
  </si>
  <si>
    <t>Handliong death</t>
  </si>
  <si>
    <t>Most likely one of the individuals that escaped</t>
  </si>
  <si>
    <t>P041-16</t>
  </si>
  <si>
    <t>Tic found on individuals neck</t>
  </si>
  <si>
    <t>Individual was found outside the trap whit its tail caught in the door. The left foot was injusred thus hindfoot measurement is from left foot</t>
  </si>
  <si>
    <t>P010-16; P049-16</t>
  </si>
  <si>
    <t>Tick on right side of face</t>
  </si>
  <si>
    <t>P047-16</t>
  </si>
  <si>
    <t>Tail has regained blood and looks much better. Hindfoot was taken on rigt foot.</t>
  </si>
  <si>
    <t>P042-16; P045-16</t>
  </si>
  <si>
    <t>Ticks on individual</t>
  </si>
  <si>
    <t>P044-16; P030-16</t>
  </si>
  <si>
    <t>Escaped after getting ear tag. Rip in left ear, possibly from previous tag</t>
  </si>
  <si>
    <t>New tag on right ear</t>
  </si>
  <si>
    <t>Had tick on back of head</t>
  </si>
  <si>
    <t>F744</t>
  </si>
  <si>
    <t>Had a tick on right side of face</t>
  </si>
  <si>
    <t>Could not take skull length and skull with measurements</t>
  </si>
  <si>
    <t>P058-16</t>
  </si>
  <si>
    <t>Could not take skull length or width measurements. Individual also had a tick on the right side of its face</t>
  </si>
  <si>
    <t>Probably a successful predation</t>
  </si>
  <si>
    <t>Tag added to the right ear</t>
  </si>
  <si>
    <t>N/A</t>
  </si>
  <si>
    <t>M026-16</t>
  </si>
  <si>
    <t>M010-16</t>
  </si>
  <si>
    <t xml:space="preserve">H382 </t>
  </si>
  <si>
    <t>M033-16</t>
  </si>
  <si>
    <t>M030-16</t>
  </si>
  <si>
    <t>Tick on the right side of face</t>
  </si>
  <si>
    <t>P032-16;P061-16</t>
  </si>
  <si>
    <t>Tic under right ear</t>
  </si>
  <si>
    <t>M027-16</t>
  </si>
  <si>
    <t>M003-16</t>
  </si>
  <si>
    <t>M006-16</t>
  </si>
  <si>
    <t>New tag. Animal died after tag was given</t>
  </si>
  <si>
    <t>Cloudy/Light Rain</t>
  </si>
  <si>
    <t xml:space="preserve">Cloudy/Light Rain </t>
  </si>
  <si>
    <t>H230</t>
  </si>
  <si>
    <t>Rip in left ear, possibly from previus tag</t>
  </si>
  <si>
    <t>M034-16</t>
  </si>
  <si>
    <t>Infected left ear</t>
  </si>
  <si>
    <t>M015-16</t>
  </si>
  <si>
    <t>M022-16</t>
  </si>
  <si>
    <t>M035-16</t>
  </si>
  <si>
    <t>Rip in left ear, possibly from previoustag</t>
  </si>
  <si>
    <t>Infection underright ear</t>
  </si>
  <si>
    <t>Found outside trap, with tail caughtin the door</t>
  </si>
  <si>
    <t>Rip inleft ear, possibly from previous tag</t>
  </si>
  <si>
    <t>Tic on right cheek</t>
  </si>
  <si>
    <t>P056-16</t>
  </si>
  <si>
    <t>M040-16</t>
  </si>
  <si>
    <t>M046-16</t>
  </si>
  <si>
    <t>26,6</t>
  </si>
  <si>
    <t>M060-16</t>
  </si>
  <si>
    <t>P. Cloudy</t>
  </si>
  <si>
    <t>Had a cut on the right front leg</t>
  </si>
  <si>
    <t>P.Cloudy</t>
  </si>
  <si>
    <t>H066</t>
  </si>
  <si>
    <t>P001-16</t>
  </si>
  <si>
    <t>M044-16</t>
  </si>
  <si>
    <t>PREDATION</t>
  </si>
  <si>
    <t>Bottom half of body was stuck in the trap door</t>
  </si>
  <si>
    <t xml:space="preserve">Tail found in trap door. Not identified as northern or southern </t>
  </si>
  <si>
    <t>Fur found in trap door</t>
  </si>
  <si>
    <t>P028-16;P057-16</t>
  </si>
  <si>
    <t>P059-16</t>
  </si>
  <si>
    <t>End of tail missing and left ear was ripped possibly from a previous tag</t>
  </si>
  <si>
    <t>M024-16</t>
  </si>
  <si>
    <t>M025-16</t>
  </si>
  <si>
    <t>M042-16</t>
  </si>
  <si>
    <t>50840</t>
  </si>
  <si>
    <t>M050-16</t>
  </si>
  <si>
    <t>Rip in left ear, possibly from previous tag</t>
  </si>
  <si>
    <t>M013-16</t>
  </si>
  <si>
    <t>Rip in both ears, possibly from previous tags</t>
  </si>
  <si>
    <t xml:space="preserve">J </t>
  </si>
  <si>
    <t xml:space="preserve">M </t>
  </si>
  <si>
    <t>Bot fly around anus</t>
  </si>
  <si>
    <t>Forgot to check for orange mites</t>
  </si>
  <si>
    <t>M008-16</t>
  </si>
  <si>
    <t>Temperature was getting too hot!</t>
  </si>
  <si>
    <t>M019-16</t>
  </si>
  <si>
    <t>M067-16</t>
  </si>
  <si>
    <t>Rip Iin rightear, possibly from previous tag</t>
  </si>
  <si>
    <t>P098-16</t>
  </si>
  <si>
    <t>M071-16</t>
  </si>
  <si>
    <t>PREG/PERF</t>
  </si>
  <si>
    <t>p.Cloudy</t>
  </si>
  <si>
    <t>M056-16</t>
  </si>
  <si>
    <t>Ear tag on the left ear seems to attract mites</t>
  </si>
  <si>
    <t>Mites conjergate around ear tag hole</t>
  </si>
  <si>
    <t>M074-16</t>
  </si>
  <si>
    <t>M070-16</t>
  </si>
  <si>
    <t>P094-16</t>
  </si>
  <si>
    <t>Cloudy/Foggy</t>
  </si>
  <si>
    <t>H650</t>
  </si>
  <si>
    <t>M017-16</t>
  </si>
  <si>
    <t>Escaped after receiving tag</t>
  </si>
  <si>
    <t>M045-16</t>
  </si>
  <si>
    <t>Cloudy/Foogy</t>
  </si>
  <si>
    <t>Tick under right ear</t>
  </si>
  <si>
    <t>Bleeding on leg</t>
  </si>
  <si>
    <t>M052-16</t>
  </si>
  <si>
    <t>M020-16</t>
  </si>
  <si>
    <t>Left ear ripped, possibly from previous tag</t>
  </si>
  <si>
    <t>Rip in right ear</t>
  </si>
  <si>
    <t>M062-16</t>
  </si>
  <si>
    <t>SW</t>
  </si>
  <si>
    <t>Heard thunder and left the line</t>
  </si>
  <si>
    <t>Had a both fly on the side of its face</t>
  </si>
  <si>
    <t>P076-16</t>
  </si>
  <si>
    <t>Left eye closed (possible infection)</t>
  </si>
  <si>
    <t>P071-16</t>
  </si>
  <si>
    <t>P083-16</t>
  </si>
  <si>
    <t>M005-16</t>
  </si>
  <si>
    <t>Bump under left front leg (possibly bot fly)</t>
  </si>
  <si>
    <t>M036-16</t>
  </si>
  <si>
    <t>Rip in left ear, possibly from previous ear tag</t>
  </si>
  <si>
    <t>M058-16</t>
  </si>
  <si>
    <t>Individual got away after getting tag</t>
  </si>
  <si>
    <t>Rip in right ear, possibly from previous tag</t>
  </si>
  <si>
    <t>PERF/PREG</t>
  </si>
  <si>
    <t>P075-16</t>
  </si>
  <si>
    <t>M004-16</t>
  </si>
  <si>
    <t>M012-16</t>
  </si>
  <si>
    <t>M055-16</t>
  </si>
  <si>
    <t>M049-16</t>
  </si>
  <si>
    <t>Bleeding on the stomach</t>
  </si>
  <si>
    <t>M009-16</t>
  </si>
  <si>
    <t>M075-16</t>
  </si>
  <si>
    <t>M053-16</t>
  </si>
  <si>
    <t>Ear cut up badly</t>
  </si>
  <si>
    <t>Bot fly on stomach</t>
  </si>
  <si>
    <t>Released due to long handling time</t>
  </si>
  <si>
    <t>P070-16</t>
  </si>
  <si>
    <t>LAC/PREG</t>
  </si>
  <si>
    <t>04125</t>
  </si>
  <si>
    <t>04124</t>
  </si>
  <si>
    <t>04123</t>
  </si>
  <si>
    <t>M065-16</t>
  </si>
  <si>
    <t>04122</t>
  </si>
  <si>
    <t>04121</t>
  </si>
  <si>
    <t>Tick under chin</t>
  </si>
  <si>
    <t>AS</t>
  </si>
  <si>
    <t>04150</t>
  </si>
  <si>
    <t>04149</t>
  </si>
  <si>
    <t>04148</t>
  </si>
  <si>
    <t>04147</t>
  </si>
  <si>
    <t>04146</t>
  </si>
  <si>
    <t>04145</t>
  </si>
  <si>
    <t>04144</t>
  </si>
  <si>
    <t>Bot flyby left front arm</t>
  </si>
  <si>
    <t>04143</t>
  </si>
  <si>
    <t>041142</t>
  </si>
  <si>
    <t xml:space="preserve">Tail was caught in trap door, animalwas released after reading the tags </t>
  </si>
  <si>
    <t>P043-16</t>
  </si>
  <si>
    <t xml:space="preserve">Bot fly near genitals </t>
  </si>
  <si>
    <t>1a</t>
  </si>
  <si>
    <t>1b</t>
  </si>
  <si>
    <t>04141</t>
  </si>
  <si>
    <t>04139</t>
  </si>
  <si>
    <t>04138</t>
  </si>
  <si>
    <t>04137</t>
  </si>
  <si>
    <t>04136</t>
  </si>
  <si>
    <t>04135</t>
  </si>
  <si>
    <t xml:space="preserve">Bot fly exit wound </t>
  </si>
  <si>
    <t>04134</t>
  </si>
  <si>
    <t>04133</t>
  </si>
  <si>
    <t>Bot fly wound on left shoulder, mites in the wound!!!</t>
  </si>
  <si>
    <t>04132</t>
  </si>
  <si>
    <t>04131</t>
  </si>
  <si>
    <t>04120</t>
  </si>
  <si>
    <t>04119</t>
  </si>
  <si>
    <t>04118</t>
  </si>
  <si>
    <t>Two mice in the same trap</t>
  </si>
  <si>
    <t>04117</t>
  </si>
  <si>
    <t>04116</t>
  </si>
  <si>
    <t>04115</t>
  </si>
  <si>
    <t>04114</t>
  </si>
  <si>
    <t>04113</t>
  </si>
  <si>
    <t>04112</t>
  </si>
  <si>
    <t>04111</t>
  </si>
  <si>
    <t>04110</t>
  </si>
  <si>
    <t>04109</t>
  </si>
  <si>
    <t>04108</t>
  </si>
  <si>
    <t>P099-16</t>
  </si>
  <si>
    <t>P101-16</t>
  </si>
  <si>
    <t>04107</t>
  </si>
  <si>
    <t>04106</t>
  </si>
  <si>
    <t>04105</t>
  </si>
  <si>
    <t>04104</t>
  </si>
  <si>
    <t>04103</t>
  </si>
  <si>
    <t>04102</t>
  </si>
  <si>
    <t>04101</t>
  </si>
  <si>
    <t>04200</t>
  </si>
  <si>
    <t>04199</t>
  </si>
  <si>
    <t>04176</t>
  </si>
  <si>
    <t>Late in the morning animal was processed than released</t>
  </si>
  <si>
    <t>04178</t>
  </si>
  <si>
    <t>04177</t>
  </si>
  <si>
    <t>04130</t>
  </si>
  <si>
    <t>04129</t>
  </si>
  <si>
    <t>Bot fly by left arm</t>
  </si>
  <si>
    <t>04128</t>
  </si>
  <si>
    <t>04127</t>
  </si>
  <si>
    <t>50572</t>
  </si>
  <si>
    <t>50571</t>
  </si>
  <si>
    <t>50721</t>
  </si>
  <si>
    <t>50720</t>
  </si>
  <si>
    <t>04126</t>
  </si>
  <si>
    <t>M066-16</t>
  </si>
  <si>
    <t>50817</t>
  </si>
  <si>
    <t>04175</t>
  </si>
  <si>
    <t>50709</t>
  </si>
  <si>
    <t>50708</t>
  </si>
  <si>
    <t>04174</t>
  </si>
  <si>
    <t>50497</t>
  </si>
  <si>
    <t>50496</t>
  </si>
  <si>
    <t>Bot fly beside left arm</t>
  </si>
  <si>
    <t>04142</t>
  </si>
  <si>
    <t>P085-16</t>
  </si>
  <si>
    <t>50495</t>
  </si>
  <si>
    <t>04172</t>
  </si>
  <si>
    <t>04171</t>
  </si>
  <si>
    <t>50595</t>
  </si>
  <si>
    <t>50594</t>
  </si>
  <si>
    <t>50956</t>
  </si>
  <si>
    <t>50955</t>
  </si>
  <si>
    <t>04170</t>
  </si>
  <si>
    <t>04169</t>
  </si>
  <si>
    <t>04168</t>
  </si>
  <si>
    <t>04167</t>
  </si>
  <si>
    <t>50520</t>
  </si>
  <si>
    <t>50519</t>
  </si>
  <si>
    <t>04166</t>
  </si>
  <si>
    <t>04165</t>
  </si>
  <si>
    <t>50825</t>
  </si>
  <si>
    <t>50824</t>
  </si>
  <si>
    <t>50895</t>
  </si>
  <si>
    <t>50894</t>
  </si>
  <si>
    <t>50854</t>
  </si>
  <si>
    <t>50853</t>
  </si>
  <si>
    <t>04164</t>
  </si>
  <si>
    <t>04163</t>
  </si>
  <si>
    <t>P053-16</t>
  </si>
  <si>
    <t xml:space="preserve">Trap was fpund on its side </t>
  </si>
  <si>
    <t>50897</t>
  </si>
  <si>
    <t>50896</t>
  </si>
  <si>
    <t>Bot fly under neck</t>
  </si>
  <si>
    <t xml:space="preserve">PREDATION </t>
  </si>
  <si>
    <t>50806</t>
  </si>
  <si>
    <t>** Head detached from body (both parts found near trap)</t>
  </si>
  <si>
    <t>** Tail found in door</t>
  </si>
  <si>
    <t>04140</t>
  </si>
  <si>
    <t>M014-16</t>
  </si>
  <si>
    <t>04162</t>
  </si>
  <si>
    <t>04161</t>
  </si>
  <si>
    <t>M061-16</t>
  </si>
  <si>
    <t>04160</t>
  </si>
  <si>
    <t>04159</t>
  </si>
  <si>
    <t>Late in the morning animal was processed then released</t>
  </si>
  <si>
    <t>04158</t>
  </si>
  <si>
    <t>50829</t>
  </si>
  <si>
    <t>50828</t>
  </si>
  <si>
    <t>Bot fly on chest (close to left arm)</t>
  </si>
  <si>
    <t>50952</t>
  </si>
  <si>
    <t>50951</t>
  </si>
  <si>
    <t>04157</t>
  </si>
  <si>
    <t>04156</t>
  </si>
  <si>
    <t>04155</t>
  </si>
  <si>
    <t>04154</t>
  </si>
  <si>
    <t>04153</t>
  </si>
  <si>
    <t>Patly Cloudy</t>
  </si>
  <si>
    <t>04152</t>
  </si>
  <si>
    <t>04151</t>
  </si>
  <si>
    <t>P074-16</t>
  </si>
  <si>
    <t>15800</t>
  </si>
  <si>
    <t>50574</t>
  </si>
  <si>
    <t>50573</t>
  </si>
  <si>
    <t>50525</t>
  </si>
  <si>
    <t>50524</t>
  </si>
  <si>
    <t>04173</t>
  </si>
  <si>
    <t>50802</t>
  </si>
  <si>
    <t>50804</t>
  </si>
  <si>
    <t>50803</t>
  </si>
  <si>
    <t>Skin beside left side of mouth is missing fur (caused by bot fly?)</t>
  </si>
  <si>
    <t>m</t>
  </si>
  <si>
    <t>15799</t>
  </si>
  <si>
    <t>15798</t>
  </si>
  <si>
    <t>15797</t>
  </si>
  <si>
    <t>15796</t>
  </si>
  <si>
    <t>50716</t>
  </si>
  <si>
    <t>50715</t>
  </si>
  <si>
    <t>Tail inflamed from previously getting caught in trap door</t>
  </si>
  <si>
    <t>50482</t>
  </si>
  <si>
    <t>Multiple entry/exit wounds around genitals from bot flies</t>
  </si>
  <si>
    <t>15975</t>
  </si>
  <si>
    <t>15974</t>
  </si>
  <si>
    <t>50900</t>
  </si>
  <si>
    <t>50899</t>
  </si>
  <si>
    <t>Trap was found on its side</t>
  </si>
  <si>
    <t>15793</t>
  </si>
  <si>
    <t>Small black tic on edge of right ear</t>
  </si>
  <si>
    <t>15792</t>
  </si>
  <si>
    <t>P097-16</t>
  </si>
  <si>
    <t>16350</t>
  </si>
  <si>
    <t>15791</t>
  </si>
  <si>
    <t>04184</t>
  </si>
  <si>
    <t>04187</t>
  </si>
  <si>
    <t>04186</t>
  </si>
  <si>
    <t>04189</t>
  </si>
  <si>
    <t>04188</t>
  </si>
  <si>
    <t>50954</t>
  </si>
  <si>
    <t>50953</t>
  </si>
  <si>
    <t>Tail caught in trap door</t>
  </si>
  <si>
    <t>P079-15</t>
  </si>
  <si>
    <t>50891</t>
  </si>
  <si>
    <t>50890</t>
  </si>
  <si>
    <t>50893</t>
  </si>
  <si>
    <t>50892</t>
  </si>
  <si>
    <t>Bot fly on genitals</t>
  </si>
  <si>
    <t>04192</t>
  </si>
  <si>
    <t>04194</t>
  </si>
  <si>
    <t>04193</t>
  </si>
  <si>
    <t>50855</t>
  </si>
  <si>
    <t>Had cut on top of ear</t>
  </si>
  <si>
    <t>M031-16</t>
  </si>
  <si>
    <t>15788</t>
  </si>
  <si>
    <t>15787</t>
  </si>
  <si>
    <t>15786</t>
  </si>
  <si>
    <t>15785</t>
  </si>
  <si>
    <t>2b</t>
  </si>
  <si>
    <t>Two deer mice found in trap</t>
  </si>
  <si>
    <t>15784</t>
  </si>
  <si>
    <t>04191</t>
  </si>
  <si>
    <t>04190</t>
  </si>
  <si>
    <t>Two deer mice found in the trap</t>
  </si>
  <si>
    <t>Clody</t>
  </si>
  <si>
    <t>Bot fly on left side of face</t>
  </si>
  <si>
    <t>04196</t>
  </si>
  <si>
    <t>04195</t>
  </si>
  <si>
    <t>15783</t>
  </si>
  <si>
    <t>M043-16</t>
  </si>
  <si>
    <t>15782</t>
  </si>
  <si>
    <t>50815</t>
  </si>
  <si>
    <t>50814</t>
  </si>
  <si>
    <t>15781</t>
  </si>
  <si>
    <t>15780</t>
  </si>
  <si>
    <t>P092-16</t>
  </si>
  <si>
    <t>15779</t>
  </si>
  <si>
    <t>15778</t>
  </si>
  <si>
    <t>P091-16</t>
  </si>
  <si>
    <t>15777</t>
  </si>
  <si>
    <t>Scabs around ear tags</t>
  </si>
  <si>
    <t>Head was caught in trap door</t>
  </si>
  <si>
    <t>y</t>
  </si>
  <si>
    <t>M038-16</t>
  </si>
  <si>
    <t>17980</t>
  </si>
  <si>
    <t>04198</t>
  </si>
  <si>
    <t>04197</t>
  </si>
  <si>
    <t>Bot fly on chest</t>
  </si>
  <si>
    <t>17977</t>
  </si>
  <si>
    <t>17976</t>
  </si>
  <si>
    <t>17979</t>
  </si>
  <si>
    <t>17978</t>
  </si>
  <si>
    <t>15773</t>
  </si>
  <si>
    <t>M002-16</t>
  </si>
  <si>
    <t>04181</t>
  </si>
  <si>
    <t>M039-16</t>
  </si>
  <si>
    <t>17998</t>
  </si>
  <si>
    <t>17997</t>
  </si>
  <si>
    <t>17996</t>
  </si>
  <si>
    <t>17995</t>
  </si>
  <si>
    <t>50964</t>
  </si>
  <si>
    <t>50970</t>
  </si>
  <si>
    <t>Individual was barely moving, was wrapped in cotton an left by trap</t>
  </si>
  <si>
    <t>50971</t>
  </si>
  <si>
    <t>17951</t>
  </si>
  <si>
    <t>17994</t>
  </si>
  <si>
    <t>17993</t>
  </si>
  <si>
    <t>17992</t>
  </si>
  <si>
    <t>16347</t>
  </si>
  <si>
    <t>17991</t>
  </si>
  <si>
    <t>17990</t>
  </si>
  <si>
    <t>50590</t>
  </si>
  <si>
    <t>50589</t>
  </si>
  <si>
    <t>50738</t>
  </si>
  <si>
    <t>17989</t>
  </si>
  <si>
    <t>50470</t>
  </si>
  <si>
    <t>50469</t>
  </si>
  <si>
    <t>Bot fly wound on left side of chest</t>
  </si>
  <si>
    <t>50857</t>
  </si>
  <si>
    <t>50866</t>
  </si>
  <si>
    <t>50865</t>
  </si>
  <si>
    <t>50700</t>
  </si>
  <si>
    <t>50699</t>
  </si>
  <si>
    <t>50610</t>
  </si>
  <si>
    <t>50609</t>
  </si>
  <si>
    <t>17901</t>
  </si>
  <si>
    <t>M011-16</t>
  </si>
  <si>
    <t>17903</t>
  </si>
  <si>
    <t>17902</t>
  </si>
  <si>
    <t>50384</t>
  </si>
  <si>
    <t>50383</t>
  </si>
  <si>
    <t>50517</t>
  </si>
  <si>
    <t>50516</t>
  </si>
  <si>
    <t>50390</t>
  </si>
  <si>
    <t>M072-16</t>
  </si>
  <si>
    <t>50503</t>
  </si>
  <si>
    <t>50502</t>
  </si>
  <si>
    <t>Cut on tail</t>
  </si>
  <si>
    <t>50506</t>
  </si>
  <si>
    <t>50505</t>
  </si>
  <si>
    <t>M007-16</t>
  </si>
  <si>
    <t>50758</t>
  </si>
  <si>
    <t>50757</t>
  </si>
  <si>
    <t>50761</t>
  </si>
  <si>
    <t>50760</t>
  </si>
  <si>
    <t>50759</t>
  </si>
  <si>
    <t>M021-16</t>
  </si>
  <si>
    <t>17905</t>
  </si>
  <si>
    <t>17904</t>
  </si>
  <si>
    <t>17906</t>
  </si>
  <si>
    <t>50924</t>
  </si>
  <si>
    <t>50756</t>
  </si>
  <si>
    <t>Left ear is ripped from previous tag</t>
  </si>
  <si>
    <t>50860</t>
  </si>
  <si>
    <t>50859</t>
  </si>
  <si>
    <t>50392</t>
  </si>
  <si>
    <t>50753</t>
  </si>
  <si>
    <t>Animal was realesed before reading tag</t>
  </si>
  <si>
    <t>17908</t>
  </si>
  <si>
    <t>17907</t>
  </si>
  <si>
    <t>P078-16</t>
  </si>
  <si>
    <t>Bot fly on neck</t>
  </si>
  <si>
    <t>50690</t>
  </si>
  <si>
    <t>50689</t>
  </si>
  <si>
    <t>50612</t>
  </si>
  <si>
    <t>50611</t>
  </si>
  <si>
    <t>17909</t>
  </si>
  <si>
    <t>50764</t>
  </si>
  <si>
    <t>17911</t>
  </si>
  <si>
    <t>17910</t>
  </si>
  <si>
    <t>17912</t>
  </si>
  <si>
    <t>M018-16</t>
  </si>
  <si>
    <t>17914</t>
  </si>
  <si>
    <t>17913</t>
  </si>
  <si>
    <t xml:space="preserve">Bot fly on right side of face </t>
  </si>
  <si>
    <t>50459</t>
  </si>
  <si>
    <t>50458</t>
  </si>
  <si>
    <t>P062-16</t>
  </si>
  <si>
    <t>Patch of skin without fur on left side of neck</t>
  </si>
  <si>
    <t>17916</t>
  </si>
  <si>
    <t>17915</t>
  </si>
  <si>
    <t>P105-16</t>
  </si>
  <si>
    <t xml:space="preserve">Bot flies on lower abdomen </t>
  </si>
  <si>
    <t>17917</t>
  </si>
  <si>
    <t>M073-16</t>
  </si>
  <si>
    <t>Cut on left leg</t>
  </si>
  <si>
    <t>17918</t>
  </si>
  <si>
    <t>M068-16</t>
  </si>
  <si>
    <t>17919</t>
  </si>
  <si>
    <t>P051-16</t>
  </si>
  <si>
    <t>M029-16</t>
  </si>
  <si>
    <t>H481</t>
  </si>
  <si>
    <t>50512</t>
  </si>
  <si>
    <t>Bot fly wounds around genitals</t>
  </si>
  <si>
    <t>17921</t>
  </si>
  <si>
    <t>17920</t>
  </si>
  <si>
    <t>17923</t>
  </si>
  <si>
    <t>17922</t>
  </si>
  <si>
    <t>Bot fly on left side of neck</t>
  </si>
  <si>
    <t>50735</t>
  </si>
  <si>
    <t>15776</t>
  </si>
  <si>
    <t>50615</t>
  </si>
  <si>
    <t>11976</t>
  </si>
  <si>
    <t>11977</t>
  </si>
  <si>
    <t xml:space="preserve">Bot fly beside genitals </t>
  </si>
  <si>
    <t>11978</t>
  </si>
  <si>
    <t>50391</t>
  </si>
  <si>
    <t>Late in morning, animal was processed then released</t>
  </si>
  <si>
    <t>50734</t>
  </si>
  <si>
    <t>Caught in trap door</t>
  </si>
  <si>
    <t>17988</t>
  </si>
  <si>
    <t>P095-16</t>
  </si>
  <si>
    <t>50744</t>
  </si>
  <si>
    <t>50743</t>
  </si>
  <si>
    <t>50742</t>
  </si>
  <si>
    <t>50741</t>
  </si>
  <si>
    <t>50347</t>
  </si>
  <si>
    <t>17986</t>
  </si>
  <si>
    <t>17985</t>
  </si>
  <si>
    <t>50959</t>
  </si>
  <si>
    <t>17984</t>
  </si>
  <si>
    <t>17982</t>
  </si>
  <si>
    <t>17981</t>
  </si>
  <si>
    <t>50958</t>
  </si>
  <si>
    <t>17975</t>
  </si>
  <si>
    <t>17974</t>
  </si>
  <si>
    <t>17973</t>
  </si>
  <si>
    <t>17972</t>
  </si>
  <si>
    <t>17971</t>
  </si>
  <si>
    <t>17970</t>
  </si>
  <si>
    <t>17969</t>
  </si>
  <si>
    <t>Bot fly under left leg</t>
  </si>
  <si>
    <t>warm</t>
  </si>
  <si>
    <t>50968</t>
  </si>
  <si>
    <t>50967</t>
  </si>
  <si>
    <t>P080-16</t>
  </si>
  <si>
    <t>17968</t>
  </si>
  <si>
    <t>17967</t>
  </si>
  <si>
    <t>17952</t>
  </si>
  <si>
    <t>17953</t>
  </si>
  <si>
    <t>17965</t>
  </si>
  <si>
    <t>17964</t>
  </si>
  <si>
    <t>17963</t>
  </si>
  <si>
    <t>P073-16; P103-16</t>
  </si>
  <si>
    <t>17957</t>
  </si>
  <si>
    <t>17962</t>
  </si>
  <si>
    <t>2628</t>
  </si>
  <si>
    <t>2621</t>
  </si>
  <si>
    <t>17955</t>
  </si>
  <si>
    <t>M016-16</t>
  </si>
  <si>
    <t>11979</t>
  </si>
  <si>
    <t>11980</t>
  </si>
  <si>
    <t>M032-16</t>
  </si>
  <si>
    <t>M028-16</t>
  </si>
  <si>
    <t>Bot fly near genitals</t>
  </si>
  <si>
    <t>Released before reading tags</t>
  </si>
  <si>
    <t>11982</t>
  </si>
  <si>
    <t>11981</t>
  </si>
  <si>
    <t>Patch of fur without fur on left side of neck</t>
  </si>
  <si>
    <t>11984</t>
  </si>
  <si>
    <t>11983</t>
  </si>
  <si>
    <t>M079-16</t>
  </si>
  <si>
    <t>No mites but apeared to have orange (mites?) in fecal, sample collected</t>
  </si>
  <si>
    <t>11986</t>
  </si>
  <si>
    <t>11985</t>
  </si>
  <si>
    <t>Bot flies on neck and near genitals</t>
  </si>
  <si>
    <t>50872</t>
  </si>
  <si>
    <t>50871</t>
  </si>
  <si>
    <t>P048-16</t>
  </si>
  <si>
    <t>Left ear is bloody and has scabs around the ear tag</t>
  </si>
  <si>
    <t>11987</t>
  </si>
  <si>
    <t>11988</t>
  </si>
  <si>
    <t xml:space="preserve">Left side of abdomen has an area with scars and no fur (from bot fly?) </t>
  </si>
  <si>
    <t>50874</t>
  </si>
  <si>
    <t>50873</t>
  </si>
  <si>
    <t>Bot fly beside right arm</t>
  </si>
  <si>
    <t>11990</t>
  </si>
  <si>
    <t>11989</t>
  </si>
  <si>
    <t>50695</t>
  </si>
  <si>
    <t>Bot flies around genitals</t>
  </si>
  <si>
    <t>50875</t>
  </si>
  <si>
    <t>50925</t>
  </si>
  <si>
    <t>Trap found on its side</t>
  </si>
  <si>
    <t>50501</t>
  </si>
  <si>
    <t>Scabs around tag (mites on the scabs)</t>
  </si>
  <si>
    <t>Bot fly around genitals</t>
  </si>
  <si>
    <t>11992</t>
  </si>
  <si>
    <t>11991</t>
  </si>
  <si>
    <t>Late in morning, animal was processed and then released</t>
  </si>
  <si>
    <t>Rip in left ear but NO MITES</t>
  </si>
  <si>
    <t>NO MITES!!</t>
  </si>
  <si>
    <t>50780</t>
  </si>
  <si>
    <t>50779</t>
  </si>
  <si>
    <t>Released before looking for mites</t>
  </si>
  <si>
    <t>50794</t>
  </si>
  <si>
    <t>50928</t>
  </si>
  <si>
    <t>50927</t>
  </si>
  <si>
    <t>50850</t>
  </si>
  <si>
    <t>50849</t>
  </si>
  <si>
    <t>P096-16</t>
  </si>
  <si>
    <t>Cloiudy</t>
  </si>
  <si>
    <t>Growth on lower abdomen (bot fly?)</t>
  </si>
  <si>
    <t>50359</t>
  </si>
  <si>
    <t>50538</t>
  </si>
  <si>
    <t>50848</t>
  </si>
  <si>
    <t>50847</t>
  </si>
  <si>
    <t>17940</t>
  </si>
  <si>
    <t>Patch of skin without fur on lower left side of jaw/throat (from bot fly?)</t>
  </si>
  <si>
    <t>17927</t>
  </si>
  <si>
    <t>50929</t>
  </si>
  <si>
    <t>Retagged on left ear</t>
  </si>
  <si>
    <t>50841</t>
  </si>
  <si>
    <t>50950</t>
  </si>
  <si>
    <t>50842</t>
  </si>
  <si>
    <t>50932</t>
  </si>
  <si>
    <t>50838</t>
  </si>
  <si>
    <t>17926</t>
  </si>
  <si>
    <t>11998</t>
  </si>
  <si>
    <t>Very cold, wrapped in stuffing. No measurements taken</t>
  </si>
  <si>
    <t>50491</t>
  </si>
  <si>
    <t>50357</t>
  </si>
  <si>
    <t>50934</t>
  </si>
  <si>
    <t>Open wound beside genitals</t>
  </si>
  <si>
    <t>50665</t>
  </si>
  <si>
    <t>50664</t>
  </si>
  <si>
    <t>2877</t>
  </si>
  <si>
    <t>2876</t>
  </si>
  <si>
    <t>Not OMNR tags</t>
  </si>
  <si>
    <t>50633</t>
  </si>
  <si>
    <t>50634</t>
  </si>
  <si>
    <t>50836</t>
  </si>
  <si>
    <t>50935</t>
  </si>
  <si>
    <t>50937</t>
  </si>
  <si>
    <t>50936</t>
  </si>
  <si>
    <t>50786</t>
  </si>
  <si>
    <t>50785</t>
  </si>
  <si>
    <t>50947</t>
  </si>
  <si>
    <t>M084-16; M085-16</t>
  </si>
  <si>
    <t>2878</t>
  </si>
  <si>
    <t>Not OMNR tag</t>
  </si>
  <si>
    <t>Subcutaneous botfly in genital region</t>
  </si>
  <si>
    <t>2879</t>
  </si>
  <si>
    <t>2880</t>
  </si>
  <si>
    <t>Tick on posterior side of left ear</t>
  </si>
  <si>
    <t>Botfly on left side of abdomen</t>
  </si>
  <si>
    <t>50942</t>
  </si>
  <si>
    <t>Raining</t>
  </si>
  <si>
    <t>No measurements taken because of rain</t>
  </si>
  <si>
    <t>2881</t>
  </si>
  <si>
    <t>50941</t>
  </si>
  <si>
    <t xml:space="preserve">Very large botfly between leftside of face and left forelimb </t>
  </si>
  <si>
    <t>Unknown</t>
  </si>
  <si>
    <t>11951</t>
  </si>
  <si>
    <t>Escaped before skull length could be taken</t>
  </si>
  <si>
    <t>11953</t>
  </si>
  <si>
    <t>11952</t>
  </si>
  <si>
    <t>P112-16</t>
  </si>
  <si>
    <t xml:space="preserve">Raining </t>
  </si>
  <si>
    <t>Right ear ripped</t>
  </si>
  <si>
    <t xml:space="preserve"> </t>
  </si>
  <si>
    <t>11954</t>
  </si>
  <si>
    <t>raining</t>
  </si>
  <si>
    <t>P118-16; P119-16</t>
  </si>
  <si>
    <t>Tail very short, partially torn off</t>
  </si>
  <si>
    <t>MV</t>
  </si>
  <si>
    <t>11955</t>
  </si>
  <si>
    <t>11956</t>
  </si>
  <si>
    <t>P116-16</t>
  </si>
  <si>
    <t>15351</t>
  </si>
  <si>
    <t>M083-16</t>
  </si>
  <si>
    <t>11957</t>
  </si>
  <si>
    <t>11958</t>
  </si>
  <si>
    <t>11959</t>
  </si>
  <si>
    <t>Tick on left side of face</t>
  </si>
  <si>
    <t>11960</t>
  </si>
  <si>
    <t>11962</t>
  </si>
  <si>
    <t>11961</t>
  </si>
  <si>
    <t>11963</t>
  </si>
  <si>
    <t>SM</t>
  </si>
  <si>
    <t>11966</t>
  </si>
  <si>
    <t>11967</t>
  </si>
  <si>
    <t>bot fly on genitals</t>
  </si>
  <si>
    <t>P115-16</t>
  </si>
  <si>
    <t>11968</t>
  </si>
  <si>
    <t>P120-16</t>
  </si>
  <si>
    <t>50456</t>
  </si>
  <si>
    <t>50995</t>
  </si>
  <si>
    <t>11969</t>
  </si>
  <si>
    <t>11970</t>
  </si>
  <si>
    <t>11972</t>
  </si>
  <si>
    <t>11971</t>
  </si>
  <si>
    <t>Tail broken off</t>
  </si>
  <si>
    <t>11973</t>
  </si>
  <si>
    <t>11974</t>
  </si>
  <si>
    <t>17959</t>
  </si>
  <si>
    <t>50823</t>
  </si>
  <si>
    <t>50822</t>
  </si>
  <si>
    <t>Was getting late in the morning animal had to be released</t>
  </si>
  <si>
    <t>2882</t>
  </si>
  <si>
    <t>Botfly wound on shoulder</t>
  </si>
  <si>
    <t>50335</t>
  </si>
  <si>
    <t>50334</t>
  </si>
  <si>
    <t>50844</t>
  </si>
  <si>
    <t>50843</t>
  </si>
  <si>
    <t>Round mass on abdomen</t>
  </si>
  <si>
    <t>50846</t>
  </si>
  <si>
    <t>50845</t>
  </si>
  <si>
    <t>2883</t>
  </si>
  <si>
    <t>2884</t>
  </si>
  <si>
    <t>P107-16</t>
  </si>
  <si>
    <t>Rip in left ear from old tag</t>
  </si>
  <si>
    <t>2886</t>
  </si>
  <si>
    <t>2885</t>
  </si>
  <si>
    <t>50656</t>
  </si>
  <si>
    <t>2887</t>
  </si>
  <si>
    <t>2888</t>
  </si>
  <si>
    <t>Bot under chin/left arm</t>
  </si>
  <si>
    <t>2889</t>
  </si>
  <si>
    <t>2890</t>
  </si>
  <si>
    <t>M077-16</t>
  </si>
  <si>
    <t xml:space="preserve">Small, circular open wound beside genitals </t>
  </si>
  <si>
    <t>P084-16</t>
  </si>
  <si>
    <t>MF</t>
  </si>
  <si>
    <t>2891</t>
  </si>
  <si>
    <t xml:space="preserve">Very cold, wraped in bedding </t>
  </si>
  <si>
    <t>50731</t>
  </si>
  <si>
    <t>50832</t>
  </si>
  <si>
    <t>Bot fly on left side of abdomen</t>
  </si>
  <si>
    <t>2892</t>
  </si>
  <si>
    <t>M037-16</t>
  </si>
  <si>
    <t>2893</t>
  </si>
  <si>
    <t>11975</t>
  </si>
  <si>
    <t>17958</t>
  </si>
  <si>
    <t>11964</t>
  </si>
  <si>
    <t>P081-16</t>
  </si>
  <si>
    <t>11965</t>
  </si>
  <si>
    <t>single mite present</t>
  </si>
  <si>
    <t>2802</t>
  </si>
  <si>
    <t>2801</t>
  </si>
  <si>
    <t>P117-16</t>
  </si>
  <si>
    <t>Half of tail missing</t>
  </si>
  <si>
    <t>3 Bot flies on abdomin</t>
  </si>
  <si>
    <t>50996</t>
  </si>
  <si>
    <t>New</t>
  </si>
  <si>
    <t>Y (LEFT EAR TAG)</t>
  </si>
  <si>
    <t>Y (LEFT EAR AND RIGHT EAR TAG)</t>
  </si>
  <si>
    <t>2895</t>
  </si>
  <si>
    <t>2894</t>
  </si>
  <si>
    <t>2897</t>
  </si>
  <si>
    <t>2896</t>
  </si>
  <si>
    <t>Wound on shoulder</t>
  </si>
  <si>
    <t>50358</t>
  </si>
  <si>
    <t>Bot fly emerging from left arm</t>
  </si>
  <si>
    <t>2898</t>
  </si>
  <si>
    <t>M094-16</t>
  </si>
  <si>
    <t>Bot fly beside genitals</t>
  </si>
  <si>
    <t>2899</t>
  </si>
  <si>
    <t>2900</t>
  </si>
  <si>
    <t>M096-16</t>
  </si>
  <si>
    <t>2577</t>
  </si>
  <si>
    <t>2576</t>
  </si>
  <si>
    <t>2578</t>
  </si>
  <si>
    <t>2580</t>
  </si>
  <si>
    <t>2579</t>
  </si>
  <si>
    <t>50489</t>
  </si>
  <si>
    <t>2950</t>
  </si>
  <si>
    <t>2949</t>
  </si>
  <si>
    <t>P129-16</t>
  </si>
  <si>
    <t>2948</t>
  </si>
  <si>
    <t>P135-16</t>
  </si>
  <si>
    <t>2947</t>
  </si>
  <si>
    <t>P111-16</t>
  </si>
  <si>
    <t>2946</t>
  </si>
  <si>
    <t>2945</t>
  </si>
  <si>
    <t>A single mite on each ear</t>
  </si>
  <si>
    <t>2944</t>
  </si>
  <si>
    <t>2943</t>
  </si>
  <si>
    <t>2942</t>
  </si>
  <si>
    <t>2941</t>
  </si>
  <si>
    <t>P130-16</t>
  </si>
  <si>
    <t>Single mite on each ear</t>
  </si>
  <si>
    <t>New Tag/Released</t>
  </si>
  <si>
    <t>2940</t>
  </si>
  <si>
    <t>Animal was cold, therfore it was released</t>
  </si>
  <si>
    <t>Catarach in one eye</t>
  </si>
  <si>
    <t>2939</t>
  </si>
  <si>
    <t>Left ear had a single mite</t>
  </si>
  <si>
    <t>2938</t>
  </si>
  <si>
    <t>2937</t>
  </si>
  <si>
    <t>Single mite on the right ear</t>
  </si>
  <si>
    <t>2650</t>
  </si>
  <si>
    <t>2589</t>
  </si>
  <si>
    <t>2590</t>
  </si>
  <si>
    <t>2592</t>
  </si>
  <si>
    <t>2591</t>
  </si>
  <si>
    <t>2594</t>
  </si>
  <si>
    <t>2593</t>
  </si>
  <si>
    <t>2595</t>
  </si>
  <si>
    <t>Area without fur on left side of face</t>
  </si>
  <si>
    <t>Not oMNR tag</t>
  </si>
  <si>
    <t>2597</t>
  </si>
  <si>
    <t>2596</t>
  </si>
  <si>
    <t>2598</t>
  </si>
  <si>
    <t>2599</t>
  </si>
  <si>
    <t>M047-16</t>
  </si>
  <si>
    <t>2600</t>
  </si>
  <si>
    <t>Tic on left side of face</t>
  </si>
  <si>
    <t>2526</t>
  </si>
  <si>
    <t>2527</t>
  </si>
  <si>
    <t>2528</t>
  </si>
  <si>
    <t>Area on right abdomen that is growing back fur</t>
  </si>
  <si>
    <t>2529</t>
  </si>
  <si>
    <t>Left ear is riped from previous ear tag</t>
  </si>
  <si>
    <t>Bot fly beside hind left leg</t>
  </si>
  <si>
    <t>Last 2 apendiges on left from leg were bloody</t>
  </si>
  <si>
    <t>2530</t>
  </si>
  <si>
    <t>2531</t>
  </si>
  <si>
    <t>M095-16</t>
  </si>
  <si>
    <t>2936</t>
  </si>
  <si>
    <t>2935</t>
  </si>
  <si>
    <t>P086-16</t>
  </si>
  <si>
    <t>P134-16</t>
  </si>
  <si>
    <t>2934</t>
  </si>
  <si>
    <t>M057-16</t>
  </si>
  <si>
    <t>2933</t>
  </si>
  <si>
    <t>P082-16</t>
  </si>
  <si>
    <t>Single mite present on right ear</t>
  </si>
  <si>
    <t>2932</t>
  </si>
  <si>
    <t>P126-16; P136-16</t>
  </si>
  <si>
    <t>possible bot fly scar on chest</t>
  </si>
  <si>
    <t>P128-16</t>
  </si>
  <si>
    <t>Infection around left eye</t>
  </si>
  <si>
    <t>50923</t>
  </si>
  <si>
    <t>50922</t>
  </si>
  <si>
    <t>Bot fly on chest or possible scar</t>
  </si>
  <si>
    <t>50799</t>
  </si>
  <si>
    <t>50798</t>
  </si>
  <si>
    <t>2533</t>
  </si>
  <si>
    <t>2532</t>
  </si>
  <si>
    <t>2534</t>
  </si>
  <si>
    <t>2535</t>
  </si>
  <si>
    <t>Trap found on side</t>
  </si>
  <si>
    <t>2537</t>
  </si>
  <si>
    <t>2536</t>
  </si>
  <si>
    <t>Bot fly beside genitals and front legs</t>
  </si>
  <si>
    <t>Very cold, no measurements taken</t>
  </si>
  <si>
    <t>2538</t>
  </si>
  <si>
    <t>trap Disturbance</t>
  </si>
  <si>
    <t>2539</t>
  </si>
  <si>
    <t>2540</t>
  </si>
  <si>
    <t>2541</t>
  </si>
  <si>
    <t>P090-16</t>
  </si>
  <si>
    <t>Missing part of tail</t>
  </si>
  <si>
    <t>Left ear is riped from previous tag</t>
  </si>
  <si>
    <t>2543</t>
  </si>
  <si>
    <t>2542</t>
  </si>
  <si>
    <t>2544</t>
  </si>
  <si>
    <t>2545</t>
  </si>
  <si>
    <t>50740</t>
  </si>
  <si>
    <t>Bot fly on abdomen</t>
  </si>
  <si>
    <t>50314</t>
  </si>
  <si>
    <t>Multiple bot flies around genitals</t>
  </si>
  <si>
    <t>26633</t>
  </si>
  <si>
    <t>Bot fly emerging beside right arm</t>
  </si>
  <si>
    <t>2546</t>
  </si>
  <si>
    <t>2548</t>
  </si>
  <si>
    <t>2547</t>
  </si>
  <si>
    <t>Bot fly exit wound beside genitals</t>
  </si>
  <si>
    <t>Patch without fur behind right ear</t>
  </si>
  <si>
    <t>M089-16</t>
  </si>
  <si>
    <t>2a</t>
  </si>
  <si>
    <t>2549</t>
  </si>
  <si>
    <t>Bot fly near back right leg</t>
  </si>
  <si>
    <t>2550</t>
  </si>
  <si>
    <t>M087-16</t>
  </si>
  <si>
    <t>2931</t>
  </si>
  <si>
    <t>Bot fly scar on right side of chest</t>
  </si>
  <si>
    <t>50577</t>
  </si>
  <si>
    <t>50576</t>
  </si>
  <si>
    <t>50886</t>
  </si>
  <si>
    <t>50885</t>
  </si>
  <si>
    <t>P114-16</t>
  </si>
  <si>
    <t>2825</t>
  </si>
  <si>
    <t>2824</t>
  </si>
  <si>
    <t>Multiple bot flies on genitals</t>
  </si>
  <si>
    <t>2823</t>
  </si>
  <si>
    <t>50767</t>
  </si>
  <si>
    <t>Was getting late in the day, therefore the animal had to be released</t>
  </si>
  <si>
    <t>Year</t>
  </si>
  <si>
    <t>LACT</t>
  </si>
  <si>
    <t>PERF/LACT</t>
  </si>
  <si>
    <t>PREG/LACT</t>
  </si>
  <si>
    <t>* Escaped</t>
  </si>
  <si>
    <t xml:space="preserve">LACT </t>
  </si>
  <si>
    <t xml:space="preserve">PREG </t>
  </si>
  <si>
    <t>50582</t>
  </si>
  <si>
    <t>50467</t>
  </si>
  <si>
    <t>06/08/2020</t>
  </si>
  <si>
    <t>0000</t>
  </si>
  <si>
    <t>0003</t>
  </si>
  <si>
    <t>0002</t>
  </si>
  <si>
    <t>0005</t>
  </si>
  <si>
    <t>0004</t>
  </si>
  <si>
    <t>19/08/2020</t>
  </si>
  <si>
    <t>20/08/2020</t>
  </si>
  <si>
    <t>0007</t>
  </si>
  <si>
    <t>0006</t>
  </si>
  <si>
    <t>21/08/2020</t>
  </si>
  <si>
    <t>0009</t>
  </si>
  <si>
    <t>0008</t>
  </si>
  <si>
    <t>0011</t>
  </si>
  <si>
    <t>05/08/2020</t>
  </si>
  <si>
    <t>0014</t>
  </si>
  <si>
    <t>0013</t>
  </si>
  <si>
    <t>0016</t>
  </si>
  <si>
    <t>0015</t>
  </si>
  <si>
    <t>0019</t>
  </si>
  <si>
    <t>0018</t>
  </si>
  <si>
    <t>0020</t>
  </si>
  <si>
    <t>0022</t>
  </si>
  <si>
    <t>0021</t>
  </si>
  <si>
    <t>0024</t>
  </si>
  <si>
    <t>0023</t>
  </si>
  <si>
    <t>0027</t>
  </si>
  <si>
    <t>0026</t>
  </si>
  <si>
    <t>0028</t>
  </si>
  <si>
    <t>0029</t>
  </si>
  <si>
    <t>0031</t>
  </si>
  <si>
    <t>0030</t>
  </si>
  <si>
    <t>12/08/2020</t>
  </si>
  <si>
    <t>0035</t>
  </si>
  <si>
    <t>0034</t>
  </si>
  <si>
    <t>11/08/2020</t>
  </si>
  <si>
    <t>0037</t>
  </si>
  <si>
    <t>0036</t>
  </si>
  <si>
    <t>0039</t>
  </si>
  <si>
    <t>0038</t>
  </si>
  <si>
    <t>0041</t>
  </si>
  <si>
    <t>0040</t>
  </si>
  <si>
    <t>0042</t>
  </si>
  <si>
    <t>0043</t>
  </si>
  <si>
    <t>0045</t>
  </si>
  <si>
    <t>0044</t>
  </si>
  <si>
    <t>0047</t>
  </si>
  <si>
    <t>0046</t>
  </si>
  <si>
    <t>0049</t>
  </si>
  <si>
    <t>0050</t>
  </si>
  <si>
    <t>0052</t>
  </si>
  <si>
    <t>1683</t>
  </si>
  <si>
    <t>13/08/2020</t>
  </si>
  <si>
    <t>0053</t>
  </si>
  <si>
    <t>0055</t>
  </si>
  <si>
    <t>0054</t>
  </si>
  <si>
    <t>0057</t>
  </si>
  <si>
    <t>0056</t>
  </si>
  <si>
    <t>0059</t>
  </si>
  <si>
    <t>0058</t>
  </si>
  <si>
    <t>0061</t>
  </si>
  <si>
    <t>0060</t>
  </si>
  <si>
    <t>0063</t>
  </si>
  <si>
    <t>0062</t>
  </si>
  <si>
    <t>0065</t>
  </si>
  <si>
    <t>0064</t>
  </si>
  <si>
    <t>0067</t>
  </si>
  <si>
    <t>0066</t>
  </si>
  <si>
    <t>0069</t>
  </si>
  <si>
    <t>0068</t>
  </si>
  <si>
    <t>0071</t>
  </si>
  <si>
    <t>0070</t>
  </si>
  <si>
    <t>0074</t>
  </si>
  <si>
    <t>0073</t>
  </si>
  <si>
    <t>04/08/2020</t>
  </si>
  <si>
    <t>0076</t>
  </si>
  <si>
    <t>0075</t>
  </si>
  <si>
    <t>0077</t>
  </si>
  <si>
    <t>0079</t>
  </si>
  <si>
    <t>0078</t>
  </si>
  <si>
    <t>0080</t>
  </si>
  <si>
    <t>0085</t>
  </si>
  <si>
    <t>0084</t>
  </si>
  <si>
    <t>0087</t>
  </si>
  <si>
    <t>0086</t>
  </si>
  <si>
    <t>0089</t>
  </si>
  <si>
    <t>0088</t>
  </si>
  <si>
    <t>0091</t>
  </si>
  <si>
    <t>0090</t>
  </si>
  <si>
    <t>0094</t>
  </si>
  <si>
    <t>0093</t>
  </si>
  <si>
    <t>0096</t>
  </si>
  <si>
    <t>0095</t>
  </si>
  <si>
    <t>30/07/2020</t>
  </si>
  <si>
    <t>0098</t>
  </si>
  <si>
    <t>0097</t>
  </si>
  <si>
    <t>29/07/2020</t>
  </si>
  <si>
    <t>0100</t>
  </si>
  <si>
    <t>0099</t>
  </si>
  <si>
    <t>0104</t>
  </si>
  <si>
    <t>0106</t>
  </si>
  <si>
    <t>0105</t>
  </si>
  <si>
    <t>0108</t>
  </si>
  <si>
    <t>0107</t>
  </si>
  <si>
    <t>0110</t>
  </si>
  <si>
    <t>0109</t>
  </si>
  <si>
    <t>0112</t>
  </si>
  <si>
    <t>0111</t>
  </si>
  <si>
    <t>0114</t>
  </si>
  <si>
    <t>0113</t>
  </si>
  <si>
    <t>0116</t>
  </si>
  <si>
    <t>0115</t>
  </si>
  <si>
    <t>0118</t>
  </si>
  <si>
    <t>0117</t>
  </si>
  <si>
    <t>0120</t>
  </si>
  <si>
    <t>0119</t>
  </si>
  <si>
    <t>0122</t>
  </si>
  <si>
    <t>0121</t>
  </si>
  <si>
    <t>0124</t>
  </si>
  <si>
    <t>0123</t>
  </si>
  <si>
    <t>0126</t>
  </si>
  <si>
    <t>1997</t>
  </si>
  <si>
    <t>0127</t>
  </si>
  <si>
    <t>0129</t>
  </si>
  <si>
    <t>1888</t>
  </si>
  <si>
    <t>0132</t>
  </si>
  <si>
    <t>0131</t>
  </si>
  <si>
    <t>0134</t>
  </si>
  <si>
    <t>0133</t>
  </si>
  <si>
    <t>0136</t>
  </si>
  <si>
    <t>0135</t>
  </si>
  <si>
    <t>0138</t>
  </si>
  <si>
    <t>0140</t>
  </si>
  <si>
    <t>0139</t>
  </si>
  <si>
    <t>0142</t>
  </si>
  <si>
    <t>0141</t>
  </si>
  <si>
    <t>0144</t>
  </si>
  <si>
    <t>0143</t>
  </si>
  <si>
    <t>0146</t>
  </si>
  <si>
    <t>0145</t>
  </si>
  <si>
    <t>0148</t>
  </si>
  <si>
    <t>0147</t>
  </si>
  <si>
    <t>0150</t>
  </si>
  <si>
    <t>0149</t>
  </si>
  <si>
    <t>0169</t>
  </si>
  <si>
    <t>0168</t>
  </si>
  <si>
    <t>0171</t>
  </si>
  <si>
    <t>0173</t>
  </si>
  <si>
    <t>0172</t>
  </si>
  <si>
    <t>0175</t>
  </si>
  <si>
    <t>0174</t>
  </si>
  <si>
    <t>0227</t>
  </si>
  <si>
    <t>0226</t>
  </si>
  <si>
    <t>0229</t>
  </si>
  <si>
    <t>0228</t>
  </si>
  <si>
    <t>0230</t>
  </si>
  <si>
    <t>0231</t>
  </si>
  <si>
    <t>0233</t>
  </si>
  <si>
    <t>0232</t>
  </si>
  <si>
    <t>0236</t>
  </si>
  <si>
    <t>0235</t>
  </si>
  <si>
    <t>0238</t>
  </si>
  <si>
    <t>0237</t>
  </si>
  <si>
    <t>0240</t>
  </si>
  <si>
    <t>0239</t>
  </si>
  <si>
    <t>0243</t>
  </si>
  <si>
    <t>0242</t>
  </si>
  <si>
    <t>0245</t>
  </si>
  <si>
    <t>0244</t>
  </si>
  <si>
    <t>0248</t>
  </si>
  <si>
    <t>0249</t>
  </si>
  <si>
    <t>0250</t>
  </si>
  <si>
    <t>0275</t>
  </si>
  <si>
    <t>0294</t>
  </si>
  <si>
    <t>0293</t>
  </si>
  <si>
    <t>0296</t>
  </si>
  <si>
    <t>0295</t>
  </si>
  <si>
    <t>0298</t>
  </si>
  <si>
    <t>0297</t>
  </si>
  <si>
    <t>0300</t>
  </si>
  <si>
    <t>0299</t>
  </si>
  <si>
    <t>1013</t>
  </si>
  <si>
    <t>21/07/2020</t>
  </si>
  <si>
    <t>22/07/2020</t>
  </si>
  <si>
    <t>23/07/2020</t>
  </si>
  <si>
    <t>1019</t>
  </si>
  <si>
    <t>1018</t>
  </si>
  <si>
    <t>1022</t>
  </si>
  <si>
    <t>1021</t>
  </si>
  <si>
    <t>1063</t>
  </si>
  <si>
    <t>1062</t>
  </si>
  <si>
    <t>1248</t>
  </si>
  <si>
    <t>1249</t>
  </si>
  <si>
    <t>1250</t>
  </si>
  <si>
    <t>1371</t>
  </si>
  <si>
    <t>1480</t>
  </si>
  <si>
    <t>1479</t>
  </si>
  <si>
    <t>1482</t>
  </si>
  <si>
    <t>1481</t>
  </si>
  <si>
    <t>1484</t>
  </si>
  <si>
    <t>1483</t>
  </si>
  <si>
    <t>1492</t>
  </si>
  <si>
    <t>1491</t>
  </si>
  <si>
    <t>1494</t>
  </si>
  <si>
    <t>1493</t>
  </si>
  <si>
    <t>1533</t>
  </si>
  <si>
    <t>1532</t>
  </si>
  <si>
    <t>1537</t>
  </si>
  <si>
    <t>1536</t>
  </si>
  <si>
    <t>1539</t>
  </si>
  <si>
    <t>1538</t>
  </si>
  <si>
    <t>13/07/2020</t>
  </si>
  <si>
    <t>14/07/2020</t>
  </si>
  <si>
    <t>28/07/2020</t>
  </si>
  <si>
    <t>1613</t>
  </si>
  <si>
    <t>1612</t>
  </si>
  <si>
    <t>1623</t>
  </si>
  <si>
    <t>1622</t>
  </si>
  <si>
    <t>12/07/2020</t>
  </si>
  <si>
    <t>1629</t>
  </si>
  <si>
    <t>1628</t>
  </si>
  <si>
    <t>1634</t>
  </si>
  <si>
    <t>1633</t>
  </si>
  <si>
    <t>1641</t>
  </si>
  <si>
    <t>1640</t>
  </si>
  <si>
    <t>1650</t>
  </si>
  <si>
    <t>1649</t>
  </si>
  <si>
    <t>15/07/2020</t>
  </si>
  <si>
    <t>16/07/2020</t>
  </si>
  <si>
    <t>17/07/2020</t>
  </si>
  <si>
    <t>1680</t>
  </si>
  <si>
    <t>1679</t>
  </si>
  <si>
    <t>1684</t>
  </si>
  <si>
    <t>1686</t>
  </si>
  <si>
    <t>1685</t>
  </si>
  <si>
    <t>1688</t>
  </si>
  <si>
    <t>1687</t>
  </si>
  <si>
    <t>1692</t>
  </si>
  <si>
    <t>1741</t>
  </si>
  <si>
    <t>1696</t>
  </si>
  <si>
    <t>1695</t>
  </si>
  <si>
    <t>1702</t>
  </si>
  <si>
    <t>1701</t>
  </si>
  <si>
    <t>1704</t>
  </si>
  <si>
    <t>1703</t>
  </si>
  <si>
    <t>1707</t>
  </si>
  <si>
    <t>1706</t>
  </si>
  <si>
    <t>1717</t>
  </si>
  <si>
    <t>1716</t>
  </si>
  <si>
    <t>1719</t>
  </si>
  <si>
    <t>1718</t>
  </si>
  <si>
    <t>1721</t>
  </si>
  <si>
    <t>1720</t>
  </si>
  <si>
    <t>1723</t>
  </si>
  <si>
    <t>1722</t>
  </si>
  <si>
    <t>1725</t>
  </si>
  <si>
    <t>1724</t>
  </si>
  <si>
    <t>1738</t>
  </si>
  <si>
    <t>1737</t>
  </si>
  <si>
    <t>1743</t>
  </si>
  <si>
    <t>1742</t>
  </si>
  <si>
    <t>1748</t>
  </si>
  <si>
    <t>1747</t>
  </si>
  <si>
    <t>1803</t>
  </si>
  <si>
    <t>1802</t>
  </si>
  <si>
    <t>1817</t>
  </si>
  <si>
    <t>1816</t>
  </si>
  <si>
    <t>1125</t>
  </si>
  <si>
    <t>1827</t>
  </si>
  <si>
    <t>1826</t>
  </si>
  <si>
    <t>1829</t>
  </si>
  <si>
    <t>1740</t>
  </si>
  <si>
    <t>1831</t>
  </si>
  <si>
    <t>1830</t>
  </si>
  <si>
    <t>1833</t>
  </si>
  <si>
    <t>1832</t>
  </si>
  <si>
    <t>1835</t>
  </si>
  <si>
    <t>1733</t>
  </si>
  <si>
    <t>1837</t>
  </si>
  <si>
    <t>1836</t>
  </si>
  <si>
    <t>1839</t>
  </si>
  <si>
    <t>1838</t>
  </si>
  <si>
    <t>1844</t>
  </si>
  <si>
    <t>1843</t>
  </si>
  <si>
    <t>1847</t>
  </si>
  <si>
    <t>1846</t>
  </si>
  <si>
    <t>1855</t>
  </si>
  <si>
    <t>1854</t>
  </si>
  <si>
    <t>1857</t>
  </si>
  <si>
    <t>1736</t>
  </si>
  <si>
    <t>1859</t>
  </si>
  <si>
    <t>1858</t>
  </si>
  <si>
    <t>1862</t>
  </si>
  <si>
    <t>1861</t>
  </si>
  <si>
    <t>1866</t>
  </si>
  <si>
    <t>1865</t>
  </si>
  <si>
    <t>1870</t>
  </si>
  <si>
    <t>1869</t>
  </si>
  <si>
    <t>1875</t>
  </si>
  <si>
    <t>1874</t>
  </si>
  <si>
    <t>1881</t>
  </si>
  <si>
    <t>1880</t>
  </si>
  <si>
    <t>1883</t>
  </si>
  <si>
    <t>1882</t>
  </si>
  <si>
    <t>1885</t>
  </si>
  <si>
    <t>1884</t>
  </si>
  <si>
    <t>1887</t>
  </si>
  <si>
    <t>1886</t>
  </si>
  <si>
    <t>1889</t>
  </si>
  <si>
    <t>0083</t>
  </si>
  <si>
    <t>1895</t>
  </si>
  <si>
    <t>1894</t>
  </si>
  <si>
    <t>1907</t>
  </si>
  <si>
    <t>1896</t>
  </si>
  <si>
    <t>1909</t>
  </si>
  <si>
    <t>1908</t>
  </si>
  <si>
    <t>1911</t>
  </si>
  <si>
    <t>1910</t>
  </si>
  <si>
    <t>1913</t>
  </si>
  <si>
    <t>1912</t>
  </si>
  <si>
    <t>1915</t>
  </si>
  <si>
    <t>1914</t>
  </si>
  <si>
    <t>1917</t>
  </si>
  <si>
    <t>1916</t>
  </si>
  <si>
    <t>1921</t>
  </si>
  <si>
    <t>0072</t>
  </si>
  <si>
    <t>1925</t>
  </si>
  <si>
    <t>1924</t>
  </si>
  <si>
    <t>1931</t>
  </si>
  <si>
    <t>1941</t>
  </si>
  <si>
    <t>1940</t>
  </si>
  <si>
    <t>1948</t>
  </si>
  <si>
    <t>1947</t>
  </si>
  <si>
    <t>1951</t>
  </si>
  <si>
    <t>1953</t>
  </si>
  <si>
    <t>1954</t>
  </si>
  <si>
    <t>1955</t>
  </si>
  <si>
    <t>1957</t>
  </si>
  <si>
    <t>1956</t>
  </si>
  <si>
    <t>1959</t>
  </si>
  <si>
    <t>1958</t>
  </si>
  <si>
    <t>1961</t>
  </si>
  <si>
    <t>1960</t>
  </si>
  <si>
    <t>1963</t>
  </si>
  <si>
    <t>1962</t>
  </si>
  <si>
    <t>1965</t>
  </si>
  <si>
    <t>1964</t>
  </si>
  <si>
    <t>1967</t>
  </si>
  <si>
    <t>1966</t>
  </si>
  <si>
    <t>1969</t>
  </si>
  <si>
    <t>1968</t>
  </si>
  <si>
    <t>1970</t>
  </si>
  <si>
    <t>1973</t>
  </si>
  <si>
    <t>1972</t>
  </si>
  <si>
    <t>1988</t>
  </si>
  <si>
    <t>1987</t>
  </si>
  <si>
    <t>1992</t>
  </si>
  <si>
    <t>1991</t>
  </si>
  <si>
    <t>1996</t>
  </si>
  <si>
    <t>1995</t>
  </si>
  <si>
    <t>2000</t>
  </si>
  <si>
    <t>1999</t>
  </si>
  <si>
    <t>0012</t>
  </si>
  <si>
    <t>1730</t>
  </si>
  <si>
    <t>Trap Predation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</si>
</sst>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3" fillId="0" borderId="0" xfId="1" applyFont="1"/>
    <xf numFmtId="49" fontId="3" fillId="0" borderId="0" xfId="1" applyNumberFormat="1" applyFont="1"/>
    <xf numFmtId="0" fontId="1" fillId="0" borderId="0" xfId="0" applyFont="1"/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0" fontId="3" fillId="0" borderId="0" xfId="1" applyFont="1" applyFill="1"/>
    <xf numFmtId="0" fontId="4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071"/>
  <sheetViews>
    <sheetView topLeftCell="A1230" zoomScaleNormal="100" workbookViewId="0">
      <selection activeCell="J9" sqref="J9"/>
    </sheetView>
  </sheetViews>
  <sheetFormatPr defaultRowHeight="15" x14ac:dyDescent="0.25"/>
  <cols>
    <col min="1" max="1" width="10.140625" bestFit="1" customWidth="1"/>
    <col min="7" max="7" width="15.28515625" customWidth="1"/>
    <col min="8" max="8" width="21.28515625" customWidth="1"/>
    <col min="10" max="10" width="16.140625" customWidth="1"/>
    <col min="23" max="23" width="13.28515625" customWidth="1"/>
    <col min="24" max="24" width="16.5703125" customWidth="1"/>
    <col min="27" max="27" width="18.140625" customWidth="1"/>
    <col min="28" max="28" width="13.140625" customWidth="1"/>
    <col min="29" max="29" width="12.140625" customWidth="1"/>
  </cols>
  <sheetData>
    <row r="1" spans="1:30" ht="14.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3" t="s">
        <v>29</v>
      </c>
    </row>
    <row r="2" spans="1:30" x14ac:dyDescent="0.25">
      <c r="A2" s="4">
        <v>42493</v>
      </c>
      <c r="B2" t="s">
        <v>30</v>
      </c>
      <c r="C2">
        <v>201</v>
      </c>
      <c r="D2">
        <v>1</v>
      </c>
      <c r="E2">
        <v>1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>
        <v>0</v>
      </c>
      <c r="N2">
        <v>1</v>
      </c>
      <c r="O2" s="5">
        <v>2707</v>
      </c>
      <c r="P2" s="5">
        <v>2708</v>
      </c>
      <c r="Q2">
        <f>25.25-8.25</f>
        <v>17</v>
      </c>
      <c r="R2" t="s">
        <v>38</v>
      </c>
      <c r="S2" t="s">
        <v>39</v>
      </c>
      <c r="T2">
        <v>19</v>
      </c>
      <c r="U2">
        <v>90</v>
      </c>
      <c r="V2">
        <v>14</v>
      </c>
      <c r="Z2" t="s">
        <v>39</v>
      </c>
      <c r="AB2" t="s">
        <v>40</v>
      </c>
    </row>
    <row r="3" spans="1:30" x14ac:dyDescent="0.25">
      <c r="A3" s="4">
        <v>42493</v>
      </c>
      <c r="B3" t="s">
        <v>30</v>
      </c>
      <c r="C3">
        <v>201</v>
      </c>
      <c r="D3">
        <v>7</v>
      </c>
      <c r="E3">
        <v>1</v>
      </c>
      <c r="F3" t="s">
        <v>41</v>
      </c>
      <c r="G3" t="s">
        <v>32</v>
      </c>
      <c r="H3" t="s">
        <v>33</v>
      </c>
      <c r="I3" t="s">
        <v>34</v>
      </c>
      <c r="J3" t="s">
        <v>42</v>
      </c>
      <c r="K3" t="s">
        <v>36</v>
      </c>
      <c r="L3" t="s">
        <v>43</v>
      </c>
      <c r="M3">
        <v>0</v>
      </c>
      <c r="N3">
        <v>1</v>
      </c>
      <c r="O3" s="5">
        <v>26645</v>
      </c>
      <c r="P3" s="5">
        <v>26646</v>
      </c>
      <c r="Q3">
        <f>27-7.75</f>
        <v>19.25</v>
      </c>
      <c r="R3" t="s">
        <v>44</v>
      </c>
      <c r="S3" t="s">
        <v>39</v>
      </c>
      <c r="T3">
        <v>19</v>
      </c>
      <c r="U3">
        <v>85</v>
      </c>
      <c r="V3">
        <v>11</v>
      </c>
      <c r="Z3" t="s">
        <v>39</v>
      </c>
      <c r="AB3" t="s">
        <v>40</v>
      </c>
    </row>
    <row r="4" spans="1:30" x14ac:dyDescent="0.25">
      <c r="A4" s="4">
        <v>42493</v>
      </c>
      <c r="B4" t="s">
        <v>30</v>
      </c>
      <c r="C4">
        <v>203</v>
      </c>
      <c r="D4">
        <v>3</v>
      </c>
      <c r="E4">
        <v>1</v>
      </c>
      <c r="F4" t="s">
        <v>41</v>
      </c>
      <c r="G4" t="s">
        <v>32</v>
      </c>
      <c r="H4" t="s">
        <v>33</v>
      </c>
      <c r="I4" t="s">
        <v>34</v>
      </c>
      <c r="J4" t="s">
        <v>35</v>
      </c>
      <c r="K4" t="s">
        <v>36</v>
      </c>
      <c r="L4" t="s">
        <v>43</v>
      </c>
      <c r="M4">
        <v>0</v>
      </c>
      <c r="N4">
        <v>0</v>
      </c>
      <c r="O4" s="5" t="s">
        <v>45</v>
      </c>
      <c r="P4" s="5" t="s">
        <v>46</v>
      </c>
      <c r="Q4">
        <f>29.5-8</f>
        <v>21.5</v>
      </c>
      <c r="R4" t="s">
        <v>47</v>
      </c>
      <c r="S4" t="s">
        <v>39</v>
      </c>
      <c r="T4">
        <v>21</v>
      </c>
      <c r="U4">
        <v>82</v>
      </c>
      <c r="V4">
        <v>13</v>
      </c>
      <c r="Z4" t="s">
        <v>39</v>
      </c>
      <c r="AB4" t="s">
        <v>40</v>
      </c>
    </row>
    <row r="5" spans="1:30" x14ac:dyDescent="0.25">
      <c r="A5" s="4">
        <v>42493</v>
      </c>
      <c r="B5" t="s">
        <v>30</v>
      </c>
      <c r="C5">
        <v>202</v>
      </c>
      <c r="D5">
        <v>6</v>
      </c>
      <c r="E5">
        <v>1</v>
      </c>
      <c r="F5" t="s">
        <v>41</v>
      </c>
      <c r="G5" t="s">
        <v>32</v>
      </c>
      <c r="H5" t="s">
        <v>33</v>
      </c>
      <c r="I5" t="s">
        <v>34</v>
      </c>
      <c r="J5" t="s">
        <v>35</v>
      </c>
      <c r="K5" t="s">
        <v>36</v>
      </c>
      <c r="L5" t="s">
        <v>37</v>
      </c>
      <c r="M5">
        <v>0</v>
      </c>
      <c r="N5">
        <v>0</v>
      </c>
      <c r="O5" s="5" t="s">
        <v>48</v>
      </c>
      <c r="P5" s="5" t="s">
        <v>49</v>
      </c>
      <c r="Q5">
        <v>21.6</v>
      </c>
      <c r="R5" t="s">
        <v>38</v>
      </c>
      <c r="S5" t="s">
        <v>39</v>
      </c>
      <c r="T5">
        <v>19</v>
      </c>
      <c r="U5">
        <v>74</v>
      </c>
      <c r="V5">
        <v>15</v>
      </c>
      <c r="Z5" t="s">
        <v>39</v>
      </c>
      <c r="AB5" t="s">
        <v>40</v>
      </c>
    </row>
    <row r="6" spans="1:30" x14ac:dyDescent="0.25">
      <c r="A6" s="4">
        <v>42493</v>
      </c>
      <c r="B6" t="s">
        <v>30</v>
      </c>
      <c r="C6">
        <v>202</v>
      </c>
      <c r="D6">
        <v>8</v>
      </c>
      <c r="E6">
        <v>1</v>
      </c>
      <c r="F6" t="s">
        <v>41</v>
      </c>
      <c r="G6" t="s">
        <v>32</v>
      </c>
      <c r="H6" t="s">
        <v>33</v>
      </c>
      <c r="J6" t="s">
        <v>50</v>
      </c>
      <c r="O6" s="5"/>
      <c r="P6" s="5"/>
      <c r="Z6" t="s">
        <v>39</v>
      </c>
      <c r="AB6" t="s">
        <v>40</v>
      </c>
    </row>
    <row r="7" spans="1:30" x14ac:dyDescent="0.25">
      <c r="A7" s="4">
        <v>42493</v>
      </c>
      <c r="B7" t="s">
        <v>30</v>
      </c>
      <c r="C7">
        <v>201</v>
      </c>
      <c r="D7">
        <v>2</v>
      </c>
      <c r="E7">
        <v>1</v>
      </c>
      <c r="F7" t="s">
        <v>31</v>
      </c>
      <c r="G7" t="s">
        <v>32</v>
      </c>
      <c r="H7" t="s">
        <v>33</v>
      </c>
      <c r="I7" t="s">
        <v>34</v>
      </c>
      <c r="J7" t="s">
        <v>42</v>
      </c>
      <c r="K7" t="s">
        <v>36</v>
      </c>
      <c r="L7" t="s">
        <v>43</v>
      </c>
      <c r="M7">
        <v>0</v>
      </c>
      <c r="N7">
        <v>1</v>
      </c>
      <c r="O7" s="5">
        <v>26648</v>
      </c>
      <c r="P7" s="5">
        <v>26647</v>
      </c>
      <c r="Q7">
        <f>29.25-8.25</f>
        <v>21</v>
      </c>
      <c r="R7" t="s">
        <v>47</v>
      </c>
      <c r="S7" t="s">
        <v>39</v>
      </c>
      <c r="T7">
        <v>19</v>
      </c>
      <c r="U7">
        <v>93</v>
      </c>
      <c r="V7">
        <v>11.5</v>
      </c>
      <c r="Z7" t="s">
        <v>39</v>
      </c>
      <c r="AB7" t="s">
        <v>40</v>
      </c>
    </row>
    <row r="8" spans="1:30" x14ac:dyDescent="0.25">
      <c r="A8" s="4">
        <v>42493</v>
      </c>
      <c r="B8" t="s">
        <v>30</v>
      </c>
      <c r="C8">
        <v>201</v>
      </c>
      <c r="D8">
        <v>6</v>
      </c>
      <c r="E8">
        <v>1</v>
      </c>
      <c r="F8" t="s">
        <v>31</v>
      </c>
      <c r="G8" t="s">
        <v>32</v>
      </c>
      <c r="H8" t="s">
        <v>33</v>
      </c>
      <c r="J8" t="s">
        <v>50</v>
      </c>
      <c r="O8" s="5"/>
      <c r="P8" s="5"/>
      <c r="Z8" t="s">
        <v>39</v>
      </c>
    </row>
    <row r="9" spans="1:30" x14ac:dyDescent="0.25">
      <c r="A9" s="4">
        <v>42493</v>
      </c>
      <c r="B9" t="s">
        <v>30</v>
      </c>
      <c r="C9">
        <v>203</v>
      </c>
      <c r="D9">
        <v>8</v>
      </c>
      <c r="E9">
        <v>1</v>
      </c>
      <c r="F9" t="s">
        <v>31</v>
      </c>
      <c r="G9" t="s">
        <v>32</v>
      </c>
      <c r="H9" t="s">
        <v>33</v>
      </c>
      <c r="I9" t="s">
        <v>34</v>
      </c>
      <c r="J9" t="s">
        <v>51</v>
      </c>
      <c r="K9" t="s">
        <v>36</v>
      </c>
      <c r="L9" t="s">
        <v>37</v>
      </c>
      <c r="M9">
        <v>1</v>
      </c>
      <c r="N9">
        <v>1</v>
      </c>
      <c r="O9" s="5">
        <v>26626</v>
      </c>
      <c r="P9" s="5" t="s">
        <v>52</v>
      </c>
      <c r="Q9">
        <f>26.75-8.25</f>
        <v>18.5</v>
      </c>
      <c r="R9" t="s">
        <v>38</v>
      </c>
      <c r="S9" t="s">
        <v>39</v>
      </c>
      <c r="T9">
        <v>19</v>
      </c>
      <c r="U9">
        <v>83</v>
      </c>
      <c r="V9">
        <v>11</v>
      </c>
      <c r="Z9" t="s">
        <v>39</v>
      </c>
      <c r="AB9" t="s">
        <v>40</v>
      </c>
    </row>
    <row r="10" spans="1:30" x14ac:dyDescent="0.25">
      <c r="A10" s="4">
        <v>42493</v>
      </c>
      <c r="B10" t="s">
        <v>30</v>
      </c>
      <c r="C10">
        <v>203</v>
      </c>
      <c r="D10" s="6">
        <v>10</v>
      </c>
      <c r="E10">
        <v>1</v>
      </c>
      <c r="F10" t="s">
        <v>31</v>
      </c>
      <c r="G10" t="s">
        <v>32</v>
      </c>
      <c r="H10" t="s">
        <v>33</v>
      </c>
      <c r="I10" t="s">
        <v>53</v>
      </c>
      <c r="J10" t="s">
        <v>54</v>
      </c>
      <c r="O10" s="5"/>
      <c r="P10" s="5"/>
      <c r="Z10" t="s">
        <v>39</v>
      </c>
      <c r="AB10" t="s">
        <v>40</v>
      </c>
    </row>
    <row r="11" spans="1:30" x14ac:dyDescent="0.25">
      <c r="A11" s="4">
        <v>42493</v>
      </c>
      <c r="B11" t="s">
        <v>30</v>
      </c>
      <c r="C11">
        <v>304</v>
      </c>
      <c r="D11">
        <v>9</v>
      </c>
      <c r="E11">
        <v>1</v>
      </c>
      <c r="F11" t="s">
        <v>31</v>
      </c>
      <c r="G11" t="s">
        <v>32</v>
      </c>
      <c r="H11" t="s">
        <v>33</v>
      </c>
      <c r="J11" t="s">
        <v>50</v>
      </c>
      <c r="O11" s="5"/>
      <c r="P11" s="5"/>
      <c r="Z11" t="s">
        <v>39</v>
      </c>
    </row>
    <row r="12" spans="1:30" x14ac:dyDescent="0.25">
      <c r="A12" s="4">
        <v>42494</v>
      </c>
      <c r="B12" t="s">
        <v>30</v>
      </c>
      <c r="C12">
        <v>201</v>
      </c>
      <c r="D12">
        <v>1</v>
      </c>
      <c r="E12">
        <v>1</v>
      </c>
      <c r="F12" t="s">
        <v>41</v>
      </c>
      <c r="G12" t="s">
        <v>32</v>
      </c>
      <c r="H12" t="s">
        <v>33</v>
      </c>
      <c r="J12" t="s">
        <v>50</v>
      </c>
      <c r="O12" s="5"/>
      <c r="P12" s="5"/>
      <c r="Z12" t="s">
        <v>39</v>
      </c>
    </row>
    <row r="13" spans="1:30" x14ac:dyDescent="0.25">
      <c r="A13" s="4">
        <v>42494</v>
      </c>
      <c r="B13" t="s">
        <v>30</v>
      </c>
      <c r="C13">
        <v>201</v>
      </c>
      <c r="D13">
        <v>1</v>
      </c>
      <c r="E13">
        <v>2</v>
      </c>
      <c r="F13" t="s">
        <v>41</v>
      </c>
      <c r="G13" t="s">
        <v>32</v>
      </c>
      <c r="H13" t="s">
        <v>33</v>
      </c>
      <c r="I13" t="s">
        <v>34</v>
      </c>
      <c r="J13" t="s">
        <v>35</v>
      </c>
      <c r="K13" t="s">
        <v>36</v>
      </c>
      <c r="L13" t="s">
        <v>43</v>
      </c>
      <c r="M13">
        <v>0</v>
      </c>
      <c r="N13">
        <v>0</v>
      </c>
      <c r="O13" s="5">
        <v>26648</v>
      </c>
      <c r="P13" s="5">
        <v>26647</v>
      </c>
      <c r="Q13">
        <f>34.5-12</f>
        <v>22.5</v>
      </c>
      <c r="R13" t="s">
        <v>47</v>
      </c>
      <c r="S13" t="s">
        <v>39</v>
      </c>
      <c r="T13">
        <v>19</v>
      </c>
      <c r="U13">
        <v>90</v>
      </c>
      <c r="V13">
        <v>11</v>
      </c>
      <c r="Z13" t="s">
        <v>39</v>
      </c>
      <c r="AB13" t="s">
        <v>55</v>
      </c>
      <c r="AC13" t="s">
        <v>56</v>
      </c>
    </row>
    <row r="14" spans="1:30" x14ac:dyDescent="0.25">
      <c r="A14" s="4">
        <v>42494</v>
      </c>
      <c r="B14" t="s">
        <v>30</v>
      </c>
      <c r="C14">
        <v>201</v>
      </c>
      <c r="D14">
        <v>2</v>
      </c>
      <c r="E14">
        <v>1</v>
      </c>
      <c r="F14" t="s">
        <v>41</v>
      </c>
      <c r="G14" t="s">
        <v>32</v>
      </c>
      <c r="H14" t="s">
        <v>33</v>
      </c>
      <c r="I14" t="s">
        <v>34</v>
      </c>
      <c r="J14" t="s">
        <v>35</v>
      </c>
      <c r="K14" t="s">
        <v>36</v>
      </c>
      <c r="L14" t="s">
        <v>43</v>
      </c>
      <c r="M14">
        <v>0</v>
      </c>
      <c r="N14">
        <v>0</v>
      </c>
      <c r="O14" s="5">
        <v>26645</v>
      </c>
      <c r="P14" s="5">
        <v>26646</v>
      </c>
      <c r="Q14">
        <f>29-13</f>
        <v>16</v>
      </c>
      <c r="R14" t="s">
        <v>47</v>
      </c>
      <c r="S14" t="s">
        <v>39</v>
      </c>
      <c r="T14">
        <v>19</v>
      </c>
      <c r="U14">
        <v>86</v>
      </c>
      <c r="V14">
        <v>13</v>
      </c>
      <c r="Z14" t="s">
        <v>39</v>
      </c>
      <c r="AB14" t="s">
        <v>55</v>
      </c>
      <c r="AC14" t="s">
        <v>56</v>
      </c>
    </row>
    <row r="15" spans="1:30" x14ac:dyDescent="0.25">
      <c r="A15" s="4">
        <v>42494</v>
      </c>
      <c r="B15" t="s">
        <v>30</v>
      </c>
      <c r="C15">
        <v>201</v>
      </c>
      <c r="D15">
        <v>6</v>
      </c>
      <c r="E15">
        <v>1</v>
      </c>
      <c r="F15" t="s">
        <v>41</v>
      </c>
      <c r="G15" t="s">
        <v>32</v>
      </c>
      <c r="H15" t="s">
        <v>33</v>
      </c>
      <c r="I15" t="s">
        <v>57</v>
      </c>
      <c r="O15" s="5"/>
      <c r="P15" s="5"/>
      <c r="Z15" t="s">
        <v>39</v>
      </c>
      <c r="AB15" t="s">
        <v>55</v>
      </c>
      <c r="AC15" t="s">
        <v>56</v>
      </c>
    </row>
    <row r="16" spans="1:30" x14ac:dyDescent="0.25">
      <c r="A16" s="4">
        <v>42494</v>
      </c>
      <c r="B16" t="s">
        <v>30</v>
      </c>
      <c r="C16">
        <v>201</v>
      </c>
      <c r="D16">
        <v>8</v>
      </c>
      <c r="E16">
        <v>1</v>
      </c>
      <c r="F16" t="s">
        <v>41</v>
      </c>
      <c r="G16" t="s">
        <v>32</v>
      </c>
      <c r="H16" t="s">
        <v>33</v>
      </c>
      <c r="I16" t="s">
        <v>34</v>
      </c>
      <c r="J16" t="s">
        <v>35</v>
      </c>
      <c r="K16" t="s">
        <v>36</v>
      </c>
      <c r="L16" t="s">
        <v>37</v>
      </c>
      <c r="M16">
        <v>0</v>
      </c>
      <c r="N16">
        <v>0</v>
      </c>
      <c r="O16" s="5">
        <v>2707</v>
      </c>
      <c r="P16" s="5">
        <v>2708</v>
      </c>
      <c r="Q16">
        <f>35.5-12</f>
        <v>23.5</v>
      </c>
      <c r="R16" t="s">
        <v>38</v>
      </c>
      <c r="S16" t="s">
        <v>39</v>
      </c>
      <c r="T16">
        <v>21</v>
      </c>
      <c r="U16">
        <v>97</v>
      </c>
      <c r="V16">
        <v>14</v>
      </c>
      <c r="Z16" t="s">
        <v>39</v>
      </c>
      <c r="AB16" t="s">
        <v>55</v>
      </c>
      <c r="AC16" t="s">
        <v>56</v>
      </c>
    </row>
    <row r="17" spans="1:29" x14ac:dyDescent="0.25">
      <c r="A17" s="4">
        <v>42494</v>
      </c>
      <c r="B17" t="s">
        <v>30</v>
      </c>
      <c r="C17">
        <v>304</v>
      </c>
      <c r="D17">
        <v>7</v>
      </c>
      <c r="E17">
        <v>1</v>
      </c>
      <c r="F17" t="s">
        <v>41</v>
      </c>
      <c r="G17" t="s">
        <v>32</v>
      </c>
      <c r="H17" t="s">
        <v>33</v>
      </c>
      <c r="I17" t="s">
        <v>58</v>
      </c>
      <c r="J17" t="s">
        <v>42</v>
      </c>
      <c r="K17" t="s">
        <v>36</v>
      </c>
      <c r="L17" t="s">
        <v>37</v>
      </c>
      <c r="M17">
        <v>0</v>
      </c>
      <c r="N17">
        <v>1</v>
      </c>
      <c r="O17" s="5">
        <v>50400</v>
      </c>
      <c r="P17" s="5"/>
      <c r="Q17">
        <f>35.5-12</f>
        <v>23.5</v>
      </c>
      <c r="R17" t="s">
        <v>38</v>
      </c>
      <c r="S17" t="s">
        <v>39</v>
      </c>
      <c r="Z17" t="s">
        <v>39</v>
      </c>
      <c r="AB17" t="s">
        <v>55</v>
      </c>
      <c r="AC17" t="s">
        <v>56</v>
      </c>
    </row>
    <row r="18" spans="1:29" x14ac:dyDescent="0.25">
      <c r="A18" s="4">
        <v>42494</v>
      </c>
      <c r="B18" t="s">
        <v>30</v>
      </c>
      <c r="C18">
        <v>304</v>
      </c>
      <c r="D18">
        <v>9</v>
      </c>
      <c r="E18">
        <v>1</v>
      </c>
      <c r="F18" t="s">
        <v>41</v>
      </c>
      <c r="G18" t="s">
        <v>32</v>
      </c>
      <c r="H18" t="s">
        <v>33</v>
      </c>
      <c r="I18" t="s">
        <v>58</v>
      </c>
      <c r="J18" t="s">
        <v>42</v>
      </c>
      <c r="K18" t="s">
        <v>36</v>
      </c>
      <c r="L18" t="s">
        <v>37</v>
      </c>
      <c r="M18">
        <v>0</v>
      </c>
      <c r="N18">
        <v>1</v>
      </c>
      <c r="O18" s="5">
        <v>50399</v>
      </c>
      <c r="P18" s="5"/>
      <c r="Q18">
        <f>42-15</f>
        <v>27</v>
      </c>
      <c r="R18" t="s">
        <v>38</v>
      </c>
      <c r="S18" t="s">
        <v>39</v>
      </c>
      <c r="Z18" t="s">
        <v>39</v>
      </c>
      <c r="AB18" t="s">
        <v>55</v>
      </c>
      <c r="AC18" t="s">
        <v>56</v>
      </c>
    </row>
    <row r="19" spans="1:29" x14ac:dyDescent="0.25">
      <c r="A19" s="4">
        <v>42494</v>
      </c>
      <c r="B19" t="s">
        <v>30</v>
      </c>
      <c r="C19">
        <v>203</v>
      </c>
      <c r="D19">
        <v>2</v>
      </c>
      <c r="E19">
        <v>1</v>
      </c>
      <c r="F19" t="s">
        <v>31</v>
      </c>
      <c r="G19" t="s">
        <v>32</v>
      </c>
      <c r="H19" t="s">
        <v>33</v>
      </c>
      <c r="I19" t="s">
        <v>34</v>
      </c>
      <c r="J19" t="s">
        <v>35</v>
      </c>
      <c r="K19" t="s">
        <v>36</v>
      </c>
      <c r="L19" t="s">
        <v>43</v>
      </c>
      <c r="M19">
        <v>0</v>
      </c>
      <c r="N19">
        <v>0</v>
      </c>
      <c r="O19" s="5" t="s">
        <v>45</v>
      </c>
      <c r="P19" s="5" t="s">
        <v>46</v>
      </c>
      <c r="Q19">
        <v>27</v>
      </c>
      <c r="R19" t="s">
        <v>47</v>
      </c>
      <c r="S19" t="s">
        <v>39</v>
      </c>
      <c r="T19">
        <v>20</v>
      </c>
      <c r="U19">
        <v>82</v>
      </c>
      <c r="V19">
        <v>14</v>
      </c>
      <c r="Z19" t="s">
        <v>39</v>
      </c>
      <c r="AB19" t="s">
        <v>55</v>
      </c>
      <c r="AC19" t="s">
        <v>56</v>
      </c>
    </row>
    <row r="20" spans="1:29" x14ac:dyDescent="0.25">
      <c r="A20" s="4">
        <v>42494</v>
      </c>
      <c r="B20" t="s">
        <v>30</v>
      </c>
      <c r="C20">
        <v>203</v>
      </c>
      <c r="D20">
        <v>9</v>
      </c>
      <c r="E20">
        <v>1</v>
      </c>
      <c r="F20" t="s">
        <v>31</v>
      </c>
      <c r="G20" t="s">
        <v>32</v>
      </c>
      <c r="H20" t="s">
        <v>33</v>
      </c>
      <c r="I20" t="s">
        <v>34</v>
      </c>
      <c r="J20" t="s">
        <v>35</v>
      </c>
      <c r="K20" t="s">
        <v>36</v>
      </c>
      <c r="L20" t="s">
        <v>37</v>
      </c>
      <c r="M20">
        <v>0</v>
      </c>
      <c r="N20">
        <v>0</v>
      </c>
      <c r="O20" s="5">
        <v>26626</v>
      </c>
      <c r="P20" s="5" t="s">
        <v>52</v>
      </c>
      <c r="Q20">
        <f>27.25-9</f>
        <v>18.25</v>
      </c>
      <c r="R20" t="s">
        <v>38</v>
      </c>
      <c r="S20" t="s">
        <v>39</v>
      </c>
      <c r="T20">
        <v>18</v>
      </c>
      <c r="U20">
        <v>82</v>
      </c>
      <c r="V20">
        <v>13</v>
      </c>
      <c r="Z20" t="s">
        <v>39</v>
      </c>
      <c r="AB20" t="s">
        <v>55</v>
      </c>
      <c r="AC20" t="s">
        <v>56</v>
      </c>
    </row>
    <row r="21" spans="1:29" x14ac:dyDescent="0.25">
      <c r="A21" s="4">
        <v>42494</v>
      </c>
      <c r="B21" t="s">
        <v>30</v>
      </c>
      <c r="C21">
        <v>202</v>
      </c>
      <c r="D21">
        <v>5</v>
      </c>
      <c r="E21">
        <v>1</v>
      </c>
      <c r="F21" t="s">
        <v>31</v>
      </c>
      <c r="G21" t="s">
        <v>32</v>
      </c>
      <c r="H21" t="s">
        <v>33</v>
      </c>
      <c r="I21" t="s">
        <v>34</v>
      </c>
      <c r="J21" t="s">
        <v>35</v>
      </c>
      <c r="K21" t="s">
        <v>36</v>
      </c>
      <c r="L21" t="s">
        <v>37</v>
      </c>
      <c r="M21">
        <v>0</v>
      </c>
      <c r="N21">
        <v>0</v>
      </c>
      <c r="O21" s="5" t="s">
        <v>48</v>
      </c>
      <c r="P21" s="5" t="s">
        <v>49</v>
      </c>
      <c r="Q21">
        <f>26.5-8.5</f>
        <v>18</v>
      </c>
      <c r="R21" t="s">
        <v>38</v>
      </c>
      <c r="S21" t="s">
        <v>39</v>
      </c>
      <c r="U21">
        <v>76</v>
      </c>
      <c r="Z21" t="s">
        <v>39</v>
      </c>
      <c r="AB21" t="s">
        <v>55</v>
      </c>
      <c r="AC21" t="s">
        <v>56</v>
      </c>
    </row>
    <row r="22" spans="1:29" x14ac:dyDescent="0.25">
      <c r="A22" s="4">
        <v>42494</v>
      </c>
      <c r="B22" t="s">
        <v>30</v>
      </c>
      <c r="C22">
        <v>304</v>
      </c>
      <c r="D22">
        <v>8</v>
      </c>
      <c r="E22">
        <v>1</v>
      </c>
      <c r="F22" t="s">
        <v>31</v>
      </c>
      <c r="G22" t="s">
        <v>32</v>
      </c>
      <c r="H22" t="s">
        <v>33</v>
      </c>
      <c r="I22" t="s">
        <v>34</v>
      </c>
      <c r="K22" t="s">
        <v>36</v>
      </c>
      <c r="L22" t="s">
        <v>43</v>
      </c>
      <c r="M22">
        <v>0</v>
      </c>
      <c r="N22">
        <v>0</v>
      </c>
      <c r="O22" s="5">
        <v>26628</v>
      </c>
      <c r="P22" s="5">
        <v>26629</v>
      </c>
      <c r="Q22">
        <f>30-7.5</f>
        <v>22.5</v>
      </c>
      <c r="R22" t="s">
        <v>47</v>
      </c>
      <c r="S22" t="s">
        <v>39</v>
      </c>
      <c r="T22">
        <v>21.5</v>
      </c>
      <c r="U22">
        <v>78</v>
      </c>
      <c r="V22">
        <v>17</v>
      </c>
      <c r="Z22" t="s">
        <v>39</v>
      </c>
      <c r="AB22" t="s">
        <v>55</v>
      </c>
      <c r="AC22" t="s">
        <v>56</v>
      </c>
    </row>
    <row r="23" spans="1:29" x14ac:dyDescent="0.25">
      <c r="A23" s="4">
        <v>42495</v>
      </c>
      <c r="B23" t="s">
        <v>30</v>
      </c>
      <c r="C23">
        <v>201</v>
      </c>
      <c r="D23">
        <v>4</v>
      </c>
      <c r="E23">
        <v>2</v>
      </c>
      <c r="F23" t="s">
        <v>41</v>
      </c>
      <c r="G23" t="s">
        <v>32</v>
      </c>
      <c r="H23" t="s">
        <v>33</v>
      </c>
      <c r="I23" t="s">
        <v>34</v>
      </c>
      <c r="J23" t="s">
        <v>42</v>
      </c>
      <c r="K23" t="s">
        <v>36</v>
      </c>
      <c r="L23" t="s">
        <v>43</v>
      </c>
      <c r="M23">
        <v>0</v>
      </c>
      <c r="N23">
        <v>1</v>
      </c>
      <c r="O23" s="5">
        <v>50327</v>
      </c>
      <c r="P23" s="5">
        <v>50326</v>
      </c>
      <c r="Q23">
        <f>24</f>
        <v>24</v>
      </c>
      <c r="R23" t="s">
        <v>47</v>
      </c>
      <c r="S23" t="s">
        <v>39</v>
      </c>
      <c r="T23">
        <v>20</v>
      </c>
      <c r="U23">
        <v>83</v>
      </c>
      <c r="V23">
        <v>13</v>
      </c>
      <c r="Z23" t="s">
        <v>39</v>
      </c>
      <c r="AB23" t="s">
        <v>59</v>
      </c>
      <c r="AC23" t="s">
        <v>56</v>
      </c>
    </row>
    <row r="24" spans="1:29" x14ac:dyDescent="0.25">
      <c r="A24" s="4">
        <v>42495</v>
      </c>
      <c r="B24" t="s">
        <v>30</v>
      </c>
      <c r="C24">
        <v>201</v>
      </c>
      <c r="D24">
        <v>6</v>
      </c>
      <c r="E24">
        <v>1</v>
      </c>
      <c r="F24" t="s">
        <v>41</v>
      </c>
      <c r="G24" t="s">
        <v>32</v>
      </c>
      <c r="H24" t="s">
        <v>33</v>
      </c>
      <c r="I24" t="s">
        <v>57</v>
      </c>
      <c r="O24" s="5"/>
      <c r="P24" s="5"/>
      <c r="Z24" t="s">
        <v>39</v>
      </c>
    </row>
    <row r="25" spans="1:29" x14ac:dyDescent="0.25">
      <c r="A25" s="4">
        <v>42495</v>
      </c>
      <c r="B25" t="s">
        <v>30</v>
      </c>
      <c r="C25">
        <v>201</v>
      </c>
      <c r="D25">
        <v>6</v>
      </c>
      <c r="E25">
        <v>2</v>
      </c>
      <c r="F25" t="s">
        <v>41</v>
      </c>
      <c r="G25" t="s">
        <v>32</v>
      </c>
      <c r="H25" t="s">
        <v>33</v>
      </c>
      <c r="I25" t="s">
        <v>34</v>
      </c>
      <c r="J25" t="s">
        <v>35</v>
      </c>
      <c r="K25" t="s">
        <v>36</v>
      </c>
      <c r="L25" t="s">
        <v>43</v>
      </c>
      <c r="M25">
        <v>0</v>
      </c>
      <c r="N25">
        <v>0</v>
      </c>
      <c r="O25" s="5">
        <v>26645</v>
      </c>
      <c r="P25" s="5">
        <v>26646</v>
      </c>
      <c r="Q25">
        <f>32-11</f>
        <v>21</v>
      </c>
      <c r="R25" t="s">
        <v>47</v>
      </c>
      <c r="S25" t="s">
        <v>39</v>
      </c>
      <c r="T25">
        <v>20</v>
      </c>
      <c r="U25">
        <v>92</v>
      </c>
      <c r="V25">
        <v>12</v>
      </c>
      <c r="Z25" t="s">
        <v>39</v>
      </c>
      <c r="AB25" t="s">
        <v>59</v>
      </c>
      <c r="AC25" t="s">
        <v>56</v>
      </c>
    </row>
    <row r="26" spans="1:29" x14ac:dyDescent="0.25">
      <c r="A26" s="4">
        <v>42495</v>
      </c>
      <c r="B26" t="s">
        <v>30</v>
      </c>
      <c r="C26">
        <v>201</v>
      </c>
      <c r="D26">
        <v>8</v>
      </c>
      <c r="E26">
        <v>1</v>
      </c>
      <c r="F26" t="s">
        <v>41</v>
      </c>
      <c r="G26" t="s">
        <v>32</v>
      </c>
      <c r="H26" t="s">
        <v>33</v>
      </c>
      <c r="I26" t="s">
        <v>58</v>
      </c>
      <c r="J26" t="s">
        <v>42</v>
      </c>
      <c r="K26" t="s">
        <v>36</v>
      </c>
      <c r="L26" t="s">
        <v>43</v>
      </c>
      <c r="M26">
        <v>0</v>
      </c>
      <c r="N26">
        <v>1</v>
      </c>
      <c r="O26" s="5">
        <v>50398</v>
      </c>
      <c r="P26" s="5"/>
      <c r="R26" t="s">
        <v>44</v>
      </c>
      <c r="S26" t="s">
        <v>39</v>
      </c>
      <c r="Z26" t="s">
        <v>39</v>
      </c>
      <c r="AB26" t="s">
        <v>59</v>
      </c>
      <c r="AC26" t="s">
        <v>56</v>
      </c>
    </row>
    <row r="27" spans="1:29" x14ac:dyDescent="0.25">
      <c r="A27" s="4">
        <v>42495</v>
      </c>
      <c r="B27" t="s">
        <v>30</v>
      </c>
      <c r="C27">
        <v>203</v>
      </c>
      <c r="D27">
        <v>2</v>
      </c>
      <c r="E27">
        <v>1</v>
      </c>
      <c r="F27" t="s">
        <v>41</v>
      </c>
      <c r="G27" t="s">
        <v>32</v>
      </c>
      <c r="H27" t="s">
        <v>33</v>
      </c>
      <c r="I27" t="s">
        <v>34</v>
      </c>
      <c r="J27" t="s">
        <v>35</v>
      </c>
      <c r="K27" t="s">
        <v>36</v>
      </c>
      <c r="L27" t="s">
        <v>43</v>
      </c>
      <c r="M27">
        <v>0</v>
      </c>
      <c r="N27">
        <v>0</v>
      </c>
      <c r="O27" s="5" t="s">
        <v>45</v>
      </c>
      <c r="P27" s="5" t="s">
        <v>46</v>
      </c>
      <c r="Q27">
        <v>22</v>
      </c>
      <c r="R27" t="s">
        <v>47</v>
      </c>
      <c r="S27" t="s">
        <v>39</v>
      </c>
      <c r="T27">
        <v>20</v>
      </c>
      <c r="U27">
        <v>88</v>
      </c>
      <c r="V27">
        <v>13</v>
      </c>
      <c r="Z27" t="s">
        <v>39</v>
      </c>
      <c r="AB27" t="s">
        <v>59</v>
      </c>
      <c r="AC27" t="s">
        <v>56</v>
      </c>
    </row>
    <row r="28" spans="1:29" x14ac:dyDescent="0.25">
      <c r="A28" s="4">
        <v>42495</v>
      </c>
      <c r="B28" t="s">
        <v>30</v>
      </c>
      <c r="C28">
        <v>203</v>
      </c>
      <c r="D28">
        <v>9</v>
      </c>
      <c r="E28">
        <v>1</v>
      </c>
      <c r="F28" t="s">
        <v>41</v>
      </c>
      <c r="G28" t="s">
        <v>32</v>
      </c>
      <c r="H28" t="s">
        <v>33</v>
      </c>
      <c r="I28" t="s">
        <v>34</v>
      </c>
      <c r="J28" t="s">
        <v>35</v>
      </c>
      <c r="K28" t="s">
        <v>36</v>
      </c>
      <c r="L28" t="s">
        <v>37</v>
      </c>
      <c r="M28">
        <v>0</v>
      </c>
      <c r="N28">
        <v>0</v>
      </c>
      <c r="O28" s="5" t="s">
        <v>60</v>
      </c>
      <c r="P28" s="5" t="s">
        <v>61</v>
      </c>
      <c r="Q28">
        <v>19</v>
      </c>
      <c r="R28" t="s">
        <v>38</v>
      </c>
      <c r="S28" t="s">
        <v>39</v>
      </c>
      <c r="T28">
        <v>19</v>
      </c>
      <c r="U28">
        <v>79</v>
      </c>
      <c r="V28">
        <v>13</v>
      </c>
      <c r="Z28" t="s">
        <v>39</v>
      </c>
      <c r="AB28" t="s">
        <v>59</v>
      </c>
      <c r="AC28" t="s">
        <v>56</v>
      </c>
    </row>
    <row r="29" spans="1:29" x14ac:dyDescent="0.25">
      <c r="A29" s="4">
        <v>42495</v>
      </c>
      <c r="B29" t="s">
        <v>30</v>
      </c>
      <c r="C29">
        <v>202</v>
      </c>
      <c r="D29">
        <v>6</v>
      </c>
      <c r="E29">
        <v>1</v>
      </c>
      <c r="F29" t="s">
        <v>41</v>
      </c>
      <c r="G29" t="s">
        <v>32</v>
      </c>
      <c r="H29" t="s">
        <v>33</v>
      </c>
      <c r="I29" t="s">
        <v>53</v>
      </c>
      <c r="J29" t="s">
        <v>62</v>
      </c>
      <c r="O29" s="5"/>
      <c r="P29" s="5"/>
      <c r="Z29" t="s">
        <v>39</v>
      </c>
    </row>
    <row r="30" spans="1:29" x14ac:dyDescent="0.25">
      <c r="A30" s="4">
        <v>42495</v>
      </c>
      <c r="B30" t="s">
        <v>30</v>
      </c>
      <c r="C30">
        <v>304</v>
      </c>
      <c r="D30">
        <v>1</v>
      </c>
      <c r="E30">
        <v>1</v>
      </c>
      <c r="F30" t="s">
        <v>41</v>
      </c>
      <c r="G30" t="s">
        <v>32</v>
      </c>
      <c r="H30" t="s">
        <v>33</v>
      </c>
      <c r="I30" t="s">
        <v>57</v>
      </c>
      <c r="O30" s="5"/>
      <c r="P30" s="5"/>
      <c r="Z30" t="s">
        <v>39</v>
      </c>
    </row>
    <row r="31" spans="1:29" x14ac:dyDescent="0.25">
      <c r="A31" s="4">
        <v>42495</v>
      </c>
      <c r="B31" t="s">
        <v>30</v>
      </c>
      <c r="C31">
        <v>304</v>
      </c>
      <c r="D31">
        <v>6</v>
      </c>
      <c r="E31">
        <v>1</v>
      </c>
      <c r="F31" t="s">
        <v>41</v>
      </c>
      <c r="G31" t="s">
        <v>32</v>
      </c>
      <c r="H31" t="s">
        <v>33</v>
      </c>
      <c r="I31" t="s">
        <v>58</v>
      </c>
      <c r="J31" t="s">
        <v>42</v>
      </c>
      <c r="K31" t="s">
        <v>36</v>
      </c>
      <c r="L31" t="s">
        <v>43</v>
      </c>
      <c r="M31">
        <v>0</v>
      </c>
      <c r="N31">
        <v>1</v>
      </c>
      <c r="O31" s="5"/>
      <c r="P31" s="5">
        <v>50325</v>
      </c>
      <c r="R31" t="s">
        <v>47</v>
      </c>
      <c r="S31" t="s">
        <v>39</v>
      </c>
      <c r="Z31" t="s">
        <v>39</v>
      </c>
      <c r="AB31" t="s">
        <v>59</v>
      </c>
    </row>
    <row r="32" spans="1:29" x14ac:dyDescent="0.25">
      <c r="A32" s="4">
        <v>42495</v>
      </c>
      <c r="B32" t="s">
        <v>30</v>
      </c>
      <c r="C32">
        <v>201</v>
      </c>
      <c r="D32">
        <v>1</v>
      </c>
      <c r="E32">
        <v>1</v>
      </c>
      <c r="F32" t="s">
        <v>31</v>
      </c>
      <c r="G32" t="s">
        <v>32</v>
      </c>
      <c r="H32" t="s">
        <v>33</v>
      </c>
      <c r="I32" t="s">
        <v>57</v>
      </c>
      <c r="O32" s="5"/>
      <c r="P32" s="5"/>
      <c r="Z32" t="s">
        <v>39</v>
      </c>
      <c r="AB32" t="s">
        <v>59</v>
      </c>
      <c r="AC32" t="s">
        <v>56</v>
      </c>
    </row>
    <row r="33" spans="1:29" x14ac:dyDescent="0.25">
      <c r="A33" s="4">
        <v>42495</v>
      </c>
      <c r="B33" t="s">
        <v>30</v>
      </c>
      <c r="C33">
        <v>201</v>
      </c>
      <c r="D33">
        <v>1</v>
      </c>
      <c r="E33">
        <v>2</v>
      </c>
      <c r="F33" t="s">
        <v>31</v>
      </c>
      <c r="G33" t="s">
        <v>32</v>
      </c>
      <c r="H33" t="s">
        <v>33</v>
      </c>
      <c r="I33" t="s">
        <v>57</v>
      </c>
      <c r="O33" s="5"/>
      <c r="P33" s="5"/>
      <c r="Z33" t="s">
        <v>39</v>
      </c>
      <c r="AB33" t="s">
        <v>59</v>
      </c>
      <c r="AC33" t="s">
        <v>56</v>
      </c>
    </row>
    <row r="34" spans="1:29" x14ac:dyDescent="0.25">
      <c r="A34" s="4">
        <v>42495</v>
      </c>
      <c r="B34" t="s">
        <v>30</v>
      </c>
      <c r="C34">
        <v>201</v>
      </c>
      <c r="D34">
        <v>4</v>
      </c>
      <c r="E34">
        <v>1</v>
      </c>
      <c r="F34" t="s">
        <v>31</v>
      </c>
      <c r="G34" t="s">
        <v>32</v>
      </c>
      <c r="H34" t="s">
        <v>33</v>
      </c>
      <c r="I34" t="s">
        <v>34</v>
      </c>
      <c r="J34" t="s">
        <v>35</v>
      </c>
      <c r="K34" t="s">
        <v>36</v>
      </c>
      <c r="L34" t="s">
        <v>43</v>
      </c>
      <c r="M34">
        <v>0</v>
      </c>
      <c r="N34">
        <v>0</v>
      </c>
      <c r="O34" s="5">
        <v>26648</v>
      </c>
      <c r="P34" s="5">
        <v>26647</v>
      </c>
      <c r="Q34">
        <v>21</v>
      </c>
      <c r="R34" t="s">
        <v>47</v>
      </c>
      <c r="S34" t="s">
        <v>39</v>
      </c>
      <c r="T34">
        <v>18</v>
      </c>
      <c r="U34">
        <v>95</v>
      </c>
      <c r="V34">
        <v>12</v>
      </c>
      <c r="Z34" t="s">
        <v>39</v>
      </c>
      <c r="AB34" t="s">
        <v>59</v>
      </c>
      <c r="AC34" t="s">
        <v>56</v>
      </c>
    </row>
    <row r="35" spans="1:29" x14ac:dyDescent="0.25">
      <c r="A35" s="4">
        <v>42495</v>
      </c>
      <c r="B35" t="s">
        <v>30</v>
      </c>
      <c r="C35">
        <v>201</v>
      </c>
      <c r="D35">
        <v>5</v>
      </c>
      <c r="E35">
        <v>1</v>
      </c>
      <c r="F35" t="s">
        <v>31</v>
      </c>
      <c r="G35" t="s">
        <v>32</v>
      </c>
      <c r="H35" t="s">
        <v>33</v>
      </c>
      <c r="I35" t="s">
        <v>34</v>
      </c>
      <c r="J35" t="s">
        <v>35</v>
      </c>
      <c r="K35" t="s">
        <v>36</v>
      </c>
      <c r="L35" t="s">
        <v>37</v>
      </c>
      <c r="M35">
        <v>0</v>
      </c>
      <c r="N35">
        <v>0</v>
      </c>
      <c r="O35" s="5">
        <v>2707</v>
      </c>
      <c r="P35" s="5">
        <v>2708</v>
      </c>
      <c r="Q35">
        <f>28-8.75</f>
        <v>19.25</v>
      </c>
      <c r="R35" t="s">
        <v>38</v>
      </c>
      <c r="S35" t="s">
        <v>39</v>
      </c>
      <c r="T35">
        <v>19</v>
      </c>
      <c r="U35">
        <v>96</v>
      </c>
      <c r="V35">
        <v>16</v>
      </c>
      <c r="Z35" t="s">
        <v>39</v>
      </c>
      <c r="AB35" t="s">
        <v>59</v>
      </c>
      <c r="AC35" t="s">
        <v>56</v>
      </c>
    </row>
    <row r="36" spans="1:29" x14ac:dyDescent="0.25">
      <c r="A36" s="4">
        <v>42495</v>
      </c>
      <c r="B36" t="s">
        <v>30</v>
      </c>
      <c r="C36">
        <v>201</v>
      </c>
      <c r="D36">
        <v>7</v>
      </c>
      <c r="E36">
        <v>1</v>
      </c>
      <c r="F36" t="s">
        <v>31</v>
      </c>
      <c r="G36" t="s">
        <v>32</v>
      </c>
      <c r="H36" t="s">
        <v>33</v>
      </c>
      <c r="I36" t="s">
        <v>34</v>
      </c>
      <c r="J36" t="s">
        <v>42</v>
      </c>
      <c r="K36" t="s">
        <v>36</v>
      </c>
      <c r="L36" t="s">
        <v>37</v>
      </c>
      <c r="M36">
        <v>0</v>
      </c>
      <c r="N36">
        <v>1</v>
      </c>
      <c r="O36" s="5">
        <v>26630</v>
      </c>
      <c r="P36" s="5">
        <v>26631</v>
      </c>
      <c r="Q36">
        <v>20.5</v>
      </c>
      <c r="R36" t="s">
        <v>38</v>
      </c>
      <c r="S36" t="s">
        <v>39</v>
      </c>
      <c r="T36">
        <v>19</v>
      </c>
      <c r="U36">
        <v>92</v>
      </c>
      <c r="V36">
        <v>15</v>
      </c>
      <c r="Z36" t="s">
        <v>39</v>
      </c>
      <c r="AB36" t="s">
        <v>59</v>
      </c>
      <c r="AC36" t="s">
        <v>56</v>
      </c>
    </row>
    <row r="37" spans="1:29" x14ac:dyDescent="0.25">
      <c r="A37" s="4">
        <v>42495</v>
      </c>
      <c r="B37" t="s">
        <v>30</v>
      </c>
      <c r="C37">
        <v>201</v>
      </c>
      <c r="D37">
        <v>7</v>
      </c>
      <c r="E37">
        <v>2</v>
      </c>
      <c r="F37" t="s">
        <v>31</v>
      </c>
      <c r="G37" t="s">
        <v>32</v>
      </c>
      <c r="H37" t="s">
        <v>33</v>
      </c>
      <c r="I37" t="s">
        <v>34</v>
      </c>
      <c r="J37" t="s">
        <v>42</v>
      </c>
      <c r="K37" t="s">
        <v>36</v>
      </c>
      <c r="L37" t="s">
        <v>43</v>
      </c>
      <c r="M37">
        <v>0</v>
      </c>
      <c r="N37">
        <v>1</v>
      </c>
      <c r="O37" s="5">
        <v>26644</v>
      </c>
      <c r="P37" s="5">
        <v>26643</v>
      </c>
      <c r="Q37">
        <v>25</v>
      </c>
      <c r="R37" t="s">
        <v>47</v>
      </c>
      <c r="S37" t="s">
        <v>39</v>
      </c>
      <c r="T37">
        <v>19</v>
      </c>
      <c r="U37">
        <v>96</v>
      </c>
      <c r="V37">
        <v>14</v>
      </c>
      <c r="Z37" t="s">
        <v>39</v>
      </c>
      <c r="AB37" t="s">
        <v>59</v>
      </c>
      <c r="AC37" t="s">
        <v>56</v>
      </c>
    </row>
    <row r="38" spans="1:29" x14ac:dyDescent="0.25">
      <c r="A38" s="4">
        <v>42495</v>
      </c>
      <c r="B38" t="s">
        <v>30</v>
      </c>
      <c r="C38">
        <v>203</v>
      </c>
      <c r="D38">
        <v>3</v>
      </c>
      <c r="E38">
        <v>1</v>
      </c>
      <c r="F38" t="s">
        <v>31</v>
      </c>
      <c r="G38" t="s">
        <v>32</v>
      </c>
      <c r="H38" t="s">
        <v>33</v>
      </c>
      <c r="I38" t="s">
        <v>34</v>
      </c>
      <c r="J38" t="s">
        <v>35</v>
      </c>
      <c r="K38" t="s">
        <v>36</v>
      </c>
      <c r="L38" t="s">
        <v>37</v>
      </c>
      <c r="M38">
        <v>0</v>
      </c>
      <c r="N38">
        <v>0</v>
      </c>
      <c r="O38" s="5">
        <v>26626</v>
      </c>
      <c r="P38" s="5" t="s">
        <v>52</v>
      </c>
      <c r="Q38">
        <v>18</v>
      </c>
      <c r="R38" t="s">
        <v>63</v>
      </c>
      <c r="S38" t="s">
        <v>39</v>
      </c>
      <c r="T38">
        <v>18</v>
      </c>
      <c r="U38">
        <v>86</v>
      </c>
      <c r="V38">
        <v>14.5</v>
      </c>
      <c r="Z38" t="s">
        <v>39</v>
      </c>
      <c r="AB38" t="s">
        <v>59</v>
      </c>
      <c r="AC38" t="s">
        <v>56</v>
      </c>
    </row>
    <row r="39" spans="1:29" x14ac:dyDescent="0.25">
      <c r="A39" s="4">
        <v>42495</v>
      </c>
      <c r="B39" t="s">
        <v>30</v>
      </c>
      <c r="C39">
        <v>203</v>
      </c>
      <c r="D39">
        <v>5</v>
      </c>
      <c r="E39">
        <v>1</v>
      </c>
      <c r="F39" t="s">
        <v>31</v>
      </c>
      <c r="G39" t="s">
        <v>32</v>
      </c>
      <c r="H39" t="s">
        <v>33</v>
      </c>
      <c r="I39" t="s">
        <v>64</v>
      </c>
      <c r="J39" t="s">
        <v>42</v>
      </c>
      <c r="K39" t="s">
        <v>36</v>
      </c>
      <c r="L39" t="s">
        <v>37</v>
      </c>
      <c r="M39">
        <v>0</v>
      </c>
      <c r="N39">
        <v>1</v>
      </c>
      <c r="O39" s="5"/>
      <c r="P39" s="5">
        <v>26642</v>
      </c>
      <c r="Q39">
        <f>249-90</f>
        <v>159</v>
      </c>
      <c r="R39" t="s">
        <v>38</v>
      </c>
      <c r="S39" t="s">
        <v>39</v>
      </c>
      <c r="Z39" t="s">
        <v>39</v>
      </c>
      <c r="AB39" t="s">
        <v>59</v>
      </c>
      <c r="AC39" t="s">
        <v>56</v>
      </c>
    </row>
    <row r="40" spans="1:29" x14ac:dyDescent="0.25">
      <c r="A40" s="4">
        <v>42495</v>
      </c>
      <c r="B40" t="s">
        <v>30</v>
      </c>
      <c r="C40">
        <v>202</v>
      </c>
      <c r="D40">
        <v>4</v>
      </c>
      <c r="E40">
        <v>1</v>
      </c>
      <c r="F40" t="s">
        <v>31</v>
      </c>
      <c r="G40" t="s">
        <v>32</v>
      </c>
      <c r="H40" t="s">
        <v>33</v>
      </c>
      <c r="I40" t="s">
        <v>57</v>
      </c>
      <c r="O40" s="5"/>
      <c r="P40" s="5"/>
      <c r="Z40" t="s">
        <v>39</v>
      </c>
      <c r="AB40" t="s">
        <v>59</v>
      </c>
      <c r="AC40" t="s">
        <v>56</v>
      </c>
    </row>
    <row r="41" spans="1:29" x14ac:dyDescent="0.25">
      <c r="A41" s="4">
        <v>42495</v>
      </c>
      <c r="B41" t="s">
        <v>30</v>
      </c>
      <c r="C41">
        <v>202</v>
      </c>
      <c r="D41">
        <v>5</v>
      </c>
      <c r="E41">
        <v>1</v>
      </c>
      <c r="F41" t="s">
        <v>31</v>
      </c>
      <c r="G41" t="s">
        <v>32</v>
      </c>
      <c r="H41" t="s">
        <v>33</v>
      </c>
      <c r="I41" t="s">
        <v>34</v>
      </c>
      <c r="J41" t="s">
        <v>35</v>
      </c>
      <c r="K41" t="s">
        <v>36</v>
      </c>
      <c r="L41" t="s">
        <v>37</v>
      </c>
      <c r="M41">
        <v>0</v>
      </c>
      <c r="N41">
        <v>0</v>
      </c>
      <c r="O41" s="5" t="s">
        <v>48</v>
      </c>
      <c r="P41" s="5" t="s">
        <v>49</v>
      </c>
      <c r="Q41">
        <f>25-7.5</f>
        <v>17.5</v>
      </c>
      <c r="R41" t="s">
        <v>38</v>
      </c>
      <c r="S41" t="s">
        <v>39</v>
      </c>
      <c r="T41">
        <v>18.5</v>
      </c>
      <c r="U41">
        <v>78</v>
      </c>
      <c r="V41">
        <v>16</v>
      </c>
      <c r="Z41" t="s">
        <v>39</v>
      </c>
      <c r="AB41" t="s">
        <v>59</v>
      </c>
      <c r="AC41" t="s">
        <v>56</v>
      </c>
    </row>
    <row r="42" spans="1:29" x14ac:dyDescent="0.25">
      <c r="A42" s="4">
        <v>42495</v>
      </c>
      <c r="B42" t="s">
        <v>30</v>
      </c>
      <c r="C42">
        <v>304</v>
      </c>
      <c r="D42">
        <v>2</v>
      </c>
      <c r="E42">
        <v>1</v>
      </c>
      <c r="F42" t="s">
        <v>31</v>
      </c>
      <c r="G42" t="s">
        <v>32</v>
      </c>
      <c r="H42" t="s">
        <v>33</v>
      </c>
      <c r="I42" t="s">
        <v>58</v>
      </c>
      <c r="J42" t="s">
        <v>42</v>
      </c>
      <c r="K42" t="s">
        <v>36</v>
      </c>
      <c r="L42" t="s">
        <v>43</v>
      </c>
      <c r="M42">
        <v>0</v>
      </c>
      <c r="N42">
        <v>1</v>
      </c>
      <c r="O42" s="5">
        <v>26632</v>
      </c>
      <c r="P42" s="5"/>
      <c r="Q42">
        <v>30</v>
      </c>
      <c r="R42" t="s">
        <v>65</v>
      </c>
      <c r="S42" t="s">
        <v>39</v>
      </c>
      <c r="Z42" t="s">
        <v>39</v>
      </c>
      <c r="AB42" t="s">
        <v>59</v>
      </c>
      <c r="AC42" t="s">
        <v>56</v>
      </c>
    </row>
    <row r="43" spans="1:29" x14ac:dyDescent="0.25">
      <c r="A43" s="4">
        <v>42495</v>
      </c>
      <c r="B43" t="s">
        <v>30</v>
      </c>
      <c r="C43">
        <v>304</v>
      </c>
      <c r="D43">
        <v>7</v>
      </c>
      <c r="E43">
        <v>1</v>
      </c>
      <c r="F43" t="s">
        <v>31</v>
      </c>
      <c r="G43" t="s">
        <v>32</v>
      </c>
      <c r="H43" t="s">
        <v>33</v>
      </c>
      <c r="I43" t="s">
        <v>57</v>
      </c>
      <c r="O43" s="5"/>
      <c r="P43" s="5"/>
      <c r="Z43" t="s">
        <v>39</v>
      </c>
    </row>
    <row r="44" spans="1:29" x14ac:dyDescent="0.25">
      <c r="A44" s="4">
        <v>42495</v>
      </c>
      <c r="B44" t="s">
        <v>30</v>
      </c>
      <c r="C44">
        <v>304</v>
      </c>
      <c r="D44">
        <v>9</v>
      </c>
      <c r="E44">
        <v>1</v>
      </c>
      <c r="F44" t="s">
        <v>31</v>
      </c>
      <c r="G44" t="s">
        <v>32</v>
      </c>
      <c r="H44" t="s">
        <v>33</v>
      </c>
      <c r="I44" t="s">
        <v>57</v>
      </c>
      <c r="O44" s="5"/>
      <c r="P44" s="5"/>
      <c r="Z44" t="s">
        <v>39</v>
      </c>
    </row>
    <row r="45" spans="1:29" x14ac:dyDescent="0.25">
      <c r="A45" s="4">
        <v>42500</v>
      </c>
      <c r="B45" t="s">
        <v>30</v>
      </c>
      <c r="C45">
        <v>501</v>
      </c>
      <c r="D45">
        <v>4</v>
      </c>
      <c r="E45">
        <v>1</v>
      </c>
      <c r="F45" t="s">
        <v>31</v>
      </c>
      <c r="G45" t="s">
        <v>32</v>
      </c>
      <c r="H45" t="s">
        <v>33</v>
      </c>
      <c r="I45" t="s">
        <v>34</v>
      </c>
      <c r="J45" t="s">
        <v>42</v>
      </c>
      <c r="K45" t="s">
        <v>36</v>
      </c>
      <c r="L45" t="s">
        <v>43</v>
      </c>
      <c r="M45">
        <v>0</v>
      </c>
      <c r="N45">
        <v>1</v>
      </c>
      <c r="O45" s="5">
        <v>26604</v>
      </c>
      <c r="P45" s="5">
        <v>26603</v>
      </c>
      <c r="Q45">
        <f>29-7.5</f>
        <v>21.5</v>
      </c>
      <c r="R45" t="s">
        <v>65</v>
      </c>
      <c r="S45" t="s">
        <v>39</v>
      </c>
      <c r="T45">
        <v>19</v>
      </c>
      <c r="U45">
        <v>92</v>
      </c>
      <c r="V45">
        <v>14</v>
      </c>
      <c r="Z45" t="s">
        <v>39</v>
      </c>
      <c r="AB45" t="s">
        <v>40</v>
      </c>
      <c r="AC45" t="s">
        <v>56</v>
      </c>
    </row>
    <row r="46" spans="1:29" x14ac:dyDescent="0.25">
      <c r="A46" s="4">
        <v>42500</v>
      </c>
      <c r="B46" t="s">
        <v>30</v>
      </c>
      <c r="C46">
        <v>501</v>
      </c>
      <c r="D46">
        <v>8</v>
      </c>
      <c r="E46">
        <v>1</v>
      </c>
      <c r="F46" t="s">
        <v>31</v>
      </c>
      <c r="G46" t="s">
        <v>32</v>
      </c>
      <c r="H46" t="s">
        <v>33</v>
      </c>
      <c r="I46" t="s">
        <v>58</v>
      </c>
      <c r="J46" t="s">
        <v>42</v>
      </c>
      <c r="K46" t="s">
        <v>36</v>
      </c>
      <c r="L46" t="s">
        <v>43</v>
      </c>
      <c r="M46">
        <v>0</v>
      </c>
      <c r="N46">
        <v>1</v>
      </c>
      <c r="O46" s="5">
        <v>26605</v>
      </c>
      <c r="P46" s="5"/>
      <c r="Q46">
        <v>23.5</v>
      </c>
      <c r="R46" t="s">
        <v>65</v>
      </c>
      <c r="S46" t="s">
        <v>39</v>
      </c>
      <c r="Z46" t="s">
        <v>39</v>
      </c>
      <c r="AB46" t="s">
        <v>40</v>
      </c>
      <c r="AC46" t="s">
        <v>56</v>
      </c>
    </row>
    <row r="47" spans="1:29" x14ac:dyDescent="0.25">
      <c r="A47" s="4">
        <v>42500</v>
      </c>
      <c r="B47" t="s">
        <v>30</v>
      </c>
      <c r="C47">
        <v>503</v>
      </c>
      <c r="D47">
        <v>7</v>
      </c>
      <c r="E47">
        <v>1</v>
      </c>
      <c r="F47" t="s">
        <v>31</v>
      </c>
      <c r="G47" t="s">
        <v>32</v>
      </c>
      <c r="H47" t="s">
        <v>33</v>
      </c>
      <c r="I47" t="s">
        <v>57</v>
      </c>
      <c r="O47" s="5"/>
      <c r="P47" s="5"/>
      <c r="Z47" t="s">
        <v>39</v>
      </c>
    </row>
    <row r="48" spans="1:29" x14ac:dyDescent="0.25">
      <c r="A48" s="4">
        <v>42500</v>
      </c>
      <c r="B48" t="s">
        <v>30</v>
      </c>
      <c r="C48">
        <v>503</v>
      </c>
      <c r="D48">
        <v>7</v>
      </c>
      <c r="E48">
        <v>2</v>
      </c>
      <c r="F48" t="s">
        <v>31</v>
      </c>
      <c r="G48" t="s">
        <v>32</v>
      </c>
      <c r="H48" t="s">
        <v>33</v>
      </c>
      <c r="I48" t="s">
        <v>57</v>
      </c>
      <c r="O48" s="5"/>
      <c r="P48" s="5"/>
      <c r="Z48" t="s">
        <v>39</v>
      </c>
    </row>
    <row r="49" spans="1:29" x14ac:dyDescent="0.25">
      <c r="A49" s="4">
        <v>42500</v>
      </c>
      <c r="B49" t="s">
        <v>30</v>
      </c>
      <c r="C49">
        <v>503</v>
      </c>
      <c r="D49">
        <v>10</v>
      </c>
      <c r="E49">
        <v>1</v>
      </c>
      <c r="F49" t="s">
        <v>31</v>
      </c>
      <c r="G49" t="s">
        <v>32</v>
      </c>
      <c r="H49" t="s">
        <v>33</v>
      </c>
      <c r="I49" t="s">
        <v>58</v>
      </c>
      <c r="J49" t="s">
        <v>35</v>
      </c>
      <c r="K49" t="s">
        <v>36</v>
      </c>
      <c r="L49" t="s">
        <v>39</v>
      </c>
      <c r="M49">
        <v>0</v>
      </c>
      <c r="N49">
        <v>1</v>
      </c>
      <c r="O49" s="5" t="s">
        <v>66</v>
      </c>
      <c r="P49" s="5"/>
      <c r="Q49">
        <v>30</v>
      </c>
      <c r="R49" t="s">
        <v>65</v>
      </c>
      <c r="S49" t="s">
        <v>39</v>
      </c>
      <c r="Z49" t="s">
        <v>39</v>
      </c>
      <c r="AB49" t="s">
        <v>40</v>
      </c>
      <c r="AC49" t="s">
        <v>56</v>
      </c>
    </row>
    <row r="50" spans="1:29" x14ac:dyDescent="0.25">
      <c r="A50" s="4">
        <v>42500</v>
      </c>
      <c r="B50" t="s">
        <v>30</v>
      </c>
      <c r="C50">
        <v>401</v>
      </c>
      <c r="D50">
        <v>6</v>
      </c>
      <c r="E50">
        <v>1</v>
      </c>
      <c r="F50" t="s">
        <v>31</v>
      </c>
      <c r="G50" t="s">
        <v>32</v>
      </c>
      <c r="H50" t="s">
        <v>33</v>
      </c>
      <c r="I50" t="s">
        <v>57</v>
      </c>
      <c r="O50" s="5"/>
      <c r="P50" s="5"/>
      <c r="Z50" t="s">
        <v>39</v>
      </c>
    </row>
    <row r="51" spans="1:29" x14ac:dyDescent="0.25">
      <c r="A51" s="4">
        <v>42500</v>
      </c>
      <c r="B51" t="s">
        <v>30</v>
      </c>
      <c r="C51">
        <v>401</v>
      </c>
      <c r="D51">
        <v>7</v>
      </c>
      <c r="E51">
        <v>1</v>
      </c>
      <c r="F51" t="s">
        <v>31</v>
      </c>
      <c r="G51" t="s">
        <v>32</v>
      </c>
      <c r="H51" t="s">
        <v>33</v>
      </c>
      <c r="I51" t="s">
        <v>57</v>
      </c>
      <c r="O51" s="5"/>
      <c r="P51" s="5"/>
      <c r="Z51" t="s">
        <v>39</v>
      </c>
    </row>
    <row r="52" spans="1:29" x14ac:dyDescent="0.25">
      <c r="A52" s="4">
        <v>42500</v>
      </c>
      <c r="B52" t="s">
        <v>30</v>
      </c>
      <c r="C52">
        <v>701</v>
      </c>
      <c r="D52">
        <v>4</v>
      </c>
      <c r="E52">
        <v>1</v>
      </c>
      <c r="F52" t="s">
        <v>41</v>
      </c>
      <c r="G52" t="s">
        <v>32</v>
      </c>
      <c r="H52" t="s">
        <v>33</v>
      </c>
      <c r="I52" t="s">
        <v>53</v>
      </c>
      <c r="J52" t="s">
        <v>62</v>
      </c>
      <c r="O52" s="5"/>
      <c r="P52" s="5"/>
      <c r="Z52" t="s">
        <v>39</v>
      </c>
    </row>
    <row r="53" spans="1:29" x14ac:dyDescent="0.25">
      <c r="A53" s="4">
        <v>42500</v>
      </c>
      <c r="B53" t="s">
        <v>30</v>
      </c>
      <c r="C53">
        <v>701</v>
      </c>
      <c r="D53">
        <v>6</v>
      </c>
      <c r="E53">
        <v>1</v>
      </c>
      <c r="F53" t="s">
        <v>41</v>
      </c>
      <c r="G53" t="s">
        <v>32</v>
      </c>
      <c r="H53" t="s">
        <v>33</v>
      </c>
      <c r="I53" t="s">
        <v>53</v>
      </c>
      <c r="J53" t="s">
        <v>62</v>
      </c>
      <c r="O53" s="5"/>
      <c r="P53" s="5"/>
      <c r="Z53" t="s">
        <v>39</v>
      </c>
    </row>
    <row r="54" spans="1:29" x14ac:dyDescent="0.25">
      <c r="A54" s="4">
        <v>42500</v>
      </c>
      <c r="B54" t="s">
        <v>30</v>
      </c>
      <c r="C54">
        <v>803</v>
      </c>
      <c r="D54">
        <v>3</v>
      </c>
      <c r="E54">
        <v>1</v>
      </c>
      <c r="F54" t="s">
        <v>41</v>
      </c>
      <c r="G54" t="s">
        <v>32</v>
      </c>
      <c r="H54" t="s">
        <v>33</v>
      </c>
      <c r="I54" t="s">
        <v>57</v>
      </c>
      <c r="O54" s="5"/>
      <c r="P54" s="5"/>
      <c r="Z54" t="s">
        <v>39</v>
      </c>
    </row>
    <row r="55" spans="1:29" x14ac:dyDescent="0.25">
      <c r="A55" s="4">
        <v>42500</v>
      </c>
      <c r="B55" t="s">
        <v>30</v>
      </c>
      <c r="C55">
        <v>803</v>
      </c>
      <c r="D55">
        <v>2</v>
      </c>
      <c r="E55">
        <v>1</v>
      </c>
      <c r="F55" t="s">
        <v>41</v>
      </c>
      <c r="G55" t="s">
        <v>32</v>
      </c>
      <c r="H55" t="s">
        <v>33</v>
      </c>
      <c r="I55" t="s">
        <v>34</v>
      </c>
      <c r="J55" t="s">
        <v>51</v>
      </c>
      <c r="K55" t="s">
        <v>36</v>
      </c>
      <c r="L55" t="s">
        <v>37</v>
      </c>
      <c r="M55">
        <v>1</v>
      </c>
      <c r="N55">
        <v>1</v>
      </c>
      <c r="O55" s="5">
        <v>50330</v>
      </c>
      <c r="P55" s="5" t="s">
        <v>67</v>
      </c>
      <c r="Q55">
        <f>34-11</f>
        <v>23</v>
      </c>
      <c r="R55" t="s">
        <v>63</v>
      </c>
      <c r="S55" t="s">
        <v>39</v>
      </c>
      <c r="T55">
        <v>20</v>
      </c>
      <c r="U55">
        <v>74</v>
      </c>
      <c r="V55">
        <v>13</v>
      </c>
      <c r="Z55" t="s">
        <v>39</v>
      </c>
      <c r="AB55" t="s">
        <v>55</v>
      </c>
      <c r="AC55" t="s">
        <v>68</v>
      </c>
    </row>
    <row r="56" spans="1:29" x14ac:dyDescent="0.25">
      <c r="A56" s="4">
        <v>42501</v>
      </c>
      <c r="B56" t="s">
        <v>30</v>
      </c>
      <c r="C56">
        <v>501</v>
      </c>
      <c r="D56">
        <v>3</v>
      </c>
      <c r="E56">
        <v>1</v>
      </c>
      <c r="F56" t="s">
        <v>31</v>
      </c>
      <c r="G56" t="s">
        <v>32</v>
      </c>
      <c r="H56" t="s">
        <v>33</v>
      </c>
      <c r="I56" t="s">
        <v>69</v>
      </c>
      <c r="O56" s="5"/>
      <c r="P56" s="5"/>
      <c r="Z56" t="s">
        <v>39</v>
      </c>
    </row>
    <row r="57" spans="1:29" x14ac:dyDescent="0.25">
      <c r="A57" s="4">
        <v>42501</v>
      </c>
      <c r="B57" t="s">
        <v>30</v>
      </c>
      <c r="C57">
        <v>501</v>
      </c>
      <c r="D57">
        <v>5</v>
      </c>
      <c r="E57">
        <v>1</v>
      </c>
      <c r="F57" t="s">
        <v>31</v>
      </c>
      <c r="G57" t="s">
        <v>32</v>
      </c>
      <c r="H57" t="s">
        <v>33</v>
      </c>
      <c r="I57" t="s">
        <v>34</v>
      </c>
      <c r="J57" t="s">
        <v>35</v>
      </c>
      <c r="K57" t="s">
        <v>36</v>
      </c>
      <c r="L57" t="s">
        <v>43</v>
      </c>
      <c r="M57">
        <v>0</v>
      </c>
      <c r="N57">
        <v>0</v>
      </c>
      <c r="O57" s="5">
        <v>26604</v>
      </c>
      <c r="P57" s="5">
        <v>26603</v>
      </c>
      <c r="Q57">
        <f>28.5-7.5</f>
        <v>21</v>
      </c>
      <c r="R57" t="s">
        <v>65</v>
      </c>
      <c r="S57" t="s">
        <v>39</v>
      </c>
      <c r="T57">
        <v>19</v>
      </c>
      <c r="U57">
        <v>94</v>
      </c>
      <c r="V57">
        <v>17</v>
      </c>
      <c r="Z57" t="s">
        <v>39</v>
      </c>
      <c r="AB57" t="s">
        <v>55</v>
      </c>
      <c r="AC57" t="s">
        <v>56</v>
      </c>
    </row>
    <row r="58" spans="1:29" x14ac:dyDescent="0.25">
      <c r="A58" s="4">
        <v>42501</v>
      </c>
      <c r="B58" t="s">
        <v>30</v>
      </c>
      <c r="C58">
        <v>501</v>
      </c>
      <c r="D58">
        <v>6</v>
      </c>
      <c r="E58">
        <v>1</v>
      </c>
      <c r="F58" t="s">
        <v>31</v>
      </c>
      <c r="G58" t="s">
        <v>32</v>
      </c>
      <c r="H58" t="s">
        <v>33</v>
      </c>
      <c r="I58" t="s">
        <v>57</v>
      </c>
      <c r="O58" s="5"/>
      <c r="P58" s="5"/>
      <c r="Z58" t="s">
        <v>39</v>
      </c>
    </row>
    <row r="59" spans="1:29" x14ac:dyDescent="0.25">
      <c r="A59" s="4">
        <v>42501</v>
      </c>
      <c r="B59" t="s">
        <v>30</v>
      </c>
      <c r="C59">
        <v>501</v>
      </c>
      <c r="D59">
        <v>8</v>
      </c>
      <c r="E59">
        <v>1</v>
      </c>
      <c r="F59" t="s">
        <v>31</v>
      </c>
      <c r="G59" t="s">
        <v>32</v>
      </c>
      <c r="H59" t="s">
        <v>33</v>
      </c>
      <c r="I59" t="s">
        <v>57</v>
      </c>
      <c r="O59" s="5"/>
      <c r="P59" s="5"/>
      <c r="Z59" t="s">
        <v>39</v>
      </c>
    </row>
    <row r="60" spans="1:29" x14ac:dyDescent="0.25">
      <c r="A60" s="4">
        <v>42501</v>
      </c>
      <c r="B60" t="s">
        <v>30</v>
      </c>
      <c r="C60">
        <v>501</v>
      </c>
      <c r="D60">
        <v>8</v>
      </c>
      <c r="E60">
        <v>2</v>
      </c>
      <c r="F60" t="s">
        <v>31</v>
      </c>
      <c r="G60" t="s">
        <v>32</v>
      </c>
      <c r="H60" t="s">
        <v>33</v>
      </c>
      <c r="I60" t="s">
        <v>57</v>
      </c>
      <c r="O60" s="5"/>
      <c r="P60" s="5"/>
      <c r="Z60" t="s">
        <v>39</v>
      </c>
    </row>
    <row r="61" spans="1:29" x14ac:dyDescent="0.25">
      <c r="A61" s="4">
        <v>42501</v>
      </c>
      <c r="B61" t="s">
        <v>30</v>
      </c>
      <c r="C61">
        <v>501</v>
      </c>
      <c r="D61">
        <v>9</v>
      </c>
      <c r="E61">
        <v>1</v>
      </c>
      <c r="F61" t="s">
        <v>31</v>
      </c>
      <c r="G61" t="s">
        <v>32</v>
      </c>
      <c r="H61" t="s">
        <v>33</v>
      </c>
      <c r="I61" t="s">
        <v>34</v>
      </c>
      <c r="J61" t="s">
        <v>42</v>
      </c>
      <c r="K61" t="s">
        <v>36</v>
      </c>
      <c r="L61" t="s">
        <v>43</v>
      </c>
      <c r="M61">
        <v>0</v>
      </c>
      <c r="N61">
        <v>1</v>
      </c>
      <c r="O61" s="5">
        <v>26639</v>
      </c>
      <c r="P61" s="5">
        <v>26638</v>
      </c>
      <c r="Q61">
        <f>33-8.5</f>
        <v>24.5</v>
      </c>
      <c r="R61" t="s">
        <v>65</v>
      </c>
      <c r="S61" t="s">
        <v>39</v>
      </c>
      <c r="T61">
        <v>18</v>
      </c>
      <c r="U61">
        <v>83</v>
      </c>
      <c r="V61">
        <v>18</v>
      </c>
      <c r="Z61" t="s">
        <v>39</v>
      </c>
      <c r="AB61" t="s">
        <v>40</v>
      </c>
      <c r="AC61" t="s">
        <v>56</v>
      </c>
    </row>
    <row r="62" spans="1:29" x14ac:dyDescent="0.25">
      <c r="A62" s="4">
        <v>42501</v>
      </c>
      <c r="B62" t="s">
        <v>30</v>
      </c>
      <c r="C62">
        <v>503</v>
      </c>
      <c r="D62">
        <v>4</v>
      </c>
      <c r="E62">
        <v>1</v>
      </c>
      <c r="F62" t="s">
        <v>31</v>
      </c>
      <c r="G62" t="s">
        <v>32</v>
      </c>
      <c r="H62" t="s">
        <v>33</v>
      </c>
      <c r="I62" t="s">
        <v>57</v>
      </c>
      <c r="O62" s="5"/>
      <c r="P62" s="5"/>
      <c r="Z62" t="s">
        <v>39</v>
      </c>
    </row>
    <row r="63" spans="1:29" x14ac:dyDescent="0.25">
      <c r="A63" s="4">
        <v>42501</v>
      </c>
      <c r="B63" t="s">
        <v>30</v>
      </c>
      <c r="C63">
        <v>503</v>
      </c>
      <c r="D63">
        <v>8</v>
      </c>
      <c r="E63">
        <v>1</v>
      </c>
      <c r="F63" t="s">
        <v>31</v>
      </c>
      <c r="G63" t="s">
        <v>32</v>
      </c>
      <c r="H63" t="s">
        <v>33</v>
      </c>
      <c r="I63" t="s">
        <v>58</v>
      </c>
      <c r="J63" t="s">
        <v>35</v>
      </c>
      <c r="K63" t="s">
        <v>36</v>
      </c>
      <c r="L63" t="s">
        <v>43</v>
      </c>
      <c r="M63">
        <v>0</v>
      </c>
      <c r="N63">
        <v>0</v>
      </c>
      <c r="O63" s="5" t="s">
        <v>66</v>
      </c>
      <c r="P63" s="5"/>
      <c r="Q63">
        <f>39.5-11</f>
        <v>28.5</v>
      </c>
      <c r="R63" t="s">
        <v>65</v>
      </c>
      <c r="S63" t="s">
        <v>39</v>
      </c>
      <c r="Z63" t="s">
        <v>39</v>
      </c>
    </row>
    <row r="64" spans="1:29" x14ac:dyDescent="0.25">
      <c r="A64" s="4">
        <v>42501</v>
      </c>
      <c r="B64" t="s">
        <v>30</v>
      </c>
      <c r="C64">
        <v>503</v>
      </c>
      <c r="D64">
        <v>10</v>
      </c>
      <c r="E64">
        <v>1</v>
      </c>
      <c r="F64" t="s">
        <v>31</v>
      </c>
      <c r="G64" t="s">
        <v>32</v>
      </c>
      <c r="H64" t="s">
        <v>33</v>
      </c>
      <c r="I64" t="s">
        <v>58</v>
      </c>
      <c r="J64" t="s">
        <v>42</v>
      </c>
      <c r="K64" t="s">
        <v>36</v>
      </c>
      <c r="L64" t="s">
        <v>37</v>
      </c>
      <c r="M64">
        <v>0</v>
      </c>
      <c r="N64">
        <v>1</v>
      </c>
      <c r="O64" s="5">
        <v>26637</v>
      </c>
      <c r="P64" s="5"/>
      <c r="Q64">
        <v>26</v>
      </c>
      <c r="R64" t="s">
        <v>38</v>
      </c>
      <c r="S64" t="s">
        <v>39</v>
      </c>
      <c r="Z64" t="s">
        <v>39</v>
      </c>
    </row>
    <row r="65" spans="1:29" x14ac:dyDescent="0.25">
      <c r="A65" s="4">
        <v>42501</v>
      </c>
      <c r="B65" t="s">
        <v>30</v>
      </c>
      <c r="C65">
        <v>503</v>
      </c>
      <c r="D65">
        <v>10</v>
      </c>
      <c r="E65">
        <v>2</v>
      </c>
      <c r="F65" t="s">
        <v>31</v>
      </c>
      <c r="G65" t="s">
        <v>32</v>
      </c>
      <c r="H65" t="s">
        <v>33</v>
      </c>
      <c r="I65" t="s">
        <v>64</v>
      </c>
      <c r="J65" t="s">
        <v>42</v>
      </c>
      <c r="K65" t="s">
        <v>36</v>
      </c>
      <c r="L65" t="s">
        <v>43</v>
      </c>
      <c r="M65">
        <v>0</v>
      </c>
      <c r="N65">
        <v>1</v>
      </c>
      <c r="O65" s="5">
        <v>26636</v>
      </c>
      <c r="P65" s="5"/>
      <c r="R65" t="s">
        <v>47</v>
      </c>
      <c r="Z65" t="s">
        <v>39</v>
      </c>
    </row>
    <row r="66" spans="1:29" x14ac:dyDescent="0.25">
      <c r="A66" s="4">
        <v>42501</v>
      </c>
      <c r="B66" t="s">
        <v>30</v>
      </c>
      <c r="C66">
        <v>303</v>
      </c>
      <c r="D66">
        <v>2</v>
      </c>
      <c r="E66">
        <v>1</v>
      </c>
      <c r="F66" t="s">
        <v>31</v>
      </c>
      <c r="G66" t="s">
        <v>32</v>
      </c>
      <c r="H66" t="s">
        <v>33</v>
      </c>
      <c r="I66" t="s">
        <v>57</v>
      </c>
      <c r="O66" s="5"/>
      <c r="P66" s="5"/>
      <c r="Z66" t="s">
        <v>39</v>
      </c>
    </row>
    <row r="67" spans="1:29" x14ac:dyDescent="0.25">
      <c r="A67" s="4">
        <v>42501</v>
      </c>
      <c r="B67" t="s">
        <v>30</v>
      </c>
      <c r="C67">
        <v>303</v>
      </c>
      <c r="D67">
        <v>9</v>
      </c>
      <c r="E67">
        <v>1</v>
      </c>
      <c r="F67" t="s">
        <v>31</v>
      </c>
      <c r="G67" t="s">
        <v>32</v>
      </c>
      <c r="H67" t="s">
        <v>33</v>
      </c>
      <c r="I67" t="s">
        <v>70</v>
      </c>
      <c r="J67" t="s">
        <v>62</v>
      </c>
      <c r="O67" s="5"/>
      <c r="P67" s="5"/>
      <c r="Z67" t="s">
        <v>39</v>
      </c>
    </row>
    <row r="68" spans="1:29" x14ac:dyDescent="0.25">
      <c r="A68" s="4">
        <v>42501</v>
      </c>
      <c r="B68" t="s">
        <v>30</v>
      </c>
      <c r="C68">
        <v>401</v>
      </c>
      <c r="D68">
        <v>4</v>
      </c>
      <c r="E68">
        <v>1</v>
      </c>
      <c r="F68" t="s">
        <v>31</v>
      </c>
      <c r="G68" t="s">
        <v>32</v>
      </c>
      <c r="H68" t="s">
        <v>33</v>
      </c>
      <c r="I68" t="s">
        <v>57</v>
      </c>
      <c r="O68" s="5"/>
      <c r="P68" s="5"/>
      <c r="Z68" t="s">
        <v>39</v>
      </c>
    </row>
    <row r="69" spans="1:29" x14ac:dyDescent="0.25">
      <c r="A69" s="4">
        <v>42501</v>
      </c>
      <c r="B69" t="s">
        <v>30</v>
      </c>
      <c r="C69">
        <v>401</v>
      </c>
      <c r="D69">
        <v>5</v>
      </c>
      <c r="E69">
        <v>1</v>
      </c>
      <c r="F69" t="s">
        <v>31</v>
      </c>
      <c r="G69" t="s">
        <v>32</v>
      </c>
      <c r="H69" t="s">
        <v>33</v>
      </c>
      <c r="I69" t="s">
        <v>57</v>
      </c>
      <c r="O69" s="5"/>
      <c r="P69" s="5"/>
      <c r="Z69" t="s">
        <v>39</v>
      </c>
    </row>
    <row r="70" spans="1:29" x14ac:dyDescent="0.25">
      <c r="A70" s="4">
        <v>42501</v>
      </c>
      <c r="B70" t="s">
        <v>30</v>
      </c>
      <c r="C70">
        <v>701</v>
      </c>
      <c r="D70">
        <v>9</v>
      </c>
      <c r="E70">
        <v>1</v>
      </c>
      <c r="F70" t="s">
        <v>41</v>
      </c>
      <c r="G70" t="s">
        <v>32</v>
      </c>
      <c r="H70" t="s">
        <v>33</v>
      </c>
      <c r="I70" t="s">
        <v>57</v>
      </c>
      <c r="O70" s="5"/>
      <c r="P70" s="5"/>
      <c r="Z70" t="s">
        <v>39</v>
      </c>
    </row>
    <row r="71" spans="1:29" x14ac:dyDescent="0.25">
      <c r="A71" s="4">
        <v>42501</v>
      </c>
      <c r="B71" t="s">
        <v>30</v>
      </c>
      <c r="C71">
        <v>703</v>
      </c>
      <c r="D71">
        <v>2</v>
      </c>
      <c r="E71">
        <v>1</v>
      </c>
      <c r="F71" t="s">
        <v>41</v>
      </c>
      <c r="G71" t="s">
        <v>32</v>
      </c>
      <c r="H71" t="s">
        <v>33</v>
      </c>
      <c r="I71" t="s">
        <v>34</v>
      </c>
      <c r="J71" t="s">
        <v>35</v>
      </c>
      <c r="K71" t="s">
        <v>36</v>
      </c>
      <c r="L71" t="s">
        <v>37</v>
      </c>
      <c r="M71">
        <v>0</v>
      </c>
      <c r="N71">
        <v>0</v>
      </c>
      <c r="O71" s="5" t="s">
        <v>71</v>
      </c>
      <c r="P71" s="5" t="s">
        <v>72</v>
      </c>
      <c r="Q71">
        <f>35-9</f>
        <v>26</v>
      </c>
      <c r="R71" t="s">
        <v>63</v>
      </c>
      <c r="S71" t="s">
        <v>39</v>
      </c>
      <c r="T71">
        <v>21</v>
      </c>
      <c r="U71">
        <v>86</v>
      </c>
      <c r="V71">
        <v>12</v>
      </c>
      <c r="Z71" t="s">
        <v>39</v>
      </c>
      <c r="AB71" t="s">
        <v>40</v>
      </c>
      <c r="AC71" t="s">
        <v>56</v>
      </c>
    </row>
    <row r="72" spans="1:29" x14ac:dyDescent="0.25">
      <c r="A72" s="4">
        <v>42501</v>
      </c>
      <c r="B72" t="s">
        <v>30</v>
      </c>
      <c r="C72">
        <v>703</v>
      </c>
      <c r="D72">
        <v>9</v>
      </c>
      <c r="E72">
        <v>1</v>
      </c>
      <c r="F72" t="s">
        <v>41</v>
      </c>
      <c r="G72" t="s">
        <v>32</v>
      </c>
      <c r="H72" t="s">
        <v>33</v>
      </c>
      <c r="I72" t="s">
        <v>34</v>
      </c>
      <c r="J72" t="s">
        <v>42</v>
      </c>
      <c r="K72" t="s">
        <v>36</v>
      </c>
      <c r="L72" t="s">
        <v>37</v>
      </c>
      <c r="M72">
        <v>0</v>
      </c>
      <c r="N72">
        <v>1</v>
      </c>
      <c r="O72" s="5">
        <v>50395</v>
      </c>
      <c r="P72" s="5">
        <v>50394</v>
      </c>
      <c r="Q72">
        <f>30-8</f>
        <v>22</v>
      </c>
      <c r="R72" t="s">
        <v>63</v>
      </c>
      <c r="S72" t="s">
        <v>39</v>
      </c>
      <c r="T72">
        <v>19</v>
      </c>
      <c r="U72">
        <v>85</v>
      </c>
      <c r="V72">
        <v>11</v>
      </c>
      <c r="Z72" t="s">
        <v>39</v>
      </c>
      <c r="AB72" t="s">
        <v>40</v>
      </c>
      <c r="AC72" t="s">
        <v>56</v>
      </c>
    </row>
    <row r="73" spans="1:29" x14ac:dyDescent="0.25">
      <c r="A73" s="4">
        <v>42501</v>
      </c>
      <c r="B73" t="s">
        <v>30</v>
      </c>
      <c r="C73">
        <v>801</v>
      </c>
      <c r="D73">
        <v>3</v>
      </c>
      <c r="E73">
        <v>1</v>
      </c>
      <c r="F73" t="s">
        <v>41</v>
      </c>
      <c r="G73" t="s">
        <v>32</v>
      </c>
      <c r="H73" t="s">
        <v>33</v>
      </c>
      <c r="I73" t="s">
        <v>73</v>
      </c>
      <c r="J73" t="s">
        <v>42</v>
      </c>
      <c r="K73" t="s">
        <v>36</v>
      </c>
      <c r="L73" t="s">
        <v>43</v>
      </c>
      <c r="M73">
        <v>0</v>
      </c>
      <c r="N73">
        <v>1</v>
      </c>
      <c r="O73" s="5"/>
      <c r="P73" s="5">
        <v>50392</v>
      </c>
      <c r="Q73">
        <f>140-46</f>
        <v>94</v>
      </c>
      <c r="R73" t="s">
        <v>47</v>
      </c>
      <c r="S73" t="s">
        <v>39</v>
      </c>
      <c r="Z73" t="s">
        <v>39</v>
      </c>
      <c r="AB73" t="s">
        <v>40</v>
      </c>
      <c r="AC73" t="s">
        <v>56</v>
      </c>
    </row>
    <row r="74" spans="1:29" x14ac:dyDescent="0.25">
      <c r="A74" s="4">
        <v>42501</v>
      </c>
      <c r="B74" t="s">
        <v>30</v>
      </c>
      <c r="C74">
        <v>801</v>
      </c>
      <c r="D74">
        <v>8</v>
      </c>
      <c r="E74">
        <v>1</v>
      </c>
      <c r="F74" t="s">
        <v>41</v>
      </c>
      <c r="G74" t="s">
        <v>32</v>
      </c>
      <c r="H74" t="s">
        <v>33</v>
      </c>
      <c r="I74" t="s">
        <v>57</v>
      </c>
      <c r="O74" s="5"/>
      <c r="P74" s="5"/>
      <c r="Z74" t="s">
        <v>39</v>
      </c>
    </row>
    <row r="75" spans="1:29" x14ac:dyDescent="0.25">
      <c r="A75" s="4">
        <v>42135</v>
      </c>
      <c r="B75" t="s">
        <v>30</v>
      </c>
      <c r="C75">
        <v>803</v>
      </c>
      <c r="D75">
        <v>6</v>
      </c>
      <c r="E75">
        <v>1</v>
      </c>
      <c r="F75" t="s">
        <v>41</v>
      </c>
      <c r="G75" t="s">
        <v>32</v>
      </c>
      <c r="H75" t="s">
        <v>33</v>
      </c>
      <c r="I75" t="s">
        <v>73</v>
      </c>
      <c r="J75" t="s">
        <v>42</v>
      </c>
      <c r="K75" t="s">
        <v>36</v>
      </c>
      <c r="L75" t="s">
        <v>43</v>
      </c>
      <c r="M75">
        <v>0</v>
      </c>
      <c r="N75">
        <v>1</v>
      </c>
      <c r="O75" s="5">
        <v>50391</v>
      </c>
      <c r="P75" s="5"/>
      <c r="Q75">
        <f>130-46</f>
        <v>84</v>
      </c>
      <c r="R75" t="s">
        <v>47</v>
      </c>
      <c r="S75" t="s">
        <v>39</v>
      </c>
      <c r="Z75" t="s">
        <v>39</v>
      </c>
      <c r="AB75" t="s">
        <v>55</v>
      </c>
      <c r="AC75" t="s">
        <v>56</v>
      </c>
    </row>
    <row r="76" spans="1:29" x14ac:dyDescent="0.25">
      <c r="A76" s="4">
        <v>42501</v>
      </c>
      <c r="B76" t="s">
        <v>30</v>
      </c>
      <c r="C76">
        <v>803</v>
      </c>
      <c r="D76">
        <v>5</v>
      </c>
      <c r="E76">
        <v>1</v>
      </c>
      <c r="F76" t="s">
        <v>41</v>
      </c>
      <c r="G76" t="s">
        <v>32</v>
      </c>
      <c r="H76" t="s">
        <v>33</v>
      </c>
      <c r="I76" t="s">
        <v>34</v>
      </c>
      <c r="J76" t="s">
        <v>35</v>
      </c>
      <c r="K76" t="s">
        <v>36</v>
      </c>
      <c r="L76" t="s">
        <v>37</v>
      </c>
      <c r="M76">
        <v>0</v>
      </c>
      <c r="N76">
        <v>0</v>
      </c>
      <c r="O76" s="5">
        <v>50330</v>
      </c>
      <c r="P76" s="5" t="s">
        <v>67</v>
      </c>
      <c r="Q76">
        <f>31.5-9</f>
        <v>22.5</v>
      </c>
      <c r="R76" t="s">
        <v>63</v>
      </c>
      <c r="S76" t="s">
        <v>39</v>
      </c>
      <c r="T76">
        <v>20</v>
      </c>
      <c r="U76">
        <v>76</v>
      </c>
      <c r="V76">
        <v>13</v>
      </c>
      <c r="Z76" t="s">
        <v>39</v>
      </c>
      <c r="AB76" t="s">
        <v>55</v>
      </c>
      <c r="AC76" t="s">
        <v>56</v>
      </c>
    </row>
    <row r="77" spans="1:29" x14ac:dyDescent="0.25">
      <c r="A77" s="4">
        <v>42502</v>
      </c>
      <c r="B77" t="s">
        <v>30</v>
      </c>
      <c r="C77">
        <v>501</v>
      </c>
      <c r="D77">
        <v>5</v>
      </c>
      <c r="E77">
        <v>1</v>
      </c>
      <c r="F77" t="s">
        <v>31</v>
      </c>
      <c r="G77" t="s">
        <v>32</v>
      </c>
      <c r="H77" t="s">
        <v>33</v>
      </c>
      <c r="I77" t="s">
        <v>34</v>
      </c>
      <c r="J77" t="s">
        <v>35</v>
      </c>
      <c r="K77" t="s">
        <v>36</v>
      </c>
      <c r="L77" t="s">
        <v>43</v>
      </c>
      <c r="M77">
        <v>0</v>
      </c>
      <c r="N77">
        <v>0</v>
      </c>
      <c r="O77" s="5">
        <v>26604</v>
      </c>
      <c r="P77" s="5">
        <v>26603</v>
      </c>
      <c r="Q77">
        <v>21</v>
      </c>
      <c r="R77" t="s">
        <v>65</v>
      </c>
      <c r="S77" t="s">
        <v>39</v>
      </c>
      <c r="T77">
        <v>18</v>
      </c>
      <c r="U77">
        <v>90</v>
      </c>
      <c r="V77">
        <v>20.5</v>
      </c>
      <c r="Z77" t="s">
        <v>39</v>
      </c>
      <c r="AB77" t="s">
        <v>59</v>
      </c>
      <c r="AC77" t="s">
        <v>56</v>
      </c>
    </row>
    <row r="78" spans="1:29" x14ac:dyDescent="0.25">
      <c r="A78" s="4">
        <v>42502</v>
      </c>
      <c r="B78" t="s">
        <v>30</v>
      </c>
      <c r="C78">
        <v>501</v>
      </c>
      <c r="D78">
        <v>9</v>
      </c>
      <c r="E78">
        <v>1</v>
      </c>
      <c r="F78" t="s">
        <v>31</v>
      </c>
      <c r="G78" t="s">
        <v>32</v>
      </c>
      <c r="H78" t="s">
        <v>33</v>
      </c>
      <c r="I78" t="s">
        <v>34</v>
      </c>
      <c r="J78" t="s">
        <v>35</v>
      </c>
      <c r="K78" t="s">
        <v>36</v>
      </c>
      <c r="L78" t="s">
        <v>43</v>
      </c>
      <c r="M78">
        <v>0</v>
      </c>
      <c r="N78">
        <v>0</v>
      </c>
      <c r="O78" s="5">
        <v>26639</v>
      </c>
      <c r="P78" s="5">
        <v>26638</v>
      </c>
      <c r="Q78">
        <f>31.5-11.5</f>
        <v>20</v>
      </c>
      <c r="R78" t="s">
        <v>47</v>
      </c>
      <c r="S78" t="s">
        <v>39</v>
      </c>
      <c r="T78">
        <v>20</v>
      </c>
      <c r="U78">
        <v>86</v>
      </c>
      <c r="V78">
        <v>17</v>
      </c>
      <c r="Z78" t="s">
        <v>39</v>
      </c>
      <c r="AB78" t="s">
        <v>59</v>
      </c>
      <c r="AC78" t="s">
        <v>56</v>
      </c>
    </row>
    <row r="79" spans="1:29" x14ac:dyDescent="0.25">
      <c r="A79" s="4">
        <v>42502</v>
      </c>
      <c r="B79" t="s">
        <v>30</v>
      </c>
      <c r="C79">
        <v>503</v>
      </c>
      <c r="D79">
        <v>5</v>
      </c>
      <c r="E79">
        <v>1</v>
      </c>
      <c r="F79" t="s">
        <v>31</v>
      </c>
      <c r="G79" t="s">
        <v>32</v>
      </c>
      <c r="H79" t="s">
        <v>33</v>
      </c>
      <c r="I79" t="s">
        <v>58</v>
      </c>
      <c r="J79" t="s">
        <v>42</v>
      </c>
      <c r="K79" t="s">
        <v>36</v>
      </c>
      <c r="L79" t="s">
        <v>43</v>
      </c>
      <c r="M79">
        <v>0</v>
      </c>
      <c r="N79">
        <v>1</v>
      </c>
      <c r="O79" s="5">
        <v>26633</v>
      </c>
      <c r="P79" s="5"/>
      <c r="Q79">
        <f>37.5-9</f>
        <v>28.5</v>
      </c>
      <c r="R79" t="s">
        <v>65</v>
      </c>
      <c r="S79" t="s">
        <v>39</v>
      </c>
      <c r="Z79" t="s">
        <v>39</v>
      </c>
      <c r="AB79" t="s">
        <v>59</v>
      </c>
      <c r="AC79" t="s">
        <v>56</v>
      </c>
    </row>
    <row r="80" spans="1:29" x14ac:dyDescent="0.25">
      <c r="A80" s="4">
        <v>42502</v>
      </c>
      <c r="B80" t="s">
        <v>30</v>
      </c>
      <c r="C80">
        <v>503</v>
      </c>
      <c r="D80">
        <v>7</v>
      </c>
      <c r="E80">
        <v>1</v>
      </c>
      <c r="F80" t="s">
        <v>31</v>
      </c>
      <c r="G80" t="s">
        <v>32</v>
      </c>
      <c r="H80" t="s">
        <v>33</v>
      </c>
      <c r="I80" t="s">
        <v>57</v>
      </c>
      <c r="O80" s="5"/>
      <c r="P80" s="5"/>
      <c r="Z80" t="s">
        <v>39</v>
      </c>
      <c r="AB80" t="s">
        <v>59</v>
      </c>
      <c r="AC80" t="s">
        <v>56</v>
      </c>
    </row>
    <row r="81" spans="1:29" x14ac:dyDescent="0.25">
      <c r="A81" s="4">
        <v>42502</v>
      </c>
      <c r="B81" t="s">
        <v>30</v>
      </c>
      <c r="C81">
        <v>503</v>
      </c>
      <c r="D81">
        <v>9</v>
      </c>
      <c r="E81">
        <v>1</v>
      </c>
      <c r="F81" t="s">
        <v>31</v>
      </c>
      <c r="G81" t="s">
        <v>32</v>
      </c>
      <c r="H81" t="s">
        <v>33</v>
      </c>
      <c r="I81" t="s">
        <v>57</v>
      </c>
      <c r="O81" s="5"/>
      <c r="P81" s="5"/>
      <c r="Z81" t="s">
        <v>39</v>
      </c>
      <c r="AB81" t="s">
        <v>59</v>
      </c>
      <c r="AC81" t="s">
        <v>56</v>
      </c>
    </row>
    <row r="82" spans="1:29" x14ac:dyDescent="0.25">
      <c r="A82" s="4">
        <v>42502</v>
      </c>
      <c r="B82" t="s">
        <v>30</v>
      </c>
      <c r="C82">
        <v>303</v>
      </c>
      <c r="D82">
        <v>1</v>
      </c>
      <c r="E82">
        <v>1</v>
      </c>
      <c r="F82" t="s">
        <v>31</v>
      </c>
      <c r="G82" t="s">
        <v>32</v>
      </c>
      <c r="H82" t="s">
        <v>33</v>
      </c>
      <c r="I82" t="s">
        <v>34</v>
      </c>
      <c r="J82" t="s">
        <v>42</v>
      </c>
      <c r="K82" t="s">
        <v>36</v>
      </c>
      <c r="L82" t="s">
        <v>37</v>
      </c>
      <c r="M82">
        <v>0</v>
      </c>
      <c r="N82">
        <v>1</v>
      </c>
      <c r="O82" s="5">
        <v>26635</v>
      </c>
      <c r="P82" s="5">
        <v>26608</v>
      </c>
      <c r="Q82">
        <f>32-8</f>
        <v>24</v>
      </c>
      <c r="R82" t="s">
        <v>74</v>
      </c>
      <c r="S82" t="s">
        <v>39</v>
      </c>
      <c r="T82">
        <v>19</v>
      </c>
      <c r="U82">
        <v>95</v>
      </c>
      <c r="V82">
        <v>18</v>
      </c>
      <c r="Z82" t="s">
        <v>39</v>
      </c>
      <c r="AB82" t="s">
        <v>59</v>
      </c>
      <c r="AC82" t="s">
        <v>56</v>
      </c>
    </row>
    <row r="83" spans="1:29" x14ac:dyDescent="0.25">
      <c r="A83" s="4">
        <v>42502</v>
      </c>
      <c r="B83" t="s">
        <v>30</v>
      </c>
      <c r="C83">
        <v>401</v>
      </c>
      <c r="D83">
        <v>3</v>
      </c>
      <c r="E83">
        <v>1</v>
      </c>
      <c r="F83" t="s">
        <v>31</v>
      </c>
      <c r="G83" t="s">
        <v>32</v>
      </c>
      <c r="H83" t="s">
        <v>33</v>
      </c>
      <c r="I83" t="s">
        <v>57</v>
      </c>
      <c r="O83" s="5"/>
      <c r="P83" s="5"/>
      <c r="Z83" t="s">
        <v>39</v>
      </c>
    </row>
    <row r="84" spans="1:29" x14ac:dyDescent="0.25">
      <c r="A84" s="4">
        <v>42502</v>
      </c>
      <c r="B84" t="s">
        <v>30</v>
      </c>
      <c r="C84">
        <v>703</v>
      </c>
      <c r="D84">
        <v>1</v>
      </c>
      <c r="E84">
        <v>1</v>
      </c>
      <c r="F84" t="s">
        <v>41</v>
      </c>
      <c r="G84" t="s">
        <v>32</v>
      </c>
      <c r="H84" t="s">
        <v>33</v>
      </c>
      <c r="I84" t="s">
        <v>34</v>
      </c>
      <c r="J84" t="s">
        <v>35</v>
      </c>
      <c r="K84" t="s">
        <v>36</v>
      </c>
      <c r="L84" t="s">
        <v>37</v>
      </c>
      <c r="M84">
        <v>0</v>
      </c>
      <c r="N84">
        <v>0</v>
      </c>
      <c r="O84" s="5" t="s">
        <v>71</v>
      </c>
      <c r="P84" s="5" t="s">
        <v>72</v>
      </c>
      <c r="Q84">
        <f>35.5-12</f>
        <v>23.5</v>
      </c>
      <c r="R84" t="s">
        <v>63</v>
      </c>
      <c r="S84" t="s">
        <v>39</v>
      </c>
      <c r="T84">
        <v>20</v>
      </c>
      <c r="U84">
        <v>88</v>
      </c>
      <c r="V84">
        <v>13</v>
      </c>
      <c r="Z84" t="s">
        <v>39</v>
      </c>
      <c r="AB84" t="s">
        <v>59</v>
      </c>
      <c r="AC84" t="s">
        <v>56</v>
      </c>
    </row>
    <row r="85" spans="1:29" x14ac:dyDescent="0.25">
      <c r="A85" s="4">
        <v>42502</v>
      </c>
      <c r="B85" t="s">
        <v>30</v>
      </c>
      <c r="C85">
        <v>703</v>
      </c>
      <c r="D85">
        <v>5</v>
      </c>
      <c r="E85">
        <v>1</v>
      </c>
      <c r="F85" t="s">
        <v>41</v>
      </c>
      <c r="G85" t="s">
        <v>32</v>
      </c>
      <c r="H85" t="s">
        <v>33</v>
      </c>
      <c r="I85" t="s">
        <v>64</v>
      </c>
      <c r="J85" t="s">
        <v>42</v>
      </c>
      <c r="K85" t="s">
        <v>36</v>
      </c>
      <c r="L85" t="s">
        <v>37</v>
      </c>
      <c r="M85">
        <v>0</v>
      </c>
      <c r="N85">
        <v>1</v>
      </c>
      <c r="O85" s="5">
        <v>50390</v>
      </c>
      <c r="P85" s="5"/>
      <c r="Q85">
        <f>205-48</f>
        <v>157</v>
      </c>
      <c r="R85" t="s">
        <v>38</v>
      </c>
      <c r="S85" t="s">
        <v>39</v>
      </c>
      <c r="Z85" t="s">
        <v>39</v>
      </c>
      <c r="AB85" t="s">
        <v>59</v>
      </c>
      <c r="AC85" t="s">
        <v>56</v>
      </c>
    </row>
    <row r="86" spans="1:29" x14ac:dyDescent="0.25">
      <c r="A86" s="4">
        <v>42502</v>
      </c>
      <c r="B86" t="s">
        <v>30</v>
      </c>
      <c r="C86">
        <v>703</v>
      </c>
      <c r="D86">
        <v>8</v>
      </c>
      <c r="E86">
        <v>1</v>
      </c>
      <c r="F86" t="s">
        <v>41</v>
      </c>
      <c r="G86" t="s">
        <v>32</v>
      </c>
      <c r="H86" t="s">
        <v>33</v>
      </c>
      <c r="I86" t="s">
        <v>34</v>
      </c>
      <c r="J86" t="s">
        <v>42</v>
      </c>
      <c r="K86" t="s">
        <v>36</v>
      </c>
      <c r="L86" t="s">
        <v>43</v>
      </c>
      <c r="M86">
        <v>0</v>
      </c>
      <c r="N86">
        <v>1</v>
      </c>
      <c r="O86" s="5">
        <v>50389</v>
      </c>
      <c r="P86" s="5">
        <v>50388</v>
      </c>
      <c r="Q86">
        <f>40-17.5</f>
        <v>22.5</v>
      </c>
      <c r="R86" t="s">
        <v>47</v>
      </c>
      <c r="S86" t="s">
        <v>39</v>
      </c>
      <c r="T86">
        <v>19</v>
      </c>
      <c r="U86">
        <v>88</v>
      </c>
      <c r="V86">
        <v>12</v>
      </c>
      <c r="Z86" t="s">
        <v>39</v>
      </c>
      <c r="AB86" t="s">
        <v>59</v>
      </c>
      <c r="AC86" t="s">
        <v>56</v>
      </c>
    </row>
    <row r="87" spans="1:29" x14ac:dyDescent="0.25">
      <c r="A87" s="4">
        <v>42502</v>
      </c>
      <c r="B87" t="s">
        <v>30</v>
      </c>
      <c r="C87">
        <v>703</v>
      </c>
      <c r="D87">
        <v>9</v>
      </c>
      <c r="E87">
        <v>1</v>
      </c>
      <c r="F87" t="s">
        <v>41</v>
      </c>
      <c r="G87" t="s">
        <v>32</v>
      </c>
      <c r="H87" t="s">
        <v>33</v>
      </c>
      <c r="I87" t="s">
        <v>34</v>
      </c>
      <c r="J87" t="s">
        <v>42</v>
      </c>
      <c r="K87" t="s">
        <v>36</v>
      </c>
      <c r="L87" t="s">
        <v>43</v>
      </c>
      <c r="M87">
        <v>0</v>
      </c>
      <c r="N87">
        <v>1</v>
      </c>
      <c r="O87" s="5">
        <v>50387</v>
      </c>
      <c r="P87" s="5">
        <v>50386</v>
      </c>
      <c r="Q87">
        <v>21</v>
      </c>
      <c r="R87" t="s">
        <v>47</v>
      </c>
      <c r="S87" t="s">
        <v>39</v>
      </c>
      <c r="T87">
        <v>20</v>
      </c>
      <c r="U87">
        <v>79</v>
      </c>
      <c r="V87">
        <v>15</v>
      </c>
      <c r="Z87" t="s">
        <v>39</v>
      </c>
      <c r="AB87" t="s">
        <v>59</v>
      </c>
      <c r="AC87" t="s">
        <v>56</v>
      </c>
    </row>
    <row r="88" spans="1:29" x14ac:dyDescent="0.25">
      <c r="A88" s="4">
        <v>42502</v>
      </c>
      <c r="B88" t="s">
        <v>30</v>
      </c>
      <c r="C88">
        <v>703</v>
      </c>
      <c r="D88">
        <v>9</v>
      </c>
      <c r="E88">
        <v>2</v>
      </c>
      <c r="F88" t="s">
        <v>41</v>
      </c>
      <c r="G88" t="s">
        <v>32</v>
      </c>
      <c r="H88" t="s">
        <v>33</v>
      </c>
      <c r="I88" t="s">
        <v>64</v>
      </c>
      <c r="J88" t="s">
        <v>42</v>
      </c>
      <c r="K88" t="s">
        <v>36</v>
      </c>
      <c r="L88" t="s">
        <v>43</v>
      </c>
      <c r="M88">
        <v>0</v>
      </c>
      <c r="N88">
        <v>1</v>
      </c>
      <c r="O88" s="5">
        <v>50385</v>
      </c>
      <c r="P88" s="5"/>
      <c r="Q88">
        <f>231-50</f>
        <v>181</v>
      </c>
      <c r="R88" t="s">
        <v>47</v>
      </c>
      <c r="S88" t="s">
        <v>39</v>
      </c>
      <c r="Z88" t="s">
        <v>39</v>
      </c>
      <c r="AB88" t="s">
        <v>59</v>
      </c>
      <c r="AC88" t="s">
        <v>56</v>
      </c>
    </row>
    <row r="89" spans="1:29" x14ac:dyDescent="0.25">
      <c r="A89" s="4">
        <v>42502</v>
      </c>
      <c r="B89" t="s">
        <v>30</v>
      </c>
      <c r="C89">
        <v>703</v>
      </c>
      <c r="D89">
        <v>10</v>
      </c>
      <c r="E89">
        <v>1</v>
      </c>
      <c r="F89" t="s">
        <v>41</v>
      </c>
      <c r="G89" t="s">
        <v>32</v>
      </c>
      <c r="H89" t="s">
        <v>33</v>
      </c>
      <c r="I89" t="s">
        <v>34</v>
      </c>
      <c r="J89" t="s">
        <v>35</v>
      </c>
      <c r="K89" t="s">
        <v>36</v>
      </c>
      <c r="L89" t="s">
        <v>37</v>
      </c>
      <c r="M89">
        <v>0</v>
      </c>
      <c r="N89">
        <v>0</v>
      </c>
      <c r="O89" s="5">
        <v>50395</v>
      </c>
      <c r="P89" s="5">
        <v>50394</v>
      </c>
      <c r="Q89">
        <f>37-14.5</f>
        <v>22.5</v>
      </c>
      <c r="R89" t="s">
        <v>63</v>
      </c>
      <c r="S89" t="s">
        <v>39</v>
      </c>
      <c r="T89">
        <v>19</v>
      </c>
      <c r="U89">
        <v>88</v>
      </c>
      <c r="V89">
        <v>14</v>
      </c>
      <c r="Z89" t="s">
        <v>39</v>
      </c>
      <c r="AB89" t="s">
        <v>59</v>
      </c>
      <c r="AC89" t="s">
        <v>56</v>
      </c>
    </row>
    <row r="90" spans="1:29" x14ac:dyDescent="0.25">
      <c r="A90" s="4">
        <v>42502</v>
      </c>
      <c r="B90" t="s">
        <v>30</v>
      </c>
      <c r="C90">
        <v>701</v>
      </c>
      <c r="D90">
        <v>1</v>
      </c>
      <c r="E90">
        <v>1</v>
      </c>
      <c r="F90" t="s">
        <v>41</v>
      </c>
      <c r="G90" t="s">
        <v>32</v>
      </c>
      <c r="H90" t="s">
        <v>33</v>
      </c>
      <c r="I90" t="s">
        <v>34</v>
      </c>
      <c r="J90" t="s">
        <v>42</v>
      </c>
      <c r="K90" t="s">
        <v>36</v>
      </c>
      <c r="L90" t="s">
        <v>43</v>
      </c>
      <c r="M90">
        <v>0</v>
      </c>
      <c r="N90">
        <v>1</v>
      </c>
      <c r="O90" s="5">
        <v>50384</v>
      </c>
      <c r="P90" s="5">
        <v>50383</v>
      </c>
      <c r="Q90">
        <f>33.5-12</f>
        <v>21.5</v>
      </c>
      <c r="R90" t="s">
        <v>47</v>
      </c>
      <c r="S90" t="s">
        <v>39</v>
      </c>
      <c r="T90">
        <v>19</v>
      </c>
      <c r="U90">
        <v>85</v>
      </c>
      <c r="V90">
        <v>13</v>
      </c>
      <c r="Z90" t="s">
        <v>39</v>
      </c>
      <c r="AB90" t="s">
        <v>59</v>
      </c>
      <c r="AC90" t="s">
        <v>56</v>
      </c>
    </row>
    <row r="91" spans="1:29" x14ac:dyDescent="0.25">
      <c r="A91" s="4">
        <v>42502</v>
      </c>
      <c r="B91" t="s">
        <v>30</v>
      </c>
      <c r="C91">
        <v>701</v>
      </c>
      <c r="D91">
        <v>3</v>
      </c>
      <c r="E91">
        <v>1</v>
      </c>
      <c r="F91" t="s">
        <v>41</v>
      </c>
      <c r="G91" t="s">
        <v>32</v>
      </c>
      <c r="H91" t="s">
        <v>33</v>
      </c>
      <c r="I91" t="s">
        <v>57</v>
      </c>
      <c r="O91" s="5"/>
      <c r="P91" s="5"/>
      <c r="Z91" t="s">
        <v>39</v>
      </c>
    </row>
    <row r="92" spans="1:29" x14ac:dyDescent="0.25">
      <c r="A92" s="4">
        <v>42502</v>
      </c>
      <c r="B92" t="s">
        <v>30</v>
      </c>
      <c r="C92">
        <v>701</v>
      </c>
      <c r="D92">
        <v>7</v>
      </c>
      <c r="E92">
        <v>1</v>
      </c>
      <c r="F92" t="s">
        <v>41</v>
      </c>
      <c r="G92" t="s">
        <v>32</v>
      </c>
      <c r="H92" t="s">
        <v>33</v>
      </c>
      <c r="I92" t="s">
        <v>75</v>
      </c>
      <c r="J92" t="s">
        <v>42</v>
      </c>
      <c r="K92" t="s">
        <v>36</v>
      </c>
      <c r="L92" t="s">
        <v>37</v>
      </c>
      <c r="M92">
        <v>0</v>
      </c>
      <c r="N92">
        <v>1</v>
      </c>
      <c r="O92" s="5">
        <v>50382</v>
      </c>
      <c r="P92" s="5">
        <v>50381</v>
      </c>
      <c r="Q92">
        <f>161-50</f>
        <v>111</v>
      </c>
      <c r="R92" t="s">
        <v>38</v>
      </c>
      <c r="S92" t="s">
        <v>39</v>
      </c>
      <c r="T92" t="s">
        <v>76</v>
      </c>
      <c r="Z92" t="s">
        <v>39</v>
      </c>
      <c r="AB92" t="s">
        <v>59</v>
      </c>
      <c r="AC92" t="s">
        <v>56</v>
      </c>
    </row>
    <row r="93" spans="1:29" x14ac:dyDescent="0.25">
      <c r="A93" s="4">
        <v>42502</v>
      </c>
      <c r="B93" t="s">
        <v>30</v>
      </c>
      <c r="C93">
        <v>801</v>
      </c>
      <c r="D93">
        <v>7</v>
      </c>
      <c r="E93">
        <v>1</v>
      </c>
      <c r="F93" t="s">
        <v>41</v>
      </c>
      <c r="G93" t="s">
        <v>32</v>
      </c>
      <c r="H93" t="s">
        <v>33</v>
      </c>
      <c r="I93" t="s">
        <v>73</v>
      </c>
      <c r="J93" t="s">
        <v>35</v>
      </c>
      <c r="K93" t="s">
        <v>36</v>
      </c>
      <c r="L93" t="s">
        <v>43</v>
      </c>
      <c r="M93">
        <v>0</v>
      </c>
      <c r="N93">
        <v>0</v>
      </c>
      <c r="O93" s="5"/>
      <c r="P93" s="5">
        <v>50392</v>
      </c>
      <c r="Q93">
        <f>142-48</f>
        <v>94</v>
      </c>
      <c r="R93" t="s">
        <v>47</v>
      </c>
      <c r="S93" t="s">
        <v>39</v>
      </c>
      <c r="Z93" t="s">
        <v>39</v>
      </c>
      <c r="AB93" t="s">
        <v>59</v>
      </c>
      <c r="AC93" t="s">
        <v>56</v>
      </c>
    </row>
    <row r="94" spans="1:29" x14ac:dyDescent="0.25">
      <c r="A94" s="4">
        <v>42502</v>
      </c>
      <c r="B94" t="s">
        <v>30</v>
      </c>
      <c r="C94">
        <v>803</v>
      </c>
      <c r="D94">
        <v>9</v>
      </c>
      <c r="E94">
        <v>1</v>
      </c>
      <c r="F94" t="s">
        <v>41</v>
      </c>
      <c r="G94" t="s">
        <v>32</v>
      </c>
      <c r="H94" t="s">
        <v>33</v>
      </c>
      <c r="I94" t="s">
        <v>73</v>
      </c>
      <c r="J94" t="s">
        <v>35</v>
      </c>
      <c r="K94" t="s">
        <v>36</v>
      </c>
      <c r="L94" t="s">
        <v>43</v>
      </c>
      <c r="M94">
        <v>0</v>
      </c>
      <c r="N94">
        <v>0</v>
      </c>
      <c r="O94" s="5">
        <v>50391</v>
      </c>
      <c r="P94" s="5"/>
      <c r="Q94">
        <f>132-48</f>
        <v>84</v>
      </c>
      <c r="R94" t="s">
        <v>47</v>
      </c>
      <c r="S94" t="s">
        <v>39</v>
      </c>
      <c r="Z94" t="s">
        <v>39</v>
      </c>
      <c r="AB94" t="s">
        <v>59</v>
      </c>
      <c r="AC94" t="s">
        <v>56</v>
      </c>
    </row>
    <row r="95" spans="1:29" x14ac:dyDescent="0.25">
      <c r="A95" s="4">
        <v>42502</v>
      </c>
      <c r="B95" t="s">
        <v>30</v>
      </c>
      <c r="C95">
        <v>803</v>
      </c>
      <c r="D95">
        <v>7</v>
      </c>
      <c r="E95">
        <v>1</v>
      </c>
      <c r="F95" t="s">
        <v>41</v>
      </c>
      <c r="G95" t="s">
        <v>32</v>
      </c>
      <c r="H95" t="s">
        <v>33</v>
      </c>
      <c r="I95" t="s">
        <v>34</v>
      </c>
      <c r="J95" t="s">
        <v>42</v>
      </c>
      <c r="K95" t="s">
        <v>36</v>
      </c>
      <c r="L95" t="s">
        <v>43</v>
      </c>
      <c r="M95">
        <v>0</v>
      </c>
      <c r="N95">
        <v>1</v>
      </c>
      <c r="O95" s="5">
        <v>50380</v>
      </c>
      <c r="P95" s="5">
        <v>50379</v>
      </c>
      <c r="Q95">
        <f>35-13</f>
        <v>22</v>
      </c>
      <c r="R95" t="s">
        <v>47</v>
      </c>
      <c r="S95" t="s">
        <v>39</v>
      </c>
      <c r="T95">
        <v>19</v>
      </c>
      <c r="U95">
        <v>89</v>
      </c>
      <c r="V95">
        <v>16</v>
      </c>
      <c r="Z95" t="s">
        <v>39</v>
      </c>
    </row>
    <row r="96" spans="1:29" x14ac:dyDescent="0.25">
      <c r="A96" s="4">
        <v>42502</v>
      </c>
      <c r="B96" t="s">
        <v>30</v>
      </c>
      <c r="C96">
        <v>803</v>
      </c>
      <c r="D96">
        <v>5</v>
      </c>
      <c r="E96">
        <v>1</v>
      </c>
      <c r="F96" t="s">
        <v>41</v>
      </c>
      <c r="G96" t="s">
        <v>32</v>
      </c>
      <c r="H96" t="s">
        <v>33</v>
      </c>
      <c r="I96" t="s">
        <v>57</v>
      </c>
      <c r="O96" s="5"/>
      <c r="P96" s="5"/>
      <c r="Z96" t="s">
        <v>39</v>
      </c>
      <c r="AB96" t="s">
        <v>59</v>
      </c>
      <c r="AC96" t="s">
        <v>56</v>
      </c>
    </row>
    <row r="97" spans="1:29" x14ac:dyDescent="0.25">
      <c r="A97" s="4">
        <v>42502</v>
      </c>
      <c r="B97" t="s">
        <v>30</v>
      </c>
      <c r="C97">
        <v>803</v>
      </c>
      <c r="D97">
        <v>3</v>
      </c>
      <c r="E97">
        <v>1</v>
      </c>
      <c r="F97" t="s">
        <v>41</v>
      </c>
      <c r="G97" t="s">
        <v>32</v>
      </c>
      <c r="H97" t="s">
        <v>33</v>
      </c>
      <c r="I97" t="s">
        <v>34</v>
      </c>
      <c r="J97" t="s">
        <v>35</v>
      </c>
      <c r="K97" t="s">
        <v>36</v>
      </c>
      <c r="L97" t="s">
        <v>37</v>
      </c>
      <c r="M97">
        <v>0</v>
      </c>
      <c r="N97">
        <v>0</v>
      </c>
      <c r="O97" s="5">
        <v>50330</v>
      </c>
      <c r="P97" s="5" t="s">
        <v>67</v>
      </c>
      <c r="Q97">
        <f>33.5-8.5</f>
        <v>25</v>
      </c>
      <c r="R97" t="s">
        <v>38</v>
      </c>
      <c r="S97" t="s">
        <v>39</v>
      </c>
      <c r="T97">
        <v>20</v>
      </c>
      <c r="U97">
        <v>78</v>
      </c>
      <c r="V97">
        <v>13</v>
      </c>
      <c r="Z97" t="s">
        <v>39</v>
      </c>
    </row>
    <row r="98" spans="1:29" x14ac:dyDescent="0.25">
      <c r="A98" s="4">
        <v>42507</v>
      </c>
      <c r="B98" t="s">
        <v>30</v>
      </c>
      <c r="C98">
        <v>112</v>
      </c>
      <c r="D98">
        <v>3</v>
      </c>
      <c r="E98">
        <v>1</v>
      </c>
      <c r="F98" t="s">
        <v>31</v>
      </c>
      <c r="G98" t="s">
        <v>32</v>
      </c>
      <c r="H98" t="s">
        <v>33</v>
      </c>
      <c r="I98" t="s">
        <v>77</v>
      </c>
      <c r="O98" s="5"/>
      <c r="P98" s="5"/>
      <c r="Z98" t="s">
        <v>39</v>
      </c>
      <c r="AB98" t="s">
        <v>40</v>
      </c>
      <c r="AC98" t="s">
        <v>78</v>
      </c>
    </row>
    <row r="99" spans="1:29" x14ac:dyDescent="0.25">
      <c r="A99" s="4">
        <v>42507</v>
      </c>
      <c r="B99" t="s">
        <v>30</v>
      </c>
      <c r="C99">
        <v>113</v>
      </c>
      <c r="D99">
        <v>1</v>
      </c>
      <c r="E99">
        <v>1</v>
      </c>
      <c r="F99" t="s">
        <v>31</v>
      </c>
      <c r="G99" t="s">
        <v>32</v>
      </c>
      <c r="H99" t="s">
        <v>33</v>
      </c>
      <c r="I99" t="s">
        <v>79</v>
      </c>
      <c r="O99" s="5"/>
      <c r="P99" s="5"/>
      <c r="Z99" t="s">
        <v>39</v>
      </c>
      <c r="AB99" t="s">
        <v>40</v>
      </c>
      <c r="AC99" t="s">
        <v>78</v>
      </c>
    </row>
    <row r="100" spans="1:29" x14ac:dyDescent="0.25">
      <c r="A100" s="4">
        <v>42507</v>
      </c>
      <c r="B100" t="s">
        <v>30</v>
      </c>
      <c r="C100">
        <v>113</v>
      </c>
      <c r="D100">
        <v>1</v>
      </c>
      <c r="E100">
        <v>2</v>
      </c>
      <c r="F100" t="s">
        <v>31</v>
      </c>
      <c r="G100" t="s">
        <v>32</v>
      </c>
      <c r="H100" t="s">
        <v>33</v>
      </c>
      <c r="I100" t="s">
        <v>79</v>
      </c>
      <c r="O100" s="5"/>
      <c r="P100" s="5"/>
      <c r="Z100" t="s">
        <v>39</v>
      </c>
      <c r="AB100" t="s">
        <v>40</v>
      </c>
      <c r="AC100" t="s">
        <v>78</v>
      </c>
    </row>
    <row r="101" spans="1:29" x14ac:dyDescent="0.25">
      <c r="A101" s="4">
        <v>42507</v>
      </c>
      <c r="B101" t="s">
        <v>30</v>
      </c>
      <c r="C101">
        <v>113</v>
      </c>
      <c r="D101">
        <v>2</v>
      </c>
      <c r="E101">
        <v>1</v>
      </c>
      <c r="F101" t="s">
        <v>31</v>
      </c>
      <c r="G101" t="s">
        <v>32</v>
      </c>
      <c r="H101" t="s">
        <v>33</v>
      </c>
      <c r="I101" t="s">
        <v>79</v>
      </c>
      <c r="O101" s="5"/>
      <c r="P101" s="5"/>
      <c r="Z101" t="s">
        <v>39</v>
      </c>
      <c r="AB101" t="s">
        <v>40</v>
      </c>
      <c r="AC101" t="s">
        <v>78</v>
      </c>
    </row>
    <row r="102" spans="1:29" x14ac:dyDescent="0.25">
      <c r="A102" s="4">
        <v>42507</v>
      </c>
      <c r="B102" t="s">
        <v>30</v>
      </c>
      <c r="C102">
        <v>113</v>
      </c>
      <c r="D102">
        <v>2</v>
      </c>
      <c r="E102">
        <v>2</v>
      </c>
      <c r="F102" t="s">
        <v>31</v>
      </c>
      <c r="G102" t="s">
        <v>32</v>
      </c>
      <c r="H102" t="s">
        <v>33</v>
      </c>
      <c r="I102" t="s">
        <v>79</v>
      </c>
      <c r="O102" s="5"/>
      <c r="P102" s="5"/>
      <c r="Z102" t="s">
        <v>39</v>
      </c>
      <c r="AB102" t="s">
        <v>40</v>
      </c>
      <c r="AC102" t="s">
        <v>78</v>
      </c>
    </row>
    <row r="103" spans="1:29" x14ac:dyDescent="0.25">
      <c r="A103" s="4">
        <v>42507</v>
      </c>
      <c r="B103" t="s">
        <v>30</v>
      </c>
      <c r="C103">
        <v>113</v>
      </c>
      <c r="D103">
        <v>3</v>
      </c>
      <c r="E103">
        <v>1</v>
      </c>
      <c r="F103" t="s">
        <v>31</v>
      </c>
      <c r="G103" t="s">
        <v>32</v>
      </c>
      <c r="H103" t="s">
        <v>33</v>
      </c>
      <c r="I103" t="s">
        <v>79</v>
      </c>
      <c r="O103" s="5"/>
      <c r="P103" s="5"/>
      <c r="Z103" t="s">
        <v>39</v>
      </c>
      <c r="AB103" t="s">
        <v>40</v>
      </c>
      <c r="AC103" t="s">
        <v>78</v>
      </c>
    </row>
    <row r="104" spans="1:29" x14ac:dyDescent="0.25">
      <c r="A104" s="4">
        <v>42507</v>
      </c>
      <c r="B104" t="s">
        <v>30</v>
      </c>
      <c r="C104">
        <v>113</v>
      </c>
      <c r="D104">
        <v>3</v>
      </c>
      <c r="E104">
        <v>2</v>
      </c>
      <c r="F104" t="s">
        <v>31</v>
      </c>
      <c r="G104" t="s">
        <v>32</v>
      </c>
      <c r="H104" t="s">
        <v>33</v>
      </c>
      <c r="I104" t="s">
        <v>79</v>
      </c>
      <c r="O104" s="5"/>
      <c r="P104" s="5"/>
      <c r="Z104" t="s">
        <v>39</v>
      </c>
      <c r="AB104" t="s">
        <v>40</v>
      </c>
      <c r="AC104" t="s">
        <v>78</v>
      </c>
    </row>
    <row r="105" spans="1:29" x14ac:dyDescent="0.25">
      <c r="A105" s="4">
        <v>42507</v>
      </c>
      <c r="B105" t="s">
        <v>30</v>
      </c>
      <c r="C105">
        <v>113</v>
      </c>
      <c r="D105">
        <v>4</v>
      </c>
      <c r="E105">
        <v>1</v>
      </c>
      <c r="F105" t="s">
        <v>31</v>
      </c>
      <c r="G105" t="s">
        <v>32</v>
      </c>
      <c r="H105" t="s">
        <v>33</v>
      </c>
      <c r="I105" t="s">
        <v>79</v>
      </c>
      <c r="O105" s="5"/>
      <c r="P105" s="5"/>
      <c r="Z105" t="s">
        <v>39</v>
      </c>
      <c r="AB105" t="s">
        <v>40</v>
      </c>
      <c r="AC105" t="s">
        <v>78</v>
      </c>
    </row>
    <row r="106" spans="1:29" x14ac:dyDescent="0.25">
      <c r="A106" s="4">
        <v>42507</v>
      </c>
      <c r="B106" t="s">
        <v>30</v>
      </c>
      <c r="C106">
        <v>113</v>
      </c>
      <c r="D106">
        <v>4</v>
      </c>
      <c r="E106">
        <v>2</v>
      </c>
      <c r="F106" t="s">
        <v>31</v>
      </c>
      <c r="G106" t="s">
        <v>32</v>
      </c>
      <c r="H106" t="s">
        <v>33</v>
      </c>
      <c r="I106" t="s">
        <v>79</v>
      </c>
      <c r="O106" s="5"/>
      <c r="P106" s="5"/>
      <c r="Z106" t="s">
        <v>39</v>
      </c>
      <c r="AB106" t="s">
        <v>40</v>
      </c>
      <c r="AC106" t="s">
        <v>78</v>
      </c>
    </row>
    <row r="107" spans="1:29" x14ac:dyDescent="0.25">
      <c r="A107" s="4">
        <v>42507</v>
      </c>
      <c r="B107" t="s">
        <v>30</v>
      </c>
      <c r="C107">
        <v>113</v>
      </c>
      <c r="D107">
        <v>5</v>
      </c>
      <c r="E107">
        <v>1</v>
      </c>
      <c r="F107" t="s">
        <v>31</v>
      </c>
      <c r="G107" t="s">
        <v>32</v>
      </c>
      <c r="H107" t="s">
        <v>33</v>
      </c>
      <c r="I107" t="s">
        <v>57</v>
      </c>
      <c r="O107" s="5"/>
      <c r="P107" s="5"/>
      <c r="Z107" t="s">
        <v>39</v>
      </c>
      <c r="AB107" t="s">
        <v>40</v>
      </c>
      <c r="AC107" t="s">
        <v>78</v>
      </c>
    </row>
    <row r="108" spans="1:29" x14ac:dyDescent="0.25">
      <c r="A108" s="4">
        <v>42507</v>
      </c>
      <c r="B108" t="s">
        <v>30</v>
      </c>
      <c r="C108">
        <v>113</v>
      </c>
      <c r="D108">
        <v>6</v>
      </c>
      <c r="E108">
        <v>1</v>
      </c>
      <c r="F108" t="s">
        <v>31</v>
      </c>
      <c r="G108" t="s">
        <v>32</v>
      </c>
      <c r="H108" t="s">
        <v>33</v>
      </c>
      <c r="I108" t="s">
        <v>79</v>
      </c>
      <c r="O108" s="5"/>
      <c r="P108" s="5"/>
      <c r="Z108" t="s">
        <v>39</v>
      </c>
      <c r="AB108" t="s">
        <v>40</v>
      </c>
      <c r="AC108" t="s">
        <v>78</v>
      </c>
    </row>
    <row r="109" spans="1:29" x14ac:dyDescent="0.25">
      <c r="A109" s="4">
        <v>42507</v>
      </c>
      <c r="B109" t="s">
        <v>30</v>
      </c>
      <c r="C109">
        <v>113</v>
      </c>
      <c r="D109">
        <v>6</v>
      </c>
      <c r="E109">
        <v>2</v>
      </c>
      <c r="F109" t="s">
        <v>31</v>
      </c>
      <c r="G109" t="s">
        <v>32</v>
      </c>
      <c r="H109" t="s">
        <v>33</v>
      </c>
      <c r="I109" t="s">
        <v>79</v>
      </c>
      <c r="O109" s="5"/>
      <c r="P109" s="5"/>
      <c r="Z109" t="s">
        <v>39</v>
      </c>
      <c r="AB109" t="s">
        <v>40</v>
      </c>
      <c r="AC109" t="s">
        <v>78</v>
      </c>
    </row>
    <row r="110" spans="1:29" x14ac:dyDescent="0.25">
      <c r="A110" s="4">
        <v>42507</v>
      </c>
      <c r="B110" t="s">
        <v>30</v>
      </c>
      <c r="C110">
        <v>113</v>
      </c>
      <c r="D110">
        <v>7</v>
      </c>
      <c r="E110">
        <v>1</v>
      </c>
      <c r="F110" t="s">
        <v>31</v>
      </c>
      <c r="G110" t="s">
        <v>32</v>
      </c>
      <c r="H110" t="s">
        <v>33</v>
      </c>
      <c r="I110" t="s">
        <v>79</v>
      </c>
      <c r="O110" s="5"/>
      <c r="P110" s="5"/>
      <c r="Z110" t="s">
        <v>39</v>
      </c>
      <c r="AB110" t="s">
        <v>40</v>
      </c>
      <c r="AC110" t="s">
        <v>78</v>
      </c>
    </row>
    <row r="111" spans="1:29" x14ac:dyDescent="0.25">
      <c r="A111" s="4">
        <v>42507</v>
      </c>
      <c r="B111" t="s">
        <v>30</v>
      </c>
      <c r="C111">
        <v>113</v>
      </c>
      <c r="D111">
        <v>8</v>
      </c>
      <c r="E111">
        <v>1</v>
      </c>
      <c r="F111" t="s">
        <v>31</v>
      </c>
      <c r="G111" t="s">
        <v>32</v>
      </c>
      <c r="H111" t="s">
        <v>33</v>
      </c>
      <c r="I111" t="s">
        <v>57</v>
      </c>
      <c r="O111" s="5"/>
      <c r="P111" s="5"/>
      <c r="Z111" t="s">
        <v>39</v>
      </c>
      <c r="AB111" t="s">
        <v>40</v>
      </c>
      <c r="AC111" t="s">
        <v>78</v>
      </c>
    </row>
    <row r="112" spans="1:29" x14ac:dyDescent="0.25">
      <c r="A112" s="4">
        <v>42507</v>
      </c>
      <c r="B112" t="s">
        <v>30</v>
      </c>
      <c r="C112">
        <v>113</v>
      </c>
      <c r="D112">
        <v>8</v>
      </c>
      <c r="E112">
        <v>2</v>
      </c>
      <c r="F112" t="s">
        <v>31</v>
      </c>
      <c r="G112" t="s">
        <v>32</v>
      </c>
      <c r="H112" t="s">
        <v>33</v>
      </c>
      <c r="I112" t="s">
        <v>57</v>
      </c>
      <c r="O112" s="5"/>
      <c r="P112" s="5"/>
      <c r="Z112" t="s">
        <v>39</v>
      </c>
      <c r="AB112" t="s">
        <v>40</v>
      </c>
      <c r="AC112" t="s">
        <v>78</v>
      </c>
    </row>
    <row r="113" spans="1:29" x14ac:dyDescent="0.25">
      <c r="A113" s="4">
        <v>42507</v>
      </c>
      <c r="B113" t="s">
        <v>30</v>
      </c>
      <c r="C113">
        <v>113</v>
      </c>
      <c r="D113">
        <v>9</v>
      </c>
      <c r="E113">
        <v>1</v>
      </c>
      <c r="F113" t="s">
        <v>31</v>
      </c>
      <c r="G113" t="s">
        <v>32</v>
      </c>
      <c r="H113" t="s">
        <v>33</v>
      </c>
      <c r="I113" t="s">
        <v>57</v>
      </c>
      <c r="O113" s="5"/>
      <c r="P113" s="5"/>
      <c r="Z113" t="s">
        <v>39</v>
      </c>
      <c r="AB113" t="s">
        <v>40</v>
      </c>
      <c r="AC113" t="s">
        <v>78</v>
      </c>
    </row>
    <row r="114" spans="1:29" x14ac:dyDescent="0.25">
      <c r="A114" s="4">
        <v>42507</v>
      </c>
      <c r="B114" t="s">
        <v>30</v>
      </c>
      <c r="C114">
        <v>113</v>
      </c>
      <c r="D114">
        <v>9</v>
      </c>
      <c r="E114">
        <v>2</v>
      </c>
      <c r="F114" t="s">
        <v>31</v>
      </c>
      <c r="G114" t="s">
        <v>32</v>
      </c>
      <c r="H114" t="s">
        <v>33</v>
      </c>
      <c r="I114" t="s">
        <v>57</v>
      </c>
      <c r="O114" s="5"/>
      <c r="P114" s="5"/>
      <c r="Z114" t="s">
        <v>39</v>
      </c>
      <c r="AB114" t="s">
        <v>40</v>
      </c>
      <c r="AC114" t="s">
        <v>78</v>
      </c>
    </row>
    <row r="115" spans="1:29" x14ac:dyDescent="0.25">
      <c r="A115" s="4">
        <v>42507</v>
      </c>
      <c r="B115" t="s">
        <v>30</v>
      </c>
      <c r="C115">
        <v>113</v>
      </c>
      <c r="D115">
        <v>10</v>
      </c>
      <c r="E115">
        <v>1</v>
      </c>
      <c r="F115" t="s">
        <v>31</v>
      </c>
      <c r="G115" t="s">
        <v>32</v>
      </c>
      <c r="H115" t="s">
        <v>33</v>
      </c>
      <c r="I115" t="s">
        <v>79</v>
      </c>
      <c r="O115" s="5"/>
      <c r="P115" s="5"/>
      <c r="Z115" t="s">
        <v>39</v>
      </c>
      <c r="AB115" t="s">
        <v>40</v>
      </c>
      <c r="AC115" t="s">
        <v>78</v>
      </c>
    </row>
    <row r="116" spans="1:29" x14ac:dyDescent="0.25">
      <c r="A116" s="4">
        <v>42507</v>
      </c>
      <c r="B116" t="s">
        <v>30</v>
      </c>
      <c r="C116">
        <v>113</v>
      </c>
      <c r="D116">
        <v>10</v>
      </c>
      <c r="E116">
        <v>2</v>
      </c>
      <c r="F116" t="s">
        <v>31</v>
      </c>
      <c r="G116" t="s">
        <v>32</v>
      </c>
      <c r="H116" t="s">
        <v>33</v>
      </c>
      <c r="I116" t="s">
        <v>79</v>
      </c>
      <c r="O116" s="5"/>
      <c r="P116" s="5"/>
      <c r="Z116" t="s">
        <v>39</v>
      </c>
      <c r="AB116" t="s">
        <v>40</v>
      </c>
      <c r="AC116" t="s">
        <v>78</v>
      </c>
    </row>
    <row r="117" spans="1:29" x14ac:dyDescent="0.25">
      <c r="A117" s="4">
        <v>42507</v>
      </c>
      <c r="B117" t="s">
        <v>30</v>
      </c>
      <c r="C117">
        <v>402</v>
      </c>
      <c r="D117">
        <v>1</v>
      </c>
      <c r="E117">
        <v>1</v>
      </c>
      <c r="F117" t="s">
        <v>31</v>
      </c>
      <c r="G117" t="s">
        <v>32</v>
      </c>
      <c r="H117" t="s">
        <v>33</v>
      </c>
      <c r="I117" t="s">
        <v>57</v>
      </c>
      <c r="O117" s="5"/>
      <c r="P117" s="5"/>
      <c r="Z117" t="s">
        <v>39</v>
      </c>
      <c r="AB117" t="s">
        <v>40</v>
      </c>
      <c r="AC117" t="s">
        <v>78</v>
      </c>
    </row>
    <row r="118" spans="1:29" x14ac:dyDescent="0.25">
      <c r="A118" s="4">
        <v>42507</v>
      </c>
      <c r="B118" t="s">
        <v>30</v>
      </c>
      <c r="C118">
        <v>402</v>
      </c>
      <c r="D118">
        <v>1</v>
      </c>
      <c r="E118">
        <v>2</v>
      </c>
      <c r="F118" t="s">
        <v>31</v>
      </c>
      <c r="G118" t="s">
        <v>32</v>
      </c>
      <c r="H118" t="s">
        <v>33</v>
      </c>
      <c r="I118" t="s">
        <v>57</v>
      </c>
      <c r="O118" s="5"/>
      <c r="P118" s="5"/>
      <c r="Z118" t="s">
        <v>39</v>
      </c>
      <c r="AB118" t="s">
        <v>40</v>
      </c>
      <c r="AC118" t="s">
        <v>78</v>
      </c>
    </row>
    <row r="119" spans="1:29" x14ac:dyDescent="0.25">
      <c r="A119" s="4">
        <v>42507</v>
      </c>
      <c r="B119" t="s">
        <v>30</v>
      </c>
      <c r="C119">
        <v>402</v>
      </c>
      <c r="D119">
        <v>2</v>
      </c>
      <c r="E119">
        <v>1</v>
      </c>
      <c r="F119" t="s">
        <v>31</v>
      </c>
      <c r="G119" t="s">
        <v>32</v>
      </c>
      <c r="H119" t="s">
        <v>33</v>
      </c>
      <c r="I119" t="s">
        <v>57</v>
      </c>
      <c r="O119" s="5"/>
      <c r="P119" s="5"/>
      <c r="Z119" t="s">
        <v>39</v>
      </c>
      <c r="AB119" t="s">
        <v>40</v>
      </c>
      <c r="AC119" t="s">
        <v>78</v>
      </c>
    </row>
    <row r="120" spans="1:29" x14ac:dyDescent="0.25">
      <c r="A120" s="4">
        <v>42507</v>
      </c>
      <c r="B120" t="s">
        <v>30</v>
      </c>
      <c r="C120">
        <v>402</v>
      </c>
      <c r="D120">
        <v>9</v>
      </c>
      <c r="E120">
        <v>1</v>
      </c>
      <c r="F120" t="s">
        <v>31</v>
      </c>
      <c r="G120" t="s">
        <v>32</v>
      </c>
      <c r="H120" t="s">
        <v>33</v>
      </c>
      <c r="I120" t="s">
        <v>57</v>
      </c>
      <c r="O120" s="5"/>
      <c r="P120" s="5"/>
      <c r="Z120" t="s">
        <v>39</v>
      </c>
      <c r="AB120" t="s">
        <v>40</v>
      </c>
      <c r="AC120" t="s">
        <v>78</v>
      </c>
    </row>
    <row r="121" spans="1:29" x14ac:dyDescent="0.25">
      <c r="A121" s="4">
        <v>42507</v>
      </c>
      <c r="B121" t="s">
        <v>30</v>
      </c>
      <c r="C121">
        <v>304</v>
      </c>
      <c r="D121">
        <v>6</v>
      </c>
      <c r="E121">
        <v>1</v>
      </c>
      <c r="F121" t="s">
        <v>31</v>
      </c>
      <c r="G121" t="s">
        <v>32</v>
      </c>
      <c r="H121" t="s">
        <v>33</v>
      </c>
      <c r="I121" t="s">
        <v>80</v>
      </c>
      <c r="J121" t="s">
        <v>42</v>
      </c>
      <c r="K121" t="s">
        <v>36</v>
      </c>
      <c r="M121">
        <v>0</v>
      </c>
      <c r="N121">
        <v>1</v>
      </c>
      <c r="O121" s="5">
        <v>26607</v>
      </c>
      <c r="P121" s="5"/>
      <c r="Q121">
        <f>205-90</f>
        <v>115</v>
      </c>
      <c r="S121" t="s">
        <v>39</v>
      </c>
      <c r="Z121" t="s">
        <v>39</v>
      </c>
      <c r="AB121" t="s">
        <v>40</v>
      </c>
      <c r="AC121" t="s">
        <v>78</v>
      </c>
    </row>
    <row r="122" spans="1:29" x14ac:dyDescent="0.25">
      <c r="A122" s="4">
        <v>42507</v>
      </c>
      <c r="B122" t="s">
        <v>30</v>
      </c>
      <c r="C122">
        <v>304</v>
      </c>
      <c r="D122">
        <v>9</v>
      </c>
      <c r="E122">
        <v>1</v>
      </c>
      <c r="F122" t="s">
        <v>31</v>
      </c>
      <c r="G122" t="s">
        <v>32</v>
      </c>
      <c r="H122" t="s">
        <v>33</v>
      </c>
      <c r="I122" t="s">
        <v>58</v>
      </c>
      <c r="J122" t="s">
        <v>42</v>
      </c>
      <c r="K122" t="s">
        <v>36</v>
      </c>
      <c r="L122" t="s">
        <v>43</v>
      </c>
      <c r="M122">
        <v>0</v>
      </c>
      <c r="N122">
        <v>1</v>
      </c>
      <c r="O122" s="5">
        <v>26606</v>
      </c>
      <c r="P122" s="5"/>
      <c r="Q122">
        <v>25</v>
      </c>
      <c r="R122" t="s">
        <v>47</v>
      </c>
      <c r="S122" t="s">
        <v>39</v>
      </c>
      <c r="Z122" t="s">
        <v>39</v>
      </c>
      <c r="AB122" t="s">
        <v>40</v>
      </c>
      <c r="AC122" t="s">
        <v>78</v>
      </c>
    </row>
    <row r="123" spans="1:29" x14ac:dyDescent="0.25">
      <c r="A123" s="4">
        <v>42507</v>
      </c>
      <c r="B123" t="s">
        <v>30</v>
      </c>
      <c r="C123">
        <v>201</v>
      </c>
      <c r="D123">
        <v>2</v>
      </c>
      <c r="E123">
        <v>1</v>
      </c>
      <c r="F123" t="s">
        <v>41</v>
      </c>
      <c r="G123" t="s">
        <v>32</v>
      </c>
      <c r="H123" t="s">
        <v>33</v>
      </c>
      <c r="I123" t="s">
        <v>34</v>
      </c>
      <c r="J123" t="s">
        <v>35</v>
      </c>
      <c r="K123" t="s">
        <v>36</v>
      </c>
      <c r="L123" t="s">
        <v>43</v>
      </c>
      <c r="M123">
        <v>0</v>
      </c>
      <c r="N123">
        <v>0</v>
      </c>
      <c r="O123" s="5">
        <v>26648</v>
      </c>
      <c r="P123" s="5">
        <v>26647</v>
      </c>
      <c r="Q123">
        <f>36-12.5</f>
        <v>23.5</v>
      </c>
      <c r="R123" t="s">
        <v>47</v>
      </c>
      <c r="S123" t="s">
        <v>39</v>
      </c>
      <c r="T123">
        <v>20</v>
      </c>
      <c r="U123">
        <v>91</v>
      </c>
      <c r="V123">
        <v>11</v>
      </c>
      <c r="Z123" t="s">
        <v>39</v>
      </c>
      <c r="AB123" t="s">
        <v>40</v>
      </c>
      <c r="AC123" t="s">
        <v>78</v>
      </c>
    </row>
    <row r="124" spans="1:29" x14ac:dyDescent="0.25">
      <c r="A124" s="4">
        <v>42507</v>
      </c>
      <c r="B124" t="s">
        <v>30</v>
      </c>
      <c r="C124">
        <v>201</v>
      </c>
      <c r="D124">
        <v>3</v>
      </c>
      <c r="E124">
        <v>1</v>
      </c>
      <c r="F124" t="s">
        <v>41</v>
      </c>
      <c r="G124" t="s">
        <v>32</v>
      </c>
      <c r="H124" t="s">
        <v>33</v>
      </c>
      <c r="I124" t="s">
        <v>34</v>
      </c>
      <c r="J124" t="s">
        <v>35</v>
      </c>
      <c r="K124" t="s">
        <v>36</v>
      </c>
      <c r="L124" t="s">
        <v>37</v>
      </c>
      <c r="M124">
        <v>0</v>
      </c>
      <c r="N124">
        <v>0</v>
      </c>
      <c r="O124" s="5">
        <v>2707</v>
      </c>
      <c r="P124" s="5">
        <v>2708</v>
      </c>
      <c r="Q124">
        <f>31-12.5</f>
        <v>18.5</v>
      </c>
      <c r="R124" t="s">
        <v>38</v>
      </c>
      <c r="S124" t="s">
        <v>39</v>
      </c>
      <c r="T124">
        <v>20</v>
      </c>
      <c r="U124">
        <v>95</v>
      </c>
      <c r="V124">
        <v>14</v>
      </c>
      <c r="Z124" t="s">
        <v>39</v>
      </c>
      <c r="AB124" t="s">
        <v>40</v>
      </c>
      <c r="AC124" t="s">
        <v>78</v>
      </c>
    </row>
    <row r="125" spans="1:29" x14ac:dyDescent="0.25">
      <c r="A125" s="4">
        <v>42507</v>
      </c>
      <c r="B125" t="s">
        <v>30</v>
      </c>
      <c r="C125">
        <v>201</v>
      </c>
      <c r="D125">
        <v>4</v>
      </c>
      <c r="E125">
        <v>1</v>
      </c>
      <c r="F125" t="s">
        <v>41</v>
      </c>
      <c r="G125" t="s">
        <v>32</v>
      </c>
      <c r="H125" t="s">
        <v>33</v>
      </c>
      <c r="I125" t="s">
        <v>58</v>
      </c>
      <c r="J125" t="s">
        <v>42</v>
      </c>
      <c r="K125" t="s">
        <v>36</v>
      </c>
      <c r="L125" t="s">
        <v>37</v>
      </c>
      <c r="M125">
        <v>0</v>
      </c>
      <c r="N125">
        <v>1</v>
      </c>
      <c r="O125" s="5"/>
      <c r="P125" s="5">
        <v>50376</v>
      </c>
      <c r="Q125">
        <f>41-14</f>
        <v>27</v>
      </c>
      <c r="R125" t="s">
        <v>38</v>
      </c>
      <c r="S125" t="s">
        <v>39</v>
      </c>
      <c r="Z125" t="s">
        <v>39</v>
      </c>
      <c r="AB125" t="s">
        <v>40</v>
      </c>
      <c r="AC125" t="s">
        <v>78</v>
      </c>
    </row>
    <row r="126" spans="1:29" x14ac:dyDescent="0.25">
      <c r="A126" s="4">
        <v>42507</v>
      </c>
      <c r="B126" t="s">
        <v>30</v>
      </c>
      <c r="C126">
        <v>201</v>
      </c>
      <c r="D126">
        <v>7</v>
      </c>
      <c r="E126">
        <v>1</v>
      </c>
      <c r="F126" t="s">
        <v>41</v>
      </c>
      <c r="G126" t="s">
        <v>32</v>
      </c>
      <c r="H126" t="s">
        <v>33</v>
      </c>
      <c r="I126" t="s">
        <v>34</v>
      </c>
      <c r="J126" t="s">
        <v>35</v>
      </c>
      <c r="K126" t="s">
        <v>36</v>
      </c>
      <c r="L126" t="s">
        <v>37</v>
      </c>
      <c r="M126">
        <v>0</v>
      </c>
      <c r="N126">
        <v>0</v>
      </c>
      <c r="O126" s="5">
        <v>26630</v>
      </c>
      <c r="P126" s="5">
        <v>26631</v>
      </c>
      <c r="Q126">
        <f>43-14.5</f>
        <v>28.5</v>
      </c>
      <c r="R126" t="s">
        <v>81</v>
      </c>
      <c r="S126" t="s">
        <v>39</v>
      </c>
      <c r="T126">
        <v>19</v>
      </c>
      <c r="U126">
        <v>93</v>
      </c>
      <c r="V126">
        <v>14</v>
      </c>
      <c r="Z126" t="s">
        <v>39</v>
      </c>
      <c r="AB126" t="s">
        <v>40</v>
      </c>
      <c r="AC126" t="s">
        <v>78</v>
      </c>
    </row>
    <row r="127" spans="1:29" x14ac:dyDescent="0.25">
      <c r="A127" s="4">
        <v>42507</v>
      </c>
      <c r="B127" t="s">
        <v>30</v>
      </c>
      <c r="C127">
        <v>201</v>
      </c>
      <c r="D127">
        <v>9</v>
      </c>
      <c r="E127">
        <v>1</v>
      </c>
      <c r="F127" t="s">
        <v>41</v>
      </c>
      <c r="G127" t="s">
        <v>32</v>
      </c>
      <c r="H127" t="s">
        <v>33</v>
      </c>
      <c r="I127" t="s">
        <v>34</v>
      </c>
      <c r="J127" t="s">
        <v>35</v>
      </c>
      <c r="K127" t="s">
        <v>36</v>
      </c>
      <c r="L127" t="s">
        <v>43</v>
      </c>
      <c r="M127">
        <v>0</v>
      </c>
      <c r="N127">
        <v>0</v>
      </c>
      <c r="O127" s="5">
        <v>26645</v>
      </c>
      <c r="P127" s="5">
        <v>26646</v>
      </c>
      <c r="Q127">
        <f>36-13.5</f>
        <v>22.5</v>
      </c>
      <c r="R127" t="s">
        <v>47</v>
      </c>
      <c r="S127" t="s">
        <v>39</v>
      </c>
      <c r="T127">
        <v>19</v>
      </c>
      <c r="U127">
        <v>92</v>
      </c>
      <c r="V127">
        <v>13</v>
      </c>
      <c r="Z127" t="s">
        <v>39</v>
      </c>
      <c r="AB127" t="s">
        <v>40</v>
      </c>
      <c r="AC127" t="s">
        <v>78</v>
      </c>
    </row>
    <row r="128" spans="1:29" x14ac:dyDescent="0.25">
      <c r="A128" s="4">
        <v>42507</v>
      </c>
      <c r="B128" t="s">
        <v>30</v>
      </c>
      <c r="C128">
        <v>203</v>
      </c>
      <c r="D128">
        <v>5</v>
      </c>
      <c r="E128">
        <v>1</v>
      </c>
      <c r="F128" t="s">
        <v>41</v>
      </c>
      <c r="G128" t="s">
        <v>32</v>
      </c>
      <c r="H128" t="s">
        <v>33</v>
      </c>
      <c r="I128" t="s">
        <v>34</v>
      </c>
      <c r="J128" t="s">
        <v>82</v>
      </c>
      <c r="K128" t="s">
        <v>36</v>
      </c>
      <c r="L128" t="s">
        <v>37</v>
      </c>
      <c r="M128">
        <v>1</v>
      </c>
      <c r="N128">
        <v>1</v>
      </c>
      <c r="O128" s="5">
        <v>50333</v>
      </c>
      <c r="P128" s="5" t="s">
        <v>52</v>
      </c>
      <c r="Q128">
        <f>35-13.5</f>
        <v>21.5</v>
      </c>
      <c r="R128" t="s">
        <v>83</v>
      </c>
      <c r="S128" t="s">
        <v>39</v>
      </c>
      <c r="T128">
        <v>19</v>
      </c>
      <c r="U128">
        <v>85</v>
      </c>
      <c r="V128">
        <v>13</v>
      </c>
      <c r="Z128" t="s">
        <v>39</v>
      </c>
      <c r="AB128" t="s">
        <v>40</v>
      </c>
      <c r="AC128" t="s">
        <v>78</v>
      </c>
    </row>
    <row r="129" spans="1:29" x14ac:dyDescent="0.25">
      <c r="A129" s="4">
        <v>42507</v>
      </c>
      <c r="B129" t="s">
        <v>30</v>
      </c>
      <c r="C129">
        <v>203</v>
      </c>
      <c r="D129">
        <v>8</v>
      </c>
      <c r="E129">
        <v>1</v>
      </c>
      <c r="F129" t="s">
        <v>41</v>
      </c>
      <c r="G129" t="s">
        <v>32</v>
      </c>
      <c r="H129" t="s">
        <v>33</v>
      </c>
      <c r="I129" t="s">
        <v>57</v>
      </c>
      <c r="O129" s="5"/>
      <c r="P129" s="5"/>
      <c r="Z129" t="s">
        <v>39</v>
      </c>
    </row>
    <row r="130" spans="1:29" x14ac:dyDescent="0.25">
      <c r="A130" s="4">
        <v>42507</v>
      </c>
      <c r="B130" t="s">
        <v>30</v>
      </c>
      <c r="C130">
        <v>203</v>
      </c>
      <c r="D130">
        <v>9</v>
      </c>
      <c r="E130">
        <v>1</v>
      </c>
      <c r="F130" t="s">
        <v>41</v>
      </c>
      <c r="G130" t="s">
        <v>32</v>
      </c>
      <c r="H130" t="s">
        <v>33</v>
      </c>
      <c r="I130" t="s">
        <v>57</v>
      </c>
      <c r="O130" s="5"/>
      <c r="P130" s="5"/>
      <c r="Z130" t="s">
        <v>39</v>
      </c>
    </row>
    <row r="131" spans="1:29" x14ac:dyDescent="0.25">
      <c r="A131" s="4">
        <v>42507</v>
      </c>
      <c r="B131" t="s">
        <v>30</v>
      </c>
      <c r="C131">
        <v>203</v>
      </c>
      <c r="D131">
        <v>9</v>
      </c>
      <c r="E131">
        <v>2</v>
      </c>
      <c r="F131" t="s">
        <v>41</v>
      </c>
      <c r="G131" t="s">
        <v>32</v>
      </c>
      <c r="H131" t="s">
        <v>33</v>
      </c>
      <c r="I131" t="s">
        <v>57</v>
      </c>
      <c r="O131" s="5"/>
      <c r="P131" s="5"/>
      <c r="Z131" t="s">
        <v>39</v>
      </c>
    </row>
    <row r="132" spans="1:29" x14ac:dyDescent="0.25">
      <c r="A132" s="4">
        <v>42507</v>
      </c>
      <c r="B132" t="s">
        <v>30</v>
      </c>
      <c r="C132">
        <v>202</v>
      </c>
      <c r="D132">
        <v>5</v>
      </c>
      <c r="E132">
        <v>1</v>
      </c>
      <c r="F132" t="s">
        <v>41</v>
      </c>
      <c r="G132" t="s">
        <v>32</v>
      </c>
      <c r="H132" t="s">
        <v>33</v>
      </c>
      <c r="I132" t="s">
        <v>34</v>
      </c>
      <c r="J132" t="s">
        <v>35</v>
      </c>
      <c r="K132" t="s">
        <v>36</v>
      </c>
      <c r="L132" t="s">
        <v>37</v>
      </c>
      <c r="M132">
        <v>0</v>
      </c>
      <c r="N132">
        <v>0</v>
      </c>
      <c r="O132" s="5" t="s">
        <v>48</v>
      </c>
      <c r="P132" s="5" t="s">
        <v>49</v>
      </c>
      <c r="Q132">
        <f>34-12.5</f>
        <v>21.5</v>
      </c>
      <c r="R132" t="s">
        <v>38</v>
      </c>
      <c r="S132" t="s">
        <v>39</v>
      </c>
      <c r="T132">
        <v>18</v>
      </c>
      <c r="U132">
        <v>78</v>
      </c>
      <c r="V132">
        <v>13</v>
      </c>
      <c r="Z132" t="s">
        <v>39</v>
      </c>
      <c r="AB132" t="s">
        <v>40</v>
      </c>
      <c r="AC132" t="s">
        <v>78</v>
      </c>
    </row>
    <row r="133" spans="1:29" x14ac:dyDescent="0.25">
      <c r="A133" s="4">
        <v>42507</v>
      </c>
      <c r="B133" t="s">
        <v>30</v>
      </c>
      <c r="C133">
        <v>202</v>
      </c>
      <c r="D133">
        <v>8</v>
      </c>
      <c r="E133">
        <v>1</v>
      </c>
      <c r="F133" t="s">
        <v>41</v>
      </c>
      <c r="G133" t="s">
        <v>32</v>
      </c>
      <c r="H133" t="s">
        <v>33</v>
      </c>
      <c r="I133" t="s">
        <v>57</v>
      </c>
      <c r="O133" s="5"/>
      <c r="P133" s="5"/>
      <c r="Z133" t="s">
        <v>39</v>
      </c>
    </row>
    <row r="134" spans="1:29" x14ac:dyDescent="0.25">
      <c r="A134" s="4">
        <v>42508</v>
      </c>
      <c r="B134" t="s">
        <v>30</v>
      </c>
      <c r="C134">
        <v>112</v>
      </c>
      <c r="D134">
        <v>8</v>
      </c>
      <c r="E134">
        <v>1</v>
      </c>
      <c r="F134" t="s">
        <v>31</v>
      </c>
      <c r="G134" t="s">
        <v>32</v>
      </c>
      <c r="H134" t="s">
        <v>33</v>
      </c>
      <c r="I134" t="s">
        <v>57</v>
      </c>
      <c r="O134" s="5"/>
      <c r="P134" s="5"/>
      <c r="Z134" t="s">
        <v>39</v>
      </c>
    </row>
    <row r="135" spans="1:29" x14ac:dyDescent="0.25">
      <c r="A135" s="4">
        <v>42508</v>
      </c>
      <c r="B135" t="s">
        <v>30</v>
      </c>
      <c r="C135">
        <v>113</v>
      </c>
      <c r="D135">
        <v>1</v>
      </c>
      <c r="E135">
        <v>1</v>
      </c>
      <c r="F135" t="s">
        <v>31</v>
      </c>
      <c r="G135" t="s">
        <v>32</v>
      </c>
      <c r="H135" t="s">
        <v>33</v>
      </c>
      <c r="I135" t="s">
        <v>57</v>
      </c>
      <c r="O135" s="5"/>
      <c r="P135" s="5"/>
      <c r="Z135" t="s">
        <v>39</v>
      </c>
    </row>
    <row r="136" spans="1:29" x14ac:dyDescent="0.25">
      <c r="A136" s="4">
        <v>42508</v>
      </c>
      <c r="B136" t="s">
        <v>30</v>
      </c>
      <c r="C136">
        <v>113</v>
      </c>
      <c r="D136">
        <v>1</v>
      </c>
      <c r="E136">
        <v>2</v>
      </c>
      <c r="F136" t="s">
        <v>31</v>
      </c>
      <c r="G136" t="s">
        <v>32</v>
      </c>
      <c r="H136" t="s">
        <v>33</v>
      </c>
      <c r="I136" t="s">
        <v>57</v>
      </c>
      <c r="O136" s="5"/>
      <c r="P136" s="5"/>
      <c r="Z136" t="s">
        <v>39</v>
      </c>
    </row>
    <row r="137" spans="1:29" x14ac:dyDescent="0.25">
      <c r="A137" s="4">
        <v>42508</v>
      </c>
      <c r="B137" t="s">
        <v>30</v>
      </c>
      <c r="C137">
        <v>113</v>
      </c>
      <c r="D137">
        <v>3</v>
      </c>
      <c r="E137">
        <v>1</v>
      </c>
      <c r="F137" t="s">
        <v>31</v>
      </c>
      <c r="G137" t="s">
        <v>32</v>
      </c>
      <c r="H137" t="s">
        <v>33</v>
      </c>
      <c r="I137" t="s">
        <v>57</v>
      </c>
      <c r="O137" s="5"/>
      <c r="P137" s="5"/>
      <c r="Z137" t="s">
        <v>39</v>
      </c>
    </row>
    <row r="138" spans="1:29" x14ac:dyDescent="0.25">
      <c r="A138" s="4">
        <v>42508</v>
      </c>
      <c r="B138" t="s">
        <v>30</v>
      </c>
      <c r="C138">
        <v>113</v>
      </c>
      <c r="D138">
        <v>8</v>
      </c>
      <c r="E138">
        <v>1</v>
      </c>
      <c r="F138" t="s">
        <v>31</v>
      </c>
      <c r="G138" t="s">
        <v>32</v>
      </c>
      <c r="H138" t="s">
        <v>33</v>
      </c>
      <c r="I138" t="s">
        <v>57</v>
      </c>
      <c r="O138" s="5"/>
      <c r="P138" s="5"/>
      <c r="Z138" t="s">
        <v>39</v>
      </c>
    </row>
    <row r="139" spans="1:29" x14ac:dyDescent="0.25">
      <c r="A139" s="4">
        <v>42508</v>
      </c>
      <c r="B139" t="s">
        <v>30</v>
      </c>
      <c r="C139">
        <v>113</v>
      </c>
      <c r="D139">
        <v>10</v>
      </c>
      <c r="E139">
        <v>1</v>
      </c>
      <c r="F139" t="s">
        <v>31</v>
      </c>
      <c r="G139" t="s">
        <v>32</v>
      </c>
      <c r="H139" t="s">
        <v>33</v>
      </c>
      <c r="I139" t="s">
        <v>57</v>
      </c>
      <c r="O139" s="5"/>
      <c r="P139" s="5"/>
      <c r="Z139" t="s">
        <v>39</v>
      </c>
    </row>
    <row r="140" spans="1:29" x14ac:dyDescent="0.25">
      <c r="A140" s="4">
        <v>42508</v>
      </c>
      <c r="B140" t="s">
        <v>30</v>
      </c>
      <c r="C140">
        <v>402</v>
      </c>
      <c r="D140">
        <v>1</v>
      </c>
      <c r="E140">
        <v>1</v>
      </c>
      <c r="F140" t="s">
        <v>31</v>
      </c>
      <c r="G140" t="s">
        <v>32</v>
      </c>
      <c r="H140" t="s">
        <v>33</v>
      </c>
      <c r="I140" t="s">
        <v>57</v>
      </c>
      <c r="O140" s="5"/>
      <c r="P140" s="5"/>
      <c r="Z140" t="s">
        <v>39</v>
      </c>
    </row>
    <row r="141" spans="1:29" x14ac:dyDescent="0.25">
      <c r="A141" s="4">
        <v>42508</v>
      </c>
      <c r="B141" t="s">
        <v>30</v>
      </c>
      <c r="C141">
        <v>304</v>
      </c>
      <c r="D141">
        <v>1</v>
      </c>
      <c r="E141">
        <v>1</v>
      </c>
      <c r="F141" t="s">
        <v>31</v>
      </c>
      <c r="G141" t="s">
        <v>32</v>
      </c>
      <c r="H141" t="s">
        <v>33</v>
      </c>
      <c r="I141" t="s">
        <v>57</v>
      </c>
      <c r="O141" s="5"/>
      <c r="P141" s="5"/>
      <c r="Z141" t="s">
        <v>39</v>
      </c>
    </row>
    <row r="142" spans="1:29" x14ac:dyDescent="0.25">
      <c r="A142" s="4">
        <v>42508</v>
      </c>
      <c r="B142" t="s">
        <v>30</v>
      </c>
      <c r="C142">
        <v>304</v>
      </c>
      <c r="D142">
        <v>8</v>
      </c>
      <c r="E142">
        <v>1</v>
      </c>
      <c r="F142" t="s">
        <v>31</v>
      </c>
      <c r="G142" t="s">
        <v>32</v>
      </c>
      <c r="H142" t="s">
        <v>33</v>
      </c>
      <c r="I142" t="s">
        <v>57</v>
      </c>
      <c r="O142" s="5"/>
      <c r="P142" s="5"/>
      <c r="Z142" t="s">
        <v>39</v>
      </c>
    </row>
    <row r="143" spans="1:29" x14ac:dyDescent="0.25">
      <c r="A143" s="4">
        <v>42508</v>
      </c>
      <c r="B143" t="s">
        <v>30</v>
      </c>
      <c r="C143">
        <v>304</v>
      </c>
      <c r="D143">
        <v>9</v>
      </c>
      <c r="E143">
        <v>1</v>
      </c>
      <c r="F143" t="s">
        <v>31</v>
      </c>
      <c r="G143" t="s">
        <v>32</v>
      </c>
      <c r="H143" t="s">
        <v>33</v>
      </c>
      <c r="I143" t="s">
        <v>57</v>
      </c>
      <c r="O143" s="5"/>
      <c r="P143" s="5"/>
      <c r="Z143" t="s">
        <v>39</v>
      </c>
    </row>
    <row r="144" spans="1:29" x14ac:dyDescent="0.25">
      <c r="A144" s="4">
        <v>42508</v>
      </c>
      <c r="B144" t="s">
        <v>30</v>
      </c>
      <c r="C144">
        <v>201</v>
      </c>
      <c r="D144">
        <v>1</v>
      </c>
      <c r="E144">
        <v>1</v>
      </c>
      <c r="F144" t="s">
        <v>41</v>
      </c>
      <c r="G144" t="s">
        <v>32</v>
      </c>
      <c r="H144" t="s">
        <v>33</v>
      </c>
      <c r="I144" t="s">
        <v>57</v>
      </c>
      <c r="O144" s="5"/>
      <c r="P144" s="5"/>
      <c r="Z144" t="s">
        <v>39</v>
      </c>
    </row>
    <row r="145" spans="1:29" x14ac:dyDescent="0.25">
      <c r="A145" s="4">
        <v>42508</v>
      </c>
      <c r="B145" t="s">
        <v>30</v>
      </c>
      <c r="C145">
        <v>201</v>
      </c>
      <c r="D145">
        <v>2</v>
      </c>
      <c r="E145">
        <v>1</v>
      </c>
      <c r="F145" t="s">
        <v>41</v>
      </c>
      <c r="G145" t="s">
        <v>32</v>
      </c>
      <c r="H145" t="s">
        <v>33</v>
      </c>
      <c r="I145" t="s">
        <v>57</v>
      </c>
      <c r="O145" s="5"/>
      <c r="P145" s="5"/>
      <c r="Z145" t="s">
        <v>39</v>
      </c>
    </row>
    <row r="146" spans="1:29" x14ac:dyDescent="0.25">
      <c r="A146" s="4">
        <v>42508</v>
      </c>
      <c r="B146" t="s">
        <v>30</v>
      </c>
      <c r="C146">
        <v>201</v>
      </c>
      <c r="D146">
        <v>3</v>
      </c>
      <c r="E146">
        <v>1</v>
      </c>
      <c r="F146" t="s">
        <v>41</v>
      </c>
      <c r="G146" t="s">
        <v>32</v>
      </c>
      <c r="H146" t="s">
        <v>33</v>
      </c>
      <c r="I146" t="s">
        <v>84</v>
      </c>
      <c r="O146" s="5"/>
      <c r="P146" s="5"/>
      <c r="Z146" t="s">
        <v>39</v>
      </c>
    </row>
    <row r="147" spans="1:29" x14ac:dyDescent="0.25">
      <c r="A147" s="4">
        <v>42508</v>
      </c>
      <c r="B147" t="s">
        <v>30</v>
      </c>
      <c r="C147">
        <v>201</v>
      </c>
      <c r="D147">
        <v>4</v>
      </c>
      <c r="E147">
        <v>1</v>
      </c>
      <c r="F147" t="s">
        <v>41</v>
      </c>
      <c r="G147" t="s">
        <v>32</v>
      </c>
      <c r="H147" t="s">
        <v>33</v>
      </c>
      <c r="I147" t="s">
        <v>57</v>
      </c>
      <c r="O147" s="5"/>
      <c r="P147" s="5"/>
      <c r="Z147" t="s">
        <v>39</v>
      </c>
    </row>
    <row r="148" spans="1:29" x14ac:dyDescent="0.25">
      <c r="A148" s="4">
        <v>42508</v>
      </c>
      <c r="B148" t="s">
        <v>30</v>
      </c>
      <c r="C148">
        <v>201</v>
      </c>
      <c r="D148">
        <v>6</v>
      </c>
      <c r="E148">
        <v>1</v>
      </c>
      <c r="F148" t="s">
        <v>41</v>
      </c>
      <c r="G148" t="s">
        <v>32</v>
      </c>
      <c r="H148" t="s">
        <v>33</v>
      </c>
      <c r="I148" t="s">
        <v>84</v>
      </c>
      <c r="O148" s="5"/>
      <c r="P148" s="5"/>
      <c r="Z148" t="s">
        <v>39</v>
      </c>
    </row>
    <row r="149" spans="1:29" x14ac:dyDescent="0.25">
      <c r="A149" s="4">
        <v>42508</v>
      </c>
      <c r="B149" t="s">
        <v>30</v>
      </c>
      <c r="C149">
        <v>201</v>
      </c>
      <c r="D149">
        <v>7</v>
      </c>
      <c r="E149">
        <v>1</v>
      </c>
      <c r="F149" t="s">
        <v>41</v>
      </c>
      <c r="G149" t="s">
        <v>32</v>
      </c>
      <c r="H149" t="s">
        <v>33</v>
      </c>
      <c r="I149" t="s">
        <v>84</v>
      </c>
      <c r="O149" s="5"/>
      <c r="P149" s="5"/>
      <c r="Z149" t="s">
        <v>39</v>
      </c>
    </row>
    <row r="150" spans="1:29" x14ac:dyDescent="0.25">
      <c r="A150" s="4">
        <v>42508</v>
      </c>
      <c r="B150" t="s">
        <v>30</v>
      </c>
      <c r="C150">
        <v>201</v>
      </c>
      <c r="D150">
        <v>8</v>
      </c>
      <c r="E150">
        <v>1</v>
      </c>
      <c r="F150" t="s">
        <v>41</v>
      </c>
      <c r="G150" t="s">
        <v>32</v>
      </c>
      <c r="H150" t="s">
        <v>33</v>
      </c>
      <c r="I150" t="s">
        <v>84</v>
      </c>
      <c r="O150" s="5"/>
      <c r="P150" s="5"/>
      <c r="Z150" t="s">
        <v>39</v>
      </c>
    </row>
    <row r="151" spans="1:29" x14ac:dyDescent="0.25">
      <c r="A151" s="4">
        <v>42508</v>
      </c>
      <c r="B151" t="s">
        <v>30</v>
      </c>
      <c r="C151">
        <v>201</v>
      </c>
      <c r="D151">
        <v>8</v>
      </c>
      <c r="E151">
        <v>2</v>
      </c>
      <c r="F151" t="s">
        <v>41</v>
      </c>
      <c r="G151" t="s">
        <v>32</v>
      </c>
      <c r="H151" t="s">
        <v>33</v>
      </c>
      <c r="I151" t="s">
        <v>85</v>
      </c>
      <c r="O151" s="5"/>
      <c r="P151" s="5"/>
      <c r="Z151" t="s">
        <v>39</v>
      </c>
    </row>
    <row r="152" spans="1:29" x14ac:dyDescent="0.25">
      <c r="A152" s="4">
        <v>42508</v>
      </c>
      <c r="B152" t="s">
        <v>30</v>
      </c>
      <c r="C152">
        <v>201</v>
      </c>
      <c r="D152">
        <v>9</v>
      </c>
      <c r="E152">
        <v>1</v>
      </c>
      <c r="F152" t="s">
        <v>41</v>
      </c>
      <c r="G152" t="s">
        <v>32</v>
      </c>
      <c r="H152" t="s">
        <v>33</v>
      </c>
      <c r="I152" t="s">
        <v>84</v>
      </c>
      <c r="O152" s="5"/>
      <c r="P152" s="5"/>
      <c r="Z152" t="s">
        <v>39</v>
      </c>
    </row>
    <row r="153" spans="1:29" x14ac:dyDescent="0.25">
      <c r="A153" s="4">
        <v>42508</v>
      </c>
      <c r="B153" t="s">
        <v>30</v>
      </c>
      <c r="C153">
        <v>203</v>
      </c>
      <c r="D153">
        <v>3</v>
      </c>
      <c r="E153">
        <v>1</v>
      </c>
      <c r="F153" t="s">
        <v>41</v>
      </c>
      <c r="G153" t="s">
        <v>32</v>
      </c>
      <c r="H153" t="s">
        <v>33</v>
      </c>
      <c r="I153" t="s">
        <v>57</v>
      </c>
      <c r="O153" s="5"/>
      <c r="P153" s="5"/>
      <c r="Z153" t="s">
        <v>39</v>
      </c>
    </row>
    <row r="154" spans="1:29" x14ac:dyDescent="0.25">
      <c r="A154" s="4">
        <v>42508</v>
      </c>
      <c r="B154" t="s">
        <v>30</v>
      </c>
      <c r="C154">
        <v>203</v>
      </c>
      <c r="D154">
        <v>5</v>
      </c>
      <c r="E154">
        <v>1</v>
      </c>
      <c r="F154" t="s">
        <v>41</v>
      </c>
      <c r="G154" t="s">
        <v>32</v>
      </c>
      <c r="H154" t="s">
        <v>33</v>
      </c>
      <c r="I154" t="s">
        <v>57</v>
      </c>
      <c r="O154" s="5"/>
      <c r="P154" s="5"/>
      <c r="Z154" t="s">
        <v>39</v>
      </c>
    </row>
    <row r="155" spans="1:29" x14ac:dyDescent="0.25">
      <c r="A155" s="4">
        <v>42508</v>
      </c>
      <c r="B155" t="s">
        <v>30</v>
      </c>
      <c r="C155">
        <v>203</v>
      </c>
      <c r="D155">
        <v>5</v>
      </c>
      <c r="E155">
        <v>2</v>
      </c>
      <c r="F155" t="s">
        <v>41</v>
      </c>
      <c r="G155" t="s">
        <v>32</v>
      </c>
      <c r="H155" t="s">
        <v>33</v>
      </c>
      <c r="I155" t="s">
        <v>57</v>
      </c>
      <c r="O155" s="5"/>
      <c r="P155" s="5"/>
      <c r="Z155" t="s">
        <v>39</v>
      </c>
    </row>
    <row r="156" spans="1:29" x14ac:dyDescent="0.25">
      <c r="A156" s="4">
        <v>42508</v>
      </c>
      <c r="B156" t="s">
        <v>30</v>
      </c>
      <c r="C156">
        <v>203</v>
      </c>
      <c r="D156">
        <v>9</v>
      </c>
      <c r="E156">
        <v>1</v>
      </c>
      <c r="F156" t="s">
        <v>41</v>
      </c>
      <c r="G156" t="s">
        <v>32</v>
      </c>
      <c r="H156" t="s">
        <v>33</v>
      </c>
      <c r="I156" t="s">
        <v>84</v>
      </c>
      <c r="O156" s="5"/>
      <c r="P156" s="5"/>
      <c r="Z156" t="s">
        <v>39</v>
      </c>
    </row>
    <row r="157" spans="1:29" x14ac:dyDescent="0.25">
      <c r="A157" s="4">
        <v>42508</v>
      </c>
      <c r="B157" t="s">
        <v>30</v>
      </c>
      <c r="C157">
        <v>202</v>
      </c>
      <c r="D157">
        <v>6</v>
      </c>
      <c r="E157">
        <v>1</v>
      </c>
      <c r="F157" t="s">
        <v>41</v>
      </c>
      <c r="G157" t="s">
        <v>32</v>
      </c>
      <c r="H157" t="s">
        <v>33</v>
      </c>
      <c r="I157" t="s">
        <v>53</v>
      </c>
      <c r="J157" t="s">
        <v>62</v>
      </c>
      <c r="O157" s="5"/>
      <c r="P157" s="5"/>
      <c r="Z157" t="s">
        <v>39</v>
      </c>
    </row>
    <row r="158" spans="1:29" x14ac:dyDescent="0.25">
      <c r="A158" s="4">
        <v>42508</v>
      </c>
      <c r="B158" t="s">
        <v>30</v>
      </c>
      <c r="C158">
        <v>202</v>
      </c>
      <c r="D158">
        <v>7</v>
      </c>
      <c r="E158">
        <v>1</v>
      </c>
      <c r="F158" t="s">
        <v>41</v>
      </c>
      <c r="G158" t="s">
        <v>32</v>
      </c>
      <c r="H158" t="s">
        <v>33</v>
      </c>
      <c r="I158" t="s">
        <v>86</v>
      </c>
      <c r="O158" s="5"/>
      <c r="P158" s="5"/>
      <c r="Z158" t="s">
        <v>39</v>
      </c>
    </row>
    <row r="159" spans="1:29" x14ac:dyDescent="0.25">
      <c r="A159" s="4">
        <v>42509</v>
      </c>
      <c r="B159" t="s">
        <v>30</v>
      </c>
      <c r="C159">
        <v>201</v>
      </c>
      <c r="D159">
        <v>1</v>
      </c>
      <c r="E159">
        <v>1</v>
      </c>
      <c r="F159" t="s">
        <v>41</v>
      </c>
      <c r="G159" t="s">
        <v>32</v>
      </c>
      <c r="H159" t="s">
        <v>33</v>
      </c>
      <c r="I159" t="s">
        <v>34</v>
      </c>
      <c r="J159" t="s">
        <v>42</v>
      </c>
      <c r="K159" t="s">
        <v>36</v>
      </c>
      <c r="L159" t="s">
        <v>43</v>
      </c>
      <c r="M159">
        <v>0</v>
      </c>
      <c r="N159">
        <v>1</v>
      </c>
      <c r="O159" s="5">
        <v>50335</v>
      </c>
      <c r="P159" s="5">
        <v>50334</v>
      </c>
      <c r="Q159">
        <f>30.5-8.5</f>
        <v>22</v>
      </c>
      <c r="R159" t="s">
        <v>47</v>
      </c>
      <c r="S159" t="s">
        <v>39</v>
      </c>
      <c r="T159">
        <v>20</v>
      </c>
      <c r="U159">
        <v>83</v>
      </c>
      <c r="V159">
        <v>15</v>
      </c>
      <c r="Z159" t="s">
        <v>39</v>
      </c>
      <c r="AB159" t="s">
        <v>87</v>
      </c>
      <c r="AC159" t="s">
        <v>88</v>
      </c>
    </row>
    <row r="160" spans="1:29" x14ac:dyDescent="0.25">
      <c r="A160" s="4">
        <v>42509</v>
      </c>
      <c r="B160" t="s">
        <v>30</v>
      </c>
      <c r="C160">
        <v>201</v>
      </c>
      <c r="D160">
        <v>1</v>
      </c>
      <c r="E160">
        <v>2</v>
      </c>
      <c r="F160" t="s">
        <v>41</v>
      </c>
      <c r="G160" t="s">
        <v>32</v>
      </c>
      <c r="H160" t="s">
        <v>33</v>
      </c>
      <c r="I160" t="s">
        <v>34</v>
      </c>
      <c r="J160" t="s">
        <v>35</v>
      </c>
      <c r="K160" t="s">
        <v>36</v>
      </c>
      <c r="L160" t="s">
        <v>43</v>
      </c>
      <c r="M160">
        <v>0</v>
      </c>
      <c r="N160">
        <v>0</v>
      </c>
      <c r="O160" s="5">
        <v>26648</v>
      </c>
      <c r="P160" s="5">
        <v>26647</v>
      </c>
      <c r="Q160">
        <v>21</v>
      </c>
      <c r="R160" t="s">
        <v>47</v>
      </c>
      <c r="S160" t="s">
        <v>39</v>
      </c>
      <c r="T160">
        <v>19</v>
      </c>
      <c r="U160">
        <v>95</v>
      </c>
      <c r="V160">
        <v>12</v>
      </c>
      <c r="Z160" t="s">
        <v>39</v>
      </c>
      <c r="AB160" t="s">
        <v>87</v>
      </c>
      <c r="AC160" t="s">
        <v>88</v>
      </c>
    </row>
    <row r="161" spans="1:29" x14ac:dyDescent="0.25">
      <c r="A161" s="4">
        <v>42509</v>
      </c>
      <c r="B161" t="s">
        <v>30</v>
      </c>
      <c r="C161">
        <v>203</v>
      </c>
      <c r="D161">
        <v>2</v>
      </c>
      <c r="E161">
        <v>1</v>
      </c>
      <c r="F161" t="s">
        <v>41</v>
      </c>
      <c r="G161" t="s">
        <v>32</v>
      </c>
      <c r="H161" t="s">
        <v>33</v>
      </c>
      <c r="I161" t="s">
        <v>57</v>
      </c>
      <c r="O161" s="5"/>
      <c r="P161" s="5"/>
      <c r="Z161" t="s">
        <v>39</v>
      </c>
    </row>
    <row r="162" spans="1:29" x14ac:dyDescent="0.25">
      <c r="A162" s="4">
        <v>42509</v>
      </c>
      <c r="B162" t="s">
        <v>30</v>
      </c>
      <c r="C162">
        <v>203</v>
      </c>
      <c r="D162">
        <v>3</v>
      </c>
      <c r="E162">
        <v>1</v>
      </c>
      <c r="F162" t="s">
        <v>41</v>
      </c>
      <c r="G162" t="s">
        <v>32</v>
      </c>
      <c r="H162" t="s">
        <v>33</v>
      </c>
      <c r="I162" t="s">
        <v>57</v>
      </c>
      <c r="O162" s="5"/>
      <c r="P162" s="5"/>
      <c r="Z162" t="s">
        <v>39</v>
      </c>
    </row>
    <row r="163" spans="1:29" x14ac:dyDescent="0.25">
      <c r="A163" s="4">
        <v>42509</v>
      </c>
      <c r="B163" t="s">
        <v>30</v>
      </c>
      <c r="C163">
        <v>203</v>
      </c>
      <c r="D163">
        <v>3</v>
      </c>
      <c r="E163">
        <v>2</v>
      </c>
      <c r="F163" t="s">
        <v>41</v>
      </c>
      <c r="G163" t="s">
        <v>32</v>
      </c>
      <c r="H163" t="s">
        <v>33</v>
      </c>
      <c r="I163" t="s">
        <v>57</v>
      </c>
      <c r="O163" s="5"/>
      <c r="P163" s="5"/>
      <c r="Z163" t="s">
        <v>39</v>
      </c>
    </row>
    <row r="164" spans="1:29" x14ac:dyDescent="0.25">
      <c r="A164" s="4">
        <v>42509</v>
      </c>
      <c r="B164" t="s">
        <v>30</v>
      </c>
      <c r="C164">
        <v>203</v>
      </c>
      <c r="D164">
        <v>7</v>
      </c>
      <c r="E164">
        <v>1</v>
      </c>
      <c r="F164" t="s">
        <v>41</v>
      </c>
      <c r="G164" t="s">
        <v>32</v>
      </c>
      <c r="H164" t="s">
        <v>33</v>
      </c>
      <c r="I164" t="s">
        <v>53</v>
      </c>
      <c r="J164" t="s">
        <v>62</v>
      </c>
      <c r="O164" s="5"/>
      <c r="P164" s="5"/>
      <c r="Z164" t="s">
        <v>39</v>
      </c>
    </row>
    <row r="165" spans="1:29" x14ac:dyDescent="0.25">
      <c r="A165" s="4">
        <v>42509</v>
      </c>
      <c r="B165" t="s">
        <v>30</v>
      </c>
      <c r="C165">
        <v>202</v>
      </c>
      <c r="D165">
        <v>8</v>
      </c>
      <c r="E165">
        <v>1</v>
      </c>
      <c r="F165" t="s">
        <v>41</v>
      </c>
      <c r="G165" t="s">
        <v>32</v>
      </c>
      <c r="H165" t="s">
        <v>33</v>
      </c>
      <c r="I165" t="s">
        <v>57</v>
      </c>
      <c r="O165" s="5"/>
      <c r="P165" s="5"/>
      <c r="Z165" t="s">
        <v>39</v>
      </c>
    </row>
    <row r="166" spans="1:29" x14ac:dyDescent="0.25">
      <c r="A166" s="4">
        <v>42509</v>
      </c>
      <c r="B166" t="s">
        <v>30</v>
      </c>
      <c r="C166">
        <v>202</v>
      </c>
      <c r="D166">
        <v>10</v>
      </c>
      <c r="E166">
        <v>1</v>
      </c>
      <c r="F166" t="s">
        <v>41</v>
      </c>
      <c r="G166" t="s">
        <v>32</v>
      </c>
      <c r="H166" t="s">
        <v>33</v>
      </c>
      <c r="I166" t="s">
        <v>57</v>
      </c>
      <c r="O166" s="5"/>
      <c r="P166" s="5"/>
      <c r="Z166" t="s">
        <v>39</v>
      </c>
    </row>
    <row r="167" spans="1:29" x14ac:dyDescent="0.25">
      <c r="A167" s="4">
        <v>42509</v>
      </c>
      <c r="B167" t="s">
        <v>30</v>
      </c>
      <c r="C167">
        <v>304</v>
      </c>
      <c r="D167">
        <v>2</v>
      </c>
      <c r="E167">
        <v>2</v>
      </c>
      <c r="F167" t="s">
        <v>41</v>
      </c>
      <c r="G167" t="s">
        <v>32</v>
      </c>
      <c r="H167" t="s">
        <v>33</v>
      </c>
      <c r="I167" t="s">
        <v>57</v>
      </c>
      <c r="O167" s="5"/>
      <c r="P167" s="5"/>
      <c r="Z167" t="s">
        <v>39</v>
      </c>
    </row>
    <row r="168" spans="1:29" x14ac:dyDescent="0.25">
      <c r="A168" s="4">
        <v>42509</v>
      </c>
      <c r="B168" t="s">
        <v>30</v>
      </c>
      <c r="C168">
        <v>113</v>
      </c>
      <c r="D168">
        <v>1</v>
      </c>
      <c r="E168">
        <v>1</v>
      </c>
      <c r="F168" t="s">
        <v>31</v>
      </c>
      <c r="G168" t="s">
        <v>32</v>
      </c>
      <c r="H168" t="s">
        <v>33</v>
      </c>
      <c r="I168" t="s">
        <v>34</v>
      </c>
      <c r="J168" t="s">
        <v>42</v>
      </c>
      <c r="K168" t="s">
        <v>36</v>
      </c>
      <c r="L168" t="s">
        <v>37</v>
      </c>
      <c r="M168">
        <v>0</v>
      </c>
      <c r="N168">
        <v>1</v>
      </c>
      <c r="O168" s="5">
        <v>26614</v>
      </c>
      <c r="P168" s="5">
        <v>26613</v>
      </c>
      <c r="Q168">
        <v>20</v>
      </c>
      <c r="R168" t="s">
        <v>63</v>
      </c>
      <c r="S168" t="s">
        <v>39</v>
      </c>
      <c r="T168">
        <v>19</v>
      </c>
      <c r="U168">
        <v>88</v>
      </c>
      <c r="V168">
        <v>14</v>
      </c>
      <c r="Z168" t="s">
        <v>39</v>
      </c>
      <c r="AB168" t="s">
        <v>87</v>
      </c>
      <c r="AC168" t="s">
        <v>88</v>
      </c>
    </row>
    <row r="169" spans="1:29" x14ac:dyDescent="0.25">
      <c r="A169" s="4">
        <v>42509</v>
      </c>
      <c r="B169" t="s">
        <v>30</v>
      </c>
      <c r="C169">
        <v>113</v>
      </c>
      <c r="D169">
        <v>4</v>
      </c>
      <c r="E169">
        <v>1</v>
      </c>
      <c r="F169" t="s">
        <v>31</v>
      </c>
      <c r="G169" t="s">
        <v>32</v>
      </c>
      <c r="H169" t="s">
        <v>33</v>
      </c>
      <c r="I169" t="s">
        <v>79</v>
      </c>
      <c r="O169" s="5"/>
      <c r="P169" s="5"/>
      <c r="Z169" t="s">
        <v>39</v>
      </c>
    </row>
    <row r="170" spans="1:29" x14ac:dyDescent="0.25">
      <c r="A170" s="4">
        <v>42509</v>
      </c>
      <c r="B170" t="s">
        <v>30</v>
      </c>
      <c r="C170">
        <v>113</v>
      </c>
      <c r="D170">
        <v>4</v>
      </c>
      <c r="E170">
        <v>2</v>
      </c>
      <c r="F170" t="s">
        <v>31</v>
      </c>
      <c r="G170" t="s">
        <v>32</v>
      </c>
      <c r="H170" t="s">
        <v>33</v>
      </c>
      <c r="I170" t="s">
        <v>57</v>
      </c>
      <c r="O170" s="5"/>
      <c r="P170" s="5"/>
      <c r="Z170" t="s">
        <v>39</v>
      </c>
    </row>
    <row r="171" spans="1:29" x14ac:dyDescent="0.25">
      <c r="A171" s="4">
        <v>42509</v>
      </c>
      <c r="B171" t="s">
        <v>30</v>
      </c>
      <c r="C171">
        <v>113</v>
      </c>
      <c r="D171">
        <v>6</v>
      </c>
      <c r="E171">
        <v>1</v>
      </c>
      <c r="F171" t="s">
        <v>31</v>
      </c>
      <c r="G171" t="s">
        <v>32</v>
      </c>
      <c r="H171" t="s">
        <v>33</v>
      </c>
      <c r="I171" t="s">
        <v>57</v>
      </c>
      <c r="O171" s="5"/>
      <c r="P171" s="5"/>
      <c r="Z171" t="s">
        <v>39</v>
      </c>
    </row>
    <row r="172" spans="1:29" x14ac:dyDescent="0.25">
      <c r="A172" s="4">
        <v>42509</v>
      </c>
      <c r="B172" t="s">
        <v>30</v>
      </c>
      <c r="C172">
        <v>113</v>
      </c>
      <c r="D172">
        <v>8</v>
      </c>
      <c r="E172">
        <v>1</v>
      </c>
      <c r="F172" t="s">
        <v>31</v>
      </c>
      <c r="G172" t="s">
        <v>32</v>
      </c>
      <c r="H172" t="s">
        <v>33</v>
      </c>
      <c r="I172" t="s">
        <v>34</v>
      </c>
      <c r="J172" t="s">
        <v>42</v>
      </c>
      <c r="K172" t="s">
        <v>89</v>
      </c>
      <c r="L172" t="s">
        <v>37</v>
      </c>
      <c r="M172">
        <v>0</v>
      </c>
      <c r="N172">
        <v>1</v>
      </c>
      <c r="O172" s="5">
        <v>26616</v>
      </c>
      <c r="P172" s="5">
        <v>26615</v>
      </c>
      <c r="Q172">
        <v>16</v>
      </c>
      <c r="R172" t="s">
        <v>38</v>
      </c>
      <c r="S172" t="s">
        <v>39</v>
      </c>
      <c r="T172">
        <v>16</v>
      </c>
      <c r="U172">
        <v>68</v>
      </c>
      <c r="V172">
        <v>14</v>
      </c>
      <c r="Y172" t="s">
        <v>90</v>
      </c>
      <c r="Z172" t="s">
        <v>39</v>
      </c>
      <c r="AB172" t="s">
        <v>87</v>
      </c>
      <c r="AC172" t="s">
        <v>88</v>
      </c>
    </row>
    <row r="173" spans="1:29" x14ac:dyDescent="0.25">
      <c r="A173" s="4">
        <v>42509</v>
      </c>
      <c r="B173" t="s">
        <v>30</v>
      </c>
      <c r="C173">
        <v>113</v>
      </c>
      <c r="D173">
        <v>9</v>
      </c>
      <c r="E173">
        <v>1</v>
      </c>
      <c r="F173" t="s">
        <v>31</v>
      </c>
      <c r="G173" t="s">
        <v>32</v>
      </c>
      <c r="H173" t="s">
        <v>33</v>
      </c>
      <c r="I173" t="s">
        <v>57</v>
      </c>
      <c r="O173" s="5"/>
      <c r="P173" s="5"/>
      <c r="Z173" t="s">
        <v>39</v>
      </c>
    </row>
    <row r="174" spans="1:29" x14ac:dyDescent="0.25">
      <c r="A174" s="4">
        <v>42509</v>
      </c>
      <c r="B174" t="s">
        <v>30</v>
      </c>
      <c r="C174">
        <v>113</v>
      </c>
      <c r="D174">
        <v>10</v>
      </c>
      <c r="E174">
        <v>1</v>
      </c>
      <c r="F174" t="s">
        <v>31</v>
      </c>
      <c r="G174" t="s">
        <v>32</v>
      </c>
      <c r="H174" t="s">
        <v>33</v>
      </c>
      <c r="I174" t="s">
        <v>79</v>
      </c>
      <c r="O174" s="5"/>
      <c r="P174" s="5"/>
      <c r="Z174" t="s">
        <v>39</v>
      </c>
    </row>
    <row r="175" spans="1:29" x14ac:dyDescent="0.25">
      <c r="A175" s="4">
        <v>42509</v>
      </c>
      <c r="B175" t="s">
        <v>30</v>
      </c>
      <c r="C175">
        <v>113</v>
      </c>
      <c r="D175">
        <v>10</v>
      </c>
      <c r="E175">
        <v>2</v>
      </c>
      <c r="F175" t="s">
        <v>31</v>
      </c>
      <c r="G175" t="s">
        <v>32</v>
      </c>
      <c r="H175" t="s">
        <v>33</v>
      </c>
      <c r="I175" t="s">
        <v>79</v>
      </c>
      <c r="O175" s="5"/>
      <c r="P175" s="5"/>
      <c r="Z175" t="s">
        <v>39</v>
      </c>
    </row>
    <row r="176" spans="1:29" x14ac:dyDescent="0.25">
      <c r="A176" s="4">
        <v>42509</v>
      </c>
      <c r="B176" t="s">
        <v>30</v>
      </c>
      <c r="C176">
        <v>304</v>
      </c>
      <c r="D176">
        <v>1</v>
      </c>
      <c r="E176">
        <v>1</v>
      </c>
      <c r="F176" t="s">
        <v>31</v>
      </c>
      <c r="G176" t="s">
        <v>32</v>
      </c>
      <c r="H176" t="s">
        <v>33</v>
      </c>
      <c r="I176" t="s">
        <v>57</v>
      </c>
      <c r="O176" s="5"/>
      <c r="P176" s="5"/>
      <c r="Z176" t="s">
        <v>39</v>
      </c>
    </row>
    <row r="177" spans="1:29" x14ac:dyDescent="0.25">
      <c r="A177" s="4">
        <v>42509</v>
      </c>
      <c r="B177" t="s">
        <v>30</v>
      </c>
      <c r="C177">
        <v>304</v>
      </c>
      <c r="D177">
        <v>2</v>
      </c>
      <c r="E177">
        <v>1</v>
      </c>
      <c r="F177" t="s">
        <v>31</v>
      </c>
      <c r="G177" t="s">
        <v>32</v>
      </c>
      <c r="H177" t="s">
        <v>33</v>
      </c>
      <c r="I177" t="s">
        <v>57</v>
      </c>
      <c r="O177" s="5"/>
      <c r="P177" s="5"/>
      <c r="Z177" t="s">
        <v>39</v>
      </c>
    </row>
    <row r="178" spans="1:29" x14ac:dyDescent="0.25">
      <c r="A178" s="4">
        <v>42509</v>
      </c>
      <c r="B178" t="s">
        <v>30</v>
      </c>
      <c r="C178">
        <v>304</v>
      </c>
      <c r="D178">
        <v>7</v>
      </c>
      <c r="E178">
        <v>1</v>
      </c>
      <c r="F178" t="s">
        <v>31</v>
      </c>
      <c r="G178" t="s">
        <v>32</v>
      </c>
      <c r="H178" t="s">
        <v>33</v>
      </c>
      <c r="I178" t="s">
        <v>57</v>
      </c>
      <c r="O178" s="5"/>
      <c r="P178" s="5"/>
      <c r="Z178" t="s">
        <v>39</v>
      </c>
    </row>
    <row r="179" spans="1:29" x14ac:dyDescent="0.25">
      <c r="A179" s="4">
        <v>42514</v>
      </c>
      <c r="B179" t="s">
        <v>30</v>
      </c>
      <c r="C179">
        <v>501</v>
      </c>
      <c r="D179">
        <v>6</v>
      </c>
      <c r="E179">
        <v>1</v>
      </c>
      <c r="F179" t="s">
        <v>41</v>
      </c>
      <c r="G179" t="s">
        <v>32</v>
      </c>
      <c r="H179" t="s">
        <v>33</v>
      </c>
      <c r="I179" t="s">
        <v>57</v>
      </c>
      <c r="O179" s="5"/>
      <c r="P179" s="5"/>
      <c r="Z179" t="s">
        <v>39</v>
      </c>
    </row>
    <row r="180" spans="1:29" x14ac:dyDescent="0.25">
      <c r="A180" s="4">
        <v>42514</v>
      </c>
      <c r="B180" t="s">
        <v>30</v>
      </c>
      <c r="C180">
        <v>501</v>
      </c>
      <c r="D180">
        <v>9</v>
      </c>
      <c r="E180">
        <v>1</v>
      </c>
      <c r="F180" t="s">
        <v>41</v>
      </c>
      <c r="G180" t="s">
        <v>32</v>
      </c>
      <c r="H180" t="s">
        <v>33</v>
      </c>
      <c r="I180" t="s">
        <v>57</v>
      </c>
      <c r="O180" s="5"/>
      <c r="P180" s="5"/>
      <c r="Z180" t="s">
        <v>39</v>
      </c>
    </row>
    <row r="181" spans="1:29" x14ac:dyDescent="0.25">
      <c r="A181" s="4">
        <v>42514</v>
      </c>
      <c r="B181" t="s">
        <v>30</v>
      </c>
      <c r="C181">
        <v>501</v>
      </c>
      <c r="D181">
        <v>9</v>
      </c>
      <c r="E181">
        <v>2</v>
      </c>
      <c r="F181" t="s">
        <v>41</v>
      </c>
      <c r="G181" t="s">
        <v>32</v>
      </c>
      <c r="H181" t="s">
        <v>33</v>
      </c>
      <c r="I181" t="s">
        <v>91</v>
      </c>
      <c r="J181" t="s">
        <v>42</v>
      </c>
      <c r="K181" t="s">
        <v>36</v>
      </c>
      <c r="L181" t="s">
        <v>43</v>
      </c>
      <c r="M181">
        <v>0</v>
      </c>
      <c r="N181">
        <v>1</v>
      </c>
      <c r="O181" s="5">
        <v>50336</v>
      </c>
      <c r="P181" s="5"/>
      <c r="Q181">
        <f>36.5-5</f>
        <v>31.5</v>
      </c>
      <c r="R181" t="s">
        <v>47</v>
      </c>
      <c r="S181" t="s">
        <v>39</v>
      </c>
      <c r="Z181" t="s">
        <v>39</v>
      </c>
      <c r="AB181" t="s">
        <v>40</v>
      </c>
      <c r="AC181" t="s">
        <v>56</v>
      </c>
    </row>
    <row r="182" spans="1:29" x14ac:dyDescent="0.25">
      <c r="A182" s="4">
        <v>42514</v>
      </c>
      <c r="B182" t="s">
        <v>30</v>
      </c>
      <c r="C182">
        <v>503</v>
      </c>
      <c r="D182">
        <v>5</v>
      </c>
      <c r="E182">
        <v>1</v>
      </c>
      <c r="F182" t="s">
        <v>41</v>
      </c>
      <c r="G182" t="s">
        <v>32</v>
      </c>
      <c r="H182" t="s">
        <v>33</v>
      </c>
      <c r="I182" t="s">
        <v>57</v>
      </c>
      <c r="O182" s="5"/>
      <c r="P182" s="5"/>
      <c r="Z182" t="s">
        <v>39</v>
      </c>
    </row>
    <row r="183" spans="1:29" x14ac:dyDescent="0.25">
      <c r="A183" s="4">
        <v>42514</v>
      </c>
      <c r="B183" t="s">
        <v>30</v>
      </c>
      <c r="C183">
        <v>503</v>
      </c>
      <c r="D183">
        <v>5</v>
      </c>
      <c r="E183">
        <v>2</v>
      </c>
      <c r="F183" t="s">
        <v>41</v>
      </c>
      <c r="G183" t="s">
        <v>32</v>
      </c>
      <c r="H183" t="s">
        <v>33</v>
      </c>
      <c r="I183" t="s">
        <v>73</v>
      </c>
      <c r="J183" t="s">
        <v>92</v>
      </c>
      <c r="O183" s="5"/>
      <c r="P183" s="5"/>
      <c r="Z183" t="s">
        <v>39</v>
      </c>
    </row>
    <row r="184" spans="1:29" x14ac:dyDescent="0.25">
      <c r="A184" s="4">
        <v>42514</v>
      </c>
      <c r="B184" t="s">
        <v>30</v>
      </c>
      <c r="C184">
        <v>503</v>
      </c>
      <c r="D184">
        <v>6</v>
      </c>
      <c r="E184">
        <v>1</v>
      </c>
      <c r="F184" t="s">
        <v>41</v>
      </c>
      <c r="G184" t="s">
        <v>32</v>
      </c>
      <c r="H184" t="s">
        <v>33</v>
      </c>
      <c r="I184" t="s">
        <v>57</v>
      </c>
      <c r="O184" s="5"/>
      <c r="P184" s="5"/>
      <c r="Z184" t="s">
        <v>39</v>
      </c>
    </row>
    <row r="185" spans="1:29" x14ac:dyDescent="0.25">
      <c r="A185" s="4">
        <v>42514</v>
      </c>
      <c r="B185" t="s">
        <v>30</v>
      </c>
      <c r="C185">
        <v>503</v>
      </c>
      <c r="D185">
        <v>6</v>
      </c>
      <c r="E185">
        <v>2</v>
      </c>
      <c r="F185" t="s">
        <v>41</v>
      </c>
      <c r="G185" t="s">
        <v>32</v>
      </c>
      <c r="H185" t="s">
        <v>33</v>
      </c>
      <c r="I185" t="s">
        <v>57</v>
      </c>
      <c r="O185" s="5"/>
      <c r="P185" s="5"/>
      <c r="Z185" t="s">
        <v>39</v>
      </c>
    </row>
    <row r="186" spans="1:29" x14ac:dyDescent="0.25">
      <c r="A186" s="4">
        <v>42514</v>
      </c>
      <c r="B186" t="s">
        <v>30</v>
      </c>
      <c r="C186">
        <v>401</v>
      </c>
      <c r="D186">
        <v>1</v>
      </c>
      <c r="E186">
        <v>1</v>
      </c>
      <c r="F186" t="s">
        <v>41</v>
      </c>
      <c r="G186" t="s">
        <v>32</v>
      </c>
      <c r="H186" t="s">
        <v>33</v>
      </c>
      <c r="I186" t="s">
        <v>57</v>
      </c>
      <c r="O186" s="5"/>
      <c r="P186" s="5"/>
      <c r="Z186" t="s">
        <v>39</v>
      </c>
    </row>
    <row r="187" spans="1:29" x14ac:dyDescent="0.25">
      <c r="A187" s="4">
        <v>42514</v>
      </c>
      <c r="B187" t="s">
        <v>30</v>
      </c>
      <c r="C187">
        <v>401</v>
      </c>
      <c r="D187">
        <v>2</v>
      </c>
      <c r="E187">
        <v>1</v>
      </c>
      <c r="F187" t="s">
        <v>41</v>
      </c>
      <c r="G187" t="s">
        <v>32</v>
      </c>
      <c r="H187" t="s">
        <v>33</v>
      </c>
      <c r="I187" t="s">
        <v>57</v>
      </c>
      <c r="O187" s="5"/>
      <c r="P187" s="5"/>
      <c r="Z187" t="s">
        <v>39</v>
      </c>
    </row>
    <row r="188" spans="1:29" x14ac:dyDescent="0.25">
      <c r="A188" s="4">
        <v>42514</v>
      </c>
      <c r="B188" t="s">
        <v>30</v>
      </c>
      <c r="C188">
        <v>401</v>
      </c>
      <c r="D188">
        <v>6</v>
      </c>
      <c r="E188">
        <v>1</v>
      </c>
      <c r="F188" t="s">
        <v>41</v>
      </c>
      <c r="G188" t="s">
        <v>32</v>
      </c>
      <c r="H188" t="s">
        <v>33</v>
      </c>
      <c r="I188" t="s">
        <v>34</v>
      </c>
      <c r="J188" t="s">
        <v>42</v>
      </c>
      <c r="K188" t="s">
        <v>36</v>
      </c>
      <c r="L188" t="s">
        <v>37</v>
      </c>
      <c r="M188">
        <v>0</v>
      </c>
      <c r="N188">
        <v>1</v>
      </c>
      <c r="O188" s="5">
        <v>50321</v>
      </c>
      <c r="P188" s="5">
        <v>50320</v>
      </c>
      <c r="Q188">
        <v>19</v>
      </c>
      <c r="R188" t="s">
        <v>38</v>
      </c>
      <c r="S188" t="s">
        <v>39</v>
      </c>
      <c r="T188">
        <v>19</v>
      </c>
      <c r="U188">
        <v>86</v>
      </c>
      <c r="V188">
        <v>13</v>
      </c>
      <c r="Z188" t="s">
        <v>39</v>
      </c>
      <c r="AB188" t="s">
        <v>40</v>
      </c>
      <c r="AC188" t="s">
        <v>56</v>
      </c>
    </row>
    <row r="189" spans="1:29" x14ac:dyDescent="0.25">
      <c r="A189" s="4">
        <v>42514</v>
      </c>
      <c r="B189" t="s">
        <v>30</v>
      </c>
      <c r="C189">
        <v>703</v>
      </c>
      <c r="D189">
        <v>8</v>
      </c>
      <c r="E189">
        <v>1</v>
      </c>
      <c r="F189" t="s">
        <v>31</v>
      </c>
      <c r="G189" t="s">
        <v>32</v>
      </c>
      <c r="H189" t="s">
        <v>33</v>
      </c>
      <c r="I189" t="s">
        <v>34</v>
      </c>
      <c r="J189" t="s">
        <v>51</v>
      </c>
      <c r="K189" t="s">
        <v>36</v>
      </c>
      <c r="L189" t="s">
        <v>43</v>
      </c>
      <c r="M189">
        <v>1</v>
      </c>
      <c r="N189">
        <v>0</v>
      </c>
      <c r="O189" s="5">
        <v>50387</v>
      </c>
      <c r="P189" s="5">
        <v>26622</v>
      </c>
      <c r="Q189">
        <v>21.5</v>
      </c>
      <c r="R189" t="s">
        <v>65</v>
      </c>
      <c r="S189" t="s">
        <v>39</v>
      </c>
      <c r="T189">
        <v>18</v>
      </c>
      <c r="U189">
        <v>80</v>
      </c>
      <c r="V189">
        <v>12.5</v>
      </c>
      <c r="W189">
        <v>11.4</v>
      </c>
      <c r="X189">
        <v>29.35</v>
      </c>
      <c r="Y189" t="s">
        <v>93</v>
      </c>
      <c r="Z189" t="s">
        <v>39</v>
      </c>
      <c r="AB189" t="s">
        <v>40</v>
      </c>
      <c r="AC189" t="s">
        <v>56</v>
      </c>
    </row>
    <row r="190" spans="1:29" x14ac:dyDescent="0.25">
      <c r="A190" s="4">
        <v>42514</v>
      </c>
      <c r="B190" t="s">
        <v>30</v>
      </c>
      <c r="C190">
        <v>703</v>
      </c>
      <c r="D190">
        <v>9</v>
      </c>
      <c r="E190">
        <v>1</v>
      </c>
      <c r="F190" t="s">
        <v>31</v>
      </c>
      <c r="G190" t="s">
        <v>32</v>
      </c>
      <c r="H190" t="s">
        <v>33</v>
      </c>
      <c r="I190" t="s">
        <v>34</v>
      </c>
      <c r="J190" t="s">
        <v>35</v>
      </c>
      <c r="K190" t="s">
        <v>36</v>
      </c>
      <c r="L190" t="s">
        <v>37</v>
      </c>
      <c r="M190">
        <v>0</v>
      </c>
      <c r="N190">
        <v>0</v>
      </c>
      <c r="O190" s="5" t="s">
        <v>71</v>
      </c>
      <c r="P190" s="5" t="s">
        <v>72</v>
      </c>
      <c r="Q190">
        <f>39-17.5</f>
        <v>21.5</v>
      </c>
      <c r="R190" t="s">
        <v>83</v>
      </c>
      <c r="S190" t="s">
        <v>39</v>
      </c>
      <c r="T190">
        <v>19</v>
      </c>
      <c r="U190">
        <v>90</v>
      </c>
      <c r="V190">
        <v>12</v>
      </c>
      <c r="W190">
        <v>10.85</v>
      </c>
      <c r="X190">
        <v>25.5</v>
      </c>
      <c r="Z190" t="s">
        <v>39</v>
      </c>
      <c r="AB190" t="s">
        <v>40</v>
      </c>
      <c r="AC190" t="s">
        <v>56</v>
      </c>
    </row>
    <row r="191" spans="1:29" x14ac:dyDescent="0.25">
      <c r="A191" s="4">
        <v>42514</v>
      </c>
      <c r="B191" t="s">
        <v>30</v>
      </c>
      <c r="C191">
        <v>703</v>
      </c>
      <c r="D191">
        <v>9</v>
      </c>
      <c r="E191">
        <v>2</v>
      </c>
      <c r="F191" t="s">
        <v>31</v>
      </c>
      <c r="G191" t="s">
        <v>32</v>
      </c>
      <c r="H191" t="s">
        <v>33</v>
      </c>
      <c r="I191" t="s">
        <v>34</v>
      </c>
      <c r="J191" t="s">
        <v>35</v>
      </c>
      <c r="K191" t="s">
        <v>36</v>
      </c>
      <c r="L191" t="s">
        <v>37</v>
      </c>
      <c r="M191">
        <v>0</v>
      </c>
      <c r="N191">
        <v>0</v>
      </c>
      <c r="O191" s="5">
        <v>50395</v>
      </c>
      <c r="P191" s="5">
        <v>50394</v>
      </c>
      <c r="Q191">
        <v>22</v>
      </c>
      <c r="R191" t="s">
        <v>38</v>
      </c>
      <c r="S191" t="s">
        <v>39</v>
      </c>
      <c r="T191">
        <v>17.5</v>
      </c>
      <c r="U191">
        <v>83</v>
      </c>
      <c r="V191">
        <v>17</v>
      </c>
      <c r="W191">
        <v>11</v>
      </c>
      <c r="X191">
        <v>25.98</v>
      </c>
      <c r="Z191" t="s">
        <v>39</v>
      </c>
      <c r="AB191" t="s">
        <v>40</v>
      </c>
      <c r="AC191" t="s">
        <v>56</v>
      </c>
    </row>
    <row r="192" spans="1:29" x14ac:dyDescent="0.25">
      <c r="A192" s="4">
        <v>42514</v>
      </c>
      <c r="B192" t="s">
        <v>30</v>
      </c>
      <c r="C192">
        <v>701</v>
      </c>
      <c r="D192">
        <v>4</v>
      </c>
      <c r="E192">
        <v>1</v>
      </c>
      <c r="F192" t="s">
        <v>31</v>
      </c>
      <c r="G192" t="s">
        <v>32</v>
      </c>
      <c r="H192" t="s">
        <v>33</v>
      </c>
      <c r="I192" t="s">
        <v>73</v>
      </c>
      <c r="J192" t="s">
        <v>35</v>
      </c>
      <c r="K192" t="s">
        <v>36</v>
      </c>
      <c r="L192" t="s">
        <v>37</v>
      </c>
      <c r="M192">
        <v>0</v>
      </c>
      <c r="N192">
        <v>0</v>
      </c>
      <c r="O192" s="5"/>
      <c r="P192" s="5" t="s">
        <v>94</v>
      </c>
      <c r="Q192">
        <v>90</v>
      </c>
      <c r="R192" t="s">
        <v>38</v>
      </c>
      <c r="S192" t="s">
        <v>39</v>
      </c>
      <c r="T192">
        <v>31</v>
      </c>
      <c r="W192">
        <v>19.45</v>
      </c>
      <c r="X192">
        <v>42.81</v>
      </c>
      <c r="Z192" t="s">
        <v>39</v>
      </c>
      <c r="AB192" t="s">
        <v>40</v>
      </c>
      <c r="AC192" t="s">
        <v>56</v>
      </c>
    </row>
    <row r="193" spans="1:30" x14ac:dyDescent="0.25">
      <c r="A193" s="4">
        <v>42514</v>
      </c>
      <c r="B193" t="s">
        <v>30</v>
      </c>
      <c r="C193">
        <v>701</v>
      </c>
      <c r="D193">
        <v>6</v>
      </c>
      <c r="E193">
        <v>1</v>
      </c>
      <c r="F193" t="s">
        <v>31</v>
      </c>
      <c r="G193" t="s">
        <v>32</v>
      </c>
      <c r="H193" t="s">
        <v>33</v>
      </c>
      <c r="I193" t="s">
        <v>57</v>
      </c>
      <c r="O193" s="5"/>
      <c r="P193" s="5"/>
      <c r="Z193" t="s">
        <v>39</v>
      </c>
    </row>
    <row r="194" spans="1:30" x14ac:dyDescent="0.25">
      <c r="A194" s="4">
        <v>42514</v>
      </c>
      <c r="B194" t="s">
        <v>30</v>
      </c>
      <c r="C194">
        <v>801</v>
      </c>
      <c r="D194">
        <v>8</v>
      </c>
      <c r="E194">
        <v>1</v>
      </c>
      <c r="F194" t="s">
        <v>31</v>
      </c>
      <c r="G194" t="s">
        <v>32</v>
      </c>
      <c r="H194" t="s">
        <v>33</v>
      </c>
      <c r="I194" t="s">
        <v>73</v>
      </c>
      <c r="J194" t="s">
        <v>35</v>
      </c>
      <c r="K194" t="s">
        <v>36</v>
      </c>
      <c r="L194" t="s">
        <v>43</v>
      </c>
      <c r="M194">
        <v>0</v>
      </c>
      <c r="N194">
        <v>0</v>
      </c>
      <c r="O194" s="5">
        <v>50392</v>
      </c>
      <c r="P194" s="5"/>
      <c r="Q194">
        <f>185-90</f>
        <v>95</v>
      </c>
      <c r="R194" t="s">
        <v>47</v>
      </c>
      <c r="S194" t="s">
        <v>39</v>
      </c>
      <c r="T194">
        <v>29</v>
      </c>
      <c r="W194">
        <v>22.69</v>
      </c>
      <c r="X194">
        <v>41.15</v>
      </c>
      <c r="Z194" t="s">
        <v>39</v>
      </c>
      <c r="AB194" t="s">
        <v>40</v>
      </c>
      <c r="AC194" t="s">
        <v>56</v>
      </c>
    </row>
    <row r="195" spans="1:30" x14ac:dyDescent="0.25">
      <c r="A195" s="4">
        <v>42514</v>
      </c>
      <c r="B195" t="s">
        <v>30</v>
      </c>
      <c r="C195">
        <v>803</v>
      </c>
      <c r="D195">
        <v>3</v>
      </c>
      <c r="E195">
        <v>1</v>
      </c>
      <c r="F195" t="s">
        <v>31</v>
      </c>
      <c r="G195" t="s">
        <v>32</v>
      </c>
      <c r="H195" t="s">
        <v>33</v>
      </c>
      <c r="I195" t="s">
        <v>34</v>
      </c>
      <c r="J195" t="s">
        <v>42</v>
      </c>
      <c r="K195" t="s">
        <v>36</v>
      </c>
      <c r="L195" t="s">
        <v>43</v>
      </c>
      <c r="M195">
        <v>1</v>
      </c>
      <c r="N195">
        <v>0</v>
      </c>
      <c r="O195" s="5">
        <v>26620</v>
      </c>
      <c r="P195" s="5">
        <v>26621</v>
      </c>
      <c r="Q195">
        <f>36.5-13</f>
        <v>23.5</v>
      </c>
      <c r="R195" t="s">
        <v>47</v>
      </c>
      <c r="S195" t="s">
        <v>39</v>
      </c>
      <c r="Z195" t="s">
        <v>39</v>
      </c>
      <c r="AB195" t="s">
        <v>40</v>
      </c>
      <c r="AC195" t="s">
        <v>56</v>
      </c>
      <c r="AD195" t="s">
        <v>95</v>
      </c>
    </row>
    <row r="196" spans="1:30" x14ac:dyDescent="0.25">
      <c r="A196" s="4">
        <v>42515</v>
      </c>
      <c r="B196" t="s">
        <v>30</v>
      </c>
      <c r="C196">
        <v>501</v>
      </c>
      <c r="D196">
        <v>2</v>
      </c>
      <c r="E196">
        <v>1</v>
      </c>
      <c r="F196" t="s">
        <v>41</v>
      </c>
      <c r="G196" t="s">
        <v>32</v>
      </c>
      <c r="H196" t="s">
        <v>33</v>
      </c>
      <c r="I196" t="s">
        <v>57</v>
      </c>
      <c r="O196" s="5"/>
      <c r="P196" s="5"/>
      <c r="Z196" t="s">
        <v>39</v>
      </c>
    </row>
    <row r="197" spans="1:30" x14ac:dyDescent="0.25">
      <c r="A197" s="4">
        <v>42515</v>
      </c>
      <c r="B197" t="s">
        <v>30</v>
      </c>
      <c r="C197">
        <v>501</v>
      </c>
      <c r="D197">
        <v>4</v>
      </c>
      <c r="E197">
        <v>1</v>
      </c>
      <c r="F197" t="s">
        <v>41</v>
      </c>
      <c r="G197" t="s">
        <v>32</v>
      </c>
      <c r="H197" t="s">
        <v>33</v>
      </c>
      <c r="I197" t="s">
        <v>34</v>
      </c>
      <c r="J197" t="s">
        <v>35</v>
      </c>
      <c r="K197" t="s">
        <v>36</v>
      </c>
      <c r="L197" t="s">
        <v>43</v>
      </c>
      <c r="M197">
        <v>0</v>
      </c>
      <c r="N197">
        <v>0</v>
      </c>
      <c r="O197" s="5">
        <v>26604</v>
      </c>
      <c r="P197" s="5">
        <v>26603</v>
      </c>
      <c r="Q197">
        <f>22.5-2</f>
        <v>20.5</v>
      </c>
      <c r="R197" t="s">
        <v>47</v>
      </c>
      <c r="S197" t="s">
        <v>39</v>
      </c>
      <c r="T197">
        <v>20</v>
      </c>
      <c r="U197">
        <v>85</v>
      </c>
      <c r="V197">
        <v>13</v>
      </c>
      <c r="Z197" t="s">
        <v>39</v>
      </c>
      <c r="AB197" t="s">
        <v>96</v>
      </c>
      <c r="AC197" t="s">
        <v>88</v>
      </c>
    </row>
    <row r="198" spans="1:30" x14ac:dyDescent="0.25">
      <c r="A198" s="4">
        <v>42515</v>
      </c>
      <c r="B198" t="s">
        <v>30</v>
      </c>
      <c r="C198">
        <v>501</v>
      </c>
      <c r="D198">
        <v>6</v>
      </c>
      <c r="E198">
        <v>1</v>
      </c>
      <c r="F198" t="s">
        <v>41</v>
      </c>
      <c r="G198" t="s">
        <v>32</v>
      </c>
      <c r="H198" t="s">
        <v>33</v>
      </c>
      <c r="I198" t="s">
        <v>91</v>
      </c>
      <c r="J198" t="s">
        <v>35</v>
      </c>
      <c r="K198" t="s">
        <v>36</v>
      </c>
      <c r="L198" t="s">
        <v>43</v>
      </c>
      <c r="M198">
        <v>0</v>
      </c>
      <c r="N198">
        <v>0</v>
      </c>
      <c r="O198" s="5">
        <v>50336</v>
      </c>
      <c r="P198" s="5"/>
      <c r="Q198">
        <f>23.5-1.5</f>
        <v>22</v>
      </c>
      <c r="R198" t="s">
        <v>47</v>
      </c>
      <c r="S198" t="s">
        <v>39</v>
      </c>
      <c r="Z198" t="s">
        <v>39</v>
      </c>
      <c r="AB198" t="s">
        <v>96</v>
      </c>
      <c r="AC198" t="s">
        <v>88</v>
      </c>
    </row>
    <row r="199" spans="1:30" x14ac:dyDescent="0.25">
      <c r="A199" s="4">
        <v>42515</v>
      </c>
      <c r="B199" t="s">
        <v>30</v>
      </c>
      <c r="C199">
        <v>501</v>
      </c>
      <c r="D199">
        <v>7</v>
      </c>
      <c r="E199">
        <v>1</v>
      </c>
      <c r="F199" t="s">
        <v>41</v>
      </c>
      <c r="G199" t="s">
        <v>32</v>
      </c>
      <c r="H199" t="s">
        <v>33</v>
      </c>
      <c r="I199" t="s">
        <v>64</v>
      </c>
      <c r="J199" t="s">
        <v>42</v>
      </c>
      <c r="K199" t="s">
        <v>36</v>
      </c>
      <c r="L199" t="s">
        <v>43</v>
      </c>
      <c r="M199">
        <v>0</v>
      </c>
      <c r="N199">
        <v>0</v>
      </c>
      <c r="O199" s="5">
        <v>50319</v>
      </c>
      <c r="P199" s="5"/>
      <c r="Q199">
        <f>198-48</f>
        <v>150</v>
      </c>
      <c r="R199" t="s">
        <v>47</v>
      </c>
      <c r="S199" t="s">
        <v>39</v>
      </c>
      <c r="Z199" t="s">
        <v>39</v>
      </c>
      <c r="AB199" t="s">
        <v>96</v>
      </c>
      <c r="AC199" t="s">
        <v>88</v>
      </c>
    </row>
    <row r="200" spans="1:30" x14ac:dyDescent="0.25">
      <c r="A200" s="4">
        <v>42515</v>
      </c>
      <c r="B200" t="s">
        <v>30</v>
      </c>
      <c r="C200">
        <v>501</v>
      </c>
      <c r="D200">
        <v>8</v>
      </c>
      <c r="E200">
        <v>1</v>
      </c>
      <c r="F200" t="s">
        <v>41</v>
      </c>
      <c r="G200" t="s">
        <v>32</v>
      </c>
      <c r="H200" t="s">
        <v>33</v>
      </c>
      <c r="I200" t="s">
        <v>73</v>
      </c>
      <c r="J200" t="s">
        <v>35</v>
      </c>
      <c r="K200" t="s">
        <v>36</v>
      </c>
      <c r="L200" t="s">
        <v>37</v>
      </c>
      <c r="M200">
        <v>0</v>
      </c>
      <c r="N200">
        <v>0</v>
      </c>
      <c r="O200" s="5">
        <v>50337</v>
      </c>
      <c r="P200" s="5"/>
      <c r="Q200">
        <f>123-48</f>
        <v>75</v>
      </c>
      <c r="R200" t="s">
        <v>83</v>
      </c>
      <c r="S200" t="s">
        <v>97</v>
      </c>
      <c r="Z200" t="s">
        <v>39</v>
      </c>
      <c r="AB200" t="s">
        <v>96</v>
      </c>
      <c r="AC200" t="s">
        <v>88</v>
      </c>
    </row>
    <row r="201" spans="1:30" x14ac:dyDescent="0.25">
      <c r="A201" s="4">
        <v>42515</v>
      </c>
      <c r="B201" t="s">
        <v>30</v>
      </c>
      <c r="C201">
        <v>503</v>
      </c>
      <c r="D201">
        <v>1</v>
      </c>
      <c r="E201">
        <v>1</v>
      </c>
      <c r="F201" t="s">
        <v>41</v>
      </c>
      <c r="G201" t="s">
        <v>32</v>
      </c>
      <c r="H201" t="s">
        <v>33</v>
      </c>
      <c r="I201" t="s">
        <v>98</v>
      </c>
      <c r="O201" s="5"/>
      <c r="P201" s="5"/>
      <c r="Z201" t="s">
        <v>39</v>
      </c>
    </row>
    <row r="202" spans="1:30" x14ac:dyDescent="0.25">
      <c r="A202" s="4">
        <v>42515</v>
      </c>
      <c r="B202" t="s">
        <v>30</v>
      </c>
      <c r="C202">
        <v>503</v>
      </c>
      <c r="D202">
        <v>1</v>
      </c>
      <c r="E202">
        <v>2</v>
      </c>
      <c r="F202" t="s">
        <v>41</v>
      </c>
      <c r="G202" t="s">
        <v>32</v>
      </c>
      <c r="H202" t="s">
        <v>33</v>
      </c>
      <c r="I202" t="s">
        <v>73</v>
      </c>
      <c r="J202" t="s">
        <v>42</v>
      </c>
      <c r="K202" t="s">
        <v>36</v>
      </c>
      <c r="L202" t="s">
        <v>37</v>
      </c>
      <c r="M202">
        <v>0</v>
      </c>
      <c r="N202">
        <v>0</v>
      </c>
      <c r="O202" s="5"/>
      <c r="P202" s="5">
        <v>50318</v>
      </c>
      <c r="Q202">
        <f>146-48</f>
        <v>98</v>
      </c>
      <c r="R202" t="s">
        <v>74</v>
      </c>
      <c r="S202" t="s">
        <v>97</v>
      </c>
      <c r="Z202" t="s">
        <v>39</v>
      </c>
      <c r="AB202" t="s">
        <v>99</v>
      </c>
      <c r="AC202" t="s">
        <v>88</v>
      </c>
    </row>
    <row r="203" spans="1:30" x14ac:dyDescent="0.25">
      <c r="A203" s="4">
        <v>42515</v>
      </c>
      <c r="B203" t="s">
        <v>30</v>
      </c>
      <c r="C203">
        <v>503</v>
      </c>
      <c r="D203">
        <v>3</v>
      </c>
      <c r="E203">
        <v>1</v>
      </c>
      <c r="F203" t="s">
        <v>41</v>
      </c>
      <c r="G203" t="s">
        <v>32</v>
      </c>
      <c r="H203" t="s">
        <v>33</v>
      </c>
      <c r="I203" t="s">
        <v>57</v>
      </c>
      <c r="O203" s="5"/>
      <c r="P203" s="5"/>
      <c r="Z203" t="s">
        <v>39</v>
      </c>
    </row>
    <row r="204" spans="1:30" x14ac:dyDescent="0.25">
      <c r="A204" s="4">
        <v>42515</v>
      </c>
      <c r="B204" t="s">
        <v>30</v>
      </c>
      <c r="C204">
        <v>503</v>
      </c>
      <c r="D204">
        <v>5</v>
      </c>
      <c r="E204">
        <v>1</v>
      </c>
      <c r="F204" t="s">
        <v>41</v>
      </c>
      <c r="G204" t="s">
        <v>32</v>
      </c>
      <c r="H204" t="s">
        <v>33</v>
      </c>
      <c r="I204" t="s">
        <v>57</v>
      </c>
      <c r="O204" s="5"/>
      <c r="P204" s="5"/>
      <c r="Z204" t="s">
        <v>39</v>
      </c>
    </row>
    <row r="205" spans="1:30" x14ac:dyDescent="0.25">
      <c r="A205" s="4">
        <v>42515</v>
      </c>
      <c r="B205" t="s">
        <v>30</v>
      </c>
      <c r="C205">
        <v>503</v>
      </c>
      <c r="D205">
        <v>5</v>
      </c>
      <c r="E205">
        <v>2</v>
      </c>
      <c r="F205" t="s">
        <v>41</v>
      </c>
      <c r="G205" t="s">
        <v>32</v>
      </c>
      <c r="H205" t="s">
        <v>33</v>
      </c>
      <c r="I205" t="s">
        <v>57</v>
      </c>
      <c r="O205" s="5"/>
      <c r="P205" s="5"/>
      <c r="Z205" t="s">
        <v>39</v>
      </c>
    </row>
    <row r="206" spans="1:30" x14ac:dyDescent="0.25">
      <c r="A206" s="4">
        <v>42515</v>
      </c>
      <c r="B206" t="s">
        <v>30</v>
      </c>
      <c r="C206">
        <v>503</v>
      </c>
      <c r="D206">
        <v>6</v>
      </c>
      <c r="E206">
        <v>1</v>
      </c>
      <c r="F206" t="s">
        <v>41</v>
      </c>
      <c r="G206" t="s">
        <v>32</v>
      </c>
      <c r="H206" t="s">
        <v>33</v>
      </c>
      <c r="I206" t="s">
        <v>57</v>
      </c>
      <c r="O206" s="5"/>
      <c r="P206" s="5"/>
      <c r="Z206" t="s">
        <v>39</v>
      </c>
    </row>
    <row r="207" spans="1:30" x14ac:dyDescent="0.25">
      <c r="A207" s="4">
        <v>42515</v>
      </c>
      <c r="B207" t="s">
        <v>30</v>
      </c>
      <c r="C207">
        <v>503</v>
      </c>
      <c r="D207">
        <v>10</v>
      </c>
      <c r="E207">
        <v>1</v>
      </c>
      <c r="F207" t="s">
        <v>41</v>
      </c>
      <c r="G207" t="s">
        <v>32</v>
      </c>
      <c r="H207" t="s">
        <v>33</v>
      </c>
      <c r="I207" t="s">
        <v>57</v>
      </c>
      <c r="O207" s="5"/>
      <c r="P207" s="5"/>
      <c r="Z207" t="s">
        <v>39</v>
      </c>
    </row>
    <row r="208" spans="1:30" x14ac:dyDescent="0.25">
      <c r="A208" s="4">
        <v>42515</v>
      </c>
      <c r="B208" t="s">
        <v>30</v>
      </c>
      <c r="C208">
        <v>303</v>
      </c>
      <c r="D208">
        <v>1</v>
      </c>
      <c r="E208">
        <v>1</v>
      </c>
      <c r="F208" t="s">
        <v>41</v>
      </c>
      <c r="G208" t="s">
        <v>32</v>
      </c>
      <c r="H208" t="s">
        <v>33</v>
      </c>
      <c r="I208" t="s">
        <v>34</v>
      </c>
      <c r="J208" t="s">
        <v>100</v>
      </c>
      <c r="K208" t="s">
        <v>36</v>
      </c>
      <c r="L208" t="s">
        <v>37</v>
      </c>
      <c r="M208">
        <v>0</v>
      </c>
      <c r="N208">
        <v>0</v>
      </c>
      <c r="O208" s="5">
        <v>26635</v>
      </c>
      <c r="P208" s="5">
        <v>26608</v>
      </c>
      <c r="Q208">
        <f>28-1</f>
        <v>27</v>
      </c>
      <c r="R208" t="s">
        <v>81</v>
      </c>
      <c r="S208" t="s">
        <v>39</v>
      </c>
      <c r="T208">
        <v>20</v>
      </c>
      <c r="U208">
        <v>91</v>
      </c>
      <c r="V208">
        <v>14</v>
      </c>
      <c r="Z208" t="s">
        <v>39</v>
      </c>
      <c r="AB208" t="s">
        <v>96</v>
      </c>
      <c r="AC208" t="s">
        <v>88</v>
      </c>
    </row>
    <row r="209" spans="1:29" x14ac:dyDescent="0.25">
      <c r="A209" s="4">
        <v>42515</v>
      </c>
      <c r="B209" t="s">
        <v>30</v>
      </c>
      <c r="C209">
        <v>303</v>
      </c>
      <c r="D209">
        <v>8</v>
      </c>
      <c r="E209">
        <v>1</v>
      </c>
      <c r="F209" t="s">
        <v>41</v>
      </c>
      <c r="G209" t="s">
        <v>32</v>
      </c>
      <c r="H209" t="s">
        <v>33</v>
      </c>
      <c r="I209" t="s">
        <v>64</v>
      </c>
      <c r="J209" t="s">
        <v>35</v>
      </c>
      <c r="K209" t="s">
        <v>36</v>
      </c>
      <c r="L209" t="s">
        <v>37</v>
      </c>
      <c r="M209">
        <v>0</v>
      </c>
      <c r="N209">
        <v>0</v>
      </c>
      <c r="O209" s="5">
        <v>509</v>
      </c>
      <c r="P209" s="5"/>
      <c r="Q209">
        <f>222-46</f>
        <v>176</v>
      </c>
      <c r="R209" t="s">
        <v>83</v>
      </c>
      <c r="S209" t="s">
        <v>39</v>
      </c>
      <c r="Z209" t="s">
        <v>39</v>
      </c>
      <c r="AB209" t="s">
        <v>96</v>
      </c>
      <c r="AC209" t="s">
        <v>88</v>
      </c>
    </row>
    <row r="210" spans="1:29" x14ac:dyDescent="0.25">
      <c r="A210" s="4">
        <v>42515</v>
      </c>
      <c r="B210" t="s">
        <v>30</v>
      </c>
      <c r="C210">
        <v>303</v>
      </c>
      <c r="D210">
        <v>10</v>
      </c>
      <c r="E210">
        <v>1</v>
      </c>
      <c r="F210" t="s">
        <v>41</v>
      </c>
      <c r="G210" t="s">
        <v>32</v>
      </c>
      <c r="H210" t="s">
        <v>33</v>
      </c>
      <c r="I210" t="s">
        <v>57</v>
      </c>
      <c r="O210" s="5"/>
      <c r="P210" s="5"/>
      <c r="Z210" t="s">
        <v>39</v>
      </c>
    </row>
    <row r="211" spans="1:29" x14ac:dyDescent="0.25">
      <c r="A211" s="4">
        <v>42515</v>
      </c>
      <c r="B211" t="s">
        <v>30</v>
      </c>
      <c r="C211">
        <v>303</v>
      </c>
      <c r="D211">
        <v>10</v>
      </c>
      <c r="E211">
        <v>2</v>
      </c>
      <c r="F211" t="s">
        <v>41</v>
      </c>
      <c r="G211" t="s">
        <v>32</v>
      </c>
      <c r="H211" t="s">
        <v>33</v>
      </c>
      <c r="I211" t="s">
        <v>57</v>
      </c>
      <c r="O211" s="5"/>
      <c r="P211" s="5"/>
      <c r="Z211" t="s">
        <v>39</v>
      </c>
    </row>
    <row r="212" spans="1:29" x14ac:dyDescent="0.25">
      <c r="A212" s="4">
        <v>42515</v>
      </c>
      <c r="B212" t="s">
        <v>30</v>
      </c>
      <c r="C212">
        <v>401</v>
      </c>
      <c r="D212">
        <v>1</v>
      </c>
      <c r="E212">
        <v>1</v>
      </c>
      <c r="F212" t="s">
        <v>41</v>
      </c>
      <c r="G212" t="s">
        <v>32</v>
      </c>
      <c r="H212" t="s">
        <v>33</v>
      </c>
      <c r="I212" t="s">
        <v>64</v>
      </c>
      <c r="J212" t="s">
        <v>35</v>
      </c>
      <c r="K212" t="s">
        <v>36</v>
      </c>
      <c r="L212" t="s">
        <v>43</v>
      </c>
      <c r="M212">
        <v>0</v>
      </c>
      <c r="N212">
        <v>0</v>
      </c>
      <c r="O212" s="5">
        <v>540</v>
      </c>
      <c r="P212" s="5">
        <v>2227</v>
      </c>
      <c r="Q212">
        <f>230-47</f>
        <v>183</v>
      </c>
      <c r="R212" t="s">
        <v>47</v>
      </c>
      <c r="S212" t="s">
        <v>39</v>
      </c>
      <c r="Z212" t="s">
        <v>39</v>
      </c>
    </row>
    <row r="213" spans="1:29" x14ac:dyDescent="0.25">
      <c r="A213" s="4">
        <v>42515</v>
      </c>
      <c r="B213" t="s">
        <v>30</v>
      </c>
      <c r="C213">
        <v>401</v>
      </c>
      <c r="D213">
        <v>5</v>
      </c>
      <c r="E213">
        <v>1</v>
      </c>
      <c r="F213" t="s">
        <v>41</v>
      </c>
      <c r="G213" t="s">
        <v>32</v>
      </c>
      <c r="H213" t="s">
        <v>33</v>
      </c>
      <c r="I213" t="s">
        <v>34</v>
      </c>
      <c r="J213" t="s">
        <v>35</v>
      </c>
      <c r="K213" t="s">
        <v>36</v>
      </c>
      <c r="L213" t="s">
        <v>43</v>
      </c>
      <c r="M213">
        <v>0</v>
      </c>
      <c r="N213">
        <v>0</v>
      </c>
      <c r="O213" s="5">
        <v>50321</v>
      </c>
      <c r="P213" s="5">
        <v>50320</v>
      </c>
      <c r="Q213">
        <f>25.5-1</f>
        <v>24.5</v>
      </c>
      <c r="R213" t="s">
        <v>47</v>
      </c>
      <c r="S213" t="s">
        <v>39</v>
      </c>
      <c r="T213">
        <v>20</v>
      </c>
      <c r="U213">
        <v>88</v>
      </c>
      <c r="V213">
        <v>14</v>
      </c>
      <c r="Z213" t="s">
        <v>39</v>
      </c>
      <c r="AB213" t="s">
        <v>96</v>
      </c>
      <c r="AC213" t="s">
        <v>88</v>
      </c>
    </row>
    <row r="214" spans="1:29" x14ac:dyDescent="0.25">
      <c r="A214" s="4">
        <v>42515</v>
      </c>
      <c r="B214" t="s">
        <v>30</v>
      </c>
      <c r="C214">
        <v>401</v>
      </c>
      <c r="D214">
        <v>6</v>
      </c>
      <c r="E214">
        <v>1</v>
      </c>
      <c r="F214" t="s">
        <v>41</v>
      </c>
      <c r="G214" t="s">
        <v>32</v>
      </c>
      <c r="H214" t="s">
        <v>33</v>
      </c>
      <c r="I214" t="s">
        <v>34</v>
      </c>
      <c r="J214" t="s">
        <v>42</v>
      </c>
      <c r="K214" t="s">
        <v>36</v>
      </c>
      <c r="L214" t="s">
        <v>37</v>
      </c>
      <c r="M214">
        <v>0</v>
      </c>
      <c r="N214">
        <v>1</v>
      </c>
      <c r="O214" s="5">
        <v>50317</v>
      </c>
      <c r="P214" s="5">
        <v>50316</v>
      </c>
      <c r="Q214">
        <f>19.5</f>
        <v>19.5</v>
      </c>
      <c r="R214" t="s">
        <v>83</v>
      </c>
      <c r="S214" t="s">
        <v>39</v>
      </c>
      <c r="T214">
        <v>18</v>
      </c>
      <c r="U214">
        <v>82</v>
      </c>
      <c r="V214">
        <v>13</v>
      </c>
      <c r="Z214" t="s">
        <v>39</v>
      </c>
      <c r="AB214" t="s">
        <v>96</v>
      </c>
      <c r="AC214" t="s">
        <v>88</v>
      </c>
    </row>
    <row r="215" spans="1:29" x14ac:dyDescent="0.25">
      <c r="A215" s="4">
        <v>42515</v>
      </c>
      <c r="B215" t="s">
        <v>30</v>
      </c>
      <c r="C215">
        <v>401</v>
      </c>
      <c r="D215">
        <v>10</v>
      </c>
      <c r="E215">
        <v>1</v>
      </c>
      <c r="F215" t="s">
        <v>41</v>
      </c>
      <c r="G215" t="s">
        <v>32</v>
      </c>
      <c r="H215" t="s">
        <v>33</v>
      </c>
      <c r="I215" t="s">
        <v>57</v>
      </c>
      <c r="O215" s="5"/>
      <c r="P215" s="5"/>
      <c r="Z215" t="s">
        <v>39</v>
      </c>
    </row>
    <row r="216" spans="1:29" x14ac:dyDescent="0.25">
      <c r="A216" s="4">
        <v>42515</v>
      </c>
      <c r="B216" t="s">
        <v>30</v>
      </c>
      <c r="C216">
        <v>703</v>
      </c>
      <c r="D216">
        <v>1</v>
      </c>
      <c r="E216">
        <v>1</v>
      </c>
      <c r="F216" t="s">
        <v>31</v>
      </c>
      <c r="G216" t="s">
        <v>32</v>
      </c>
      <c r="H216" t="s">
        <v>33</v>
      </c>
      <c r="I216" t="s">
        <v>34</v>
      </c>
      <c r="J216" t="s">
        <v>35</v>
      </c>
      <c r="K216" t="s">
        <v>36</v>
      </c>
      <c r="L216" t="s">
        <v>43</v>
      </c>
      <c r="M216">
        <v>0</v>
      </c>
      <c r="N216">
        <v>0</v>
      </c>
      <c r="O216" s="5">
        <v>50387</v>
      </c>
      <c r="P216" s="5">
        <v>26622</v>
      </c>
      <c r="Q216">
        <v>21</v>
      </c>
      <c r="R216" t="s">
        <v>47</v>
      </c>
      <c r="S216" t="s">
        <v>39</v>
      </c>
      <c r="T216">
        <v>18</v>
      </c>
      <c r="U216">
        <v>76</v>
      </c>
      <c r="V216">
        <v>17</v>
      </c>
      <c r="W216">
        <v>12.65</v>
      </c>
      <c r="X216">
        <v>22.7</v>
      </c>
      <c r="Y216" t="s">
        <v>101</v>
      </c>
      <c r="Z216" t="s">
        <v>39</v>
      </c>
      <c r="AB216" t="s">
        <v>87</v>
      </c>
      <c r="AC216" t="s">
        <v>88</v>
      </c>
    </row>
    <row r="217" spans="1:29" x14ac:dyDescent="0.25">
      <c r="A217" s="4">
        <v>42515</v>
      </c>
      <c r="B217" t="s">
        <v>30</v>
      </c>
      <c r="C217">
        <v>703</v>
      </c>
      <c r="D217">
        <v>2</v>
      </c>
      <c r="E217">
        <v>1</v>
      </c>
      <c r="F217" t="s">
        <v>31</v>
      </c>
      <c r="G217" t="s">
        <v>32</v>
      </c>
      <c r="H217" t="s">
        <v>33</v>
      </c>
      <c r="I217" t="s">
        <v>34</v>
      </c>
      <c r="J217" t="s">
        <v>35</v>
      </c>
      <c r="K217" t="s">
        <v>36</v>
      </c>
      <c r="L217" t="s">
        <v>37</v>
      </c>
      <c r="M217">
        <v>0</v>
      </c>
      <c r="N217">
        <v>0</v>
      </c>
      <c r="O217" s="5" t="s">
        <v>71</v>
      </c>
      <c r="P217" s="5" t="s">
        <v>72</v>
      </c>
      <c r="Q217">
        <f>29-10.5</f>
        <v>18.5</v>
      </c>
      <c r="R217" t="s">
        <v>63</v>
      </c>
      <c r="S217" t="s">
        <v>39</v>
      </c>
      <c r="T217">
        <v>18</v>
      </c>
      <c r="U217">
        <v>93</v>
      </c>
      <c r="V217">
        <v>13</v>
      </c>
      <c r="W217">
        <v>11.5</v>
      </c>
      <c r="X217">
        <v>21.25</v>
      </c>
      <c r="Z217" t="s">
        <v>39</v>
      </c>
      <c r="AB217" t="s">
        <v>87</v>
      </c>
      <c r="AC217" t="s">
        <v>88</v>
      </c>
    </row>
    <row r="218" spans="1:29" x14ac:dyDescent="0.25">
      <c r="A218" s="4">
        <v>42515</v>
      </c>
      <c r="B218" t="s">
        <v>30</v>
      </c>
      <c r="C218">
        <v>703</v>
      </c>
      <c r="D218">
        <v>4</v>
      </c>
      <c r="E218">
        <v>1</v>
      </c>
      <c r="F218" t="s">
        <v>31</v>
      </c>
      <c r="G218" t="s">
        <v>32</v>
      </c>
      <c r="H218" t="s">
        <v>33</v>
      </c>
      <c r="I218" t="s">
        <v>57</v>
      </c>
      <c r="O218" s="5"/>
      <c r="P218" s="5"/>
      <c r="Z218" t="s">
        <v>39</v>
      </c>
    </row>
    <row r="219" spans="1:29" x14ac:dyDescent="0.25">
      <c r="A219" s="4">
        <v>42515</v>
      </c>
      <c r="B219" t="s">
        <v>30</v>
      </c>
      <c r="C219">
        <v>703</v>
      </c>
      <c r="D219">
        <v>5</v>
      </c>
      <c r="E219">
        <v>1</v>
      </c>
      <c r="F219" t="s">
        <v>31</v>
      </c>
      <c r="G219" t="s">
        <v>32</v>
      </c>
      <c r="H219" t="s">
        <v>33</v>
      </c>
      <c r="I219" t="s">
        <v>73</v>
      </c>
      <c r="J219" t="s">
        <v>35</v>
      </c>
      <c r="K219" t="s">
        <v>36</v>
      </c>
      <c r="L219" t="s">
        <v>37</v>
      </c>
      <c r="M219">
        <v>0</v>
      </c>
      <c r="N219">
        <v>0</v>
      </c>
      <c r="O219" s="5"/>
      <c r="P219" s="5" t="s">
        <v>94</v>
      </c>
      <c r="Q219">
        <f>170-90</f>
        <v>80</v>
      </c>
      <c r="R219" t="s">
        <v>38</v>
      </c>
      <c r="S219" t="s">
        <v>39</v>
      </c>
      <c r="T219">
        <v>31.5</v>
      </c>
      <c r="W219">
        <v>19.73</v>
      </c>
      <c r="X219">
        <v>44.25</v>
      </c>
      <c r="Z219" t="s">
        <v>39</v>
      </c>
      <c r="AB219" t="s">
        <v>87</v>
      </c>
      <c r="AC219" t="s">
        <v>88</v>
      </c>
    </row>
    <row r="220" spans="1:29" x14ac:dyDescent="0.25">
      <c r="A220" s="4">
        <v>42515</v>
      </c>
      <c r="B220" t="s">
        <v>30</v>
      </c>
      <c r="C220">
        <v>703</v>
      </c>
      <c r="D220">
        <v>8</v>
      </c>
      <c r="E220">
        <v>1</v>
      </c>
      <c r="F220" t="s">
        <v>31</v>
      </c>
      <c r="G220" t="s">
        <v>32</v>
      </c>
      <c r="H220" t="s">
        <v>33</v>
      </c>
      <c r="I220" t="s">
        <v>57</v>
      </c>
      <c r="O220" s="5"/>
      <c r="P220" s="5"/>
      <c r="Z220" t="s">
        <v>39</v>
      </c>
    </row>
    <row r="221" spans="1:29" x14ac:dyDescent="0.25">
      <c r="A221" s="4">
        <v>42515</v>
      </c>
      <c r="B221" t="s">
        <v>30</v>
      </c>
      <c r="C221">
        <v>703</v>
      </c>
      <c r="D221">
        <v>8</v>
      </c>
      <c r="E221">
        <v>2</v>
      </c>
      <c r="F221" t="s">
        <v>31</v>
      </c>
      <c r="G221" t="s">
        <v>32</v>
      </c>
      <c r="H221" t="s">
        <v>33</v>
      </c>
      <c r="I221" t="s">
        <v>34</v>
      </c>
      <c r="J221" t="s">
        <v>35</v>
      </c>
      <c r="K221" t="s">
        <v>36</v>
      </c>
      <c r="L221" t="s">
        <v>43</v>
      </c>
      <c r="M221">
        <v>0</v>
      </c>
      <c r="N221">
        <v>0</v>
      </c>
      <c r="O221" s="5">
        <v>50384</v>
      </c>
      <c r="P221" s="5">
        <v>50383</v>
      </c>
      <c r="Q221">
        <v>18</v>
      </c>
      <c r="R221" t="s">
        <v>47</v>
      </c>
      <c r="S221" t="s">
        <v>39</v>
      </c>
      <c r="T221">
        <v>18</v>
      </c>
      <c r="U221">
        <v>80.5</v>
      </c>
      <c r="V221">
        <v>16</v>
      </c>
      <c r="W221">
        <v>11.56</v>
      </c>
      <c r="X221">
        <v>27.65</v>
      </c>
      <c r="Z221" t="s">
        <v>39</v>
      </c>
      <c r="AB221" t="s">
        <v>87</v>
      </c>
      <c r="AC221" t="s">
        <v>88</v>
      </c>
    </row>
    <row r="222" spans="1:29" x14ac:dyDescent="0.25">
      <c r="A222" s="4">
        <v>42515</v>
      </c>
      <c r="B222" t="s">
        <v>30</v>
      </c>
      <c r="C222">
        <v>703</v>
      </c>
      <c r="D222">
        <v>9</v>
      </c>
      <c r="E222">
        <v>1</v>
      </c>
      <c r="F222" t="s">
        <v>31</v>
      </c>
      <c r="G222" t="s">
        <v>32</v>
      </c>
      <c r="H222" t="s">
        <v>33</v>
      </c>
      <c r="I222" t="s">
        <v>57</v>
      </c>
      <c r="O222" s="5"/>
      <c r="P222" s="5"/>
      <c r="Z222" t="s">
        <v>39</v>
      </c>
    </row>
    <row r="223" spans="1:29" x14ac:dyDescent="0.25">
      <c r="A223" s="4">
        <v>42515</v>
      </c>
      <c r="B223" t="s">
        <v>30</v>
      </c>
      <c r="C223">
        <v>703</v>
      </c>
      <c r="D223">
        <v>9</v>
      </c>
      <c r="E223">
        <v>2</v>
      </c>
      <c r="F223" t="s">
        <v>31</v>
      </c>
      <c r="G223" t="s">
        <v>32</v>
      </c>
      <c r="H223" t="s">
        <v>33</v>
      </c>
      <c r="I223" t="s">
        <v>34</v>
      </c>
      <c r="J223" t="s">
        <v>35</v>
      </c>
      <c r="K223" t="s">
        <v>36</v>
      </c>
      <c r="L223" t="s">
        <v>37</v>
      </c>
      <c r="M223">
        <v>0</v>
      </c>
      <c r="N223">
        <v>0</v>
      </c>
      <c r="O223" s="5">
        <v>50395</v>
      </c>
      <c r="P223" s="5">
        <v>50394</v>
      </c>
      <c r="Q223">
        <f>33.5-12</f>
        <v>21.5</v>
      </c>
      <c r="R223" t="s">
        <v>63</v>
      </c>
      <c r="S223" t="s">
        <v>39</v>
      </c>
      <c r="T223">
        <v>18</v>
      </c>
      <c r="U223">
        <v>83</v>
      </c>
      <c r="V223">
        <v>15</v>
      </c>
      <c r="W223">
        <v>11.35</v>
      </c>
      <c r="X223">
        <v>25.75</v>
      </c>
      <c r="Z223" t="s">
        <v>39</v>
      </c>
      <c r="AB223" t="s">
        <v>102</v>
      </c>
      <c r="AC223" t="s">
        <v>88</v>
      </c>
    </row>
    <row r="224" spans="1:29" x14ac:dyDescent="0.25">
      <c r="A224" s="4">
        <v>42515</v>
      </c>
      <c r="B224" t="s">
        <v>30</v>
      </c>
      <c r="C224">
        <v>701</v>
      </c>
      <c r="D224">
        <v>8</v>
      </c>
      <c r="E224">
        <v>1</v>
      </c>
      <c r="F224" t="s">
        <v>31</v>
      </c>
      <c r="G224" t="s">
        <v>32</v>
      </c>
      <c r="H224" t="s">
        <v>33</v>
      </c>
      <c r="I224" t="s">
        <v>79</v>
      </c>
      <c r="O224" s="5"/>
      <c r="P224" s="5"/>
      <c r="Z224" t="s">
        <v>39</v>
      </c>
    </row>
    <row r="225" spans="1:29" x14ac:dyDescent="0.25">
      <c r="A225" s="4">
        <v>42515</v>
      </c>
      <c r="B225" t="s">
        <v>30</v>
      </c>
      <c r="C225">
        <v>801</v>
      </c>
      <c r="D225">
        <v>2</v>
      </c>
      <c r="E225">
        <v>1</v>
      </c>
      <c r="F225" t="s">
        <v>31</v>
      </c>
      <c r="G225" t="s">
        <v>32</v>
      </c>
      <c r="H225" t="s">
        <v>33</v>
      </c>
      <c r="I225" t="s">
        <v>73</v>
      </c>
      <c r="J225" t="s">
        <v>35</v>
      </c>
      <c r="K225" t="s">
        <v>36</v>
      </c>
      <c r="L225" t="s">
        <v>43</v>
      </c>
      <c r="M225">
        <v>0</v>
      </c>
      <c r="N225">
        <v>0</v>
      </c>
      <c r="O225" s="5"/>
      <c r="P225" s="5">
        <v>50392</v>
      </c>
      <c r="Q225">
        <f>185-92</f>
        <v>93</v>
      </c>
      <c r="R225" t="s">
        <v>47</v>
      </c>
      <c r="S225" t="s">
        <v>39</v>
      </c>
      <c r="T225">
        <v>32</v>
      </c>
      <c r="W225">
        <v>21.55</v>
      </c>
      <c r="X225">
        <v>43.1</v>
      </c>
      <c r="Z225" t="s">
        <v>39</v>
      </c>
      <c r="AB225" t="s">
        <v>102</v>
      </c>
      <c r="AC225" t="s">
        <v>88</v>
      </c>
    </row>
    <row r="226" spans="1:29" x14ac:dyDescent="0.25">
      <c r="A226" s="4">
        <v>42515</v>
      </c>
      <c r="B226" t="s">
        <v>30</v>
      </c>
      <c r="C226">
        <v>801</v>
      </c>
      <c r="D226">
        <v>8</v>
      </c>
      <c r="E226">
        <v>1</v>
      </c>
      <c r="F226" t="s">
        <v>31</v>
      </c>
      <c r="G226" t="s">
        <v>32</v>
      </c>
      <c r="H226" t="s">
        <v>33</v>
      </c>
      <c r="I226" t="s">
        <v>103</v>
      </c>
      <c r="J226" t="s">
        <v>35</v>
      </c>
      <c r="K226" t="s">
        <v>36</v>
      </c>
      <c r="L226" t="s">
        <v>43</v>
      </c>
      <c r="M226">
        <v>0</v>
      </c>
      <c r="N226">
        <v>1</v>
      </c>
      <c r="O226" s="5"/>
      <c r="P226" s="5">
        <v>50375</v>
      </c>
      <c r="Q226">
        <v>25</v>
      </c>
      <c r="R226" t="s">
        <v>65</v>
      </c>
      <c r="S226" t="s">
        <v>39</v>
      </c>
      <c r="T226">
        <v>31</v>
      </c>
      <c r="W226">
        <v>11.52</v>
      </c>
      <c r="X226">
        <v>27.6</v>
      </c>
      <c r="Z226" t="s">
        <v>39</v>
      </c>
      <c r="AB226" t="s">
        <v>102</v>
      </c>
      <c r="AC226" t="s">
        <v>88</v>
      </c>
    </row>
    <row r="227" spans="1:29" x14ac:dyDescent="0.25">
      <c r="A227" s="4">
        <v>42515</v>
      </c>
      <c r="B227" t="s">
        <v>30</v>
      </c>
      <c r="C227">
        <v>803</v>
      </c>
      <c r="D227">
        <v>8</v>
      </c>
      <c r="E227">
        <v>1</v>
      </c>
      <c r="F227" t="s">
        <v>31</v>
      </c>
      <c r="G227" t="s">
        <v>32</v>
      </c>
      <c r="H227" t="s">
        <v>33</v>
      </c>
      <c r="I227" t="s">
        <v>34</v>
      </c>
      <c r="J227" t="s">
        <v>35</v>
      </c>
      <c r="K227" t="s">
        <v>36</v>
      </c>
      <c r="L227" t="s">
        <v>43</v>
      </c>
      <c r="M227">
        <v>0</v>
      </c>
      <c r="N227">
        <v>0</v>
      </c>
      <c r="O227" s="5">
        <v>50380</v>
      </c>
      <c r="P227" s="5">
        <v>30379</v>
      </c>
      <c r="Q227">
        <f>28.5-9</f>
        <v>19.5</v>
      </c>
      <c r="R227" t="s">
        <v>65</v>
      </c>
      <c r="S227" t="s">
        <v>39</v>
      </c>
      <c r="T227">
        <v>18</v>
      </c>
      <c r="U227">
        <v>91</v>
      </c>
      <c r="V227">
        <v>16</v>
      </c>
      <c r="W227">
        <v>12.72</v>
      </c>
      <c r="X227">
        <v>27.83</v>
      </c>
      <c r="Z227" t="s">
        <v>39</v>
      </c>
      <c r="AB227" t="s">
        <v>102</v>
      </c>
      <c r="AC227" t="s">
        <v>88</v>
      </c>
    </row>
    <row r="228" spans="1:29" x14ac:dyDescent="0.25">
      <c r="A228" s="4">
        <v>42515</v>
      </c>
      <c r="B228" t="s">
        <v>30</v>
      </c>
      <c r="C228">
        <v>901</v>
      </c>
      <c r="D228">
        <v>1</v>
      </c>
      <c r="E228">
        <v>1</v>
      </c>
      <c r="F228" t="s">
        <v>31</v>
      </c>
      <c r="G228" t="s">
        <v>32</v>
      </c>
      <c r="H228" t="s">
        <v>33</v>
      </c>
      <c r="I228" t="s">
        <v>57</v>
      </c>
      <c r="O228" s="5"/>
      <c r="P228" s="5"/>
      <c r="Z228" t="s">
        <v>39</v>
      </c>
    </row>
    <row r="229" spans="1:29" x14ac:dyDescent="0.25">
      <c r="A229" s="4">
        <v>42515</v>
      </c>
      <c r="B229" t="s">
        <v>30</v>
      </c>
      <c r="C229">
        <v>901</v>
      </c>
      <c r="D229">
        <v>1</v>
      </c>
      <c r="E229">
        <v>2</v>
      </c>
      <c r="F229" t="s">
        <v>31</v>
      </c>
      <c r="G229" t="s">
        <v>32</v>
      </c>
      <c r="H229" t="s">
        <v>33</v>
      </c>
      <c r="I229" t="s">
        <v>57</v>
      </c>
      <c r="O229" s="5"/>
      <c r="P229" s="5"/>
      <c r="Z229" t="s">
        <v>39</v>
      </c>
    </row>
    <row r="230" spans="1:29" x14ac:dyDescent="0.25">
      <c r="A230" s="4">
        <v>42515</v>
      </c>
      <c r="B230" t="s">
        <v>30</v>
      </c>
      <c r="C230">
        <v>901</v>
      </c>
      <c r="D230">
        <v>2</v>
      </c>
      <c r="E230">
        <v>1</v>
      </c>
      <c r="F230" t="s">
        <v>31</v>
      </c>
      <c r="G230" t="s">
        <v>32</v>
      </c>
      <c r="H230" t="s">
        <v>33</v>
      </c>
      <c r="I230" t="s">
        <v>34</v>
      </c>
      <c r="J230" t="s">
        <v>35</v>
      </c>
      <c r="K230" t="s">
        <v>36</v>
      </c>
      <c r="L230" t="s">
        <v>37</v>
      </c>
      <c r="M230">
        <v>0</v>
      </c>
      <c r="N230">
        <v>0</v>
      </c>
      <c r="O230" s="5" t="s">
        <v>104</v>
      </c>
      <c r="P230" s="5" t="s">
        <v>105</v>
      </c>
      <c r="Q230">
        <v>21</v>
      </c>
      <c r="R230" t="s">
        <v>38</v>
      </c>
      <c r="S230" t="s">
        <v>39</v>
      </c>
      <c r="T230">
        <v>19</v>
      </c>
      <c r="U230">
        <v>88</v>
      </c>
      <c r="V230">
        <v>16</v>
      </c>
      <c r="W230">
        <v>11.92</v>
      </c>
      <c r="X230">
        <v>28.01</v>
      </c>
      <c r="Y230" t="s">
        <v>106</v>
      </c>
      <c r="Z230" t="s">
        <v>39</v>
      </c>
      <c r="AB230" t="s">
        <v>87</v>
      </c>
      <c r="AC230" t="s">
        <v>88</v>
      </c>
    </row>
    <row r="231" spans="1:29" x14ac:dyDescent="0.25">
      <c r="A231" s="4">
        <v>42515</v>
      </c>
      <c r="B231" t="s">
        <v>30</v>
      </c>
      <c r="C231">
        <v>901</v>
      </c>
      <c r="D231">
        <v>10</v>
      </c>
      <c r="E231">
        <v>1</v>
      </c>
      <c r="F231" t="s">
        <v>31</v>
      </c>
      <c r="G231" t="s">
        <v>32</v>
      </c>
      <c r="H231" t="s">
        <v>33</v>
      </c>
      <c r="I231" t="s">
        <v>57</v>
      </c>
      <c r="O231" s="5"/>
      <c r="P231" s="5"/>
      <c r="Z231" t="s">
        <v>39</v>
      </c>
    </row>
    <row r="232" spans="1:29" x14ac:dyDescent="0.25">
      <c r="A232" s="4">
        <v>42516</v>
      </c>
      <c r="B232" t="s">
        <v>30</v>
      </c>
      <c r="C232">
        <v>501</v>
      </c>
      <c r="D232">
        <v>1</v>
      </c>
      <c r="E232">
        <v>1</v>
      </c>
      <c r="F232" t="s">
        <v>41</v>
      </c>
      <c r="G232" t="s">
        <v>32</v>
      </c>
      <c r="H232" t="s">
        <v>33</v>
      </c>
      <c r="I232" t="s">
        <v>79</v>
      </c>
      <c r="O232" s="5"/>
      <c r="P232" s="5"/>
      <c r="Z232" t="s">
        <v>39</v>
      </c>
    </row>
    <row r="233" spans="1:29" x14ac:dyDescent="0.25">
      <c r="A233" s="4">
        <v>42516</v>
      </c>
      <c r="B233" t="s">
        <v>30</v>
      </c>
      <c r="C233">
        <v>501</v>
      </c>
      <c r="D233">
        <v>3</v>
      </c>
      <c r="E233">
        <v>1</v>
      </c>
      <c r="F233" t="s">
        <v>41</v>
      </c>
      <c r="G233" t="s">
        <v>32</v>
      </c>
      <c r="H233" t="s">
        <v>33</v>
      </c>
      <c r="I233" t="s">
        <v>73</v>
      </c>
      <c r="J233" t="s">
        <v>42</v>
      </c>
      <c r="K233" t="s">
        <v>36</v>
      </c>
      <c r="L233" t="s">
        <v>37</v>
      </c>
      <c r="M233">
        <v>0</v>
      </c>
      <c r="N233">
        <v>1</v>
      </c>
      <c r="O233" s="5"/>
      <c r="P233" s="5">
        <v>50314</v>
      </c>
      <c r="Q233">
        <f>141-46</f>
        <v>95</v>
      </c>
      <c r="R233" t="s">
        <v>38</v>
      </c>
      <c r="S233" t="s">
        <v>39</v>
      </c>
      <c r="Z233" t="s">
        <v>39</v>
      </c>
      <c r="AB233" t="s">
        <v>59</v>
      </c>
      <c r="AC233" t="s">
        <v>88</v>
      </c>
    </row>
    <row r="234" spans="1:29" x14ac:dyDescent="0.25">
      <c r="A234" s="4">
        <v>42516</v>
      </c>
      <c r="B234" t="s">
        <v>30</v>
      </c>
      <c r="C234">
        <v>501</v>
      </c>
      <c r="D234">
        <v>7</v>
      </c>
      <c r="E234">
        <v>1</v>
      </c>
      <c r="F234" t="s">
        <v>41</v>
      </c>
      <c r="G234" t="s">
        <v>32</v>
      </c>
      <c r="H234" t="s">
        <v>33</v>
      </c>
      <c r="I234" t="s">
        <v>34</v>
      </c>
      <c r="J234" t="s">
        <v>35</v>
      </c>
      <c r="K234" t="s">
        <v>36</v>
      </c>
      <c r="L234" t="s">
        <v>43</v>
      </c>
      <c r="M234">
        <v>0</v>
      </c>
      <c r="N234">
        <v>0</v>
      </c>
      <c r="O234" s="5">
        <v>26604</v>
      </c>
      <c r="P234" s="5">
        <v>26603</v>
      </c>
      <c r="Q234">
        <f>25.5-3.5</f>
        <v>22</v>
      </c>
      <c r="R234" t="s">
        <v>47</v>
      </c>
      <c r="S234" t="s">
        <v>39</v>
      </c>
      <c r="T234">
        <v>18</v>
      </c>
      <c r="U234">
        <v>86</v>
      </c>
      <c r="V234">
        <v>13</v>
      </c>
      <c r="Z234" t="s">
        <v>39</v>
      </c>
      <c r="AB234" t="s">
        <v>59</v>
      </c>
      <c r="AC234" t="s">
        <v>88</v>
      </c>
    </row>
    <row r="235" spans="1:29" x14ac:dyDescent="0.25">
      <c r="A235" s="4">
        <v>42516</v>
      </c>
      <c r="B235" t="s">
        <v>30</v>
      </c>
      <c r="C235">
        <v>501</v>
      </c>
      <c r="D235">
        <v>8</v>
      </c>
      <c r="E235">
        <v>1</v>
      </c>
      <c r="F235" t="s">
        <v>41</v>
      </c>
      <c r="G235" t="s">
        <v>32</v>
      </c>
      <c r="H235" t="s">
        <v>33</v>
      </c>
      <c r="I235" t="s">
        <v>57</v>
      </c>
      <c r="O235" s="5"/>
      <c r="P235" s="5"/>
      <c r="Z235" t="s">
        <v>39</v>
      </c>
    </row>
    <row r="236" spans="1:29" x14ac:dyDescent="0.25">
      <c r="A236" s="4">
        <v>42516</v>
      </c>
      <c r="B236" t="s">
        <v>30</v>
      </c>
      <c r="C236">
        <v>501</v>
      </c>
      <c r="D236">
        <v>9</v>
      </c>
      <c r="E236">
        <v>1</v>
      </c>
      <c r="F236" t="s">
        <v>41</v>
      </c>
      <c r="G236" t="s">
        <v>32</v>
      </c>
      <c r="H236" t="s">
        <v>33</v>
      </c>
      <c r="I236" t="s">
        <v>107</v>
      </c>
      <c r="K236" t="s">
        <v>36</v>
      </c>
      <c r="L236" t="s">
        <v>43</v>
      </c>
      <c r="M236">
        <v>0</v>
      </c>
      <c r="N236">
        <v>0</v>
      </c>
      <c r="O236" s="5">
        <v>50336</v>
      </c>
      <c r="P236" s="5"/>
      <c r="Q236">
        <f>27-5.5</f>
        <v>21.5</v>
      </c>
      <c r="R236" t="s">
        <v>47</v>
      </c>
      <c r="S236" t="s">
        <v>39</v>
      </c>
      <c r="Z236" t="s">
        <v>39</v>
      </c>
      <c r="AB236" t="s">
        <v>59</v>
      </c>
      <c r="AC236" t="s">
        <v>88</v>
      </c>
    </row>
    <row r="237" spans="1:29" x14ac:dyDescent="0.25">
      <c r="A237" s="4">
        <v>42516</v>
      </c>
      <c r="B237" t="s">
        <v>30</v>
      </c>
      <c r="C237">
        <v>501</v>
      </c>
      <c r="D237">
        <v>10</v>
      </c>
      <c r="E237">
        <v>1</v>
      </c>
      <c r="F237" t="s">
        <v>41</v>
      </c>
      <c r="G237" t="s">
        <v>32</v>
      </c>
      <c r="H237" t="s">
        <v>33</v>
      </c>
      <c r="I237" t="s">
        <v>57</v>
      </c>
      <c r="O237" s="5"/>
      <c r="P237" s="5"/>
      <c r="Z237" t="s">
        <v>39</v>
      </c>
    </row>
    <row r="238" spans="1:29" x14ac:dyDescent="0.25">
      <c r="A238" s="4">
        <v>42516</v>
      </c>
      <c r="B238" t="s">
        <v>30</v>
      </c>
      <c r="C238">
        <v>503</v>
      </c>
      <c r="D238">
        <v>2</v>
      </c>
      <c r="E238">
        <v>1</v>
      </c>
      <c r="F238" t="s">
        <v>41</v>
      </c>
      <c r="G238" t="s">
        <v>32</v>
      </c>
      <c r="H238" t="s">
        <v>33</v>
      </c>
      <c r="I238" t="s">
        <v>73</v>
      </c>
      <c r="J238" t="s">
        <v>35</v>
      </c>
      <c r="K238" t="s">
        <v>36</v>
      </c>
      <c r="L238" t="s">
        <v>37</v>
      </c>
      <c r="M238">
        <v>0</v>
      </c>
      <c r="N238">
        <v>0</v>
      </c>
      <c r="O238" s="5"/>
      <c r="P238" s="5">
        <v>50318</v>
      </c>
      <c r="Q238">
        <f>142-46</f>
        <v>96</v>
      </c>
      <c r="R238" t="s">
        <v>74</v>
      </c>
      <c r="S238" t="s">
        <v>97</v>
      </c>
      <c r="Z238" t="s">
        <v>39</v>
      </c>
      <c r="AB238" t="s">
        <v>59</v>
      </c>
      <c r="AC238" t="s">
        <v>88</v>
      </c>
    </row>
    <row r="239" spans="1:29" x14ac:dyDescent="0.25">
      <c r="A239" s="4">
        <v>42516</v>
      </c>
      <c r="B239" t="s">
        <v>30</v>
      </c>
      <c r="C239">
        <v>503</v>
      </c>
      <c r="D239">
        <v>8</v>
      </c>
      <c r="E239">
        <v>1</v>
      </c>
      <c r="F239" t="s">
        <v>41</v>
      </c>
      <c r="G239" t="s">
        <v>32</v>
      </c>
      <c r="H239" t="s">
        <v>33</v>
      </c>
      <c r="I239" t="s">
        <v>79</v>
      </c>
      <c r="O239" s="5"/>
      <c r="P239" s="5"/>
      <c r="Z239" t="s">
        <v>39</v>
      </c>
    </row>
    <row r="240" spans="1:29" x14ac:dyDescent="0.25">
      <c r="A240" s="4">
        <v>42516</v>
      </c>
      <c r="B240" t="s">
        <v>30</v>
      </c>
      <c r="C240">
        <v>503</v>
      </c>
      <c r="D240">
        <v>8</v>
      </c>
      <c r="E240">
        <v>2</v>
      </c>
      <c r="F240" t="s">
        <v>41</v>
      </c>
      <c r="G240" t="s">
        <v>32</v>
      </c>
      <c r="H240" t="s">
        <v>33</v>
      </c>
      <c r="I240" t="s">
        <v>64</v>
      </c>
      <c r="J240" t="s">
        <v>42</v>
      </c>
      <c r="K240" t="s">
        <v>36</v>
      </c>
      <c r="L240" t="s">
        <v>37</v>
      </c>
      <c r="M240">
        <v>0</v>
      </c>
      <c r="N240">
        <v>1</v>
      </c>
      <c r="O240" s="5">
        <v>50338</v>
      </c>
      <c r="P240" s="5"/>
      <c r="Q240">
        <f>208-48</f>
        <v>160</v>
      </c>
      <c r="R240" t="s">
        <v>63</v>
      </c>
      <c r="S240" t="s">
        <v>39</v>
      </c>
      <c r="Z240" t="s">
        <v>39</v>
      </c>
      <c r="AB240" t="s">
        <v>59</v>
      </c>
      <c r="AC240" t="s">
        <v>88</v>
      </c>
    </row>
    <row r="241" spans="1:29" x14ac:dyDescent="0.25">
      <c r="A241" s="4">
        <v>42516</v>
      </c>
      <c r="B241" t="s">
        <v>30</v>
      </c>
      <c r="C241">
        <v>303</v>
      </c>
      <c r="D241">
        <v>6</v>
      </c>
      <c r="E241">
        <v>1</v>
      </c>
      <c r="F241" t="s">
        <v>41</v>
      </c>
      <c r="G241" t="s">
        <v>32</v>
      </c>
      <c r="H241" t="s">
        <v>33</v>
      </c>
      <c r="I241" t="s">
        <v>34</v>
      </c>
      <c r="J241" t="s">
        <v>42</v>
      </c>
      <c r="K241" t="s">
        <v>36</v>
      </c>
      <c r="L241" t="s">
        <v>43</v>
      </c>
      <c r="M241">
        <v>0</v>
      </c>
      <c r="N241">
        <v>1</v>
      </c>
      <c r="O241" s="5">
        <v>50340</v>
      </c>
      <c r="P241" s="5">
        <v>50339</v>
      </c>
      <c r="Q241">
        <f>22-4.5</f>
        <v>17.5</v>
      </c>
      <c r="R241" t="s">
        <v>47</v>
      </c>
      <c r="S241" t="s">
        <v>39</v>
      </c>
      <c r="T241">
        <v>21</v>
      </c>
      <c r="U241">
        <v>84</v>
      </c>
      <c r="V241">
        <v>15</v>
      </c>
      <c r="Z241" t="s">
        <v>39</v>
      </c>
      <c r="AB241" t="s">
        <v>59</v>
      </c>
      <c r="AC241" t="s">
        <v>88</v>
      </c>
    </row>
    <row r="242" spans="1:29" x14ac:dyDescent="0.25">
      <c r="A242" s="4">
        <v>42516</v>
      </c>
      <c r="B242" t="s">
        <v>30</v>
      </c>
      <c r="C242">
        <v>303</v>
      </c>
      <c r="D242">
        <v>9</v>
      </c>
      <c r="E242">
        <v>1</v>
      </c>
      <c r="F242" t="s">
        <v>41</v>
      </c>
      <c r="G242" t="s">
        <v>32</v>
      </c>
      <c r="H242" t="s">
        <v>33</v>
      </c>
      <c r="I242" t="s">
        <v>57</v>
      </c>
      <c r="O242" s="5"/>
      <c r="P242" s="5"/>
      <c r="Z242" t="s">
        <v>39</v>
      </c>
    </row>
    <row r="243" spans="1:29" x14ac:dyDescent="0.25">
      <c r="A243" s="4">
        <v>42516</v>
      </c>
      <c r="B243" t="s">
        <v>30</v>
      </c>
      <c r="C243">
        <v>401</v>
      </c>
      <c r="D243">
        <v>1</v>
      </c>
      <c r="E243">
        <v>1</v>
      </c>
      <c r="F243" t="s">
        <v>41</v>
      </c>
      <c r="G243" t="s">
        <v>32</v>
      </c>
      <c r="H243" t="s">
        <v>33</v>
      </c>
      <c r="I243" t="s">
        <v>79</v>
      </c>
      <c r="O243" s="5"/>
      <c r="P243" s="5"/>
      <c r="Z243" t="s">
        <v>39</v>
      </c>
    </row>
    <row r="244" spans="1:29" x14ac:dyDescent="0.25">
      <c r="A244" s="4">
        <v>42516</v>
      </c>
      <c r="B244" t="s">
        <v>30</v>
      </c>
      <c r="C244">
        <v>401</v>
      </c>
      <c r="D244">
        <v>1</v>
      </c>
      <c r="E244">
        <v>2</v>
      </c>
      <c r="F244" t="s">
        <v>41</v>
      </c>
      <c r="G244" t="s">
        <v>32</v>
      </c>
      <c r="H244" t="s">
        <v>33</v>
      </c>
      <c r="I244" t="s">
        <v>79</v>
      </c>
      <c r="O244" s="5"/>
      <c r="P244" s="5"/>
      <c r="Z244" t="s">
        <v>39</v>
      </c>
    </row>
    <row r="245" spans="1:29" x14ac:dyDescent="0.25">
      <c r="A245" s="4">
        <v>42516</v>
      </c>
      <c r="B245" t="s">
        <v>30</v>
      </c>
      <c r="C245">
        <v>401</v>
      </c>
      <c r="D245">
        <v>2</v>
      </c>
      <c r="E245">
        <v>1</v>
      </c>
      <c r="F245" t="s">
        <v>41</v>
      </c>
      <c r="G245" t="s">
        <v>32</v>
      </c>
      <c r="H245" t="s">
        <v>33</v>
      </c>
      <c r="I245" t="s">
        <v>79</v>
      </c>
      <c r="O245" s="5"/>
      <c r="P245" s="5"/>
      <c r="Z245" t="s">
        <v>39</v>
      </c>
    </row>
    <row r="246" spans="1:29" x14ac:dyDescent="0.25">
      <c r="A246" s="4">
        <v>42516</v>
      </c>
      <c r="B246" t="s">
        <v>30</v>
      </c>
      <c r="C246">
        <v>401</v>
      </c>
      <c r="D246">
        <v>2</v>
      </c>
      <c r="E246">
        <v>2</v>
      </c>
      <c r="F246" t="s">
        <v>41</v>
      </c>
      <c r="G246" t="s">
        <v>32</v>
      </c>
      <c r="H246" t="s">
        <v>33</v>
      </c>
      <c r="I246" t="s">
        <v>79</v>
      </c>
      <c r="O246" s="5"/>
      <c r="P246" s="5"/>
      <c r="Z246" t="s">
        <v>39</v>
      </c>
    </row>
    <row r="247" spans="1:29" x14ac:dyDescent="0.25">
      <c r="A247" s="4">
        <v>42516</v>
      </c>
      <c r="B247" t="s">
        <v>30</v>
      </c>
      <c r="C247">
        <v>401</v>
      </c>
      <c r="D247">
        <v>3</v>
      </c>
      <c r="E247">
        <v>1</v>
      </c>
      <c r="F247" t="s">
        <v>41</v>
      </c>
      <c r="G247" t="s">
        <v>32</v>
      </c>
      <c r="H247" t="s">
        <v>33</v>
      </c>
      <c r="I247" t="s">
        <v>79</v>
      </c>
      <c r="O247" s="5"/>
      <c r="P247" s="5"/>
      <c r="Z247" t="s">
        <v>39</v>
      </c>
    </row>
    <row r="248" spans="1:29" x14ac:dyDescent="0.25">
      <c r="A248" s="4">
        <v>42516</v>
      </c>
      <c r="B248" t="s">
        <v>30</v>
      </c>
      <c r="C248">
        <v>401</v>
      </c>
      <c r="D248">
        <v>3</v>
      </c>
      <c r="E248">
        <v>2</v>
      </c>
      <c r="F248" t="s">
        <v>41</v>
      </c>
      <c r="G248" t="s">
        <v>32</v>
      </c>
      <c r="H248" t="s">
        <v>33</v>
      </c>
      <c r="I248" t="s">
        <v>79</v>
      </c>
      <c r="O248" s="5"/>
      <c r="P248" s="5"/>
      <c r="Z248" t="s">
        <v>39</v>
      </c>
    </row>
    <row r="249" spans="1:29" x14ac:dyDescent="0.25">
      <c r="A249" s="4">
        <v>42516</v>
      </c>
      <c r="B249" t="s">
        <v>30</v>
      </c>
      <c r="C249">
        <v>401</v>
      </c>
      <c r="D249">
        <v>4</v>
      </c>
      <c r="E249">
        <v>1</v>
      </c>
      <c r="F249" t="s">
        <v>41</v>
      </c>
      <c r="G249" t="s">
        <v>32</v>
      </c>
      <c r="H249" t="s">
        <v>33</v>
      </c>
      <c r="I249" t="s">
        <v>79</v>
      </c>
      <c r="O249" s="5"/>
      <c r="P249" s="5"/>
      <c r="Z249" t="s">
        <v>39</v>
      </c>
    </row>
    <row r="250" spans="1:29" x14ac:dyDescent="0.25">
      <c r="A250" s="4">
        <v>42516</v>
      </c>
      <c r="B250" t="s">
        <v>30</v>
      </c>
      <c r="C250">
        <v>401</v>
      </c>
      <c r="D250">
        <v>4</v>
      </c>
      <c r="E250">
        <v>2</v>
      </c>
      <c r="F250" t="s">
        <v>41</v>
      </c>
      <c r="G250" t="s">
        <v>32</v>
      </c>
      <c r="H250" t="s">
        <v>33</v>
      </c>
      <c r="I250" t="s">
        <v>79</v>
      </c>
      <c r="O250" s="5"/>
      <c r="P250" s="5"/>
      <c r="Z250" t="s">
        <v>39</v>
      </c>
    </row>
    <row r="251" spans="1:29" x14ac:dyDescent="0.25">
      <c r="A251" s="4">
        <v>42516</v>
      </c>
      <c r="B251" t="s">
        <v>30</v>
      </c>
      <c r="C251">
        <v>401</v>
      </c>
      <c r="D251">
        <v>5</v>
      </c>
      <c r="E251">
        <v>1</v>
      </c>
      <c r="F251" t="s">
        <v>41</v>
      </c>
      <c r="G251" t="s">
        <v>32</v>
      </c>
      <c r="H251" t="s">
        <v>33</v>
      </c>
      <c r="I251" t="s">
        <v>79</v>
      </c>
      <c r="O251" s="5"/>
      <c r="P251" s="5"/>
      <c r="Z251" t="s">
        <v>39</v>
      </c>
    </row>
    <row r="252" spans="1:29" x14ac:dyDescent="0.25">
      <c r="A252" s="4">
        <v>42516</v>
      </c>
      <c r="B252" t="s">
        <v>30</v>
      </c>
      <c r="C252">
        <v>401</v>
      </c>
      <c r="D252">
        <v>5</v>
      </c>
      <c r="E252">
        <v>2</v>
      </c>
      <c r="F252" t="s">
        <v>41</v>
      </c>
      <c r="G252" t="s">
        <v>32</v>
      </c>
      <c r="H252" t="s">
        <v>33</v>
      </c>
      <c r="I252" t="s">
        <v>79</v>
      </c>
      <c r="O252" s="5"/>
      <c r="P252" s="5"/>
      <c r="Z252" t="s">
        <v>39</v>
      </c>
    </row>
    <row r="253" spans="1:29" x14ac:dyDescent="0.25">
      <c r="A253" s="4">
        <v>42516</v>
      </c>
      <c r="B253" t="s">
        <v>30</v>
      </c>
      <c r="C253">
        <v>401</v>
      </c>
      <c r="D253">
        <v>6</v>
      </c>
      <c r="E253">
        <v>1</v>
      </c>
      <c r="F253" t="s">
        <v>41</v>
      </c>
      <c r="G253" t="s">
        <v>32</v>
      </c>
      <c r="H253" t="s">
        <v>33</v>
      </c>
      <c r="I253" t="s">
        <v>79</v>
      </c>
      <c r="O253" s="5"/>
      <c r="P253" s="5"/>
      <c r="Z253" t="s">
        <v>39</v>
      </c>
    </row>
    <row r="254" spans="1:29" x14ac:dyDescent="0.25">
      <c r="A254" s="4">
        <v>42516</v>
      </c>
      <c r="B254" t="s">
        <v>30</v>
      </c>
      <c r="C254">
        <v>401</v>
      </c>
      <c r="D254">
        <v>6</v>
      </c>
      <c r="E254">
        <v>2</v>
      </c>
      <c r="F254" t="s">
        <v>41</v>
      </c>
      <c r="G254" t="s">
        <v>32</v>
      </c>
      <c r="H254" t="s">
        <v>33</v>
      </c>
      <c r="I254" t="s">
        <v>64</v>
      </c>
      <c r="J254" t="s">
        <v>35</v>
      </c>
      <c r="K254" t="s">
        <v>36</v>
      </c>
      <c r="L254" t="s">
        <v>43</v>
      </c>
      <c r="M254">
        <v>0</v>
      </c>
      <c r="N254">
        <v>0</v>
      </c>
      <c r="O254" s="5">
        <v>2622</v>
      </c>
      <c r="P254" s="5">
        <v>2621</v>
      </c>
      <c r="Q254">
        <f>244-52</f>
        <v>192</v>
      </c>
      <c r="R254" t="s">
        <v>47</v>
      </c>
      <c r="S254" t="s">
        <v>39</v>
      </c>
      <c r="Z254" t="s">
        <v>39</v>
      </c>
      <c r="AB254" t="s">
        <v>108</v>
      </c>
      <c r="AC254" t="s">
        <v>88</v>
      </c>
    </row>
    <row r="255" spans="1:29" x14ac:dyDescent="0.25">
      <c r="A255" s="4">
        <v>42516</v>
      </c>
      <c r="B255" t="s">
        <v>30</v>
      </c>
      <c r="C255">
        <v>401</v>
      </c>
      <c r="D255">
        <v>7</v>
      </c>
      <c r="E255">
        <v>1</v>
      </c>
      <c r="F255" t="s">
        <v>41</v>
      </c>
      <c r="G255" t="s">
        <v>32</v>
      </c>
      <c r="H255" t="s">
        <v>33</v>
      </c>
      <c r="I255" t="s">
        <v>79</v>
      </c>
      <c r="O255" s="5"/>
      <c r="P255" s="5"/>
      <c r="Z255" t="s">
        <v>39</v>
      </c>
    </row>
    <row r="256" spans="1:29" x14ac:dyDescent="0.25">
      <c r="A256" s="4">
        <v>42516</v>
      </c>
      <c r="B256" t="s">
        <v>30</v>
      </c>
      <c r="C256">
        <v>401</v>
      </c>
      <c r="D256">
        <v>7</v>
      </c>
      <c r="E256">
        <v>2</v>
      </c>
      <c r="F256" t="s">
        <v>41</v>
      </c>
      <c r="G256" t="s">
        <v>32</v>
      </c>
      <c r="H256" t="s">
        <v>33</v>
      </c>
      <c r="I256" t="s">
        <v>79</v>
      </c>
      <c r="O256" s="5"/>
      <c r="P256" s="5"/>
      <c r="Z256" t="s">
        <v>39</v>
      </c>
    </row>
    <row r="257" spans="1:29" x14ac:dyDescent="0.25">
      <c r="A257" s="4">
        <v>42516</v>
      </c>
      <c r="B257" t="s">
        <v>30</v>
      </c>
      <c r="C257">
        <v>401</v>
      </c>
      <c r="D257">
        <v>8</v>
      </c>
      <c r="E257">
        <v>1</v>
      </c>
      <c r="F257" t="s">
        <v>41</v>
      </c>
      <c r="G257" t="s">
        <v>32</v>
      </c>
      <c r="H257" t="s">
        <v>33</v>
      </c>
      <c r="I257" t="s">
        <v>109</v>
      </c>
      <c r="O257" s="5"/>
      <c r="P257" s="5"/>
      <c r="Z257" t="s">
        <v>39</v>
      </c>
    </row>
    <row r="258" spans="1:29" x14ac:dyDescent="0.25">
      <c r="A258" s="4">
        <v>42516</v>
      </c>
      <c r="B258" t="s">
        <v>30</v>
      </c>
      <c r="C258">
        <v>401</v>
      </c>
      <c r="D258">
        <v>8</v>
      </c>
      <c r="E258">
        <v>2</v>
      </c>
      <c r="F258" t="s">
        <v>41</v>
      </c>
      <c r="G258" t="s">
        <v>32</v>
      </c>
      <c r="H258" t="s">
        <v>33</v>
      </c>
      <c r="I258" t="s">
        <v>79</v>
      </c>
      <c r="O258" s="5"/>
      <c r="P258" s="5"/>
      <c r="Z258" t="s">
        <v>39</v>
      </c>
    </row>
    <row r="259" spans="1:29" x14ac:dyDescent="0.25">
      <c r="A259" s="4">
        <v>42516</v>
      </c>
      <c r="B259" t="s">
        <v>30</v>
      </c>
      <c r="C259">
        <v>401</v>
      </c>
      <c r="D259">
        <v>9</v>
      </c>
      <c r="E259">
        <v>1</v>
      </c>
      <c r="F259" t="s">
        <v>41</v>
      </c>
      <c r="G259" t="s">
        <v>32</v>
      </c>
      <c r="H259" t="s">
        <v>33</v>
      </c>
      <c r="I259" t="s">
        <v>79</v>
      </c>
      <c r="O259" s="5"/>
      <c r="P259" s="5"/>
      <c r="Z259" t="s">
        <v>39</v>
      </c>
    </row>
    <row r="260" spans="1:29" x14ac:dyDescent="0.25">
      <c r="A260" s="4">
        <v>42516</v>
      </c>
      <c r="B260" t="s">
        <v>30</v>
      </c>
      <c r="C260">
        <v>401</v>
      </c>
      <c r="D260">
        <v>9</v>
      </c>
      <c r="E260">
        <v>2</v>
      </c>
      <c r="F260" t="s">
        <v>41</v>
      </c>
      <c r="G260" t="s">
        <v>32</v>
      </c>
      <c r="H260" t="s">
        <v>33</v>
      </c>
      <c r="I260" t="s">
        <v>79</v>
      </c>
      <c r="O260" s="5"/>
      <c r="P260" s="5"/>
      <c r="Z260" t="s">
        <v>39</v>
      </c>
    </row>
    <row r="261" spans="1:29" x14ac:dyDescent="0.25">
      <c r="A261" s="4">
        <v>42516</v>
      </c>
      <c r="B261" t="s">
        <v>30</v>
      </c>
      <c r="C261">
        <v>401</v>
      </c>
      <c r="D261">
        <v>10</v>
      </c>
      <c r="E261">
        <v>1</v>
      </c>
      <c r="F261" t="s">
        <v>41</v>
      </c>
      <c r="G261" t="s">
        <v>32</v>
      </c>
      <c r="H261" t="s">
        <v>33</v>
      </c>
      <c r="I261" t="s">
        <v>79</v>
      </c>
      <c r="O261" s="5"/>
      <c r="P261" s="5"/>
      <c r="Z261" t="s">
        <v>39</v>
      </c>
    </row>
    <row r="262" spans="1:29" x14ac:dyDescent="0.25">
      <c r="A262" s="4">
        <v>42516</v>
      </c>
      <c r="B262" t="s">
        <v>30</v>
      </c>
      <c r="C262">
        <v>401</v>
      </c>
      <c r="D262">
        <v>10</v>
      </c>
      <c r="E262">
        <v>2</v>
      </c>
      <c r="F262" t="s">
        <v>41</v>
      </c>
      <c r="G262" t="s">
        <v>32</v>
      </c>
      <c r="H262" t="s">
        <v>33</v>
      </c>
      <c r="I262" t="s">
        <v>79</v>
      </c>
      <c r="O262" s="5"/>
      <c r="P262" s="5"/>
      <c r="Z262" t="s">
        <v>39</v>
      </c>
    </row>
    <row r="263" spans="1:29" x14ac:dyDescent="0.25">
      <c r="A263" s="4">
        <v>42516</v>
      </c>
      <c r="B263" t="s">
        <v>30</v>
      </c>
      <c r="C263">
        <v>703</v>
      </c>
      <c r="D263">
        <v>1</v>
      </c>
      <c r="E263">
        <v>1</v>
      </c>
      <c r="F263" t="s">
        <v>31</v>
      </c>
      <c r="G263" t="s">
        <v>32</v>
      </c>
      <c r="H263" t="s">
        <v>33</v>
      </c>
      <c r="I263" t="s">
        <v>34</v>
      </c>
      <c r="J263" t="s">
        <v>42</v>
      </c>
      <c r="K263" t="s">
        <v>36</v>
      </c>
      <c r="L263" t="s">
        <v>37</v>
      </c>
      <c r="M263">
        <v>0</v>
      </c>
      <c r="N263">
        <v>1</v>
      </c>
      <c r="O263" s="5">
        <v>50373</v>
      </c>
      <c r="P263" s="5">
        <v>50372</v>
      </c>
      <c r="Q263">
        <f>38.5-14</f>
        <v>24.5</v>
      </c>
      <c r="R263" t="s">
        <v>81</v>
      </c>
      <c r="S263" t="s">
        <v>39</v>
      </c>
      <c r="T263">
        <v>18</v>
      </c>
      <c r="U263">
        <v>92</v>
      </c>
      <c r="V263">
        <v>16</v>
      </c>
      <c r="W263">
        <v>11.6</v>
      </c>
      <c r="X263">
        <v>27.8</v>
      </c>
      <c r="Z263" t="s">
        <v>39</v>
      </c>
      <c r="AB263" t="s">
        <v>40</v>
      </c>
      <c r="AC263" t="s">
        <v>56</v>
      </c>
    </row>
    <row r="264" spans="1:29" x14ac:dyDescent="0.25">
      <c r="A264" s="4">
        <v>42516</v>
      </c>
      <c r="B264" t="s">
        <v>30</v>
      </c>
      <c r="C264">
        <v>703</v>
      </c>
      <c r="D264">
        <v>3</v>
      </c>
      <c r="E264">
        <v>1</v>
      </c>
      <c r="F264" t="s">
        <v>31</v>
      </c>
      <c r="G264" t="s">
        <v>32</v>
      </c>
      <c r="H264" t="s">
        <v>33</v>
      </c>
      <c r="I264" t="s">
        <v>57</v>
      </c>
      <c r="O264" s="5"/>
      <c r="P264" s="5"/>
      <c r="Z264" t="s">
        <v>39</v>
      </c>
    </row>
    <row r="265" spans="1:29" x14ac:dyDescent="0.25">
      <c r="A265" s="4">
        <v>42516</v>
      </c>
      <c r="B265" t="s">
        <v>30</v>
      </c>
      <c r="C265">
        <v>703</v>
      </c>
      <c r="D265">
        <v>3</v>
      </c>
      <c r="E265">
        <v>2</v>
      </c>
      <c r="F265" t="s">
        <v>31</v>
      </c>
      <c r="G265" t="s">
        <v>32</v>
      </c>
      <c r="H265" t="s">
        <v>33</v>
      </c>
      <c r="I265" t="s">
        <v>34</v>
      </c>
      <c r="J265" t="s">
        <v>35</v>
      </c>
      <c r="K265" t="s">
        <v>36</v>
      </c>
      <c r="L265" t="s">
        <v>37</v>
      </c>
      <c r="M265">
        <v>0</v>
      </c>
      <c r="N265">
        <v>0</v>
      </c>
      <c r="O265" s="5" t="s">
        <v>71</v>
      </c>
      <c r="P265" s="5" t="s">
        <v>72</v>
      </c>
      <c r="Q265">
        <f>35-14.5</f>
        <v>20.5</v>
      </c>
      <c r="R265" t="s">
        <v>83</v>
      </c>
      <c r="S265" t="s">
        <v>39</v>
      </c>
      <c r="T265">
        <v>19</v>
      </c>
      <c r="U265">
        <v>92</v>
      </c>
      <c r="V265">
        <v>13</v>
      </c>
      <c r="W265">
        <v>12</v>
      </c>
      <c r="X265">
        <v>25.8</v>
      </c>
      <c r="Z265" t="s">
        <v>39</v>
      </c>
      <c r="AB265" t="s">
        <v>40</v>
      </c>
      <c r="AC265" t="s">
        <v>56</v>
      </c>
    </row>
    <row r="266" spans="1:29" x14ac:dyDescent="0.25">
      <c r="A266" s="4">
        <v>42516</v>
      </c>
      <c r="B266" t="s">
        <v>30</v>
      </c>
      <c r="C266">
        <v>703</v>
      </c>
      <c r="D266">
        <v>4</v>
      </c>
      <c r="E266">
        <v>1</v>
      </c>
      <c r="F266" t="s">
        <v>31</v>
      </c>
      <c r="G266" t="s">
        <v>32</v>
      </c>
      <c r="H266" t="s">
        <v>33</v>
      </c>
      <c r="I266" t="s">
        <v>57</v>
      </c>
      <c r="O266" s="5"/>
      <c r="P266" s="5"/>
      <c r="Z266" t="s">
        <v>39</v>
      </c>
    </row>
    <row r="267" spans="1:29" x14ac:dyDescent="0.25">
      <c r="A267" s="4">
        <v>42516</v>
      </c>
      <c r="B267" t="s">
        <v>30</v>
      </c>
      <c r="C267">
        <v>703</v>
      </c>
      <c r="D267">
        <v>5</v>
      </c>
      <c r="E267">
        <v>1</v>
      </c>
      <c r="F267" t="s">
        <v>31</v>
      </c>
      <c r="G267" t="s">
        <v>32</v>
      </c>
      <c r="H267" t="s">
        <v>33</v>
      </c>
      <c r="I267" t="s">
        <v>57</v>
      </c>
      <c r="O267" s="5"/>
      <c r="P267" s="5"/>
      <c r="Z267" t="s">
        <v>39</v>
      </c>
    </row>
    <row r="268" spans="1:29" x14ac:dyDescent="0.25">
      <c r="A268" s="4">
        <v>42516</v>
      </c>
      <c r="B268" t="s">
        <v>30</v>
      </c>
      <c r="C268">
        <v>703</v>
      </c>
      <c r="D268">
        <v>6</v>
      </c>
      <c r="E268">
        <v>1</v>
      </c>
      <c r="F268" t="s">
        <v>31</v>
      </c>
      <c r="G268" t="s">
        <v>32</v>
      </c>
      <c r="H268" t="s">
        <v>33</v>
      </c>
      <c r="I268" t="s">
        <v>57</v>
      </c>
      <c r="O268" s="5"/>
      <c r="P268" s="5"/>
      <c r="Z268" t="s">
        <v>39</v>
      </c>
    </row>
    <row r="269" spans="1:29" x14ac:dyDescent="0.25">
      <c r="A269" s="4">
        <v>42516</v>
      </c>
      <c r="B269" t="s">
        <v>30</v>
      </c>
      <c r="C269">
        <v>703</v>
      </c>
      <c r="D269">
        <v>6</v>
      </c>
      <c r="E269">
        <v>2</v>
      </c>
      <c r="F269" t="s">
        <v>31</v>
      </c>
      <c r="G269" t="s">
        <v>32</v>
      </c>
      <c r="H269" t="s">
        <v>33</v>
      </c>
      <c r="I269" t="s">
        <v>79</v>
      </c>
      <c r="O269" s="5"/>
      <c r="P269" s="5"/>
      <c r="Z269" t="s">
        <v>39</v>
      </c>
    </row>
    <row r="270" spans="1:29" x14ac:dyDescent="0.25">
      <c r="A270" s="4">
        <v>42516</v>
      </c>
      <c r="B270" t="s">
        <v>30</v>
      </c>
      <c r="C270">
        <v>703</v>
      </c>
      <c r="D270">
        <v>8</v>
      </c>
      <c r="E270">
        <v>1</v>
      </c>
      <c r="F270" t="s">
        <v>31</v>
      </c>
      <c r="G270" t="s">
        <v>32</v>
      </c>
      <c r="H270" t="s">
        <v>33</v>
      </c>
      <c r="I270" t="s">
        <v>57</v>
      </c>
      <c r="O270" s="5"/>
      <c r="P270" s="5"/>
      <c r="Z270" t="s">
        <v>39</v>
      </c>
    </row>
    <row r="271" spans="1:29" x14ac:dyDescent="0.25">
      <c r="A271" s="4">
        <v>42516</v>
      </c>
      <c r="B271" t="s">
        <v>30</v>
      </c>
      <c r="C271">
        <v>703</v>
      </c>
      <c r="D271">
        <v>8</v>
      </c>
      <c r="E271">
        <v>2</v>
      </c>
      <c r="F271" t="s">
        <v>31</v>
      </c>
      <c r="G271" t="s">
        <v>32</v>
      </c>
      <c r="H271" t="s">
        <v>33</v>
      </c>
      <c r="I271" t="s">
        <v>34</v>
      </c>
      <c r="J271" t="s">
        <v>35</v>
      </c>
      <c r="K271" t="s">
        <v>36</v>
      </c>
      <c r="L271" t="s">
        <v>43</v>
      </c>
      <c r="M271">
        <v>0</v>
      </c>
      <c r="N271">
        <v>0</v>
      </c>
      <c r="O271" s="5">
        <v>50387</v>
      </c>
      <c r="P271" s="5">
        <v>26622</v>
      </c>
      <c r="Q271">
        <v>20</v>
      </c>
      <c r="R271" t="s">
        <v>47</v>
      </c>
      <c r="S271" t="s">
        <v>39</v>
      </c>
      <c r="T271">
        <v>18</v>
      </c>
      <c r="U271">
        <v>76</v>
      </c>
      <c r="V271">
        <v>17.5</v>
      </c>
      <c r="W271">
        <v>12.2</v>
      </c>
      <c r="X271">
        <v>29.5</v>
      </c>
      <c r="Z271" t="s">
        <v>39</v>
      </c>
      <c r="AB271" t="s">
        <v>40</v>
      </c>
      <c r="AC271" t="s">
        <v>56</v>
      </c>
    </row>
    <row r="272" spans="1:29" x14ac:dyDescent="0.25">
      <c r="A272" s="4">
        <v>42516</v>
      </c>
      <c r="B272" t="s">
        <v>30</v>
      </c>
      <c r="C272">
        <v>703</v>
      </c>
      <c r="D272">
        <v>9</v>
      </c>
      <c r="E272">
        <v>1</v>
      </c>
      <c r="F272" t="s">
        <v>31</v>
      </c>
      <c r="G272" t="s">
        <v>32</v>
      </c>
      <c r="H272" t="s">
        <v>33</v>
      </c>
      <c r="I272" t="s">
        <v>34</v>
      </c>
      <c r="J272" t="s">
        <v>35</v>
      </c>
      <c r="K272" t="s">
        <v>36</v>
      </c>
      <c r="L272" t="s">
        <v>37</v>
      </c>
      <c r="M272">
        <v>0</v>
      </c>
      <c r="N272">
        <v>0</v>
      </c>
      <c r="O272" s="5">
        <v>50395</v>
      </c>
      <c r="P272" s="5">
        <v>50394</v>
      </c>
      <c r="Q272">
        <f>37-15</f>
        <v>22</v>
      </c>
      <c r="R272" t="s">
        <v>81</v>
      </c>
      <c r="S272" t="s">
        <v>39</v>
      </c>
      <c r="T272">
        <v>18</v>
      </c>
      <c r="U272">
        <v>86</v>
      </c>
      <c r="V272">
        <v>16</v>
      </c>
      <c r="W272">
        <v>11.1</v>
      </c>
      <c r="X272">
        <v>27.1</v>
      </c>
      <c r="Z272" t="s">
        <v>39</v>
      </c>
      <c r="AB272" t="s">
        <v>40</v>
      </c>
      <c r="AC272" t="s">
        <v>56</v>
      </c>
    </row>
    <row r="273" spans="1:29" x14ac:dyDescent="0.25">
      <c r="A273" s="4">
        <v>42516</v>
      </c>
      <c r="B273" t="s">
        <v>30</v>
      </c>
      <c r="C273">
        <v>703</v>
      </c>
      <c r="D273">
        <v>7</v>
      </c>
      <c r="E273">
        <v>1</v>
      </c>
      <c r="F273" t="s">
        <v>31</v>
      </c>
      <c r="G273" t="s">
        <v>32</v>
      </c>
      <c r="H273" t="s">
        <v>33</v>
      </c>
      <c r="I273" t="s">
        <v>73</v>
      </c>
      <c r="J273" t="s">
        <v>42</v>
      </c>
      <c r="K273" t="s">
        <v>36</v>
      </c>
      <c r="L273" t="s">
        <v>43</v>
      </c>
      <c r="M273">
        <v>0</v>
      </c>
      <c r="N273">
        <v>1</v>
      </c>
      <c r="O273" s="5"/>
      <c r="P273" s="5">
        <v>50371</v>
      </c>
      <c r="Q273">
        <f>170-90</f>
        <v>80</v>
      </c>
      <c r="R273" t="s">
        <v>47</v>
      </c>
      <c r="S273" t="s">
        <v>39</v>
      </c>
      <c r="T273">
        <v>29</v>
      </c>
      <c r="W273">
        <v>20.9</v>
      </c>
      <c r="X273">
        <v>41.9</v>
      </c>
      <c r="Z273" t="s">
        <v>39</v>
      </c>
      <c r="AB273" t="s">
        <v>40</v>
      </c>
      <c r="AC273" t="s">
        <v>56</v>
      </c>
    </row>
    <row r="274" spans="1:29" x14ac:dyDescent="0.25">
      <c r="A274" s="4">
        <v>42516</v>
      </c>
      <c r="B274" t="s">
        <v>30</v>
      </c>
      <c r="C274">
        <v>703</v>
      </c>
      <c r="D274">
        <v>7</v>
      </c>
      <c r="E274">
        <v>2</v>
      </c>
      <c r="F274" t="s">
        <v>31</v>
      </c>
      <c r="G274" t="s">
        <v>32</v>
      </c>
      <c r="H274" t="s">
        <v>33</v>
      </c>
      <c r="I274" t="s">
        <v>73</v>
      </c>
      <c r="J274" t="s">
        <v>35</v>
      </c>
      <c r="K274" t="s">
        <v>36</v>
      </c>
      <c r="L274" t="s">
        <v>37</v>
      </c>
      <c r="M274">
        <v>0</v>
      </c>
      <c r="N274">
        <v>0</v>
      </c>
      <c r="O274" s="5"/>
      <c r="P274" s="5" t="s">
        <v>94</v>
      </c>
      <c r="Q274">
        <v>90</v>
      </c>
      <c r="R274" t="s">
        <v>38</v>
      </c>
      <c r="S274" t="s">
        <v>39</v>
      </c>
      <c r="T274">
        <v>33</v>
      </c>
      <c r="W274">
        <v>20.6</v>
      </c>
      <c r="X274">
        <v>39.9</v>
      </c>
      <c r="Z274" t="s">
        <v>39</v>
      </c>
      <c r="AB274" t="s">
        <v>40</v>
      </c>
      <c r="AC274" t="s">
        <v>56</v>
      </c>
    </row>
    <row r="275" spans="1:29" x14ac:dyDescent="0.25">
      <c r="A275" s="4">
        <v>42516</v>
      </c>
      <c r="B275" t="s">
        <v>30</v>
      </c>
      <c r="C275">
        <v>701</v>
      </c>
      <c r="D275">
        <v>1</v>
      </c>
      <c r="E275">
        <v>1</v>
      </c>
      <c r="F275" t="s">
        <v>31</v>
      </c>
      <c r="G275" t="s">
        <v>32</v>
      </c>
      <c r="H275" t="s">
        <v>33</v>
      </c>
      <c r="I275" t="s">
        <v>34</v>
      </c>
      <c r="J275" t="s">
        <v>35</v>
      </c>
      <c r="K275" t="s">
        <v>36</v>
      </c>
      <c r="L275" t="s">
        <v>43</v>
      </c>
      <c r="M275">
        <v>0</v>
      </c>
      <c r="N275">
        <v>0</v>
      </c>
      <c r="O275" s="5">
        <v>50384</v>
      </c>
      <c r="P275" s="5">
        <v>50383</v>
      </c>
      <c r="Q275">
        <f>29.5-12</f>
        <v>17.5</v>
      </c>
      <c r="R275" t="s">
        <v>47</v>
      </c>
      <c r="S275" t="s">
        <v>39</v>
      </c>
      <c r="T275">
        <v>18</v>
      </c>
      <c r="U275">
        <v>85</v>
      </c>
      <c r="V275">
        <v>16</v>
      </c>
      <c r="W275">
        <v>12</v>
      </c>
      <c r="X275">
        <v>25.5</v>
      </c>
      <c r="Z275" t="s">
        <v>39</v>
      </c>
      <c r="AB275" t="s">
        <v>40</v>
      </c>
      <c r="AC275" t="s">
        <v>56</v>
      </c>
    </row>
    <row r="276" spans="1:29" x14ac:dyDescent="0.25">
      <c r="A276" s="4">
        <v>42516</v>
      </c>
      <c r="B276" t="s">
        <v>30</v>
      </c>
      <c r="C276">
        <v>701</v>
      </c>
      <c r="D276">
        <v>7</v>
      </c>
      <c r="E276">
        <v>1</v>
      </c>
      <c r="F276" t="s">
        <v>31</v>
      </c>
      <c r="G276" t="s">
        <v>32</v>
      </c>
      <c r="H276" t="s">
        <v>33</v>
      </c>
      <c r="I276" t="s">
        <v>34</v>
      </c>
      <c r="J276" t="s">
        <v>42</v>
      </c>
      <c r="K276" t="s">
        <v>36</v>
      </c>
      <c r="L276" t="s">
        <v>43</v>
      </c>
      <c r="M276">
        <v>0</v>
      </c>
      <c r="N276">
        <v>1</v>
      </c>
      <c r="O276" s="5">
        <v>50370</v>
      </c>
      <c r="P276" s="5">
        <v>50369</v>
      </c>
      <c r="Q276">
        <v>20</v>
      </c>
      <c r="R276" t="s">
        <v>65</v>
      </c>
      <c r="S276" t="s">
        <v>39</v>
      </c>
      <c r="T276">
        <v>19</v>
      </c>
      <c r="U276">
        <v>75</v>
      </c>
      <c r="V276">
        <v>16</v>
      </c>
      <c r="W276">
        <v>11.6</v>
      </c>
      <c r="X276">
        <v>25</v>
      </c>
      <c r="Z276" t="s">
        <v>39</v>
      </c>
      <c r="AB276" t="s">
        <v>40</v>
      </c>
      <c r="AC276" t="s">
        <v>56</v>
      </c>
    </row>
    <row r="277" spans="1:29" x14ac:dyDescent="0.25">
      <c r="A277" s="4">
        <v>42516</v>
      </c>
      <c r="B277" t="s">
        <v>30</v>
      </c>
      <c r="C277">
        <v>801</v>
      </c>
      <c r="D277">
        <v>4</v>
      </c>
      <c r="E277">
        <v>1</v>
      </c>
      <c r="F277" t="s">
        <v>31</v>
      </c>
      <c r="G277" t="s">
        <v>32</v>
      </c>
      <c r="H277" t="s">
        <v>33</v>
      </c>
      <c r="I277" t="s">
        <v>58</v>
      </c>
      <c r="J277" t="s">
        <v>42</v>
      </c>
      <c r="K277" t="s">
        <v>36</v>
      </c>
      <c r="L277" t="s">
        <v>37</v>
      </c>
      <c r="M277">
        <v>0</v>
      </c>
      <c r="N277">
        <v>1</v>
      </c>
      <c r="O277" s="5">
        <v>50368</v>
      </c>
      <c r="P277" s="5"/>
      <c r="Q277">
        <f>42-14</f>
        <v>28</v>
      </c>
      <c r="R277" t="s">
        <v>74</v>
      </c>
      <c r="S277" t="s">
        <v>97</v>
      </c>
      <c r="T277">
        <v>17</v>
      </c>
      <c r="W277">
        <v>12.2</v>
      </c>
      <c r="X277">
        <v>26.7</v>
      </c>
      <c r="Z277" t="s">
        <v>39</v>
      </c>
      <c r="AB277" t="s">
        <v>40</v>
      </c>
      <c r="AC277" t="s">
        <v>56</v>
      </c>
    </row>
    <row r="278" spans="1:29" x14ac:dyDescent="0.25">
      <c r="A278" s="4">
        <v>42516</v>
      </c>
      <c r="B278" t="s">
        <v>30</v>
      </c>
      <c r="C278">
        <v>801</v>
      </c>
      <c r="D278">
        <v>6</v>
      </c>
      <c r="E278">
        <v>1</v>
      </c>
      <c r="F278" t="s">
        <v>31</v>
      </c>
      <c r="G278" t="s">
        <v>32</v>
      </c>
      <c r="H278" t="s">
        <v>33</v>
      </c>
      <c r="I278" t="s">
        <v>57</v>
      </c>
      <c r="O278" s="5"/>
      <c r="P278" s="5"/>
      <c r="Z278" t="s">
        <v>39</v>
      </c>
    </row>
    <row r="279" spans="1:29" x14ac:dyDescent="0.25">
      <c r="A279" s="4">
        <v>42516</v>
      </c>
      <c r="B279" t="s">
        <v>30</v>
      </c>
      <c r="C279">
        <v>801</v>
      </c>
      <c r="D279">
        <v>10</v>
      </c>
      <c r="E279">
        <v>1</v>
      </c>
      <c r="F279" t="s">
        <v>31</v>
      </c>
      <c r="G279" t="s">
        <v>32</v>
      </c>
      <c r="H279" t="s">
        <v>33</v>
      </c>
      <c r="I279" t="s">
        <v>57</v>
      </c>
      <c r="O279" s="5"/>
      <c r="P279" s="5"/>
      <c r="Z279" t="s">
        <v>39</v>
      </c>
    </row>
    <row r="280" spans="1:29" x14ac:dyDescent="0.25">
      <c r="A280" s="4">
        <v>42516</v>
      </c>
      <c r="B280" t="s">
        <v>30</v>
      </c>
      <c r="C280">
        <v>803</v>
      </c>
      <c r="D280">
        <v>6</v>
      </c>
      <c r="E280">
        <v>1</v>
      </c>
      <c r="F280" t="s">
        <v>31</v>
      </c>
      <c r="G280" t="s">
        <v>32</v>
      </c>
      <c r="H280" t="s">
        <v>33</v>
      </c>
      <c r="I280" t="s">
        <v>34</v>
      </c>
      <c r="J280" t="s">
        <v>35</v>
      </c>
      <c r="K280" t="s">
        <v>36</v>
      </c>
      <c r="L280" t="s">
        <v>43</v>
      </c>
      <c r="M280">
        <v>0</v>
      </c>
      <c r="N280">
        <v>0</v>
      </c>
      <c r="O280" s="5">
        <v>50380</v>
      </c>
      <c r="P280" s="5">
        <v>50379</v>
      </c>
      <c r="Q280">
        <f>32-14</f>
        <v>18</v>
      </c>
      <c r="R280" t="s">
        <v>47</v>
      </c>
      <c r="S280" t="s">
        <v>39</v>
      </c>
      <c r="T280">
        <v>19</v>
      </c>
      <c r="U280">
        <v>90</v>
      </c>
      <c r="V280">
        <v>18</v>
      </c>
      <c r="W280">
        <v>10.6</v>
      </c>
      <c r="X280">
        <v>28.8</v>
      </c>
      <c r="Z280" t="s">
        <v>39</v>
      </c>
      <c r="AB280" t="s">
        <v>40</v>
      </c>
      <c r="AC280" t="s">
        <v>56</v>
      </c>
    </row>
    <row r="281" spans="1:29" x14ac:dyDescent="0.25">
      <c r="A281" s="4">
        <v>42516</v>
      </c>
      <c r="B281" t="s">
        <v>30</v>
      </c>
      <c r="C281">
        <v>901</v>
      </c>
      <c r="D281">
        <v>1</v>
      </c>
      <c r="E281">
        <v>1</v>
      </c>
      <c r="F281" t="s">
        <v>31</v>
      </c>
      <c r="G281" t="s">
        <v>32</v>
      </c>
      <c r="H281" t="s">
        <v>33</v>
      </c>
      <c r="I281" t="s">
        <v>34</v>
      </c>
      <c r="J281" t="s">
        <v>35</v>
      </c>
      <c r="K281" t="s">
        <v>36</v>
      </c>
      <c r="L281" t="s">
        <v>37</v>
      </c>
      <c r="M281">
        <v>0</v>
      </c>
      <c r="N281">
        <v>0</v>
      </c>
      <c r="O281" s="5" t="s">
        <v>104</v>
      </c>
      <c r="P281" s="5" t="s">
        <v>105</v>
      </c>
      <c r="Q281">
        <v>20</v>
      </c>
      <c r="R281" t="s">
        <v>74</v>
      </c>
      <c r="S281" t="s">
        <v>97</v>
      </c>
      <c r="T281">
        <v>18</v>
      </c>
      <c r="U281">
        <v>90.5</v>
      </c>
      <c r="V281">
        <v>15.5</v>
      </c>
      <c r="W281">
        <v>12.2</v>
      </c>
      <c r="X281">
        <v>27.5</v>
      </c>
      <c r="Z281" t="s">
        <v>39</v>
      </c>
      <c r="AB281" t="s">
        <v>40</v>
      </c>
      <c r="AC281" t="s">
        <v>56</v>
      </c>
    </row>
    <row r="282" spans="1:29" x14ac:dyDescent="0.25">
      <c r="A282" s="4">
        <v>42528</v>
      </c>
      <c r="B282" t="s">
        <v>30</v>
      </c>
      <c r="C282">
        <v>201</v>
      </c>
      <c r="D282">
        <v>1</v>
      </c>
      <c r="E282">
        <v>1</v>
      </c>
      <c r="F282" t="s">
        <v>31</v>
      </c>
      <c r="G282" t="s">
        <v>32</v>
      </c>
      <c r="H282" t="s">
        <v>33</v>
      </c>
      <c r="I282" t="s">
        <v>34</v>
      </c>
      <c r="J282" t="s">
        <v>35</v>
      </c>
      <c r="K282" t="s">
        <v>36</v>
      </c>
      <c r="L282" t="s">
        <v>43</v>
      </c>
      <c r="M282">
        <v>0</v>
      </c>
      <c r="N282">
        <v>0</v>
      </c>
      <c r="O282" s="5">
        <v>26648</v>
      </c>
      <c r="P282" s="5">
        <v>26647</v>
      </c>
      <c r="Q282">
        <f>34-11.5</f>
        <v>22.5</v>
      </c>
      <c r="R282" t="s">
        <v>47</v>
      </c>
      <c r="S282" t="s">
        <v>39</v>
      </c>
      <c r="T282">
        <v>19</v>
      </c>
      <c r="U282">
        <v>99.5</v>
      </c>
      <c r="V282">
        <v>15</v>
      </c>
      <c r="W282">
        <v>12.3</v>
      </c>
      <c r="X282">
        <v>28</v>
      </c>
      <c r="Z282" t="s">
        <v>39</v>
      </c>
      <c r="AB282" t="s">
        <v>87</v>
      </c>
      <c r="AC282" t="s">
        <v>56</v>
      </c>
    </row>
    <row r="283" spans="1:29" x14ac:dyDescent="0.25">
      <c r="A283" s="4">
        <v>42528</v>
      </c>
      <c r="B283" t="s">
        <v>30</v>
      </c>
      <c r="C283">
        <v>201</v>
      </c>
      <c r="D283">
        <v>3</v>
      </c>
      <c r="E283">
        <v>1</v>
      </c>
      <c r="F283" t="s">
        <v>31</v>
      </c>
      <c r="G283" t="s">
        <v>32</v>
      </c>
      <c r="H283" t="s">
        <v>33</v>
      </c>
      <c r="I283" t="s">
        <v>57</v>
      </c>
      <c r="O283" s="5"/>
      <c r="P283" s="5"/>
      <c r="Z283" t="s">
        <v>39</v>
      </c>
    </row>
    <row r="284" spans="1:29" x14ac:dyDescent="0.25">
      <c r="A284" s="4">
        <v>42528</v>
      </c>
      <c r="B284" t="s">
        <v>30</v>
      </c>
      <c r="C284">
        <v>201</v>
      </c>
      <c r="D284">
        <v>8</v>
      </c>
      <c r="E284">
        <v>1</v>
      </c>
      <c r="F284" t="s">
        <v>31</v>
      </c>
      <c r="G284" t="s">
        <v>32</v>
      </c>
      <c r="H284" t="s">
        <v>33</v>
      </c>
      <c r="I284" t="s">
        <v>57</v>
      </c>
      <c r="O284" s="5"/>
      <c r="P284" s="5"/>
      <c r="Z284" t="s">
        <v>39</v>
      </c>
    </row>
    <row r="285" spans="1:29" x14ac:dyDescent="0.25">
      <c r="A285" s="4">
        <v>42528</v>
      </c>
      <c r="B285" t="s">
        <v>30</v>
      </c>
      <c r="C285">
        <v>201</v>
      </c>
      <c r="D285">
        <v>8</v>
      </c>
      <c r="E285">
        <v>2</v>
      </c>
      <c r="F285" t="s">
        <v>31</v>
      </c>
      <c r="G285" t="s">
        <v>32</v>
      </c>
      <c r="H285" t="s">
        <v>33</v>
      </c>
      <c r="I285" t="s">
        <v>34</v>
      </c>
      <c r="J285" t="s">
        <v>42</v>
      </c>
      <c r="K285" t="s">
        <v>36</v>
      </c>
      <c r="L285" t="s">
        <v>37</v>
      </c>
      <c r="M285">
        <v>0</v>
      </c>
      <c r="N285">
        <v>1</v>
      </c>
      <c r="O285" s="5">
        <v>50359</v>
      </c>
      <c r="P285" s="5">
        <v>50358</v>
      </c>
      <c r="Q285">
        <f>35-12</f>
        <v>23</v>
      </c>
      <c r="R285" t="s">
        <v>83</v>
      </c>
      <c r="S285" t="s">
        <v>39</v>
      </c>
      <c r="T285">
        <v>18</v>
      </c>
      <c r="U285">
        <v>90</v>
      </c>
      <c r="V285">
        <v>15.5</v>
      </c>
      <c r="W285">
        <v>12.8</v>
      </c>
      <c r="X285">
        <v>27</v>
      </c>
      <c r="Z285" t="s">
        <v>39</v>
      </c>
      <c r="AB285" t="s">
        <v>102</v>
      </c>
      <c r="AC285" t="s">
        <v>56</v>
      </c>
    </row>
    <row r="286" spans="1:29" x14ac:dyDescent="0.25">
      <c r="A286" s="4">
        <v>42528</v>
      </c>
      <c r="B286" t="s">
        <v>30</v>
      </c>
      <c r="C286">
        <v>203</v>
      </c>
      <c r="D286">
        <v>2</v>
      </c>
      <c r="E286">
        <v>1</v>
      </c>
      <c r="F286" t="s">
        <v>31</v>
      </c>
      <c r="G286" t="s">
        <v>32</v>
      </c>
      <c r="H286" t="s">
        <v>33</v>
      </c>
      <c r="I286" t="s">
        <v>57</v>
      </c>
      <c r="O286" s="5"/>
      <c r="P286" s="5"/>
      <c r="Z286" t="s">
        <v>39</v>
      </c>
    </row>
    <row r="287" spans="1:29" x14ac:dyDescent="0.25">
      <c r="A287" s="4">
        <v>42528</v>
      </c>
      <c r="B287" t="s">
        <v>30</v>
      </c>
      <c r="C287">
        <v>203</v>
      </c>
      <c r="D287">
        <v>3</v>
      </c>
      <c r="E287">
        <v>1</v>
      </c>
      <c r="F287" t="s">
        <v>31</v>
      </c>
      <c r="G287" t="s">
        <v>32</v>
      </c>
      <c r="H287" t="s">
        <v>33</v>
      </c>
      <c r="I287" t="s">
        <v>57</v>
      </c>
      <c r="O287" s="5"/>
      <c r="P287" s="5"/>
      <c r="Z287" t="s">
        <v>39</v>
      </c>
    </row>
    <row r="288" spans="1:29" x14ac:dyDescent="0.25">
      <c r="A288" s="4">
        <v>42528</v>
      </c>
      <c r="B288" t="s">
        <v>30</v>
      </c>
      <c r="C288">
        <v>203</v>
      </c>
      <c r="D288">
        <v>3</v>
      </c>
      <c r="E288">
        <v>2</v>
      </c>
      <c r="F288" t="s">
        <v>31</v>
      </c>
      <c r="G288" t="s">
        <v>32</v>
      </c>
      <c r="H288" t="s">
        <v>33</v>
      </c>
      <c r="I288" t="s">
        <v>57</v>
      </c>
      <c r="O288" s="5"/>
      <c r="P288" s="5"/>
      <c r="Z288" t="s">
        <v>39</v>
      </c>
    </row>
    <row r="289" spans="1:29" x14ac:dyDescent="0.25">
      <c r="A289" s="4">
        <v>42528</v>
      </c>
      <c r="B289" t="s">
        <v>30</v>
      </c>
      <c r="C289">
        <v>203</v>
      </c>
      <c r="D289">
        <v>9</v>
      </c>
      <c r="E289">
        <v>1</v>
      </c>
      <c r="F289" t="s">
        <v>31</v>
      </c>
      <c r="G289" t="s">
        <v>32</v>
      </c>
      <c r="H289" t="s">
        <v>33</v>
      </c>
      <c r="I289" t="s">
        <v>57</v>
      </c>
      <c r="O289" s="5"/>
      <c r="P289" s="5"/>
      <c r="Z289" t="s">
        <v>39</v>
      </c>
    </row>
    <row r="290" spans="1:29" x14ac:dyDescent="0.25">
      <c r="A290" s="4">
        <v>42528</v>
      </c>
      <c r="B290" t="s">
        <v>30</v>
      </c>
      <c r="C290">
        <v>203</v>
      </c>
      <c r="D290">
        <v>9</v>
      </c>
      <c r="E290">
        <v>2</v>
      </c>
      <c r="F290" t="s">
        <v>31</v>
      </c>
      <c r="G290" t="s">
        <v>32</v>
      </c>
      <c r="H290" t="s">
        <v>33</v>
      </c>
      <c r="I290" t="s">
        <v>34</v>
      </c>
      <c r="J290" t="s">
        <v>35</v>
      </c>
      <c r="K290" t="s">
        <v>36</v>
      </c>
      <c r="L290" t="s">
        <v>43</v>
      </c>
      <c r="M290">
        <v>1</v>
      </c>
      <c r="N290">
        <v>0</v>
      </c>
      <c r="O290" s="5">
        <v>50490</v>
      </c>
      <c r="P290" s="5" t="s">
        <v>110</v>
      </c>
      <c r="Q290">
        <f>34.5-13.5</f>
        <v>21</v>
      </c>
      <c r="R290" t="s">
        <v>47</v>
      </c>
      <c r="S290" t="s">
        <v>39</v>
      </c>
      <c r="T290">
        <v>17</v>
      </c>
      <c r="U290">
        <v>85</v>
      </c>
      <c r="V290">
        <v>16</v>
      </c>
      <c r="W290">
        <v>12.65</v>
      </c>
      <c r="X290">
        <v>29.5</v>
      </c>
      <c r="Z290" t="s">
        <v>39</v>
      </c>
      <c r="AB290" t="s">
        <v>102</v>
      </c>
      <c r="AC290" t="s">
        <v>56</v>
      </c>
    </row>
    <row r="291" spans="1:29" x14ac:dyDescent="0.25">
      <c r="A291" s="4">
        <v>42528</v>
      </c>
      <c r="B291" t="s">
        <v>30</v>
      </c>
      <c r="C291">
        <v>202</v>
      </c>
      <c r="D291">
        <v>3</v>
      </c>
      <c r="E291">
        <v>1</v>
      </c>
      <c r="F291" t="s">
        <v>31</v>
      </c>
      <c r="G291" t="s">
        <v>32</v>
      </c>
      <c r="H291" t="s">
        <v>33</v>
      </c>
      <c r="I291" t="s">
        <v>57</v>
      </c>
      <c r="O291" s="5"/>
      <c r="P291" s="5"/>
      <c r="Z291" t="s">
        <v>39</v>
      </c>
    </row>
    <row r="292" spans="1:29" x14ac:dyDescent="0.25">
      <c r="A292" s="4">
        <v>42528</v>
      </c>
      <c r="B292" t="s">
        <v>30</v>
      </c>
      <c r="C292">
        <v>202</v>
      </c>
      <c r="D292">
        <v>3</v>
      </c>
      <c r="E292">
        <v>2</v>
      </c>
      <c r="F292" t="s">
        <v>31</v>
      </c>
      <c r="G292" t="s">
        <v>32</v>
      </c>
      <c r="H292" t="s">
        <v>33</v>
      </c>
      <c r="I292" t="s">
        <v>57</v>
      </c>
      <c r="O292" s="5"/>
      <c r="P292" s="5"/>
      <c r="Z292" t="s">
        <v>39</v>
      </c>
    </row>
    <row r="293" spans="1:29" x14ac:dyDescent="0.25">
      <c r="A293" s="4">
        <v>42528</v>
      </c>
      <c r="B293" t="s">
        <v>30</v>
      </c>
      <c r="C293">
        <v>202</v>
      </c>
      <c r="D293">
        <v>6</v>
      </c>
      <c r="E293">
        <v>1</v>
      </c>
      <c r="F293" t="s">
        <v>31</v>
      </c>
      <c r="G293" t="s">
        <v>32</v>
      </c>
      <c r="H293" t="s">
        <v>33</v>
      </c>
      <c r="I293" t="s">
        <v>53</v>
      </c>
      <c r="O293" s="5"/>
      <c r="P293" s="5"/>
      <c r="Z293" t="s">
        <v>39</v>
      </c>
    </row>
    <row r="294" spans="1:29" x14ac:dyDescent="0.25">
      <c r="A294" s="4">
        <v>42528</v>
      </c>
      <c r="B294" t="s">
        <v>30</v>
      </c>
      <c r="C294">
        <v>304</v>
      </c>
      <c r="D294">
        <v>2</v>
      </c>
      <c r="E294">
        <v>1</v>
      </c>
      <c r="F294" t="s">
        <v>31</v>
      </c>
      <c r="G294" t="s">
        <v>32</v>
      </c>
      <c r="H294" t="s">
        <v>33</v>
      </c>
      <c r="I294" t="s">
        <v>34</v>
      </c>
      <c r="J294" t="s">
        <v>35</v>
      </c>
      <c r="K294" t="s">
        <v>36</v>
      </c>
      <c r="L294" t="s">
        <v>43</v>
      </c>
      <c r="M294">
        <v>0</v>
      </c>
      <c r="N294">
        <v>0</v>
      </c>
      <c r="O294" s="5">
        <v>26628</v>
      </c>
      <c r="P294" s="5">
        <v>26629</v>
      </c>
      <c r="R294" t="s">
        <v>47</v>
      </c>
      <c r="S294" t="s">
        <v>39</v>
      </c>
      <c r="T294">
        <v>19</v>
      </c>
      <c r="U294">
        <v>86</v>
      </c>
      <c r="V294">
        <v>17</v>
      </c>
      <c r="W294">
        <v>12.5</v>
      </c>
      <c r="X294">
        <v>30</v>
      </c>
      <c r="Y294" t="s">
        <v>111</v>
      </c>
      <c r="Z294" t="s">
        <v>39</v>
      </c>
      <c r="AB294" t="s">
        <v>102</v>
      </c>
      <c r="AC294" t="s">
        <v>56</v>
      </c>
    </row>
    <row r="295" spans="1:29" x14ac:dyDescent="0.25">
      <c r="A295" s="4">
        <v>42528</v>
      </c>
      <c r="B295" t="s">
        <v>30</v>
      </c>
      <c r="C295">
        <v>304</v>
      </c>
      <c r="D295">
        <v>4</v>
      </c>
      <c r="E295">
        <v>1</v>
      </c>
      <c r="F295" t="s">
        <v>31</v>
      </c>
      <c r="G295" t="s">
        <v>32</v>
      </c>
      <c r="H295" t="s">
        <v>33</v>
      </c>
      <c r="I295" t="s">
        <v>57</v>
      </c>
      <c r="O295" s="5"/>
      <c r="P295" s="5"/>
      <c r="Z295" t="s">
        <v>39</v>
      </c>
    </row>
    <row r="296" spans="1:29" x14ac:dyDescent="0.25">
      <c r="A296" s="4">
        <v>42528</v>
      </c>
      <c r="B296" t="s">
        <v>30</v>
      </c>
      <c r="C296">
        <v>304</v>
      </c>
      <c r="D296">
        <v>5</v>
      </c>
      <c r="E296">
        <v>1</v>
      </c>
      <c r="F296" t="s">
        <v>31</v>
      </c>
      <c r="G296" t="s">
        <v>32</v>
      </c>
      <c r="H296" t="s">
        <v>33</v>
      </c>
      <c r="I296" t="s">
        <v>53</v>
      </c>
      <c r="O296" s="5"/>
      <c r="P296" s="5"/>
      <c r="Z296" t="s">
        <v>39</v>
      </c>
    </row>
    <row r="297" spans="1:29" x14ac:dyDescent="0.25">
      <c r="A297" s="4">
        <v>42528</v>
      </c>
      <c r="B297" t="s">
        <v>30</v>
      </c>
      <c r="C297">
        <v>111</v>
      </c>
      <c r="D297">
        <v>1</v>
      </c>
      <c r="E297">
        <v>1</v>
      </c>
      <c r="F297" t="s">
        <v>41</v>
      </c>
      <c r="G297" t="s">
        <v>32</v>
      </c>
      <c r="H297" t="s">
        <v>33</v>
      </c>
      <c r="I297" t="s">
        <v>84</v>
      </c>
      <c r="O297" s="5"/>
      <c r="P297" s="5"/>
      <c r="Z297" t="s">
        <v>39</v>
      </c>
    </row>
    <row r="298" spans="1:29" x14ac:dyDescent="0.25">
      <c r="A298" s="4">
        <v>42528</v>
      </c>
      <c r="B298" t="s">
        <v>30</v>
      </c>
      <c r="C298">
        <v>111</v>
      </c>
      <c r="D298">
        <v>2</v>
      </c>
      <c r="E298">
        <v>1</v>
      </c>
      <c r="F298" t="s">
        <v>41</v>
      </c>
      <c r="G298" t="s">
        <v>32</v>
      </c>
      <c r="H298" t="s">
        <v>33</v>
      </c>
      <c r="I298" t="s">
        <v>84</v>
      </c>
      <c r="O298" s="5"/>
      <c r="P298" s="5"/>
      <c r="Z298" t="s">
        <v>39</v>
      </c>
    </row>
    <row r="299" spans="1:29" x14ac:dyDescent="0.25">
      <c r="A299" s="4">
        <v>42528</v>
      </c>
      <c r="B299" t="s">
        <v>30</v>
      </c>
      <c r="C299">
        <v>111</v>
      </c>
      <c r="D299">
        <v>4</v>
      </c>
      <c r="E299">
        <v>1</v>
      </c>
      <c r="F299" t="s">
        <v>41</v>
      </c>
      <c r="G299" t="s">
        <v>32</v>
      </c>
      <c r="H299" t="s">
        <v>33</v>
      </c>
      <c r="I299" t="s">
        <v>34</v>
      </c>
      <c r="J299" t="s">
        <v>42</v>
      </c>
      <c r="K299" t="s">
        <v>36</v>
      </c>
      <c r="L299" t="s">
        <v>37</v>
      </c>
      <c r="M299">
        <v>0</v>
      </c>
      <c r="N299">
        <v>1</v>
      </c>
      <c r="O299" s="5">
        <v>50246</v>
      </c>
      <c r="P299" s="5">
        <v>50345</v>
      </c>
      <c r="Q299">
        <f>45-15</f>
        <v>30</v>
      </c>
      <c r="R299" t="s">
        <v>81</v>
      </c>
      <c r="S299" t="s">
        <v>39</v>
      </c>
      <c r="T299">
        <v>19</v>
      </c>
      <c r="U299">
        <v>78</v>
      </c>
      <c r="V299">
        <v>15</v>
      </c>
      <c r="W299">
        <v>22.4</v>
      </c>
      <c r="X299">
        <v>25.5</v>
      </c>
      <c r="Z299" t="s">
        <v>39</v>
      </c>
      <c r="AB299" t="s">
        <v>87</v>
      </c>
      <c r="AC299" t="s">
        <v>56</v>
      </c>
    </row>
    <row r="300" spans="1:29" x14ac:dyDescent="0.25">
      <c r="A300" s="4">
        <v>42528</v>
      </c>
      <c r="B300" t="s">
        <v>30</v>
      </c>
      <c r="C300">
        <v>111</v>
      </c>
      <c r="D300">
        <v>7</v>
      </c>
      <c r="E300">
        <v>1</v>
      </c>
      <c r="F300" t="s">
        <v>41</v>
      </c>
      <c r="G300" t="s">
        <v>32</v>
      </c>
      <c r="H300" t="s">
        <v>33</v>
      </c>
      <c r="I300" t="s">
        <v>98</v>
      </c>
      <c r="O300" s="5"/>
      <c r="P300" s="5"/>
      <c r="Z300" t="s">
        <v>39</v>
      </c>
    </row>
    <row r="301" spans="1:29" x14ac:dyDescent="0.25">
      <c r="A301" s="4">
        <v>42528</v>
      </c>
      <c r="B301" t="s">
        <v>30</v>
      </c>
      <c r="C301">
        <v>111</v>
      </c>
      <c r="D301">
        <v>8</v>
      </c>
      <c r="E301">
        <v>1</v>
      </c>
      <c r="F301" t="s">
        <v>41</v>
      </c>
      <c r="G301" t="s">
        <v>32</v>
      </c>
      <c r="H301" t="s">
        <v>33</v>
      </c>
      <c r="I301" t="s">
        <v>34</v>
      </c>
      <c r="J301" t="s">
        <v>42</v>
      </c>
      <c r="K301" t="s">
        <v>36</v>
      </c>
      <c r="L301" t="s">
        <v>37</v>
      </c>
      <c r="M301">
        <v>0</v>
      </c>
      <c r="N301">
        <v>1</v>
      </c>
      <c r="O301" s="5">
        <v>50348</v>
      </c>
      <c r="P301" s="5">
        <v>50347</v>
      </c>
      <c r="Q301">
        <v>22</v>
      </c>
      <c r="R301" t="s">
        <v>83</v>
      </c>
      <c r="S301" t="s">
        <v>97</v>
      </c>
      <c r="T301">
        <v>20</v>
      </c>
      <c r="U301">
        <v>88</v>
      </c>
      <c r="V301">
        <v>16</v>
      </c>
      <c r="W301">
        <v>21.3</v>
      </c>
      <c r="X301">
        <v>26.4</v>
      </c>
      <c r="Z301" t="s">
        <v>39</v>
      </c>
      <c r="AB301" t="s">
        <v>102</v>
      </c>
      <c r="AC301" t="s">
        <v>56</v>
      </c>
    </row>
    <row r="302" spans="1:29" x14ac:dyDescent="0.25">
      <c r="A302" s="4">
        <v>42528</v>
      </c>
      <c r="B302" t="s">
        <v>30</v>
      </c>
      <c r="C302">
        <v>111</v>
      </c>
      <c r="D302">
        <v>9</v>
      </c>
      <c r="E302">
        <v>1</v>
      </c>
      <c r="F302" t="s">
        <v>41</v>
      </c>
      <c r="G302" t="s">
        <v>32</v>
      </c>
      <c r="H302" t="s">
        <v>33</v>
      </c>
      <c r="I302" t="s">
        <v>57</v>
      </c>
      <c r="O302" s="5"/>
      <c r="P302" s="5"/>
      <c r="Z302" t="s">
        <v>39</v>
      </c>
    </row>
    <row r="303" spans="1:29" x14ac:dyDescent="0.25">
      <c r="A303" s="4">
        <v>42528</v>
      </c>
      <c r="B303" t="s">
        <v>30</v>
      </c>
      <c r="C303">
        <v>112</v>
      </c>
      <c r="D303">
        <v>1</v>
      </c>
      <c r="E303">
        <v>1</v>
      </c>
      <c r="F303" t="s">
        <v>41</v>
      </c>
      <c r="G303" t="s">
        <v>32</v>
      </c>
      <c r="H303" t="s">
        <v>33</v>
      </c>
      <c r="I303" t="s">
        <v>57</v>
      </c>
      <c r="O303" s="5"/>
      <c r="P303" s="5"/>
      <c r="Z303" t="s">
        <v>39</v>
      </c>
    </row>
    <row r="304" spans="1:29" x14ac:dyDescent="0.25">
      <c r="A304" s="4">
        <v>42528</v>
      </c>
      <c r="B304" t="s">
        <v>30</v>
      </c>
      <c r="C304">
        <v>112</v>
      </c>
      <c r="D304">
        <v>1</v>
      </c>
      <c r="E304">
        <v>2</v>
      </c>
      <c r="F304" t="s">
        <v>41</v>
      </c>
      <c r="G304" t="s">
        <v>32</v>
      </c>
      <c r="H304" t="s">
        <v>33</v>
      </c>
      <c r="I304" t="s">
        <v>34</v>
      </c>
      <c r="J304" t="s">
        <v>42</v>
      </c>
      <c r="K304" t="s">
        <v>36</v>
      </c>
      <c r="L304" t="s">
        <v>37</v>
      </c>
      <c r="M304">
        <v>0</v>
      </c>
      <c r="N304">
        <v>1</v>
      </c>
      <c r="O304" s="5">
        <v>50350</v>
      </c>
      <c r="P304" s="5">
        <v>50349</v>
      </c>
      <c r="Q304">
        <f>40-11</f>
        <v>29</v>
      </c>
      <c r="R304" t="s">
        <v>81</v>
      </c>
      <c r="S304" t="s">
        <v>39</v>
      </c>
      <c r="T304">
        <v>19</v>
      </c>
      <c r="U304">
        <v>97</v>
      </c>
      <c r="V304">
        <v>15</v>
      </c>
      <c r="W304">
        <v>22.3</v>
      </c>
      <c r="X304">
        <v>28</v>
      </c>
      <c r="Z304" t="s">
        <v>39</v>
      </c>
      <c r="AB304" t="s">
        <v>87</v>
      </c>
      <c r="AC304" t="s">
        <v>56</v>
      </c>
    </row>
    <row r="305" spans="1:31" x14ac:dyDescent="0.25">
      <c r="A305" s="4">
        <v>42528</v>
      </c>
      <c r="B305" t="s">
        <v>30</v>
      </c>
      <c r="C305">
        <v>112</v>
      </c>
      <c r="D305">
        <v>2</v>
      </c>
      <c r="E305">
        <v>1</v>
      </c>
      <c r="F305" t="s">
        <v>41</v>
      </c>
      <c r="G305" t="s">
        <v>32</v>
      </c>
      <c r="H305" t="s">
        <v>33</v>
      </c>
      <c r="I305" t="s">
        <v>57</v>
      </c>
      <c r="O305" s="5"/>
      <c r="P305" s="5"/>
      <c r="Z305" t="s">
        <v>39</v>
      </c>
    </row>
    <row r="306" spans="1:31" x14ac:dyDescent="0.25">
      <c r="A306" s="4">
        <v>42528</v>
      </c>
      <c r="B306" t="s">
        <v>30</v>
      </c>
      <c r="C306">
        <v>112</v>
      </c>
      <c r="D306">
        <v>2</v>
      </c>
      <c r="E306">
        <v>2</v>
      </c>
      <c r="F306" t="s">
        <v>41</v>
      </c>
      <c r="G306" t="s">
        <v>32</v>
      </c>
      <c r="H306" t="s">
        <v>33</v>
      </c>
      <c r="I306" t="s">
        <v>34</v>
      </c>
      <c r="J306" t="s">
        <v>42</v>
      </c>
      <c r="K306" t="s">
        <v>89</v>
      </c>
      <c r="L306" t="s">
        <v>43</v>
      </c>
      <c r="M306">
        <v>0</v>
      </c>
      <c r="N306">
        <v>1</v>
      </c>
      <c r="O306" s="5">
        <v>50313</v>
      </c>
      <c r="P306" s="5">
        <v>50312</v>
      </c>
      <c r="Q306">
        <f>25-13</f>
        <v>12</v>
      </c>
      <c r="R306" t="s">
        <v>38</v>
      </c>
      <c r="S306" t="s">
        <v>39</v>
      </c>
      <c r="T306">
        <v>18</v>
      </c>
      <c r="U306">
        <v>75</v>
      </c>
      <c r="V306">
        <v>15</v>
      </c>
      <c r="W306">
        <v>10.199999999999999</v>
      </c>
      <c r="X306">
        <v>24</v>
      </c>
      <c r="Z306" t="s">
        <v>39</v>
      </c>
      <c r="AB306" t="s">
        <v>102</v>
      </c>
      <c r="AC306" t="s">
        <v>56</v>
      </c>
    </row>
    <row r="307" spans="1:31" x14ac:dyDescent="0.25">
      <c r="A307" s="4">
        <v>42528</v>
      </c>
      <c r="B307" t="s">
        <v>30</v>
      </c>
      <c r="C307">
        <v>112</v>
      </c>
      <c r="D307">
        <v>4</v>
      </c>
      <c r="E307">
        <v>1</v>
      </c>
      <c r="F307" t="s">
        <v>41</v>
      </c>
      <c r="G307" t="s">
        <v>32</v>
      </c>
      <c r="H307" t="s">
        <v>33</v>
      </c>
      <c r="I307" t="s">
        <v>34</v>
      </c>
      <c r="J307" t="s">
        <v>42</v>
      </c>
      <c r="K307" t="s">
        <v>36</v>
      </c>
      <c r="L307" t="s">
        <v>37</v>
      </c>
      <c r="M307">
        <v>0</v>
      </c>
      <c r="N307">
        <v>1</v>
      </c>
      <c r="O307" s="5">
        <v>50303</v>
      </c>
      <c r="P307" s="5">
        <v>50302</v>
      </c>
      <c r="Q307">
        <f>45-3.5</f>
        <v>41.5</v>
      </c>
      <c r="R307" t="s">
        <v>81</v>
      </c>
      <c r="S307" t="s">
        <v>39</v>
      </c>
      <c r="T307">
        <v>19</v>
      </c>
      <c r="U307">
        <v>84</v>
      </c>
      <c r="V307">
        <v>15</v>
      </c>
      <c r="W307">
        <v>11</v>
      </c>
      <c r="X307">
        <v>25.8</v>
      </c>
      <c r="Z307" t="s">
        <v>39</v>
      </c>
      <c r="AB307" t="s">
        <v>102</v>
      </c>
      <c r="AC307" t="s">
        <v>56</v>
      </c>
    </row>
    <row r="308" spans="1:31" x14ac:dyDescent="0.25">
      <c r="A308" s="4">
        <v>42528</v>
      </c>
      <c r="B308" t="s">
        <v>30</v>
      </c>
      <c r="C308">
        <v>112</v>
      </c>
      <c r="D308">
        <v>5</v>
      </c>
      <c r="E308">
        <v>1</v>
      </c>
      <c r="F308" t="s">
        <v>41</v>
      </c>
      <c r="G308" t="s">
        <v>32</v>
      </c>
      <c r="H308" t="s">
        <v>33</v>
      </c>
      <c r="I308" t="s">
        <v>57</v>
      </c>
      <c r="O308" s="5"/>
      <c r="P308" s="5"/>
      <c r="Z308" t="s">
        <v>39</v>
      </c>
    </row>
    <row r="309" spans="1:31" x14ac:dyDescent="0.25">
      <c r="A309" s="4">
        <v>42528</v>
      </c>
      <c r="B309" t="s">
        <v>30</v>
      </c>
      <c r="C309">
        <v>112</v>
      </c>
      <c r="D309">
        <v>6</v>
      </c>
      <c r="E309">
        <v>1</v>
      </c>
      <c r="F309" t="s">
        <v>41</v>
      </c>
      <c r="G309" t="s">
        <v>32</v>
      </c>
      <c r="H309" t="s">
        <v>33</v>
      </c>
      <c r="I309" t="s">
        <v>91</v>
      </c>
      <c r="J309" t="s">
        <v>42</v>
      </c>
      <c r="K309" t="s">
        <v>36</v>
      </c>
      <c r="L309" t="s">
        <v>43</v>
      </c>
      <c r="M309">
        <v>0</v>
      </c>
      <c r="N309">
        <v>1</v>
      </c>
      <c r="O309" s="5"/>
      <c r="P309" s="5">
        <v>50342</v>
      </c>
      <c r="R309" t="s">
        <v>47</v>
      </c>
      <c r="S309" t="s">
        <v>39</v>
      </c>
      <c r="W309">
        <v>11.4</v>
      </c>
      <c r="X309">
        <v>23.9</v>
      </c>
      <c r="Z309" t="s">
        <v>39</v>
      </c>
      <c r="AB309" t="s">
        <v>102</v>
      </c>
      <c r="AC309" t="s">
        <v>56</v>
      </c>
      <c r="AE309" t="s">
        <v>112</v>
      </c>
    </row>
    <row r="310" spans="1:31" x14ac:dyDescent="0.25">
      <c r="A310" s="4">
        <v>42528</v>
      </c>
      <c r="B310" t="s">
        <v>30</v>
      </c>
      <c r="C310">
        <v>112</v>
      </c>
      <c r="D310">
        <v>7</v>
      </c>
      <c r="E310">
        <v>1</v>
      </c>
      <c r="F310" t="s">
        <v>41</v>
      </c>
      <c r="G310" t="s">
        <v>32</v>
      </c>
      <c r="H310" t="s">
        <v>33</v>
      </c>
      <c r="I310" t="s">
        <v>57</v>
      </c>
      <c r="O310" s="5"/>
      <c r="P310" s="5"/>
      <c r="Z310" t="s">
        <v>39</v>
      </c>
    </row>
    <row r="311" spans="1:31" x14ac:dyDescent="0.25">
      <c r="A311" s="4">
        <v>42528</v>
      </c>
      <c r="B311" t="s">
        <v>30</v>
      </c>
      <c r="C311">
        <v>112</v>
      </c>
      <c r="D311">
        <v>8</v>
      </c>
      <c r="E311">
        <v>1</v>
      </c>
      <c r="F311" t="s">
        <v>41</v>
      </c>
      <c r="G311" t="s">
        <v>32</v>
      </c>
      <c r="H311" t="s">
        <v>33</v>
      </c>
      <c r="I311" t="s">
        <v>91</v>
      </c>
      <c r="J311" t="s">
        <v>42</v>
      </c>
      <c r="K311" t="s">
        <v>36</v>
      </c>
      <c r="M311">
        <v>0</v>
      </c>
      <c r="N311">
        <v>1</v>
      </c>
      <c r="O311" s="5"/>
      <c r="P311" s="5">
        <v>50311</v>
      </c>
      <c r="Q311">
        <f>22.5-3</f>
        <v>19.5</v>
      </c>
      <c r="W311">
        <v>10.8</v>
      </c>
      <c r="X311">
        <v>24.5</v>
      </c>
      <c r="Z311" t="s">
        <v>39</v>
      </c>
      <c r="AB311" t="s">
        <v>87</v>
      </c>
      <c r="AC311" t="s">
        <v>56</v>
      </c>
    </row>
    <row r="312" spans="1:31" x14ac:dyDescent="0.25">
      <c r="A312" s="4">
        <v>42528</v>
      </c>
      <c r="B312" t="s">
        <v>30</v>
      </c>
      <c r="C312">
        <v>112</v>
      </c>
      <c r="D312">
        <v>10</v>
      </c>
      <c r="E312">
        <v>1</v>
      </c>
      <c r="F312" t="s">
        <v>41</v>
      </c>
      <c r="G312" t="s">
        <v>32</v>
      </c>
      <c r="H312" t="s">
        <v>33</v>
      </c>
      <c r="I312" t="s">
        <v>34</v>
      </c>
      <c r="J312" t="s">
        <v>42</v>
      </c>
      <c r="K312" t="s">
        <v>36</v>
      </c>
      <c r="L312" t="s">
        <v>37</v>
      </c>
      <c r="M312">
        <v>0</v>
      </c>
      <c r="N312">
        <v>1</v>
      </c>
      <c r="O312" s="5">
        <v>50305</v>
      </c>
      <c r="P312" s="5">
        <v>50304</v>
      </c>
      <c r="Q312">
        <f>25.5-4</f>
        <v>21.5</v>
      </c>
      <c r="R312" t="s">
        <v>63</v>
      </c>
      <c r="S312" t="s">
        <v>97</v>
      </c>
      <c r="T312">
        <v>19</v>
      </c>
      <c r="U312">
        <v>78</v>
      </c>
      <c r="V312">
        <v>16</v>
      </c>
      <c r="W312">
        <v>11.8</v>
      </c>
      <c r="X312">
        <v>26</v>
      </c>
      <c r="Z312" t="s">
        <v>39</v>
      </c>
      <c r="AB312" t="s">
        <v>87</v>
      </c>
      <c r="AC312" t="s">
        <v>56</v>
      </c>
    </row>
    <row r="313" spans="1:31" x14ac:dyDescent="0.25">
      <c r="A313" s="4">
        <v>42528</v>
      </c>
      <c r="B313" t="s">
        <v>30</v>
      </c>
      <c r="C313">
        <v>113</v>
      </c>
      <c r="D313">
        <v>1</v>
      </c>
      <c r="E313">
        <v>1</v>
      </c>
      <c r="F313" t="s">
        <v>41</v>
      </c>
      <c r="G313" t="s">
        <v>32</v>
      </c>
      <c r="H313" t="s">
        <v>33</v>
      </c>
      <c r="I313" t="s">
        <v>84</v>
      </c>
      <c r="O313" s="5"/>
      <c r="P313" s="5"/>
      <c r="Z313" t="s">
        <v>39</v>
      </c>
    </row>
    <row r="314" spans="1:31" x14ac:dyDescent="0.25">
      <c r="A314" s="4">
        <v>42528</v>
      </c>
      <c r="B314" t="s">
        <v>30</v>
      </c>
      <c r="C314">
        <v>113</v>
      </c>
      <c r="D314">
        <v>1</v>
      </c>
      <c r="E314">
        <v>2</v>
      </c>
      <c r="F314" t="s">
        <v>41</v>
      </c>
      <c r="G314" t="s">
        <v>32</v>
      </c>
      <c r="H314" t="s">
        <v>33</v>
      </c>
      <c r="I314" t="s">
        <v>84</v>
      </c>
      <c r="O314" s="5"/>
      <c r="P314" s="5"/>
      <c r="Z314" t="s">
        <v>39</v>
      </c>
    </row>
    <row r="315" spans="1:31" x14ac:dyDescent="0.25">
      <c r="A315" s="4">
        <v>42528</v>
      </c>
      <c r="B315" t="s">
        <v>30</v>
      </c>
      <c r="C315">
        <v>113</v>
      </c>
      <c r="D315">
        <v>2</v>
      </c>
      <c r="E315">
        <v>1</v>
      </c>
      <c r="F315" t="s">
        <v>41</v>
      </c>
      <c r="G315" t="s">
        <v>32</v>
      </c>
      <c r="H315" t="s">
        <v>33</v>
      </c>
      <c r="I315" t="s">
        <v>84</v>
      </c>
      <c r="O315" s="5"/>
      <c r="P315" s="5"/>
      <c r="Z315" t="s">
        <v>39</v>
      </c>
    </row>
    <row r="316" spans="1:31" x14ac:dyDescent="0.25">
      <c r="A316" s="4">
        <v>42528</v>
      </c>
      <c r="B316" t="s">
        <v>30</v>
      </c>
      <c r="C316">
        <v>113</v>
      </c>
      <c r="D316">
        <v>2</v>
      </c>
      <c r="E316">
        <v>2</v>
      </c>
      <c r="F316" t="s">
        <v>41</v>
      </c>
      <c r="G316" t="s">
        <v>32</v>
      </c>
      <c r="H316" t="s">
        <v>33</v>
      </c>
      <c r="I316" t="s">
        <v>84</v>
      </c>
      <c r="O316" s="5"/>
      <c r="P316" s="5"/>
      <c r="Z316" t="s">
        <v>39</v>
      </c>
    </row>
    <row r="317" spans="1:31" x14ac:dyDescent="0.25">
      <c r="A317" s="4">
        <v>42528</v>
      </c>
      <c r="B317" t="s">
        <v>30</v>
      </c>
      <c r="C317">
        <v>113</v>
      </c>
      <c r="D317">
        <v>3</v>
      </c>
      <c r="E317">
        <v>1</v>
      </c>
      <c r="F317" t="s">
        <v>41</v>
      </c>
      <c r="G317" t="s">
        <v>32</v>
      </c>
      <c r="H317" t="s">
        <v>33</v>
      </c>
      <c r="I317" t="s">
        <v>84</v>
      </c>
      <c r="O317" s="5"/>
      <c r="P317" s="5"/>
      <c r="Z317" t="s">
        <v>39</v>
      </c>
    </row>
    <row r="318" spans="1:31" x14ac:dyDescent="0.25">
      <c r="A318" s="4">
        <v>42528</v>
      </c>
      <c r="B318" t="s">
        <v>30</v>
      </c>
      <c r="C318">
        <v>113</v>
      </c>
      <c r="D318">
        <v>3</v>
      </c>
      <c r="E318">
        <v>2</v>
      </c>
      <c r="F318" t="s">
        <v>41</v>
      </c>
      <c r="G318" t="s">
        <v>32</v>
      </c>
      <c r="H318" t="s">
        <v>33</v>
      </c>
      <c r="I318" t="s">
        <v>84</v>
      </c>
      <c r="O318" s="5"/>
      <c r="P318" s="5"/>
      <c r="Z318" t="s">
        <v>39</v>
      </c>
    </row>
    <row r="319" spans="1:31" x14ac:dyDescent="0.25">
      <c r="A319" s="4">
        <v>42528</v>
      </c>
      <c r="B319" t="s">
        <v>30</v>
      </c>
      <c r="C319">
        <v>113</v>
      </c>
      <c r="D319">
        <v>4</v>
      </c>
      <c r="E319">
        <v>1</v>
      </c>
      <c r="F319" t="s">
        <v>41</v>
      </c>
      <c r="G319" t="s">
        <v>32</v>
      </c>
      <c r="H319" t="s">
        <v>33</v>
      </c>
      <c r="I319" t="s">
        <v>84</v>
      </c>
      <c r="O319" s="5"/>
      <c r="P319" s="5"/>
      <c r="Z319" t="s">
        <v>39</v>
      </c>
    </row>
    <row r="320" spans="1:31" x14ac:dyDescent="0.25">
      <c r="A320" s="4">
        <v>42528</v>
      </c>
      <c r="B320" t="s">
        <v>30</v>
      </c>
      <c r="C320">
        <v>113</v>
      </c>
      <c r="D320">
        <v>4</v>
      </c>
      <c r="E320">
        <v>2</v>
      </c>
      <c r="F320" t="s">
        <v>41</v>
      </c>
      <c r="G320" t="s">
        <v>32</v>
      </c>
      <c r="H320" t="s">
        <v>33</v>
      </c>
      <c r="I320" t="s">
        <v>84</v>
      </c>
      <c r="O320" s="5"/>
      <c r="P320" s="5"/>
      <c r="Z320" t="s">
        <v>39</v>
      </c>
    </row>
    <row r="321" spans="1:26" x14ac:dyDescent="0.25">
      <c r="A321" s="4">
        <v>42528</v>
      </c>
      <c r="B321" t="s">
        <v>30</v>
      </c>
      <c r="C321">
        <v>113</v>
      </c>
      <c r="D321">
        <v>5</v>
      </c>
      <c r="E321">
        <v>1</v>
      </c>
      <c r="F321" t="s">
        <v>41</v>
      </c>
      <c r="G321" t="s">
        <v>32</v>
      </c>
      <c r="H321" t="s">
        <v>33</v>
      </c>
      <c r="I321" t="s">
        <v>84</v>
      </c>
      <c r="O321" s="5"/>
      <c r="P321" s="5"/>
      <c r="Z321" t="s">
        <v>39</v>
      </c>
    </row>
    <row r="322" spans="1:26" x14ac:dyDescent="0.25">
      <c r="A322" s="4">
        <v>42528</v>
      </c>
      <c r="B322" t="s">
        <v>30</v>
      </c>
      <c r="C322">
        <v>113</v>
      </c>
      <c r="D322">
        <v>5</v>
      </c>
      <c r="E322">
        <v>2</v>
      </c>
      <c r="F322" t="s">
        <v>41</v>
      </c>
      <c r="G322" t="s">
        <v>32</v>
      </c>
      <c r="H322" t="s">
        <v>33</v>
      </c>
      <c r="I322" t="s">
        <v>84</v>
      </c>
      <c r="O322" s="5"/>
      <c r="P322" s="5"/>
      <c r="Z322" t="s">
        <v>39</v>
      </c>
    </row>
    <row r="323" spans="1:26" x14ac:dyDescent="0.25">
      <c r="A323" s="4">
        <v>42528</v>
      </c>
      <c r="B323" t="s">
        <v>30</v>
      </c>
      <c r="C323">
        <v>113</v>
      </c>
      <c r="D323">
        <v>6</v>
      </c>
      <c r="E323">
        <v>1</v>
      </c>
      <c r="F323" t="s">
        <v>41</v>
      </c>
      <c r="G323" t="s">
        <v>32</v>
      </c>
      <c r="H323" t="s">
        <v>33</v>
      </c>
      <c r="I323" t="s">
        <v>84</v>
      </c>
      <c r="O323" s="5"/>
      <c r="P323" s="5"/>
      <c r="Z323" t="s">
        <v>39</v>
      </c>
    </row>
    <row r="324" spans="1:26" x14ac:dyDescent="0.25">
      <c r="A324" s="4">
        <v>42528</v>
      </c>
      <c r="B324" t="s">
        <v>30</v>
      </c>
      <c r="C324">
        <v>113</v>
      </c>
      <c r="D324">
        <v>6</v>
      </c>
      <c r="E324">
        <v>2</v>
      </c>
      <c r="F324" t="s">
        <v>41</v>
      </c>
      <c r="G324" t="s">
        <v>32</v>
      </c>
      <c r="H324" t="s">
        <v>33</v>
      </c>
      <c r="I324" t="s">
        <v>84</v>
      </c>
      <c r="O324" s="5"/>
      <c r="P324" s="5"/>
      <c r="Z324" t="s">
        <v>39</v>
      </c>
    </row>
    <row r="325" spans="1:26" x14ac:dyDescent="0.25">
      <c r="A325" s="4">
        <v>42528</v>
      </c>
      <c r="B325" t="s">
        <v>30</v>
      </c>
      <c r="C325">
        <v>113</v>
      </c>
      <c r="D325">
        <v>7</v>
      </c>
      <c r="E325">
        <v>1</v>
      </c>
      <c r="F325" t="s">
        <v>41</v>
      </c>
      <c r="G325" t="s">
        <v>32</v>
      </c>
      <c r="H325" t="s">
        <v>33</v>
      </c>
      <c r="I325" t="s">
        <v>84</v>
      </c>
      <c r="O325" s="5"/>
      <c r="P325" s="5"/>
      <c r="Z325" t="s">
        <v>39</v>
      </c>
    </row>
    <row r="326" spans="1:26" x14ac:dyDescent="0.25">
      <c r="A326" s="4">
        <v>42528</v>
      </c>
      <c r="B326" t="s">
        <v>30</v>
      </c>
      <c r="C326">
        <v>113</v>
      </c>
      <c r="D326">
        <v>7</v>
      </c>
      <c r="E326">
        <v>2</v>
      </c>
      <c r="F326" t="s">
        <v>41</v>
      </c>
      <c r="G326" t="s">
        <v>32</v>
      </c>
      <c r="H326" t="s">
        <v>33</v>
      </c>
      <c r="I326" t="s">
        <v>84</v>
      </c>
      <c r="O326" s="5"/>
      <c r="P326" s="5"/>
      <c r="Z326" t="s">
        <v>39</v>
      </c>
    </row>
    <row r="327" spans="1:26" x14ac:dyDescent="0.25">
      <c r="A327" s="4">
        <v>42528</v>
      </c>
      <c r="B327" t="s">
        <v>30</v>
      </c>
      <c r="C327">
        <v>113</v>
      </c>
      <c r="D327">
        <v>8</v>
      </c>
      <c r="E327">
        <v>1</v>
      </c>
      <c r="F327" t="s">
        <v>41</v>
      </c>
      <c r="G327" t="s">
        <v>32</v>
      </c>
      <c r="H327" t="s">
        <v>33</v>
      </c>
      <c r="I327" t="s">
        <v>84</v>
      </c>
      <c r="O327" s="5"/>
      <c r="P327" s="5"/>
      <c r="Z327" t="s">
        <v>39</v>
      </c>
    </row>
    <row r="328" spans="1:26" x14ac:dyDescent="0.25">
      <c r="A328" s="4">
        <v>42528</v>
      </c>
      <c r="B328" t="s">
        <v>30</v>
      </c>
      <c r="C328">
        <v>113</v>
      </c>
      <c r="D328">
        <v>8</v>
      </c>
      <c r="E328">
        <v>2</v>
      </c>
      <c r="F328" t="s">
        <v>41</v>
      </c>
      <c r="G328" t="s">
        <v>32</v>
      </c>
      <c r="H328" t="s">
        <v>33</v>
      </c>
      <c r="I328" t="s">
        <v>84</v>
      </c>
      <c r="O328" s="5"/>
      <c r="P328" s="5"/>
      <c r="Z328" t="s">
        <v>39</v>
      </c>
    </row>
    <row r="329" spans="1:26" x14ac:dyDescent="0.25">
      <c r="A329" s="4">
        <v>42528</v>
      </c>
      <c r="B329" t="s">
        <v>30</v>
      </c>
      <c r="C329">
        <v>113</v>
      </c>
      <c r="D329">
        <v>9</v>
      </c>
      <c r="E329">
        <v>1</v>
      </c>
      <c r="F329" t="s">
        <v>41</v>
      </c>
      <c r="G329" t="s">
        <v>32</v>
      </c>
      <c r="H329" t="s">
        <v>33</v>
      </c>
      <c r="I329" t="s">
        <v>84</v>
      </c>
      <c r="O329" s="5"/>
      <c r="P329" s="5"/>
      <c r="Z329" t="s">
        <v>39</v>
      </c>
    </row>
    <row r="330" spans="1:26" x14ac:dyDescent="0.25">
      <c r="A330" s="4">
        <v>42528</v>
      </c>
      <c r="B330" t="s">
        <v>30</v>
      </c>
      <c r="C330">
        <v>113</v>
      </c>
      <c r="D330">
        <v>9</v>
      </c>
      <c r="E330">
        <v>2</v>
      </c>
      <c r="F330" t="s">
        <v>41</v>
      </c>
      <c r="G330" t="s">
        <v>32</v>
      </c>
      <c r="H330" t="s">
        <v>33</v>
      </c>
      <c r="I330" t="s">
        <v>84</v>
      </c>
      <c r="O330" s="5"/>
      <c r="P330" s="5"/>
      <c r="Z330" t="s">
        <v>39</v>
      </c>
    </row>
    <row r="331" spans="1:26" x14ac:dyDescent="0.25">
      <c r="A331" s="4">
        <v>42528</v>
      </c>
      <c r="B331" t="s">
        <v>30</v>
      </c>
      <c r="C331">
        <v>113</v>
      </c>
      <c r="D331">
        <v>10</v>
      </c>
      <c r="E331">
        <v>1</v>
      </c>
      <c r="F331" t="s">
        <v>41</v>
      </c>
      <c r="G331" t="s">
        <v>32</v>
      </c>
      <c r="H331" t="s">
        <v>33</v>
      </c>
      <c r="I331" t="s">
        <v>84</v>
      </c>
      <c r="O331" s="5"/>
      <c r="P331" s="5"/>
      <c r="Z331" t="s">
        <v>39</v>
      </c>
    </row>
    <row r="332" spans="1:26" x14ac:dyDescent="0.25">
      <c r="A332" s="4">
        <v>42528</v>
      </c>
      <c r="B332" t="s">
        <v>30</v>
      </c>
      <c r="C332">
        <v>113</v>
      </c>
      <c r="D332">
        <v>10</v>
      </c>
      <c r="E332">
        <v>2</v>
      </c>
      <c r="F332" t="s">
        <v>41</v>
      </c>
      <c r="G332" t="s">
        <v>32</v>
      </c>
      <c r="H332" t="s">
        <v>33</v>
      </c>
      <c r="I332" t="s">
        <v>84</v>
      </c>
      <c r="O332" s="5"/>
      <c r="P332" s="5"/>
      <c r="Z332" t="s">
        <v>39</v>
      </c>
    </row>
    <row r="333" spans="1:26" x14ac:dyDescent="0.25">
      <c r="A333" s="4">
        <v>42528</v>
      </c>
      <c r="B333" t="s">
        <v>30</v>
      </c>
      <c r="C333">
        <v>402</v>
      </c>
      <c r="D333">
        <v>1</v>
      </c>
      <c r="E333">
        <v>1</v>
      </c>
      <c r="F333" t="s">
        <v>41</v>
      </c>
      <c r="G333" t="s">
        <v>32</v>
      </c>
      <c r="H333" t="s">
        <v>33</v>
      </c>
      <c r="I333" t="s">
        <v>84</v>
      </c>
      <c r="O333" s="5"/>
      <c r="P333" s="5"/>
      <c r="Z333" t="s">
        <v>39</v>
      </c>
    </row>
    <row r="334" spans="1:26" x14ac:dyDescent="0.25">
      <c r="A334" s="4">
        <v>42528</v>
      </c>
      <c r="B334" t="s">
        <v>30</v>
      </c>
      <c r="C334">
        <v>402</v>
      </c>
      <c r="D334">
        <v>1</v>
      </c>
      <c r="E334">
        <v>2</v>
      </c>
      <c r="F334" t="s">
        <v>41</v>
      </c>
      <c r="G334" t="s">
        <v>32</v>
      </c>
      <c r="H334" t="s">
        <v>33</v>
      </c>
      <c r="I334" t="s">
        <v>84</v>
      </c>
      <c r="O334" s="5"/>
      <c r="P334" s="5"/>
      <c r="Z334" t="s">
        <v>39</v>
      </c>
    </row>
    <row r="335" spans="1:26" x14ac:dyDescent="0.25">
      <c r="A335" s="4">
        <v>42528</v>
      </c>
      <c r="B335" t="s">
        <v>30</v>
      </c>
      <c r="C335">
        <v>402</v>
      </c>
      <c r="D335">
        <v>2</v>
      </c>
      <c r="E335">
        <v>1</v>
      </c>
      <c r="F335" t="s">
        <v>41</v>
      </c>
      <c r="G335" t="s">
        <v>32</v>
      </c>
      <c r="H335" t="s">
        <v>33</v>
      </c>
      <c r="I335" t="s">
        <v>84</v>
      </c>
      <c r="O335" s="5"/>
      <c r="P335" s="5"/>
      <c r="Z335" t="s">
        <v>39</v>
      </c>
    </row>
    <row r="336" spans="1:26" x14ac:dyDescent="0.25">
      <c r="A336" s="4">
        <v>42528</v>
      </c>
      <c r="B336" t="s">
        <v>30</v>
      </c>
      <c r="C336">
        <v>402</v>
      </c>
      <c r="D336">
        <v>2</v>
      </c>
      <c r="E336">
        <v>2</v>
      </c>
      <c r="F336" t="s">
        <v>41</v>
      </c>
      <c r="G336" t="s">
        <v>32</v>
      </c>
      <c r="H336" t="s">
        <v>33</v>
      </c>
      <c r="I336" t="s">
        <v>84</v>
      </c>
      <c r="O336" s="5"/>
      <c r="P336" s="5"/>
      <c r="Z336" t="s">
        <v>39</v>
      </c>
    </row>
    <row r="337" spans="1:26" x14ac:dyDescent="0.25">
      <c r="A337" s="4">
        <v>42528</v>
      </c>
      <c r="B337" t="s">
        <v>30</v>
      </c>
      <c r="C337">
        <v>402</v>
      </c>
      <c r="D337">
        <v>3</v>
      </c>
      <c r="E337">
        <v>1</v>
      </c>
      <c r="F337" t="s">
        <v>41</v>
      </c>
      <c r="G337" t="s">
        <v>32</v>
      </c>
      <c r="H337" t="s">
        <v>33</v>
      </c>
      <c r="I337" t="s">
        <v>84</v>
      </c>
      <c r="O337" s="5"/>
      <c r="P337" s="5"/>
      <c r="Z337" t="s">
        <v>39</v>
      </c>
    </row>
    <row r="338" spans="1:26" x14ac:dyDescent="0.25">
      <c r="A338" s="4">
        <v>42528</v>
      </c>
      <c r="B338" t="s">
        <v>30</v>
      </c>
      <c r="C338">
        <v>402</v>
      </c>
      <c r="D338">
        <v>3</v>
      </c>
      <c r="E338">
        <v>2</v>
      </c>
      <c r="F338" t="s">
        <v>41</v>
      </c>
      <c r="G338" t="s">
        <v>32</v>
      </c>
      <c r="H338" t="s">
        <v>33</v>
      </c>
      <c r="I338" t="s">
        <v>84</v>
      </c>
      <c r="O338" s="5"/>
      <c r="P338" s="5"/>
      <c r="Z338" t="s">
        <v>39</v>
      </c>
    </row>
    <row r="339" spans="1:26" x14ac:dyDescent="0.25">
      <c r="A339" s="4">
        <v>42528</v>
      </c>
      <c r="B339" t="s">
        <v>30</v>
      </c>
      <c r="C339">
        <v>402</v>
      </c>
      <c r="D339">
        <v>4</v>
      </c>
      <c r="E339">
        <v>1</v>
      </c>
      <c r="F339" t="s">
        <v>41</v>
      </c>
      <c r="G339" t="s">
        <v>32</v>
      </c>
      <c r="H339" t="s">
        <v>33</v>
      </c>
      <c r="I339" t="s">
        <v>84</v>
      </c>
      <c r="O339" s="5"/>
      <c r="P339" s="5"/>
      <c r="Z339" t="s">
        <v>39</v>
      </c>
    </row>
    <row r="340" spans="1:26" x14ac:dyDescent="0.25">
      <c r="A340" s="4">
        <v>42528</v>
      </c>
      <c r="B340" t="s">
        <v>30</v>
      </c>
      <c r="C340">
        <v>402</v>
      </c>
      <c r="D340">
        <v>4</v>
      </c>
      <c r="E340">
        <v>2</v>
      </c>
      <c r="F340" t="s">
        <v>41</v>
      </c>
      <c r="G340" t="s">
        <v>32</v>
      </c>
      <c r="H340" t="s">
        <v>33</v>
      </c>
      <c r="I340" t="s">
        <v>84</v>
      </c>
      <c r="O340" s="5"/>
      <c r="P340" s="5"/>
      <c r="Z340" t="s">
        <v>39</v>
      </c>
    </row>
    <row r="341" spans="1:26" x14ac:dyDescent="0.25">
      <c r="A341" s="4">
        <v>42528</v>
      </c>
      <c r="B341" t="s">
        <v>30</v>
      </c>
      <c r="C341">
        <v>402</v>
      </c>
      <c r="D341">
        <v>5</v>
      </c>
      <c r="E341">
        <v>1</v>
      </c>
      <c r="F341" t="s">
        <v>41</v>
      </c>
      <c r="G341" t="s">
        <v>32</v>
      </c>
      <c r="H341" t="s">
        <v>33</v>
      </c>
      <c r="I341" t="s">
        <v>84</v>
      </c>
      <c r="O341" s="5"/>
      <c r="P341" s="5"/>
      <c r="Z341" t="s">
        <v>39</v>
      </c>
    </row>
    <row r="342" spans="1:26" x14ac:dyDescent="0.25">
      <c r="A342" s="4">
        <v>42528</v>
      </c>
      <c r="B342" t="s">
        <v>30</v>
      </c>
      <c r="C342">
        <v>402</v>
      </c>
      <c r="D342">
        <v>5</v>
      </c>
      <c r="E342">
        <v>2</v>
      </c>
      <c r="F342" t="s">
        <v>41</v>
      </c>
      <c r="G342" t="s">
        <v>32</v>
      </c>
      <c r="H342" t="s">
        <v>33</v>
      </c>
      <c r="I342" t="s">
        <v>84</v>
      </c>
      <c r="O342" s="5"/>
      <c r="P342" s="5"/>
      <c r="Z342" t="s">
        <v>39</v>
      </c>
    </row>
    <row r="343" spans="1:26" x14ac:dyDescent="0.25">
      <c r="A343" s="4">
        <v>42528</v>
      </c>
      <c r="B343" t="s">
        <v>30</v>
      </c>
      <c r="C343">
        <v>402</v>
      </c>
      <c r="D343">
        <v>6</v>
      </c>
      <c r="E343">
        <v>1</v>
      </c>
      <c r="F343" t="s">
        <v>41</v>
      </c>
      <c r="G343" t="s">
        <v>32</v>
      </c>
      <c r="H343" t="s">
        <v>33</v>
      </c>
      <c r="I343" t="s">
        <v>84</v>
      </c>
      <c r="O343" s="5"/>
      <c r="P343" s="5"/>
      <c r="Z343" t="s">
        <v>39</v>
      </c>
    </row>
    <row r="344" spans="1:26" x14ac:dyDescent="0.25">
      <c r="A344" s="4">
        <v>42528</v>
      </c>
      <c r="B344" t="s">
        <v>30</v>
      </c>
      <c r="C344">
        <v>402</v>
      </c>
      <c r="D344">
        <v>6</v>
      </c>
      <c r="E344">
        <v>2</v>
      </c>
      <c r="F344" t="s">
        <v>41</v>
      </c>
      <c r="G344" t="s">
        <v>32</v>
      </c>
      <c r="H344" t="s">
        <v>33</v>
      </c>
      <c r="I344" t="s">
        <v>84</v>
      </c>
      <c r="O344" s="5"/>
      <c r="P344" s="5"/>
      <c r="Z344" t="s">
        <v>39</v>
      </c>
    </row>
    <row r="345" spans="1:26" x14ac:dyDescent="0.25">
      <c r="A345" s="4">
        <v>42528</v>
      </c>
      <c r="B345" t="s">
        <v>30</v>
      </c>
      <c r="C345">
        <v>402</v>
      </c>
      <c r="D345">
        <v>7</v>
      </c>
      <c r="E345">
        <v>1</v>
      </c>
      <c r="F345" t="s">
        <v>41</v>
      </c>
      <c r="G345" t="s">
        <v>32</v>
      </c>
      <c r="H345" t="s">
        <v>33</v>
      </c>
      <c r="I345" t="s">
        <v>84</v>
      </c>
      <c r="O345" s="5"/>
      <c r="P345" s="5"/>
      <c r="Z345" t="s">
        <v>39</v>
      </c>
    </row>
    <row r="346" spans="1:26" x14ac:dyDescent="0.25">
      <c r="A346" s="4">
        <v>42528</v>
      </c>
      <c r="B346" t="s">
        <v>30</v>
      </c>
      <c r="C346">
        <v>402</v>
      </c>
      <c r="D346">
        <v>7</v>
      </c>
      <c r="E346">
        <v>2</v>
      </c>
      <c r="F346" t="s">
        <v>41</v>
      </c>
      <c r="G346" t="s">
        <v>32</v>
      </c>
      <c r="H346" t="s">
        <v>33</v>
      </c>
      <c r="I346" t="s">
        <v>84</v>
      </c>
      <c r="O346" s="5"/>
      <c r="P346" s="5"/>
      <c r="Z346" t="s">
        <v>39</v>
      </c>
    </row>
    <row r="347" spans="1:26" x14ac:dyDescent="0.25">
      <c r="A347" s="4">
        <v>42528</v>
      </c>
      <c r="B347" t="s">
        <v>30</v>
      </c>
      <c r="C347">
        <v>402</v>
      </c>
      <c r="D347">
        <v>8</v>
      </c>
      <c r="E347">
        <v>1</v>
      </c>
      <c r="F347" t="s">
        <v>41</v>
      </c>
      <c r="G347" t="s">
        <v>32</v>
      </c>
      <c r="H347" t="s">
        <v>33</v>
      </c>
      <c r="I347" t="s">
        <v>84</v>
      </c>
      <c r="O347" s="5"/>
      <c r="P347" s="5"/>
      <c r="Z347" t="s">
        <v>39</v>
      </c>
    </row>
    <row r="348" spans="1:26" x14ac:dyDescent="0.25">
      <c r="A348" s="4">
        <v>42528</v>
      </c>
      <c r="B348" t="s">
        <v>30</v>
      </c>
      <c r="C348">
        <v>402</v>
      </c>
      <c r="D348">
        <v>8</v>
      </c>
      <c r="E348">
        <v>2</v>
      </c>
      <c r="F348" t="s">
        <v>41</v>
      </c>
      <c r="G348" t="s">
        <v>32</v>
      </c>
      <c r="H348" t="s">
        <v>33</v>
      </c>
      <c r="I348" t="s">
        <v>84</v>
      </c>
      <c r="O348" s="5"/>
      <c r="P348" s="5"/>
      <c r="Z348" t="s">
        <v>39</v>
      </c>
    </row>
    <row r="349" spans="1:26" x14ac:dyDescent="0.25">
      <c r="A349" s="4">
        <v>42528</v>
      </c>
      <c r="B349" t="s">
        <v>30</v>
      </c>
      <c r="C349">
        <v>402</v>
      </c>
      <c r="D349">
        <v>9</v>
      </c>
      <c r="E349">
        <v>1</v>
      </c>
      <c r="F349" t="s">
        <v>41</v>
      </c>
      <c r="G349" t="s">
        <v>32</v>
      </c>
      <c r="H349" t="s">
        <v>33</v>
      </c>
      <c r="I349" t="s">
        <v>84</v>
      </c>
      <c r="O349" s="5"/>
      <c r="P349" s="5"/>
      <c r="Z349" t="s">
        <v>39</v>
      </c>
    </row>
    <row r="350" spans="1:26" x14ac:dyDescent="0.25">
      <c r="A350" s="4">
        <v>42528</v>
      </c>
      <c r="B350" t="s">
        <v>30</v>
      </c>
      <c r="C350">
        <v>402</v>
      </c>
      <c r="D350">
        <v>9</v>
      </c>
      <c r="E350">
        <v>2</v>
      </c>
      <c r="F350" t="s">
        <v>41</v>
      </c>
      <c r="G350" t="s">
        <v>32</v>
      </c>
      <c r="H350" t="s">
        <v>33</v>
      </c>
      <c r="I350" t="s">
        <v>84</v>
      </c>
      <c r="O350" s="5"/>
      <c r="P350" s="5"/>
      <c r="Z350" t="s">
        <v>39</v>
      </c>
    </row>
    <row r="351" spans="1:26" x14ac:dyDescent="0.25">
      <c r="A351" s="4">
        <v>42528</v>
      </c>
      <c r="B351" t="s">
        <v>30</v>
      </c>
      <c r="C351">
        <v>402</v>
      </c>
      <c r="D351">
        <v>10</v>
      </c>
      <c r="E351">
        <v>1</v>
      </c>
      <c r="F351" t="s">
        <v>41</v>
      </c>
      <c r="G351" t="s">
        <v>32</v>
      </c>
      <c r="H351" t="s">
        <v>33</v>
      </c>
      <c r="I351" t="s">
        <v>84</v>
      </c>
      <c r="O351" s="5"/>
      <c r="P351" s="5"/>
      <c r="Z351" t="s">
        <v>39</v>
      </c>
    </row>
    <row r="352" spans="1:26" x14ac:dyDescent="0.25">
      <c r="A352" s="4">
        <v>42528</v>
      </c>
      <c r="B352" t="s">
        <v>30</v>
      </c>
      <c r="C352">
        <v>402</v>
      </c>
      <c r="D352">
        <v>10</v>
      </c>
      <c r="E352">
        <v>2</v>
      </c>
      <c r="F352" t="s">
        <v>41</v>
      </c>
      <c r="G352" t="s">
        <v>32</v>
      </c>
      <c r="H352" t="s">
        <v>33</v>
      </c>
      <c r="I352" t="s">
        <v>84</v>
      </c>
      <c r="O352" s="5"/>
      <c r="P352" s="5"/>
      <c r="Z352" t="s">
        <v>39</v>
      </c>
    </row>
    <row r="353" spans="1:29" x14ac:dyDescent="0.25">
      <c r="A353" s="4">
        <v>42529</v>
      </c>
      <c r="B353" t="s">
        <v>30</v>
      </c>
      <c r="C353">
        <v>111</v>
      </c>
      <c r="D353">
        <v>1</v>
      </c>
      <c r="E353">
        <v>1</v>
      </c>
      <c r="F353" t="s">
        <v>41</v>
      </c>
      <c r="G353" t="s">
        <v>32</v>
      </c>
      <c r="H353" t="s">
        <v>33</v>
      </c>
      <c r="I353" t="s">
        <v>84</v>
      </c>
      <c r="O353" s="5"/>
      <c r="P353" s="5"/>
      <c r="Z353" t="s">
        <v>39</v>
      </c>
    </row>
    <row r="354" spans="1:29" x14ac:dyDescent="0.25">
      <c r="A354" s="4">
        <v>42529</v>
      </c>
      <c r="B354" t="s">
        <v>30</v>
      </c>
      <c r="C354">
        <v>111</v>
      </c>
      <c r="D354">
        <v>1</v>
      </c>
      <c r="E354">
        <v>2</v>
      </c>
      <c r="F354" t="s">
        <v>41</v>
      </c>
      <c r="G354" t="s">
        <v>32</v>
      </c>
      <c r="H354" t="s">
        <v>33</v>
      </c>
      <c r="I354" t="s">
        <v>84</v>
      </c>
      <c r="O354" s="5"/>
      <c r="P354" s="5"/>
      <c r="Z354" t="s">
        <v>39</v>
      </c>
    </row>
    <row r="355" spans="1:29" x14ac:dyDescent="0.25">
      <c r="A355" s="4">
        <v>42529</v>
      </c>
      <c r="B355" t="s">
        <v>30</v>
      </c>
      <c r="C355">
        <v>111</v>
      </c>
      <c r="D355">
        <v>2</v>
      </c>
      <c r="E355">
        <v>1</v>
      </c>
      <c r="F355" t="s">
        <v>41</v>
      </c>
      <c r="G355" t="s">
        <v>32</v>
      </c>
      <c r="H355" t="s">
        <v>33</v>
      </c>
      <c r="I355" t="s">
        <v>84</v>
      </c>
      <c r="O355" s="5"/>
      <c r="P355" s="5"/>
      <c r="Z355" t="s">
        <v>39</v>
      </c>
    </row>
    <row r="356" spans="1:29" x14ac:dyDescent="0.25">
      <c r="A356" s="4">
        <v>42529</v>
      </c>
      <c r="B356" t="s">
        <v>30</v>
      </c>
      <c r="C356">
        <v>111</v>
      </c>
      <c r="D356">
        <v>2</v>
      </c>
      <c r="E356">
        <v>2</v>
      </c>
      <c r="F356" t="s">
        <v>41</v>
      </c>
      <c r="G356" t="s">
        <v>32</v>
      </c>
      <c r="H356" t="s">
        <v>33</v>
      </c>
      <c r="I356" t="s">
        <v>84</v>
      </c>
      <c r="O356" s="5"/>
      <c r="P356" s="5"/>
      <c r="Z356" t="s">
        <v>39</v>
      </c>
    </row>
    <row r="357" spans="1:29" x14ac:dyDescent="0.25">
      <c r="A357" s="4">
        <v>42529</v>
      </c>
      <c r="B357" t="s">
        <v>30</v>
      </c>
      <c r="C357">
        <v>111</v>
      </c>
      <c r="D357">
        <v>3</v>
      </c>
      <c r="E357">
        <v>1</v>
      </c>
      <c r="F357" t="s">
        <v>41</v>
      </c>
      <c r="G357" t="s">
        <v>32</v>
      </c>
      <c r="H357" t="s">
        <v>33</v>
      </c>
      <c r="I357" t="s">
        <v>84</v>
      </c>
      <c r="O357" s="5"/>
      <c r="P357" s="5"/>
      <c r="Z357" t="s">
        <v>39</v>
      </c>
    </row>
    <row r="358" spans="1:29" x14ac:dyDescent="0.25">
      <c r="A358" s="4">
        <v>42529</v>
      </c>
      <c r="B358" t="s">
        <v>30</v>
      </c>
      <c r="C358">
        <v>111</v>
      </c>
      <c r="D358">
        <v>3</v>
      </c>
      <c r="E358">
        <v>2</v>
      </c>
      <c r="F358" t="s">
        <v>41</v>
      </c>
      <c r="G358" t="s">
        <v>32</v>
      </c>
      <c r="H358" t="s">
        <v>33</v>
      </c>
      <c r="I358" t="s">
        <v>84</v>
      </c>
      <c r="O358" s="5"/>
      <c r="P358" s="5"/>
      <c r="Z358" t="s">
        <v>39</v>
      </c>
    </row>
    <row r="359" spans="1:29" x14ac:dyDescent="0.25">
      <c r="A359" s="4">
        <v>42529</v>
      </c>
      <c r="B359" t="s">
        <v>30</v>
      </c>
      <c r="C359">
        <v>111</v>
      </c>
      <c r="D359">
        <v>4</v>
      </c>
      <c r="E359">
        <v>1</v>
      </c>
      <c r="F359" t="s">
        <v>41</v>
      </c>
      <c r="G359" t="s">
        <v>32</v>
      </c>
      <c r="H359" t="s">
        <v>33</v>
      </c>
      <c r="I359" t="s">
        <v>84</v>
      </c>
      <c r="O359" s="5"/>
      <c r="P359" s="5"/>
      <c r="Z359" t="s">
        <v>39</v>
      </c>
    </row>
    <row r="360" spans="1:29" x14ac:dyDescent="0.25">
      <c r="A360" s="4">
        <v>42529</v>
      </c>
      <c r="B360" t="s">
        <v>30</v>
      </c>
      <c r="C360">
        <v>111</v>
      </c>
      <c r="D360">
        <v>4</v>
      </c>
      <c r="E360">
        <v>2</v>
      </c>
      <c r="F360" t="s">
        <v>41</v>
      </c>
      <c r="G360" t="s">
        <v>32</v>
      </c>
      <c r="H360" t="s">
        <v>33</v>
      </c>
      <c r="I360" t="s">
        <v>84</v>
      </c>
      <c r="O360" s="5"/>
      <c r="P360" s="5"/>
      <c r="Z360" t="s">
        <v>39</v>
      </c>
    </row>
    <row r="361" spans="1:29" x14ac:dyDescent="0.25">
      <c r="A361" s="4">
        <v>42529</v>
      </c>
      <c r="B361" t="s">
        <v>30</v>
      </c>
      <c r="C361">
        <v>111</v>
      </c>
      <c r="D361">
        <v>5</v>
      </c>
      <c r="E361">
        <v>1</v>
      </c>
      <c r="F361" t="s">
        <v>41</v>
      </c>
      <c r="G361" t="s">
        <v>32</v>
      </c>
      <c r="H361" t="s">
        <v>33</v>
      </c>
      <c r="I361" t="s">
        <v>84</v>
      </c>
      <c r="O361" s="5"/>
      <c r="P361" s="5"/>
      <c r="Z361" t="s">
        <v>39</v>
      </c>
    </row>
    <row r="362" spans="1:29" x14ac:dyDescent="0.25">
      <c r="A362" s="4">
        <v>42529</v>
      </c>
      <c r="B362" t="s">
        <v>30</v>
      </c>
      <c r="C362">
        <v>111</v>
      </c>
      <c r="D362">
        <v>5</v>
      </c>
      <c r="E362">
        <v>2</v>
      </c>
      <c r="F362" t="s">
        <v>41</v>
      </c>
      <c r="G362" t="s">
        <v>32</v>
      </c>
      <c r="H362" t="s">
        <v>33</v>
      </c>
      <c r="I362" t="s">
        <v>84</v>
      </c>
      <c r="O362" s="5"/>
      <c r="P362" s="5"/>
      <c r="Z362" t="s">
        <v>39</v>
      </c>
    </row>
    <row r="363" spans="1:29" x14ac:dyDescent="0.25">
      <c r="A363" s="4">
        <v>42529</v>
      </c>
      <c r="B363" t="s">
        <v>30</v>
      </c>
      <c r="C363">
        <v>111</v>
      </c>
      <c r="D363">
        <v>6</v>
      </c>
      <c r="E363">
        <v>1</v>
      </c>
      <c r="F363" t="s">
        <v>41</v>
      </c>
      <c r="G363" t="s">
        <v>32</v>
      </c>
      <c r="H363" t="s">
        <v>33</v>
      </c>
      <c r="I363" t="s">
        <v>84</v>
      </c>
      <c r="O363" s="5"/>
      <c r="P363" s="5"/>
      <c r="Z363" t="s">
        <v>39</v>
      </c>
    </row>
    <row r="364" spans="1:29" x14ac:dyDescent="0.25">
      <c r="A364" s="4">
        <v>42529</v>
      </c>
      <c r="B364" t="s">
        <v>30</v>
      </c>
      <c r="C364">
        <v>111</v>
      </c>
      <c r="D364">
        <v>6</v>
      </c>
      <c r="E364">
        <v>2</v>
      </c>
      <c r="F364" t="s">
        <v>41</v>
      </c>
      <c r="G364" t="s">
        <v>32</v>
      </c>
      <c r="H364" t="s">
        <v>33</v>
      </c>
      <c r="I364" t="s">
        <v>84</v>
      </c>
      <c r="O364" s="5"/>
      <c r="P364" s="5"/>
      <c r="Z364" t="s">
        <v>39</v>
      </c>
    </row>
    <row r="365" spans="1:29" x14ac:dyDescent="0.25">
      <c r="A365" s="4">
        <v>42529</v>
      </c>
      <c r="B365" t="s">
        <v>30</v>
      </c>
      <c r="C365">
        <v>111</v>
      </c>
      <c r="D365">
        <v>7</v>
      </c>
      <c r="E365">
        <v>1</v>
      </c>
      <c r="F365" t="s">
        <v>41</v>
      </c>
      <c r="G365" t="s">
        <v>32</v>
      </c>
      <c r="H365" t="s">
        <v>33</v>
      </c>
      <c r="I365" t="s">
        <v>84</v>
      </c>
      <c r="O365" s="5"/>
      <c r="P365" s="5"/>
      <c r="Z365" t="s">
        <v>39</v>
      </c>
    </row>
    <row r="366" spans="1:29" x14ac:dyDescent="0.25">
      <c r="A366" s="4">
        <v>42529</v>
      </c>
      <c r="B366" t="s">
        <v>30</v>
      </c>
      <c r="C366">
        <v>111</v>
      </c>
      <c r="D366">
        <v>7</v>
      </c>
      <c r="E366">
        <v>2</v>
      </c>
      <c r="F366" t="s">
        <v>41</v>
      </c>
      <c r="G366" t="s">
        <v>32</v>
      </c>
      <c r="H366" t="s">
        <v>33</v>
      </c>
      <c r="I366" t="s">
        <v>34</v>
      </c>
      <c r="J366" t="s">
        <v>35</v>
      </c>
      <c r="K366" t="s">
        <v>113</v>
      </c>
      <c r="L366" t="s">
        <v>37</v>
      </c>
      <c r="M366">
        <v>0</v>
      </c>
      <c r="N366">
        <v>0</v>
      </c>
      <c r="O366" s="5">
        <v>50348</v>
      </c>
      <c r="P366" s="5">
        <v>50347</v>
      </c>
      <c r="Q366">
        <f>26-5.5</f>
        <v>20.5</v>
      </c>
      <c r="R366" t="s">
        <v>63</v>
      </c>
      <c r="S366" t="s">
        <v>97</v>
      </c>
      <c r="T366">
        <v>19</v>
      </c>
      <c r="U366">
        <v>88</v>
      </c>
      <c r="V366">
        <v>15</v>
      </c>
      <c r="W366">
        <v>10.5</v>
      </c>
      <c r="X366">
        <v>28.4</v>
      </c>
      <c r="Z366" t="s">
        <v>39</v>
      </c>
      <c r="AB366" t="s">
        <v>87</v>
      </c>
      <c r="AC366" t="s">
        <v>56</v>
      </c>
    </row>
    <row r="367" spans="1:29" x14ac:dyDescent="0.25">
      <c r="A367" s="4">
        <v>42529</v>
      </c>
      <c r="B367" t="s">
        <v>30</v>
      </c>
      <c r="C367">
        <v>111</v>
      </c>
      <c r="D367">
        <v>8</v>
      </c>
      <c r="E367">
        <v>1</v>
      </c>
      <c r="F367" t="s">
        <v>41</v>
      </c>
      <c r="G367" t="s">
        <v>32</v>
      </c>
      <c r="H367" t="s">
        <v>33</v>
      </c>
      <c r="I367" t="s">
        <v>57</v>
      </c>
      <c r="O367" s="5"/>
      <c r="P367" s="5"/>
      <c r="Z367" t="s">
        <v>39</v>
      </c>
    </row>
    <row r="368" spans="1:29" x14ac:dyDescent="0.25">
      <c r="A368" s="4">
        <v>42529</v>
      </c>
      <c r="B368" t="s">
        <v>30</v>
      </c>
      <c r="C368">
        <v>111</v>
      </c>
      <c r="D368">
        <v>9</v>
      </c>
      <c r="E368">
        <v>1</v>
      </c>
      <c r="F368" t="s">
        <v>41</v>
      </c>
      <c r="G368" t="s">
        <v>32</v>
      </c>
      <c r="H368" t="s">
        <v>33</v>
      </c>
      <c r="I368" t="s">
        <v>84</v>
      </c>
      <c r="O368" s="5"/>
      <c r="P368" s="5"/>
      <c r="Z368" t="s">
        <v>39</v>
      </c>
    </row>
    <row r="369" spans="1:29" x14ac:dyDescent="0.25">
      <c r="A369" s="4">
        <v>42529</v>
      </c>
      <c r="B369" t="s">
        <v>30</v>
      </c>
      <c r="C369">
        <v>111</v>
      </c>
      <c r="D369">
        <v>9</v>
      </c>
      <c r="E369">
        <v>2</v>
      </c>
      <c r="F369" t="s">
        <v>41</v>
      </c>
      <c r="G369" t="s">
        <v>32</v>
      </c>
      <c r="H369" t="s">
        <v>33</v>
      </c>
      <c r="I369" t="s">
        <v>34</v>
      </c>
      <c r="J369" t="s">
        <v>42</v>
      </c>
      <c r="K369" t="s">
        <v>114</v>
      </c>
      <c r="L369" t="s">
        <v>43</v>
      </c>
      <c r="M369">
        <v>0</v>
      </c>
      <c r="N369">
        <v>1</v>
      </c>
      <c r="O369" s="5">
        <v>50307</v>
      </c>
      <c r="P369" s="5">
        <v>50306</v>
      </c>
      <c r="Q369">
        <f>21-5.5</f>
        <v>15.5</v>
      </c>
      <c r="R369" t="s">
        <v>47</v>
      </c>
      <c r="S369" t="s">
        <v>39</v>
      </c>
      <c r="T369">
        <v>19</v>
      </c>
      <c r="U369">
        <v>87</v>
      </c>
      <c r="V369">
        <v>15</v>
      </c>
      <c r="W369">
        <v>10.5</v>
      </c>
      <c r="X369">
        <v>24</v>
      </c>
      <c r="Z369" t="s">
        <v>39</v>
      </c>
      <c r="AB369" t="s">
        <v>102</v>
      </c>
      <c r="AC369" t="s">
        <v>56</v>
      </c>
    </row>
    <row r="370" spans="1:29" x14ac:dyDescent="0.25">
      <c r="A370" s="4">
        <v>42529</v>
      </c>
      <c r="B370" t="s">
        <v>30</v>
      </c>
      <c r="C370">
        <v>111</v>
      </c>
      <c r="D370">
        <v>10</v>
      </c>
      <c r="E370">
        <v>1</v>
      </c>
      <c r="F370" t="s">
        <v>41</v>
      </c>
      <c r="G370" t="s">
        <v>32</v>
      </c>
      <c r="H370" t="s">
        <v>33</v>
      </c>
      <c r="I370" t="s">
        <v>84</v>
      </c>
      <c r="O370" s="5"/>
      <c r="P370" s="5"/>
      <c r="Z370" t="s">
        <v>39</v>
      </c>
    </row>
    <row r="371" spans="1:29" x14ac:dyDescent="0.25">
      <c r="A371" s="4">
        <v>42529</v>
      </c>
      <c r="B371" t="s">
        <v>30</v>
      </c>
      <c r="C371">
        <v>112</v>
      </c>
      <c r="D371">
        <v>1</v>
      </c>
      <c r="E371">
        <v>1</v>
      </c>
      <c r="F371" t="s">
        <v>41</v>
      </c>
      <c r="G371" t="s">
        <v>32</v>
      </c>
      <c r="H371" t="s">
        <v>33</v>
      </c>
      <c r="I371" t="s">
        <v>84</v>
      </c>
      <c r="O371" s="5"/>
      <c r="P371" s="5"/>
      <c r="Z371" t="s">
        <v>39</v>
      </c>
    </row>
    <row r="372" spans="1:29" x14ac:dyDescent="0.25">
      <c r="A372" s="4">
        <v>42529</v>
      </c>
      <c r="B372" t="s">
        <v>30</v>
      </c>
      <c r="C372">
        <v>112</v>
      </c>
      <c r="D372">
        <v>1</v>
      </c>
      <c r="E372">
        <v>2</v>
      </c>
      <c r="F372" t="s">
        <v>41</v>
      </c>
      <c r="G372" t="s">
        <v>32</v>
      </c>
      <c r="H372" t="s">
        <v>33</v>
      </c>
      <c r="I372" t="s">
        <v>84</v>
      </c>
      <c r="O372" s="5"/>
      <c r="P372" s="5"/>
      <c r="Z372" t="s">
        <v>39</v>
      </c>
    </row>
    <row r="373" spans="1:29" x14ac:dyDescent="0.25">
      <c r="A373" s="4">
        <v>42529</v>
      </c>
      <c r="B373" t="s">
        <v>30</v>
      </c>
      <c r="C373">
        <v>112</v>
      </c>
      <c r="D373">
        <v>2</v>
      </c>
      <c r="E373">
        <v>1</v>
      </c>
      <c r="F373" t="s">
        <v>41</v>
      </c>
      <c r="G373" t="s">
        <v>32</v>
      </c>
      <c r="H373" t="s">
        <v>33</v>
      </c>
      <c r="I373" t="s">
        <v>57</v>
      </c>
      <c r="O373" s="5"/>
      <c r="P373" s="5"/>
      <c r="Z373" t="s">
        <v>39</v>
      </c>
    </row>
    <row r="374" spans="1:29" x14ac:dyDescent="0.25">
      <c r="A374" s="4">
        <v>42529</v>
      </c>
      <c r="B374" t="s">
        <v>30</v>
      </c>
      <c r="C374">
        <v>112</v>
      </c>
      <c r="D374">
        <v>2</v>
      </c>
      <c r="E374">
        <v>2</v>
      </c>
      <c r="F374" t="s">
        <v>41</v>
      </c>
      <c r="G374" t="s">
        <v>32</v>
      </c>
      <c r="H374" t="s">
        <v>33</v>
      </c>
      <c r="I374" t="s">
        <v>84</v>
      </c>
      <c r="O374" s="5"/>
      <c r="P374" s="5"/>
      <c r="Z374" t="s">
        <v>39</v>
      </c>
    </row>
    <row r="375" spans="1:29" x14ac:dyDescent="0.25">
      <c r="A375" s="4">
        <v>42529</v>
      </c>
      <c r="B375" t="s">
        <v>30</v>
      </c>
      <c r="C375">
        <v>112</v>
      </c>
      <c r="D375">
        <v>3</v>
      </c>
      <c r="E375">
        <v>1</v>
      </c>
      <c r="F375" t="s">
        <v>41</v>
      </c>
      <c r="G375" t="s">
        <v>32</v>
      </c>
      <c r="H375" t="s">
        <v>33</v>
      </c>
      <c r="I375" t="s">
        <v>57</v>
      </c>
      <c r="O375" s="5"/>
      <c r="P375" s="5"/>
      <c r="Z375" t="s">
        <v>39</v>
      </c>
    </row>
    <row r="376" spans="1:29" x14ac:dyDescent="0.25">
      <c r="A376" s="4">
        <v>42529</v>
      </c>
      <c r="B376" t="s">
        <v>30</v>
      </c>
      <c r="C376">
        <v>112</v>
      </c>
      <c r="D376">
        <v>4</v>
      </c>
      <c r="E376">
        <v>1</v>
      </c>
      <c r="F376" t="s">
        <v>41</v>
      </c>
      <c r="G376" t="s">
        <v>32</v>
      </c>
      <c r="H376" t="s">
        <v>33</v>
      </c>
      <c r="I376" t="s">
        <v>57</v>
      </c>
      <c r="O376" s="5"/>
      <c r="P376" s="5"/>
      <c r="Z376" t="s">
        <v>39</v>
      </c>
    </row>
    <row r="377" spans="1:29" x14ac:dyDescent="0.25">
      <c r="A377" s="4">
        <v>42529</v>
      </c>
      <c r="B377" t="s">
        <v>30</v>
      </c>
      <c r="C377">
        <v>112</v>
      </c>
      <c r="D377">
        <v>4</v>
      </c>
      <c r="E377">
        <v>2</v>
      </c>
      <c r="F377" t="s">
        <v>41</v>
      </c>
      <c r="G377" t="s">
        <v>32</v>
      </c>
      <c r="H377" t="s">
        <v>33</v>
      </c>
      <c r="I377" t="s">
        <v>57</v>
      </c>
      <c r="O377" s="5"/>
      <c r="P377" s="5"/>
      <c r="Z377" t="s">
        <v>39</v>
      </c>
    </row>
    <row r="378" spans="1:29" x14ac:dyDescent="0.25">
      <c r="A378" s="4">
        <v>42529</v>
      </c>
      <c r="B378" t="s">
        <v>30</v>
      </c>
      <c r="C378">
        <v>112</v>
      </c>
      <c r="D378">
        <v>5</v>
      </c>
      <c r="E378">
        <v>1</v>
      </c>
      <c r="F378" t="s">
        <v>41</v>
      </c>
      <c r="G378" t="s">
        <v>32</v>
      </c>
      <c r="H378" t="s">
        <v>33</v>
      </c>
      <c r="I378" t="s">
        <v>84</v>
      </c>
      <c r="O378" s="5"/>
      <c r="P378" s="5"/>
      <c r="Z378" t="s">
        <v>39</v>
      </c>
    </row>
    <row r="379" spans="1:29" x14ac:dyDescent="0.25">
      <c r="A379" s="4">
        <v>42529</v>
      </c>
      <c r="B379" t="s">
        <v>30</v>
      </c>
      <c r="C379">
        <v>112</v>
      </c>
      <c r="D379">
        <v>5</v>
      </c>
      <c r="E379">
        <v>2</v>
      </c>
      <c r="F379" t="s">
        <v>41</v>
      </c>
      <c r="G379" t="s">
        <v>32</v>
      </c>
      <c r="H379" t="s">
        <v>33</v>
      </c>
      <c r="I379" t="s">
        <v>84</v>
      </c>
      <c r="O379" s="5"/>
      <c r="P379" s="5"/>
      <c r="Z379" t="s">
        <v>39</v>
      </c>
    </row>
    <row r="380" spans="1:29" x14ac:dyDescent="0.25">
      <c r="A380" s="4">
        <v>42529</v>
      </c>
      <c r="B380" t="s">
        <v>30</v>
      </c>
      <c r="C380">
        <v>112</v>
      </c>
      <c r="D380">
        <v>6</v>
      </c>
      <c r="E380">
        <v>1</v>
      </c>
      <c r="F380" t="s">
        <v>41</v>
      </c>
      <c r="G380" t="s">
        <v>32</v>
      </c>
      <c r="H380" t="s">
        <v>33</v>
      </c>
      <c r="I380" t="s">
        <v>84</v>
      </c>
      <c r="O380" s="5"/>
      <c r="P380" s="5"/>
      <c r="Z380" t="s">
        <v>39</v>
      </c>
    </row>
    <row r="381" spans="1:29" x14ac:dyDescent="0.25">
      <c r="A381" s="4">
        <v>42529</v>
      </c>
      <c r="B381" t="s">
        <v>30</v>
      </c>
      <c r="C381">
        <v>112</v>
      </c>
      <c r="D381">
        <v>6</v>
      </c>
      <c r="E381">
        <v>2</v>
      </c>
      <c r="F381" t="s">
        <v>41</v>
      </c>
      <c r="G381" t="s">
        <v>32</v>
      </c>
      <c r="H381" t="s">
        <v>33</v>
      </c>
      <c r="I381" t="s">
        <v>84</v>
      </c>
      <c r="O381" s="5"/>
      <c r="P381" s="5"/>
      <c r="Z381" t="s">
        <v>39</v>
      </c>
    </row>
    <row r="382" spans="1:29" x14ac:dyDescent="0.25">
      <c r="A382" s="4">
        <v>42529</v>
      </c>
      <c r="B382" t="s">
        <v>30</v>
      </c>
      <c r="C382">
        <v>112</v>
      </c>
      <c r="D382">
        <v>7</v>
      </c>
      <c r="E382">
        <v>1</v>
      </c>
      <c r="F382" t="s">
        <v>41</v>
      </c>
      <c r="G382" t="s">
        <v>32</v>
      </c>
      <c r="H382" t="s">
        <v>33</v>
      </c>
      <c r="I382" t="s">
        <v>84</v>
      </c>
      <c r="O382" s="5"/>
      <c r="P382" s="5"/>
      <c r="Z382" t="s">
        <v>39</v>
      </c>
    </row>
    <row r="383" spans="1:29" x14ac:dyDescent="0.25">
      <c r="A383" s="4">
        <v>42529</v>
      </c>
      <c r="B383" t="s">
        <v>30</v>
      </c>
      <c r="C383">
        <v>112</v>
      </c>
      <c r="D383">
        <v>7</v>
      </c>
      <c r="E383">
        <v>2</v>
      </c>
      <c r="F383" t="s">
        <v>41</v>
      </c>
      <c r="G383" t="s">
        <v>32</v>
      </c>
      <c r="H383" t="s">
        <v>33</v>
      </c>
      <c r="I383" t="s">
        <v>84</v>
      </c>
      <c r="O383" s="5"/>
      <c r="P383" s="5"/>
      <c r="Z383" t="s">
        <v>39</v>
      </c>
    </row>
    <row r="384" spans="1:29" x14ac:dyDescent="0.25">
      <c r="A384" s="4">
        <v>42529</v>
      </c>
      <c r="B384" t="s">
        <v>30</v>
      </c>
      <c r="C384">
        <v>112</v>
      </c>
      <c r="D384">
        <v>8</v>
      </c>
      <c r="E384">
        <v>1</v>
      </c>
      <c r="F384" t="s">
        <v>41</v>
      </c>
      <c r="G384" t="s">
        <v>32</v>
      </c>
      <c r="H384" t="s">
        <v>33</v>
      </c>
      <c r="I384" t="s">
        <v>84</v>
      </c>
      <c r="O384" s="5"/>
      <c r="P384" s="5"/>
      <c r="Z384" t="s">
        <v>39</v>
      </c>
    </row>
    <row r="385" spans="1:26" x14ac:dyDescent="0.25">
      <c r="A385" s="4">
        <v>42529</v>
      </c>
      <c r="B385" t="s">
        <v>30</v>
      </c>
      <c r="C385">
        <v>112</v>
      </c>
      <c r="D385">
        <v>8</v>
      </c>
      <c r="E385">
        <v>2</v>
      </c>
      <c r="F385" t="s">
        <v>41</v>
      </c>
      <c r="G385" t="s">
        <v>32</v>
      </c>
      <c r="H385" t="s">
        <v>33</v>
      </c>
      <c r="I385" t="s">
        <v>84</v>
      </c>
      <c r="O385" s="5"/>
      <c r="P385" s="5"/>
      <c r="Z385" t="s">
        <v>39</v>
      </c>
    </row>
    <row r="386" spans="1:26" x14ac:dyDescent="0.25">
      <c r="A386" s="4">
        <v>42529</v>
      </c>
      <c r="B386" t="s">
        <v>30</v>
      </c>
      <c r="C386">
        <v>112</v>
      </c>
      <c r="D386">
        <v>9</v>
      </c>
      <c r="E386">
        <v>1</v>
      </c>
      <c r="F386" t="s">
        <v>41</v>
      </c>
      <c r="G386" t="s">
        <v>32</v>
      </c>
      <c r="H386" t="s">
        <v>33</v>
      </c>
      <c r="I386" t="s">
        <v>84</v>
      </c>
      <c r="O386" s="5"/>
      <c r="P386" s="5"/>
      <c r="Z386" t="s">
        <v>39</v>
      </c>
    </row>
    <row r="387" spans="1:26" x14ac:dyDescent="0.25">
      <c r="A387" s="4">
        <v>42529</v>
      </c>
      <c r="B387" t="s">
        <v>30</v>
      </c>
      <c r="C387">
        <v>112</v>
      </c>
      <c r="D387">
        <v>9</v>
      </c>
      <c r="E387">
        <v>2</v>
      </c>
      <c r="F387" t="s">
        <v>41</v>
      </c>
      <c r="G387" t="s">
        <v>32</v>
      </c>
      <c r="H387" t="s">
        <v>33</v>
      </c>
      <c r="I387" t="s">
        <v>84</v>
      </c>
      <c r="O387" s="5"/>
      <c r="P387" s="5"/>
      <c r="Z387" t="s">
        <v>39</v>
      </c>
    </row>
    <row r="388" spans="1:26" x14ac:dyDescent="0.25">
      <c r="A388" s="4">
        <v>42529</v>
      </c>
      <c r="B388" t="s">
        <v>30</v>
      </c>
      <c r="C388">
        <v>112</v>
      </c>
      <c r="D388">
        <v>10</v>
      </c>
      <c r="E388">
        <v>1</v>
      </c>
      <c r="F388" t="s">
        <v>41</v>
      </c>
      <c r="G388" t="s">
        <v>32</v>
      </c>
      <c r="H388" t="s">
        <v>33</v>
      </c>
      <c r="I388" t="s">
        <v>84</v>
      </c>
      <c r="O388" s="5"/>
      <c r="P388" s="5"/>
      <c r="Z388" t="s">
        <v>39</v>
      </c>
    </row>
    <row r="389" spans="1:26" x14ac:dyDescent="0.25">
      <c r="A389" s="4">
        <v>42529</v>
      </c>
      <c r="B389" t="s">
        <v>30</v>
      </c>
      <c r="C389">
        <v>112</v>
      </c>
      <c r="D389">
        <v>10</v>
      </c>
      <c r="E389">
        <v>2</v>
      </c>
      <c r="F389" t="s">
        <v>41</v>
      </c>
      <c r="G389" t="s">
        <v>32</v>
      </c>
      <c r="H389" t="s">
        <v>33</v>
      </c>
      <c r="I389" t="s">
        <v>84</v>
      </c>
      <c r="O389" s="5"/>
      <c r="P389" s="5"/>
      <c r="Z389" t="s">
        <v>39</v>
      </c>
    </row>
    <row r="390" spans="1:26" x14ac:dyDescent="0.25">
      <c r="A390" s="4">
        <v>42529</v>
      </c>
      <c r="B390" t="s">
        <v>30</v>
      </c>
      <c r="C390">
        <v>113</v>
      </c>
      <c r="D390">
        <v>1</v>
      </c>
      <c r="E390">
        <v>1</v>
      </c>
      <c r="F390" t="s">
        <v>41</v>
      </c>
      <c r="G390" t="s">
        <v>32</v>
      </c>
      <c r="H390" t="s">
        <v>33</v>
      </c>
      <c r="I390" t="s">
        <v>57</v>
      </c>
      <c r="O390" s="5"/>
      <c r="P390" s="5"/>
      <c r="Z390" t="s">
        <v>39</v>
      </c>
    </row>
    <row r="391" spans="1:26" x14ac:dyDescent="0.25">
      <c r="A391" s="4">
        <v>42529</v>
      </c>
      <c r="B391" t="s">
        <v>30</v>
      </c>
      <c r="C391">
        <v>113</v>
      </c>
      <c r="D391">
        <v>8</v>
      </c>
      <c r="E391">
        <v>1</v>
      </c>
      <c r="F391" t="s">
        <v>41</v>
      </c>
      <c r="G391" t="s">
        <v>32</v>
      </c>
      <c r="H391" t="s">
        <v>33</v>
      </c>
      <c r="I391" t="s">
        <v>57</v>
      </c>
      <c r="O391" s="5"/>
      <c r="P391" s="5"/>
      <c r="Z391" t="s">
        <v>39</v>
      </c>
    </row>
    <row r="392" spans="1:26" x14ac:dyDescent="0.25">
      <c r="A392" s="4">
        <v>42529</v>
      </c>
      <c r="B392" t="s">
        <v>30</v>
      </c>
      <c r="C392">
        <v>113</v>
      </c>
      <c r="D392">
        <v>8</v>
      </c>
      <c r="E392">
        <v>2</v>
      </c>
      <c r="F392" t="s">
        <v>41</v>
      </c>
      <c r="G392" t="s">
        <v>32</v>
      </c>
      <c r="H392" t="s">
        <v>33</v>
      </c>
      <c r="I392" t="s">
        <v>57</v>
      </c>
      <c r="O392" s="5"/>
      <c r="P392" s="5"/>
      <c r="Z392" t="s">
        <v>39</v>
      </c>
    </row>
    <row r="393" spans="1:26" x14ac:dyDescent="0.25">
      <c r="A393" s="4">
        <v>42529</v>
      </c>
      <c r="B393" t="s">
        <v>30</v>
      </c>
      <c r="C393">
        <v>113</v>
      </c>
      <c r="D393">
        <v>9</v>
      </c>
      <c r="E393">
        <v>1</v>
      </c>
      <c r="F393" t="s">
        <v>41</v>
      </c>
      <c r="G393" t="s">
        <v>32</v>
      </c>
      <c r="H393" t="s">
        <v>33</v>
      </c>
      <c r="I393" t="s">
        <v>57</v>
      </c>
      <c r="O393" s="5"/>
      <c r="P393" s="5"/>
      <c r="Z393" t="s">
        <v>39</v>
      </c>
    </row>
    <row r="394" spans="1:26" x14ac:dyDescent="0.25">
      <c r="A394" s="4">
        <v>42529</v>
      </c>
      <c r="B394" t="s">
        <v>30</v>
      </c>
      <c r="C394">
        <v>402</v>
      </c>
      <c r="D394">
        <v>3</v>
      </c>
      <c r="E394">
        <v>1</v>
      </c>
      <c r="F394" t="s">
        <v>41</v>
      </c>
      <c r="G394" t="s">
        <v>32</v>
      </c>
      <c r="H394" t="s">
        <v>33</v>
      </c>
      <c r="I394" t="s">
        <v>57</v>
      </c>
      <c r="O394" s="5"/>
      <c r="P394" s="5"/>
      <c r="Z394" t="s">
        <v>39</v>
      </c>
    </row>
    <row r="395" spans="1:26" x14ac:dyDescent="0.25">
      <c r="A395" s="4">
        <v>42529</v>
      </c>
      <c r="B395" t="s">
        <v>30</v>
      </c>
      <c r="C395">
        <v>402</v>
      </c>
      <c r="D395">
        <v>3</v>
      </c>
      <c r="E395">
        <v>2</v>
      </c>
      <c r="F395" t="s">
        <v>41</v>
      </c>
      <c r="G395" t="s">
        <v>32</v>
      </c>
      <c r="H395" t="s">
        <v>33</v>
      </c>
      <c r="I395" t="s">
        <v>57</v>
      </c>
      <c r="O395" s="5"/>
      <c r="P395" s="5"/>
      <c r="Z395" t="s">
        <v>39</v>
      </c>
    </row>
    <row r="396" spans="1:26" x14ac:dyDescent="0.25">
      <c r="A396" s="4">
        <v>42529</v>
      </c>
      <c r="B396" t="s">
        <v>30</v>
      </c>
      <c r="C396">
        <v>402</v>
      </c>
      <c r="D396">
        <v>4</v>
      </c>
      <c r="E396">
        <v>1</v>
      </c>
      <c r="F396" t="s">
        <v>41</v>
      </c>
      <c r="G396" t="s">
        <v>32</v>
      </c>
      <c r="H396" t="s">
        <v>33</v>
      </c>
      <c r="I396" t="s">
        <v>57</v>
      </c>
      <c r="O396" s="5"/>
      <c r="P396" s="5"/>
      <c r="Z396" t="s">
        <v>39</v>
      </c>
    </row>
    <row r="397" spans="1:26" x14ac:dyDescent="0.25">
      <c r="A397" s="4">
        <v>42529</v>
      </c>
      <c r="B397" t="s">
        <v>30</v>
      </c>
      <c r="C397">
        <v>402</v>
      </c>
      <c r="D397">
        <v>4</v>
      </c>
      <c r="E397">
        <v>2</v>
      </c>
      <c r="F397" t="s">
        <v>41</v>
      </c>
      <c r="G397" t="s">
        <v>32</v>
      </c>
      <c r="H397" t="s">
        <v>33</v>
      </c>
      <c r="I397" t="s">
        <v>84</v>
      </c>
      <c r="O397" s="5"/>
      <c r="P397" s="5"/>
      <c r="Z397" t="s">
        <v>39</v>
      </c>
    </row>
    <row r="398" spans="1:26" x14ac:dyDescent="0.25">
      <c r="A398" s="4">
        <v>42529</v>
      </c>
      <c r="B398" t="s">
        <v>30</v>
      </c>
      <c r="C398">
        <v>402</v>
      </c>
      <c r="D398">
        <v>5</v>
      </c>
      <c r="E398">
        <v>1</v>
      </c>
      <c r="F398" t="s">
        <v>41</v>
      </c>
      <c r="G398" t="s">
        <v>32</v>
      </c>
      <c r="H398" t="s">
        <v>33</v>
      </c>
      <c r="I398" t="s">
        <v>84</v>
      </c>
      <c r="O398" s="5"/>
      <c r="P398" s="5"/>
      <c r="Z398" t="s">
        <v>39</v>
      </c>
    </row>
    <row r="399" spans="1:26" x14ac:dyDescent="0.25">
      <c r="A399" s="4">
        <v>42529</v>
      </c>
      <c r="B399" t="s">
        <v>30</v>
      </c>
      <c r="C399">
        <v>402</v>
      </c>
      <c r="D399">
        <v>5</v>
      </c>
      <c r="E399">
        <v>2</v>
      </c>
      <c r="F399" t="s">
        <v>41</v>
      </c>
      <c r="G399" t="s">
        <v>32</v>
      </c>
      <c r="H399" t="s">
        <v>33</v>
      </c>
      <c r="I399" t="s">
        <v>84</v>
      </c>
      <c r="O399" s="5"/>
      <c r="P399" s="5"/>
      <c r="Z399" t="s">
        <v>39</v>
      </c>
    </row>
    <row r="400" spans="1:26" x14ac:dyDescent="0.25">
      <c r="A400" s="4">
        <v>42529</v>
      </c>
      <c r="B400" t="s">
        <v>30</v>
      </c>
      <c r="C400">
        <v>402</v>
      </c>
      <c r="D400">
        <v>6</v>
      </c>
      <c r="E400">
        <v>1</v>
      </c>
      <c r="F400" t="s">
        <v>41</v>
      </c>
      <c r="G400" t="s">
        <v>32</v>
      </c>
      <c r="H400" t="s">
        <v>33</v>
      </c>
      <c r="I400" t="s">
        <v>84</v>
      </c>
      <c r="O400" s="5"/>
      <c r="P400" s="5"/>
      <c r="Z400" t="s">
        <v>39</v>
      </c>
    </row>
    <row r="401" spans="1:30" x14ac:dyDescent="0.25">
      <c r="A401" s="4">
        <v>42529</v>
      </c>
      <c r="B401" t="s">
        <v>30</v>
      </c>
      <c r="C401">
        <v>402</v>
      </c>
      <c r="D401">
        <v>6</v>
      </c>
      <c r="E401">
        <v>2</v>
      </c>
      <c r="F401" t="s">
        <v>41</v>
      </c>
      <c r="G401" t="s">
        <v>32</v>
      </c>
      <c r="H401" t="s">
        <v>33</v>
      </c>
      <c r="I401" t="s">
        <v>84</v>
      </c>
      <c r="O401" s="5"/>
      <c r="P401" s="5"/>
      <c r="Z401" t="s">
        <v>39</v>
      </c>
    </row>
    <row r="402" spans="1:30" x14ac:dyDescent="0.25">
      <c r="A402" s="4">
        <v>42529</v>
      </c>
      <c r="B402" t="s">
        <v>30</v>
      </c>
      <c r="C402">
        <v>402</v>
      </c>
      <c r="D402">
        <v>7</v>
      </c>
      <c r="E402">
        <v>1</v>
      </c>
      <c r="F402" t="s">
        <v>41</v>
      </c>
      <c r="G402" t="s">
        <v>32</v>
      </c>
      <c r="H402" t="s">
        <v>33</v>
      </c>
      <c r="I402" t="s">
        <v>57</v>
      </c>
      <c r="O402" s="5"/>
      <c r="P402" s="5"/>
      <c r="Z402" t="s">
        <v>39</v>
      </c>
    </row>
    <row r="403" spans="1:30" x14ac:dyDescent="0.25">
      <c r="A403" s="4">
        <v>42529</v>
      </c>
      <c r="B403" t="s">
        <v>30</v>
      </c>
      <c r="C403">
        <v>402</v>
      </c>
      <c r="D403">
        <v>8</v>
      </c>
      <c r="E403">
        <v>1</v>
      </c>
      <c r="F403" t="s">
        <v>41</v>
      </c>
      <c r="G403" t="s">
        <v>32</v>
      </c>
      <c r="H403" t="s">
        <v>33</v>
      </c>
      <c r="I403" t="s">
        <v>86</v>
      </c>
      <c r="O403" s="5"/>
      <c r="P403" s="5"/>
      <c r="Z403" t="s">
        <v>39</v>
      </c>
    </row>
    <row r="404" spans="1:30" x14ac:dyDescent="0.25">
      <c r="A404" s="4">
        <v>42529</v>
      </c>
      <c r="B404" t="s">
        <v>30</v>
      </c>
      <c r="C404">
        <v>402</v>
      </c>
      <c r="D404">
        <v>8</v>
      </c>
      <c r="E404">
        <v>2</v>
      </c>
      <c r="F404" t="s">
        <v>41</v>
      </c>
      <c r="G404" t="s">
        <v>32</v>
      </c>
      <c r="H404" t="s">
        <v>33</v>
      </c>
      <c r="I404" t="s">
        <v>86</v>
      </c>
      <c r="O404" s="5"/>
      <c r="P404" s="5"/>
      <c r="Z404" t="s">
        <v>39</v>
      </c>
    </row>
    <row r="405" spans="1:30" x14ac:dyDescent="0.25">
      <c r="A405" s="4">
        <v>42529</v>
      </c>
      <c r="B405" t="s">
        <v>30</v>
      </c>
      <c r="C405">
        <v>402</v>
      </c>
      <c r="D405">
        <v>9</v>
      </c>
      <c r="E405">
        <v>1</v>
      </c>
      <c r="F405" t="s">
        <v>41</v>
      </c>
      <c r="G405" t="s">
        <v>32</v>
      </c>
      <c r="H405" t="s">
        <v>33</v>
      </c>
      <c r="I405" t="s">
        <v>86</v>
      </c>
      <c r="O405" s="5"/>
      <c r="P405" s="5"/>
      <c r="Z405" t="s">
        <v>39</v>
      </c>
    </row>
    <row r="406" spans="1:30" x14ac:dyDescent="0.25">
      <c r="A406" s="4">
        <v>42529</v>
      </c>
      <c r="B406" t="s">
        <v>30</v>
      </c>
      <c r="C406">
        <v>402</v>
      </c>
      <c r="D406">
        <v>9</v>
      </c>
      <c r="E406">
        <v>2</v>
      </c>
      <c r="F406" t="s">
        <v>41</v>
      </c>
      <c r="G406" t="s">
        <v>32</v>
      </c>
      <c r="H406" t="s">
        <v>33</v>
      </c>
      <c r="I406" t="s">
        <v>86</v>
      </c>
      <c r="O406" s="5"/>
      <c r="P406" s="5"/>
      <c r="Z406" t="s">
        <v>39</v>
      </c>
    </row>
    <row r="407" spans="1:30" x14ac:dyDescent="0.25">
      <c r="A407" s="4">
        <v>42529</v>
      </c>
      <c r="B407" t="s">
        <v>30</v>
      </c>
      <c r="C407">
        <v>402</v>
      </c>
      <c r="D407">
        <v>10</v>
      </c>
      <c r="E407">
        <v>1</v>
      </c>
      <c r="F407" t="s">
        <v>41</v>
      </c>
      <c r="G407" t="s">
        <v>32</v>
      </c>
      <c r="H407" t="s">
        <v>33</v>
      </c>
      <c r="I407" t="s">
        <v>86</v>
      </c>
      <c r="O407" s="5"/>
      <c r="P407" s="5"/>
      <c r="Z407" t="s">
        <v>39</v>
      </c>
    </row>
    <row r="408" spans="1:30" x14ac:dyDescent="0.25">
      <c r="A408" s="4">
        <v>42529</v>
      </c>
      <c r="B408" t="s">
        <v>30</v>
      </c>
      <c r="C408">
        <v>402</v>
      </c>
      <c r="D408">
        <v>10</v>
      </c>
      <c r="E408">
        <v>2</v>
      </c>
      <c r="F408" t="s">
        <v>41</v>
      </c>
      <c r="G408" t="s">
        <v>32</v>
      </c>
      <c r="H408" t="s">
        <v>33</v>
      </c>
      <c r="I408" t="s">
        <v>86</v>
      </c>
      <c r="O408" s="5"/>
      <c r="P408" s="5"/>
      <c r="Z408" t="s">
        <v>39</v>
      </c>
    </row>
    <row r="409" spans="1:30" x14ac:dyDescent="0.25">
      <c r="A409" s="4">
        <v>42529</v>
      </c>
      <c r="B409" t="s">
        <v>30</v>
      </c>
      <c r="C409">
        <v>304</v>
      </c>
      <c r="D409">
        <v>10</v>
      </c>
      <c r="E409">
        <v>1</v>
      </c>
      <c r="F409" t="s">
        <v>41</v>
      </c>
      <c r="G409" t="s">
        <v>32</v>
      </c>
      <c r="H409" t="s">
        <v>33</v>
      </c>
      <c r="I409" t="s">
        <v>86</v>
      </c>
      <c r="O409" s="5"/>
      <c r="P409" s="5"/>
      <c r="Z409" t="s">
        <v>39</v>
      </c>
      <c r="AD409" t="s">
        <v>115</v>
      </c>
    </row>
    <row r="410" spans="1:30" x14ac:dyDescent="0.25">
      <c r="A410" s="4">
        <v>42529</v>
      </c>
      <c r="B410" t="s">
        <v>30</v>
      </c>
      <c r="C410">
        <v>304</v>
      </c>
      <c r="D410">
        <v>8</v>
      </c>
      <c r="E410">
        <v>1</v>
      </c>
      <c r="F410" t="s">
        <v>41</v>
      </c>
      <c r="G410" t="s">
        <v>32</v>
      </c>
      <c r="H410" t="s">
        <v>33</v>
      </c>
      <c r="I410" t="s">
        <v>57</v>
      </c>
      <c r="O410" s="5"/>
      <c r="P410" s="5"/>
      <c r="Z410" t="s">
        <v>39</v>
      </c>
    </row>
    <row r="411" spans="1:30" x14ac:dyDescent="0.25">
      <c r="A411" s="4">
        <v>42529</v>
      </c>
      <c r="B411" t="s">
        <v>30</v>
      </c>
      <c r="C411">
        <v>304</v>
      </c>
      <c r="D411">
        <v>8</v>
      </c>
      <c r="E411">
        <v>2</v>
      </c>
      <c r="F411" t="s">
        <v>41</v>
      </c>
      <c r="G411" t="s">
        <v>32</v>
      </c>
      <c r="H411" t="s">
        <v>33</v>
      </c>
      <c r="I411" t="s">
        <v>57</v>
      </c>
      <c r="O411" s="5"/>
      <c r="P411" s="5"/>
      <c r="Z411" t="s">
        <v>39</v>
      </c>
    </row>
    <row r="412" spans="1:30" x14ac:dyDescent="0.25">
      <c r="A412" s="4">
        <v>42529</v>
      </c>
      <c r="B412" t="s">
        <v>30</v>
      </c>
      <c r="C412">
        <v>304</v>
      </c>
      <c r="D412">
        <v>7</v>
      </c>
      <c r="E412">
        <v>1</v>
      </c>
      <c r="F412" t="s">
        <v>41</v>
      </c>
      <c r="G412" t="s">
        <v>32</v>
      </c>
      <c r="H412" t="s">
        <v>33</v>
      </c>
      <c r="I412" t="s">
        <v>57</v>
      </c>
      <c r="O412" s="5"/>
      <c r="P412" s="5"/>
      <c r="Z412" t="s">
        <v>39</v>
      </c>
    </row>
    <row r="413" spans="1:30" x14ac:dyDescent="0.25">
      <c r="A413" s="4">
        <v>42529</v>
      </c>
      <c r="B413" t="s">
        <v>30</v>
      </c>
      <c r="C413">
        <v>304</v>
      </c>
      <c r="D413">
        <v>7</v>
      </c>
      <c r="E413">
        <v>2</v>
      </c>
      <c r="F413" t="s">
        <v>41</v>
      </c>
      <c r="G413" t="s">
        <v>32</v>
      </c>
      <c r="H413" t="s">
        <v>33</v>
      </c>
      <c r="I413" t="s">
        <v>57</v>
      </c>
      <c r="O413" s="5"/>
      <c r="P413" s="5"/>
      <c r="Z413" t="s">
        <v>39</v>
      </c>
    </row>
    <row r="414" spans="1:30" x14ac:dyDescent="0.25">
      <c r="A414" s="4">
        <v>42529</v>
      </c>
      <c r="B414" t="s">
        <v>30</v>
      </c>
      <c r="C414">
        <v>304</v>
      </c>
      <c r="D414">
        <v>5</v>
      </c>
      <c r="E414">
        <v>1</v>
      </c>
      <c r="F414" t="s">
        <v>41</v>
      </c>
      <c r="G414" t="s">
        <v>32</v>
      </c>
      <c r="H414" t="s">
        <v>33</v>
      </c>
      <c r="I414" t="s">
        <v>53</v>
      </c>
      <c r="J414" t="s">
        <v>62</v>
      </c>
      <c r="O414" s="5"/>
      <c r="P414" s="5"/>
      <c r="Z414" t="s">
        <v>39</v>
      </c>
    </row>
    <row r="415" spans="1:30" x14ac:dyDescent="0.25">
      <c r="A415" s="4">
        <v>42529</v>
      </c>
      <c r="B415" t="s">
        <v>30</v>
      </c>
      <c r="C415">
        <v>304</v>
      </c>
      <c r="D415">
        <v>4</v>
      </c>
      <c r="E415">
        <v>1</v>
      </c>
      <c r="F415" t="s">
        <v>41</v>
      </c>
      <c r="G415" t="s">
        <v>32</v>
      </c>
      <c r="H415" t="s">
        <v>33</v>
      </c>
      <c r="I415" t="s">
        <v>57</v>
      </c>
      <c r="O415" s="5"/>
      <c r="P415" s="5"/>
      <c r="Z415" t="s">
        <v>39</v>
      </c>
    </row>
    <row r="416" spans="1:30" x14ac:dyDescent="0.25">
      <c r="A416" s="4">
        <v>42529</v>
      </c>
      <c r="B416" t="s">
        <v>30</v>
      </c>
      <c r="C416">
        <v>304</v>
      </c>
      <c r="D416">
        <v>4</v>
      </c>
      <c r="E416">
        <v>2</v>
      </c>
      <c r="F416" t="s">
        <v>41</v>
      </c>
      <c r="G416" t="s">
        <v>32</v>
      </c>
      <c r="H416" t="s">
        <v>33</v>
      </c>
      <c r="I416" t="s">
        <v>57</v>
      </c>
      <c r="O416" s="5"/>
      <c r="P416" s="5"/>
      <c r="Z416" t="s">
        <v>39</v>
      </c>
    </row>
    <row r="417" spans="1:29" x14ac:dyDescent="0.25">
      <c r="A417" s="4">
        <v>42529</v>
      </c>
      <c r="B417" t="s">
        <v>30</v>
      </c>
      <c r="C417">
        <v>304</v>
      </c>
      <c r="D417">
        <v>3</v>
      </c>
      <c r="E417">
        <v>1</v>
      </c>
      <c r="F417" t="s">
        <v>41</v>
      </c>
      <c r="G417" t="s">
        <v>32</v>
      </c>
      <c r="H417" t="s">
        <v>33</v>
      </c>
      <c r="I417" t="s">
        <v>57</v>
      </c>
      <c r="O417" s="5"/>
      <c r="P417" s="5"/>
      <c r="Z417" t="s">
        <v>39</v>
      </c>
    </row>
    <row r="418" spans="1:29" x14ac:dyDescent="0.25">
      <c r="A418" s="4">
        <v>42529</v>
      </c>
      <c r="B418" t="s">
        <v>30</v>
      </c>
      <c r="C418">
        <v>201</v>
      </c>
      <c r="D418">
        <v>1</v>
      </c>
      <c r="E418">
        <v>1</v>
      </c>
      <c r="F418" t="s">
        <v>31</v>
      </c>
      <c r="G418" t="s">
        <v>32</v>
      </c>
      <c r="H418" t="s">
        <v>33</v>
      </c>
      <c r="I418" t="s">
        <v>57</v>
      </c>
      <c r="O418" s="5"/>
      <c r="P418" s="5"/>
      <c r="Z418" t="s">
        <v>39</v>
      </c>
    </row>
    <row r="419" spans="1:29" x14ac:dyDescent="0.25">
      <c r="A419" s="4">
        <v>42529</v>
      </c>
      <c r="B419" t="s">
        <v>30</v>
      </c>
      <c r="C419">
        <v>201</v>
      </c>
      <c r="D419">
        <v>1</v>
      </c>
      <c r="E419">
        <v>2</v>
      </c>
      <c r="F419" t="s">
        <v>31</v>
      </c>
      <c r="G419" t="s">
        <v>32</v>
      </c>
      <c r="H419" t="s">
        <v>33</v>
      </c>
      <c r="I419" t="s">
        <v>57</v>
      </c>
      <c r="O419" s="5"/>
      <c r="P419" s="5"/>
      <c r="Z419" t="s">
        <v>39</v>
      </c>
    </row>
    <row r="420" spans="1:29" x14ac:dyDescent="0.25">
      <c r="A420" s="4">
        <v>42529</v>
      </c>
      <c r="B420" t="s">
        <v>30</v>
      </c>
      <c r="C420">
        <v>201</v>
      </c>
      <c r="D420">
        <v>2</v>
      </c>
      <c r="E420">
        <v>1</v>
      </c>
      <c r="F420" t="s">
        <v>31</v>
      </c>
      <c r="G420" t="s">
        <v>32</v>
      </c>
      <c r="H420" t="s">
        <v>33</v>
      </c>
      <c r="I420" t="s">
        <v>57</v>
      </c>
      <c r="O420" s="5"/>
      <c r="P420" s="5"/>
      <c r="Z420" t="s">
        <v>39</v>
      </c>
    </row>
    <row r="421" spans="1:29" x14ac:dyDescent="0.25">
      <c r="A421" s="4">
        <v>42529</v>
      </c>
      <c r="B421" t="s">
        <v>30</v>
      </c>
      <c r="C421">
        <v>201</v>
      </c>
      <c r="D421">
        <v>4</v>
      </c>
      <c r="E421">
        <v>1</v>
      </c>
      <c r="F421" t="s">
        <v>31</v>
      </c>
      <c r="G421" t="s">
        <v>32</v>
      </c>
      <c r="H421" t="s">
        <v>33</v>
      </c>
      <c r="I421" t="s">
        <v>34</v>
      </c>
      <c r="J421" t="s">
        <v>35</v>
      </c>
      <c r="K421" t="s">
        <v>113</v>
      </c>
      <c r="L421" t="s">
        <v>43</v>
      </c>
      <c r="M421">
        <v>0</v>
      </c>
      <c r="N421">
        <v>0</v>
      </c>
      <c r="O421" s="5">
        <v>26648</v>
      </c>
      <c r="P421" s="5">
        <v>26647</v>
      </c>
      <c r="Q421">
        <f>35-13.5</f>
        <v>21.5</v>
      </c>
      <c r="R421" t="s">
        <v>47</v>
      </c>
      <c r="S421" t="s">
        <v>39</v>
      </c>
      <c r="T421">
        <v>19</v>
      </c>
      <c r="U421">
        <v>96</v>
      </c>
      <c r="V421">
        <v>15</v>
      </c>
      <c r="W421">
        <v>12.3</v>
      </c>
      <c r="X421">
        <v>28.7</v>
      </c>
      <c r="Z421" t="s">
        <v>39</v>
      </c>
      <c r="AB421" t="s">
        <v>87</v>
      </c>
      <c r="AC421" t="s">
        <v>56</v>
      </c>
    </row>
    <row r="422" spans="1:29" x14ac:dyDescent="0.25">
      <c r="A422" s="4">
        <v>42529</v>
      </c>
      <c r="B422" t="s">
        <v>30</v>
      </c>
      <c r="C422">
        <v>201</v>
      </c>
      <c r="D422">
        <v>6</v>
      </c>
      <c r="E422">
        <v>1</v>
      </c>
      <c r="F422" t="s">
        <v>31</v>
      </c>
      <c r="G422" t="s">
        <v>32</v>
      </c>
      <c r="H422" t="s">
        <v>33</v>
      </c>
      <c r="I422" t="s">
        <v>57</v>
      </c>
      <c r="O422" s="5"/>
      <c r="P422" s="5"/>
      <c r="Z422" t="s">
        <v>39</v>
      </c>
    </row>
    <row r="423" spans="1:29" x14ac:dyDescent="0.25">
      <c r="A423" s="4">
        <v>42529</v>
      </c>
      <c r="B423" t="s">
        <v>30</v>
      </c>
      <c r="C423">
        <v>201</v>
      </c>
      <c r="D423">
        <v>7</v>
      </c>
      <c r="E423">
        <v>1</v>
      </c>
      <c r="F423" t="s">
        <v>31</v>
      </c>
      <c r="G423" t="s">
        <v>32</v>
      </c>
      <c r="H423" t="s">
        <v>33</v>
      </c>
      <c r="I423" t="s">
        <v>57</v>
      </c>
      <c r="O423" s="5"/>
      <c r="P423" s="5"/>
      <c r="Z423" t="s">
        <v>39</v>
      </c>
    </row>
    <row r="424" spans="1:29" x14ac:dyDescent="0.25">
      <c r="A424" s="4">
        <v>42529</v>
      </c>
      <c r="B424" t="s">
        <v>30</v>
      </c>
      <c r="C424">
        <v>203</v>
      </c>
      <c r="D424">
        <v>1</v>
      </c>
      <c r="E424">
        <v>1</v>
      </c>
      <c r="F424" t="s">
        <v>31</v>
      </c>
      <c r="G424" t="s">
        <v>32</v>
      </c>
      <c r="H424" t="s">
        <v>33</v>
      </c>
      <c r="I424" t="s">
        <v>57</v>
      </c>
      <c r="O424" s="5"/>
      <c r="P424" s="5"/>
      <c r="Z424" t="s">
        <v>39</v>
      </c>
    </row>
    <row r="425" spans="1:29" x14ac:dyDescent="0.25">
      <c r="A425" s="4">
        <v>42529</v>
      </c>
      <c r="B425" t="s">
        <v>30</v>
      </c>
      <c r="C425">
        <v>203</v>
      </c>
      <c r="D425">
        <v>3</v>
      </c>
      <c r="E425">
        <v>1</v>
      </c>
      <c r="F425" t="s">
        <v>31</v>
      </c>
      <c r="G425" t="s">
        <v>32</v>
      </c>
      <c r="H425" t="s">
        <v>33</v>
      </c>
      <c r="I425" t="s">
        <v>57</v>
      </c>
      <c r="O425" s="5"/>
      <c r="P425" s="5"/>
      <c r="Z425" t="s">
        <v>39</v>
      </c>
    </row>
    <row r="426" spans="1:29" x14ac:dyDescent="0.25">
      <c r="A426" s="4">
        <v>42529</v>
      </c>
      <c r="B426" t="s">
        <v>30</v>
      </c>
      <c r="C426">
        <v>203</v>
      </c>
      <c r="D426">
        <v>3</v>
      </c>
      <c r="E426">
        <v>2</v>
      </c>
      <c r="F426" t="s">
        <v>31</v>
      </c>
      <c r="G426" t="s">
        <v>32</v>
      </c>
      <c r="H426" t="s">
        <v>33</v>
      </c>
      <c r="I426" t="s">
        <v>57</v>
      </c>
      <c r="O426" s="5"/>
      <c r="P426" s="5"/>
      <c r="Z426" t="s">
        <v>39</v>
      </c>
    </row>
    <row r="427" spans="1:29" x14ac:dyDescent="0.25">
      <c r="A427" s="4">
        <v>42529</v>
      </c>
      <c r="B427" t="s">
        <v>30</v>
      </c>
      <c r="C427">
        <v>203</v>
      </c>
      <c r="D427">
        <v>4</v>
      </c>
      <c r="E427">
        <v>1</v>
      </c>
      <c r="F427" t="s">
        <v>31</v>
      </c>
      <c r="G427" t="s">
        <v>32</v>
      </c>
      <c r="H427" t="s">
        <v>33</v>
      </c>
      <c r="I427" t="s">
        <v>57</v>
      </c>
      <c r="O427" s="5"/>
      <c r="P427" s="5"/>
      <c r="Z427" t="s">
        <v>39</v>
      </c>
    </row>
    <row r="428" spans="1:29" x14ac:dyDescent="0.25">
      <c r="A428" s="4">
        <v>42529</v>
      </c>
      <c r="B428" t="s">
        <v>30</v>
      </c>
      <c r="C428">
        <v>203</v>
      </c>
      <c r="D428">
        <v>5</v>
      </c>
      <c r="E428">
        <v>1</v>
      </c>
      <c r="F428" t="s">
        <v>31</v>
      </c>
      <c r="G428" t="s">
        <v>32</v>
      </c>
      <c r="H428" t="s">
        <v>33</v>
      </c>
      <c r="I428" t="s">
        <v>34</v>
      </c>
      <c r="J428" t="s">
        <v>42</v>
      </c>
      <c r="K428" t="s">
        <v>113</v>
      </c>
      <c r="L428" t="s">
        <v>43</v>
      </c>
      <c r="M428">
        <v>0</v>
      </c>
      <c r="N428">
        <v>1</v>
      </c>
      <c r="O428" s="5">
        <v>50491</v>
      </c>
      <c r="P428" s="5">
        <v>50357</v>
      </c>
      <c r="Q428">
        <f>35-13</f>
        <v>22</v>
      </c>
      <c r="R428" t="s">
        <v>47</v>
      </c>
      <c r="S428" t="s">
        <v>39</v>
      </c>
      <c r="T428">
        <v>20</v>
      </c>
      <c r="U428">
        <v>98</v>
      </c>
      <c r="V428">
        <v>16</v>
      </c>
      <c r="W428">
        <v>13</v>
      </c>
      <c r="X428">
        <v>29.6</v>
      </c>
      <c r="Y428" t="s">
        <v>116</v>
      </c>
      <c r="Z428" t="s">
        <v>39</v>
      </c>
      <c r="AB428" t="s">
        <v>102</v>
      </c>
      <c r="AC428" t="s">
        <v>56</v>
      </c>
    </row>
    <row r="429" spans="1:29" x14ac:dyDescent="0.25">
      <c r="A429" s="4">
        <v>42529</v>
      </c>
      <c r="B429" t="s">
        <v>30</v>
      </c>
      <c r="C429">
        <v>203</v>
      </c>
      <c r="D429">
        <v>7</v>
      </c>
      <c r="E429">
        <v>1</v>
      </c>
      <c r="F429" t="s">
        <v>31</v>
      </c>
      <c r="G429" t="s">
        <v>32</v>
      </c>
      <c r="H429" t="s">
        <v>33</v>
      </c>
      <c r="I429" t="s">
        <v>57</v>
      </c>
      <c r="O429" s="5"/>
      <c r="P429" s="5"/>
      <c r="Z429" t="s">
        <v>39</v>
      </c>
    </row>
    <row r="430" spans="1:29" x14ac:dyDescent="0.25">
      <c r="A430" s="4">
        <v>42529</v>
      </c>
      <c r="B430" t="s">
        <v>30</v>
      </c>
      <c r="C430">
        <v>203</v>
      </c>
      <c r="D430">
        <v>7</v>
      </c>
      <c r="E430">
        <v>2</v>
      </c>
      <c r="F430" t="s">
        <v>31</v>
      </c>
      <c r="G430" t="s">
        <v>32</v>
      </c>
      <c r="H430" t="s">
        <v>33</v>
      </c>
      <c r="I430" t="s">
        <v>34</v>
      </c>
      <c r="J430" t="s">
        <v>35</v>
      </c>
      <c r="K430" t="s">
        <v>113</v>
      </c>
      <c r="L430" t="s">
        <v>43</v>
      </c>
      <c r="M430">
        <v>0</v>
      </c>
      <c r="N430">
        <v>0</v>
      </c>
      <c r="O430" s="5">
        <v>50490</v>
      </c>
      <c r="P430" s="5" t="s">
        <v>110</v>
      </c>
      <c r="Q430">
        <f>37-16.5</f>
        <v>20.5</v>
      </c>
      <c r="R430" t="s">
        <v>65</v>
      </c>
      <c r="S430" t="s">
        <v>39</v>
      </c>
      <c r="T430">
        <v>18</v>
      </c>
      <c r="U430">
        <v>83</v>
      </c>
      <c r="V430">
        <v>16.5</v>
      </c>
      <c r="W430">
        <v>12.85</v>
      </c>
      <c r="X430">
        <v>28.5</v>
      </c>
      <c r="Z430" t="s">
        <v>39</v>
      </c>
      <c r="AB430" t="s">
        <v>87</v>
      </c>
      <c r="AC430" t="s">
        <v>56</v>
      </c>
    </row>
    <row r="431" spans="1:29" x14ac:dyDescent="0.25">
      <c r="A431" s="4">
        <v>42529</v>
      </c>
      <c r="B431" t="s">
        <v>30</v>
      </c>
      <c r="C431">
        <v>203</v>
      </c>
      <c r="D431">
        <v>9</v>
      </c>
      <c r="E431">
        <v>1</v>
      </c>
      <c r="F431" t="s">
        <v>31</v>
      </c>
      <c r="G431" t="s">
        <v>32</v>
      </c>
      <c r="H431" t="s">
        <v>33</v>
      </c>
      <c r="I431" t="s">
        <v>34</v>
      </c>
      <c r="J431" t="s">
        <v>35</v>
      </c>
      <c r="K431" t="s">
        <v>113</v>
      </c>
      <c r="L431" t="s">
        <v>43</v>
      </c>
      <c r="M431">
        <v>0</v>
      </c>
      <c r="N431">
        <v>0</v>
      </c>
      <c r="O431" s="5" t="s">
        <v>45</v>
      </c>
      <c r="P431" s="5" t="s">
        <v>46</v>
      </c>
      <c r="Q431">
        <f>34-12</f>
        <v>22</v>
      </c>
      <c r="R431" t="s">
        <v>47</v>
      </c>
      <c r="S431" t="s">
        <v>39</v>
      </c>
      <c r="T431">
        <v>18</v>
      </c>
      <c r="U431">
        <v>86</v>
      </c>
      <c r="V431">
        <v>15.5</v>
      </c>
      <c r="W431">
        <v>12.8</v>
      </c>
      <c r="X431">
        <v>30.5</v>
      </c>
      <c r="Z431" t="s">
        <v>39</v>
      </c>
      <c r="AB431" t="s">
        <v>87</v>
      </c>
      <c r="AC431" t="s">
        <v>56</v>
      </c>
    </row>
    <row r="432" spans="1:29" x14ac:dyDescent="0.25">
      <c r="A432" s="4">
        <v>42529</v>
      </c>
      <c r="B432" t="s">
        <v>30</v>
      </c>
      <c r="C432">
        <v>203</v>
      </c>
      <c r="D432">
        <v>9</v>
      </c>
      <c r="E432">
        <v>2</v>
      </c>
      <c r="F432" t="s">
        <v>31</v>
      </c>
      <c r="G432" t="s">
        <v>32</v>
      </c>
      <c r="H432" t="s">
        <v>33</v>
      </c>
      <c r="I432" t="s">
        <v>34</v>
      </c>
      <c r="J432" t="s">
        <v>42</v>
      </c>
      <c r="K432" t="s">
        <v>113</v>
      </c>
      <c r="L432" t="s">
        <v>43</v>
      </c>
      <c r="M432">
        <v>0</v>
      </c>
      <c r="N432">
        <v>1</v>
      </c>
      <c r="O432" s="5">
        <v>50356</v>
      </c>
      <c r="P432" s="5">
        <v>50355</v>
      </c>
      <c r="Q432">
        <f>34-12</f>
        <v>22</v>
      </c>
      <c r="R432" t="s">
        <v>47</v>
      </c>
      <c r="S432" t="s">
        <v>39</v>
      </c>
      <c r="T432">
        <v>19</v>
      </c>
      <c r="U432">
        <v>88</v>
      </c>
      <c r="V432">
        <v>16</v>
      </c>
      <c r="W432">
        <v>12.7</v>
      </c>
      <c r="X432">
        <v>29.5</v>
      </c>
      <c r="Z432" t="s">
        <v>39</v>
      </c>
      <c r="AB432" t="s">
        <v>87</v>
      </c>
      <c r="AC432" t="s">
        <v>56</v>
      </c>
    </row>
    <row r="433" spans="1:28" x14ac:dyDescent="0.25">
      <c r="A433" s="4">
        <v>42529</v>
      </c>
      <c r="B433" t="s">
        <v>30</v>
      </c>
      <c r="C433">
        <v>202</v>
      </c>
      <c r="D433">
        <v>1</v>
      </c>
      <c r="E433">
        <v>1</v>
      </c>
      <c r="F433" t="s">
        <v>31</v>
      </c>
      <c r="G433" t="s">
        <v>32</v>
      </c>
      <c r="H433" t="s">
        <v>33</v>
      </c>
      <c r="I433" t="s">
        <v>57</v>
      </c>
      <c r="O433" s="5"/>
      <c r="P433" s="5"/>
      <c r="Z433" t="s">
        <v>39</v>
      </c>
    </row>
    <row r="434" spans="1:28" x14ac:dyDescent="0.25">
      <c r="A434" s="4">
        <v>42529</v>
      </c>
      <c r="B434" t="s">
        <v>30</v>
      </c>
      <c r="C434">
        <v>202</v>
      </c>
      <c r="D434">
        <v>1</v>
      </c>
      <c r="E434">
        <v>2</v>
      </c>
      <c r="F434" t="s">
        <v>31</v>
      </c>
      <c r="G434" t="s">
        <v>32</v>
      </c>
      <c r="H434" t="s">
        <v>33</v>
      </c>
      <c r="I434" t="s">
        <v>57</v>
      </c>
      <c r="O434" s="5"/>
      <c r="P434" s="5"/>
      <c r="Z434" t="s">
        <v>39</v>
      </c>
    </row>
    <row r="435" spans="1:28" x14ac:dyDescent="0.25">
      <c r="A435" s="4">
        <v>42529</v>
      </c>
      <c r="B435" t="s">
        <v>30</v>
      </c>
      <c r="C435">
        <v>202</v>
      </c>
      <c r="D435">
        <v>2</v>
      </c>
      <c r="E435">
        <v>1</v>
      </c>
      <c r="F435" t="s">
        <v>31</v>
      </c>
      <c r="G435" t="s">
        <v>32</v>
      </c>
      <c r="H435" t="s">
        <v>33</v>
      </c>
      <c r="I435" t="s">
        <v>57</v>
      </c>
      <c r="O435" s="5"/>
      <c r="P435" s="5"/>
      <c r="Z435" t="s">
        <v>39</v>
      </c>
    </row>
    <row r="436" spans="1:28" x14ac:dyDescent="0.25">
      <c r="A436" s="4">
        <v>42529</v>
      </c>
      <c r="B436" t="s">
        <v>30</v>
      </c>
      <c r="C436">
        <v>202</v>
      </c>
      <c r="D436">
        <v>2</v>
      </c>
      <c r="E436">
        <v>2</v>
      </c>
      <c r="F436" t="s">
        <v>31</v>
      </c>
      <c r="G436" t="s">
        <v>32</v>
      </c>
      <c r="H436" t="s">
        <v>33</v>
      </c>
      <c r="I436" t="s">
        <v>57</v>
      </c>
      <c r="O436" s="5"/>
      <c r="P436" s="5"/>
      <c r="Z436" t="s">
        <v>39</v>
      </c>
    </row>
    <row r="437" spans="1:28" x14ac:dyDescent="0.25">
      <c r="A437" s="4">
        <v>42529</v>
      </c>
      <c r="B437" t="s">
        <v>30</v>
      </c>
      <c r="C437">
        <v>202</v>
      </c>
      <c r="D437">
        <v>3</v>
      </c>
      <c r="E437">
        <v>1</v>
      </c>
      <c r="F437" t="s">
        <v>31</v>
      </c>
      <c r="G437" t="s">
        <v>32</v>
      </c>
      <c r="H437" t="s">
        <v>33</v>
      </c>
      <c r="I437" t="s">
        <v>57</v>
      </c>
      <c r="O437" s="5"/>
      <c r="P437" s="5"/>
      <c r="Z437" t="s">
        <v>39</v>
      </c>
    </row>
    <row r="438" spans="1:28" x14ac:dyDescent="0.25">
      <c r="A438" s="4">
        <v>42529</v>
      </c>
      <c r="B438" t="s">
        <v>30</v>
      </c>
      <c r="C438">
        <v>202</v>
      </c>
      <c r="D438">
        <v>3</v>
      </c>
      <c r="E438">
        <v>2</v>
      </c>
      <c r="F438" t="s">
        <v>31</v>
      </c>
      <c r="G438" t="s">
        <v>32</v>
      </c>
      <c r="H438" t="s">
        <v>33</v>
      </c>
      <c r="I438" t="s">
        <v>57</v>
      </c>
      <c r="O438" s="5"/>
      <c r="P438" s="5"/>
      <c r="Z438" t="s">
        <v>39</v>
      </c>
    </row>
    <row r="439" spans="1:28" x14ac:dyDescent="0.25">
      <c r="A439" s="4">
        <v>42529</v>
      </c>
      <c r="B439" t="s">
        <v>30</v>
      </c>
      <c r="C439">
        <v>202</v>
      </c>
      <c r="D439">
        <v>4</v>
      </c>
      <c r="E439">
        <v>1</v>
      </c>
      <c r="F439" t="s">
        <v>31</v>
      </c>
      <c r="G439" t="s">
        <v>32</v>
      </c>
      <c r="H439" t="s">
        <v>33</v>
      </c>
      <c r="I439" t="s">
        <v>57</v>
      </c>
      <c r="O439" s="5"/>
      <c r="P439" s="5"/>
      <c r="Z439" t="s">
        <v>39</v>
      </c>
    </row>
    <row r="440" spans="1:28" x14ac:dyDescent="0.25">
      <c r="A440" s="4">
        <v>42529</v>
      </c>
      <c r="B440" t="s">
        <v>30</v>
      </c>
      <c r="C440">
        <v>202</v>
      </c>
      <c r="D440">
        <v>4</v>
      </c>
      <c r="E440">
        <v>2</v>
      </c>
      <c r="F440" t="s">
        <v>31</v>
      </c>
      <c r="G440" t="s">
        <v>32</v>
      </c>
      <c r="H440" t="s">
        <v>33</v>
      </c>
      <c r="I440" t="s">
        <v>57</v>
      </c>
      <c r="O440" s="5"/>
      <c r="P440" s="5"/>
      <c r="Z440" t="s">
        <v>39</v>
      </c>
    </row>
    <row r="441" spans="1:28" x14ac:dyDescent="0.25">
      <c r="A441" s="4">
        <v>42529</v>
      </c>
      <c r="B441" t="s">
        <v>30</v>
      </c>
      <c r="C441">
        <v>202</v>
      </c>
      <c r="D441">
        <v>5</v>
      </c>
      <c r="E441">
        <v>1</v>
      </c>
      <c r="F441" t="s">
        <v>31</v>
      </c>
      <c r="G441" t="s">
        <v>32</v>
      </c>
      <c r="H441" t="s">
        <v>33</v>
      </c>
      <c r="I441" t="s">
        <v>57</v>
      </c>
      <c r="O441" s="5"/>
      <c r="P441" s="5"/>
      <c r="Z441" t="s">
        <v>39</v>
      </c>
    </row>
    <row r="442" spans="1:28" x14ac:dyDescent="0.25">
      <c r="A442" s="4">
        <v>42529</v>
      </c>
      <c r="B442" t="s">
        <v>30</v>
      </c>
      <c r="C442">
        <v>202</v>
      </c>
      <c r="D442">
        <v>9</v>
      </c>
      <c r="E442">
        <v>1</v>
      </c>
      <c r="F442" t="s">
        <v>31</v>
      </c>
      <c r="G442" t="s">
        <v>32</v>
      </c>
      <c r="H442" t="s">
        <v>33</v>
      </c>
      <c r="I442" t="s">
        <v>34</v>
      </c>
      <c r="J442" t="s">
        <v>42</v>
      </c>
      <c r="K442" t="s">
        <v>113</v>
      </c>
      <c r="L442" t="s">
        <v>43</v>
      </c>
      <c r="M442">
        <v>0</v>
      </c>
      <c r="N442">
        <v>1</v>
      </c>
      <c r="O442" s="5">
        <v>50354</v>
      </c>
      <c r="P442" s="5">
        <v>50353</v>
      </c>
      <c r="Q442">
        <v>21</v>
      </c>
      <c r="R442" t="s">
        <v>47</v>
      </c>
      <c r="S442" t="s">
        <v>39</v>
      </c>
      <c r="T442">
        <v>18</v>
      </c>
      <c r="U442">
        <v>88</v>
      </c>
      <c r="V442">
        <v>17</v>
      </c>
      <c r="W442">
        <v>12</v>
      </c>
      <c r="X442">
        <v>26.3</v>
      </c>
      <c r="Z442" t="s">
        <v>39</v>
      </c>
      <c r="AB442" t="s">
        <v>117</v>
      </c>
    </row>
    <row r="443" spans="1:28" x14ac:dyDescent="0.25">
      <c r="A443" s="4">
        <v>42530</v>
      </c>
      <c r="B443" t="s">
        <v>30</v>
      </c>
      <c r="C443">
        <v>201</v>
      </c>
      <c r="D443">
        <v>1</v>
      </c>
      <c r="E443">
        <v>1</v>
      </c>
      <c r="F443" t="s">
        <v>31</v>
      </c>
      <c r="G443" t="s">
        <v>32</v>
      </c>
      <c r="H443" t="s">
        <v>33</v>
      </c>
      <c r="I443" t="s">
        <v>57</v>
      </c>
      <c r="O443" s="5"/>
      <c r="P443" s="5"/>
      <c r="Z443" t="s">
        <v>39</v>
      </c>
    </row>
    <row r="444" spans="1:28" x14ac:dyDescent="0.25">
      <c r="A444" s="4">
        <v>42530</v>
      </c>
      <c r="B444" t="s">
        <v>30</v>
      </c>
      <c r="C444">
        <v>201</v>
      </c>
      <c r="D444">
        <v>1</v>
      </c>
      <c r="E444">
        <v>2</v>
      </c>
      <c r="F444" t="s">
        <v>31</v>
      </c>
      <c r="G444" t="s">
        <v>32</v>
      </c>
      <c r="H444" t="s">
        <v>33</v>
      </c>
      <c r="I444" t="s">
        <v>57</v>
      </c>
      <c r="O444" s="5"/>
      <c r="P444" s="5"/>
      <c r="Z444" t="s">
        <v>39</v>
      </c>
    </row>
    <row r="445" spans="1:28" x14ac:dyDescent="0.25">
      <c r="A445" s="4">
        <v>42530</v>
      </c>
      <c r="B445" t="s">
        <v>30</v>
      </c>
      <c r="C445">
        <v>201</v>
      </c>
      <c r="D445">
        <v>2</v>
      </c>
      <c r="E445">
        <v>1</v>
      </c>
      <c r="F445" t="s">
        <v>31</v>
      </c>
      <c r="G445" t="s">
        <v>32</v>
      </c>
      <c r="H445" t="s">
        <v>33</v>
      </c>
      <c r="I445" t="s">
        <v>57</v>
      </c>
      <c r="O445" s="5"/>
      <c r="P445" s="5"/>
      <c r="Z445" t="s">
        <v>39</v>
      </c>
    </row>
    <row r="446" spans="1:28" x14ac:dyDescent="0.25">
      <c r="A446" s="4">
        <v>42530</v>
      </c>
      <c r="B446" t="s">
        <v>30</v>
      </c>
      <c r="C446">
        <v>201</v>
      </c>
      <c r="D446">
        <v>3</v>
      </c>
      <c r="E446">
        <v>1</v>
      </c>
      <c r="F446" t="s">
        <v>31</v>
      </c>
      <c r="G446" t="s">
        <v>32</v>
      </c>
      <c r="H446" t="s">
        <v>33</v>
      </c>
      <c r="I446" t="s">
        <v>57</v>
      </c>
      <c r="O446" s="5"/>
      <c r="P446" s="5"/>
      <c r="Z446" t="s">
        <v>39</v>
      </c>
    </row>
    <row r="447" spans="1:28" x14ac:dyDescent="0.25">
      <c r="A447" s="4">
        <v>42530</v>
      </c>
      <c r="B447" t="s">
        <v>30</v>
      </c>
      <c r="C447">
        <v>201</v>
      </c>
      <c r="D447">
        <v>4</v>
      </c>
      <c r="E447">
        <v>1</v>
      </c>
      <c r="F447" t="s">
        <v>31</v>
      </c>
      <c r="G447" t="s">
        <v>32</v>
      </c>
      <c r="H447" t="s">
        <v>33</v>
      </c>
      <c r="I447" t="s">
        <v>57</v>
      </c>
      <c r="O447" s="5"/>
      <c r="P447" s="5"/>
      <c r="Z447" t="s">
        <v>39</v>
      </c>
    </row>
    <row r="448" spans="1:28" x14ac:dyDescent="0.25">
      <c r="A448" s="4">
        <v>42530</v>
      </c>
      <c r="B448" t="s">
        <v>30</v>
      </c>
      <c r="C448">
        <v>201</v>
      </c>
      <c r="D448">
        <v>6</v>
      </c>
      <c r="E448">
        <v>1</v>
      </c>
      <c r="F448" t="s">
        <v>31</v>
      </c>
      <c r="G448" t="s">
        <v>32</v>
      </c>
      <c r="H448" t="s">
        <v>33</v>
      </c>
      <c r="I448" t="s">
        <v>57</v>
      </c>
      <c r="O448" s="5"/>
      <c r="P448" s="5"/>
      <c r="Z448" t="s">
        <v>39</v>
      </c>
    </row>
    <row r="449" spans="1:26" x14ac:dyDescent="0.25">
      <c r="A449" s="4">
        <v>42530</v>
      </c>
      <c r="B449" t="s">
        <v>30</v>
      </c>
      <c r="C449">
        <v>201</v>
      </c>
      <c r="D449">
        <v>6</v>
      </c>
      <c r="E449">
        <v>2</v>
      </c>
      <c r="F449" t="s">
        <v>31</v>
      </c>
      <c r="G449" t="s">
        <v>32</v>
      </c>
      <c r="H449" t="s">
        <v>33</v>
      </c>
      <c r="I449" t="s">
        <v>57</v>
      </c>
      <c r="O449" s="5"/>
      <c r="P449" s="5"/>
      <c r="Z449" t="s">
        <v>39</v>
      </c>
    </row>
    <row r="450" spans="1:26" x14ac:dyDescent="0.25">
      <c r="A450" s="4">
        <v>42530</v>
      </c>
      <c r="B450" t="s">
        <v>30</v>
      </c>
      <c r="C450">
        <v>201</v>
      </c>
      <c r="D450">
        <v>7</v>
      </c>
      <c r="E450">
        <v>1</v>
      </c>
      <c r="F450" t="s">
        <v>31</v>
      </c>
      <c r="G450" t="s">
        <v>32</v>
      </c>
      <c r="H450" t="s">
        <v>33</v>
      </c>
      <c r="I450" t="s">
        <v>57</v>
      </c>
      <c r="O450" s="5"/>
      <c r="P450" s="5"/>
      <c r="Z450" t="s">
        <v>39</v>
      </c>
    </row>
    <row r="451" spans="1:26" x14ac:dyDescent="0.25">
      <c r="A451" s="4">
        <v>42530</v>
      </c>
      <c r="B451" t="s">
        <v>30</v>
      </c>
      <c r="C451">
        <v>201</v>
      </c>
      <c r="D451">
        <v>7</v>
      </c>
      <c r="E451">
        <v>2</v>
      </c>
      <c r="F451" t="s">
        <v>31</v>
      </c>
      <c r="G451" t="s">
        <v>32</v>
      </c>
      <c r="H451" t="s">
        <v>33</v>
      </c>
      <c r="I451" t="s">
        <v>57</v>
      </c>
      <c r="O451" s="5"/>
      <c r="P451" s="5"/>
      <c r="Z451" t="s">
        <v>39</v>
      </c>
    </row>
    <row r="452" spans="1:26" x14ac:dyDescent="0.25">
      <c r="A452" s="4">
        <v>42530</v>
      </c>
      <c r="B452" t="s">
        <v>30</v>
      </c>
      <c r="C452">
        <v>201</v>
      </c>
      <c r="D452">
        <v>8</v>
      </c>
      <c r="E452">
        <v>1</v>
      </c>
      <c r="F452" t="s">
        <v>31</v>
      </c>
      <c r="G452" t="s">
        <v>32</v>
      </c>
      <c r="H452" t="s">
        <v>33</v>
      </c>
      <c r="I452" t="s">
        <v>57</v>
      </c>
      <c r="O452" s="5"/>
      <c r="P452" s="5"/>
      <c r="Z452" t="s">
        <v>39</v>
      </c>
    </row>
    <row r="453" spans="1:26" x14ac:dyDescent="0.25">
      <c r="A453" s="4">
        <v>42530</v>
      </c>
      <c r="B453" t="s">
        <v>30</v>
      </c>
      <c r="C453">
        <v>201</v>
      </c>
      <c r="D453">
        <v>10</v>
      </c>
      <c r="E453">
        <v>1</v>
      </c>
      <c r="F453" t="s">
        <v>31</v>
      </c>
      <c r="G453" t="s">
        <v>32</v>
      </c>
      <c r="H453" t="s">
        <v>33</v>
      </c>
      <c r="I453" t="s">
        <v>57</v>
      </c>
      <c r="O453" s="5"/>
      <c r="P453" s="5"/>
      <c r="Z453" t="s">
        <v>39</v>
      </c>
    </row>
    <row r="454" spans="1:26" x14ac:dyDescent="0.25">
      <c r="A454" s="4">
        <v>42530</v>
      </c>
      <c r="B454" t="s">
        <v>30</v>
      </c>
      <c r="C454">
        <v>203</v>
      </c>
      <c r="D454">
        <v>2</v>
      </c>
      <c r="E454">
        <v>1</v>
      </c>
      <c r="F454" t="s">
        <v>31</v>
      </c>
      <c r="G454" t="s">
        <v>32</v>
      </c>
      <c r="H454" t="s">
        <v>33</v>
      </c>
      <c r="I454" t="s">
        <v>57</v>
      </c>
      <c r="O454" s="5"/>
      <c r="P454" s="5"/>
      <c r="Z454" t="s">
        <v>39</v>
      </c>
    </row>
    <row r="455" spans="1:26" x14ac:dyDescent="0.25">
      <c r="A455" s="4">
        <v>42530</v>
      </c>
      <c r="B455" t="s">
        <v>30</v>
      </c>
      <c r="C455">
        <v>203</v>
      </c>
      <c r="D455">
        <v>2</v>
      </c>
      <c r="E455">
        <v>2</v>
      </c>
      <c r="F455" t="s">
        <v>31</v>
      </c>
      <c r="G455" t="s">
        <v>32</v>
      </c>
      <c r="H455" t="s">
        <v>33</v>
      </c>
      <c r="I455" t="s">
        <v>57</v>
      </c>
      <c r="O455" s="5"/>
      <c r="P455" s="5"/>
      <c r="Z455" t="s">
        <v>39</v>
      </c>
    </row>
    <row r="456" spans="1:26" x14ac:dyDescent="0.25">
      <c r="A456" s="4">
        <v>42530</v>
      </c>
      <c r="B456" t="s">
        <v>30</v>
      </c>
      <c r="C456">
        <v>203</v>
      </c>
      <c r="D456">
        <v>3</v>
      </c>
      <c r="E456">
        <v>1</v>
      </c>
      <c r="F456" t="s">
        <v>31</v>
      </c>
      <c r="G456" t="s">
        <v>32</v>
      </c>
      <c r="H456" t="s">
        <v>33</v>
      </c>
      <c r="I456" t="s">
        <v>57</v>
      </c>
      <c r="O456" s="5"/>
      <c r="P456" s="5"/>
      <c r="Z456" t="s">
        <v>39</v>
      </c>
    </row>
    <row r="457" spans="1:26" x14ac:dyDescent="0.25">
      <c r="A457" s="4">
        <v>42530</v>
      </c>
      <c r="B457" t="s">
        <v>30</v>
      </c>
      <c r="C457">
        <v>203</v>
      </c>
      <c r="D457">
        <v>3</v>
      </c>
      <c r="E457">
        <v>2</v>
      </c>
      <c r="F457" t="s">
        <v>31</v>
      </c>
      <c r="G457" t="s">
        <v>32</v>
      </c>
      <c r="H457" t="s">
        <v>33</v>
      </c>
      <c r="I457" t="s">
        <v>57</v>
      </c>
      <c r="O457" s="5"/>
      <c r="P457" s="5"/>
      <c r="Z457" t="s">
        <v>39</v>
      </c>
    </row>
    <row r="458" spans="1:26" x14ac:dyDescent="0.25">
      <c r="A458" s="4">
        <v>42530</v>
      </c>
      <c r="B458" t="s">
        <v>30</v>
      </c>
      <c r="C458">
        <v>203</v>
      </c>
      <c r="D458">
        <v>4</v>
      </c>
      <c r="E458">
        <v>1</v>
      </c>
      <c r="F458" t="s">
        <v>31</v>
      </c>
      <c r="G458" t="s">
        <v>32</v>
      </c>
      <c r="H458" t="s">
        <v>33</v>
      </c>
      <c r="I458" t="s">
        <v>57</v>
      </c>
      <c r="O458" s="5"/>
      <c r="P458" s="5"/>
      <c r="Z458" t="s">
        <v>39</v>
      </c>
    </row>
    <row r="459" spans="1:26" x14ac:dyDescent="0.25">
      <c r="A459" s="4">
        <v>42530</v>
      </c>
      <c r="B459" t="s">
        <v>30</v>
      </c>
      <c r="C459">
        <v>203</v>
      </c>
      <c r="D459">
        <v>4</v>
      </c>
      <c r="E459">
        <v>2</v>
      </c>
      <c r="F459" t="s">
        <v>31</v>
      </c>
      <c r="G459" t="s">
        <v>32</v>
      </c>
      <c r="H459" t="s">
        <v>33</v>
      </c>
      <c r="I459" t="s">
        <v>57</v>
      </c>
      <c r="O459" s="5"/>
      <c r="P459" s="5"/>
      <c r="Z459" t="s">
        <v>39</v>
      </c>
    </row>
    <row r="460" spans="1:26" x14ac:dyDescent="0.25">
      <c r="A460" s="4">
        <v>42530</v>
      </c>
      <c r="B460" t="s">
        <v>30</v>
      </c>
      <c r="C460">
        <v>203</v>
      </c>
      <c r="D460">
        <v>5</v>
      </c>
      <c r="E460">
        <v>1</v>
      </c>
      <c r="F460" t="s">
        <v>31</v>
      </c>
      <c r="G460" t="s">
        <v>32</v>
      </c>
      <c r="H460" t="s">
        <v>33</v>
      </c>
      <c r="I460" t="s">
        <v>57</v>
      </c>
      <c r="O460" s="5"/>
      <c r="P460" s="5"/>
      <c r="Z460" t="s">
        <v>39</v>
      </c>
    </row>
    <row r="461" spans="1:26" x14ac:dyDescent="0.25">
      <c r="A461" s="4">
        <v>42530</v>
      </c>
      <c r="B461" t="s">
        <v>30</v>
      </c>
      <c r="C461">
        <v>203</v>
      </c>
      <c r="D461">
        <v>7</v>
      </c>
      <c r="E461">
        <v>1</v>
      </c>
      <c r="F461" t="s">
        <v>31</v>
      </c>
      <c r="G461" t="s">
        <v>32</v>
      </c>
      <c r="H461" t="s">
        <v>33</v>
      </c>
      <c r="I461" t="s">
        <v>57</v>
      </c>
      <c r="O461" s="5"/>
      <c r="P461" s="5"/>
      <c r="Z461" t="s">
        <v>39</v>
      </c>
    </row>
    <row r="462" spans="1:26" x14ac:dyDescent="0.25">
      <c r="A462" s="4">
        <v>42530</v>
      </c>
      <c r="B462" t="s">
        <v>30</v>
      </c>
      <c r="C462">
        <v>203</v>
      </c>
      <c r="D462">
        <v>8</v>
      </c>
      <c r="E462">
        <v>1</v>
      </c>
      <c r="F462" t="s">
        <v>31</v>
      </c>
      <c r="G462" t="s">
        <v>32</v>
      </c>
      <c r="H462" t="s">
        <v>33</v>
      </c>
      <c r="I462" t="s">
        <v>57</v>
      </c>
      <c r="O462" s="5"/>
      <c r="P462" s="5"/>
      <c r="Z462" t="s">
        <v>39</v>
      </c>
    </row>
    <row r="463" spans="1:26" x14ac:dyDescent="0.25">
      <c r="A463" s="4">
        <v>42530</v>
      </c>
      <c r="B463" t="s">
        <v>30</v>
      </c>
      <c r="C463">
        <v>203</v>
      </c>
      <c r="D463">
        <v>9</v>
      </c>
      <c r="E463">
        <v>1</v>
      </c>
      <c r="F463" t="s">
        <v>31</v>
      </c>
      <c r="G463" t="s">
        <v>32</v>
      </c>
      <c r="H463" t="s">
        <v>33</v>
      </c>
      <c r="I463" t="s">
        <v>57</v>
      </c>
      <c r="O463" s="5"/>
      <c r="P463" s="5"/>
      <c r="Z463" t="s">
        <v>39</v>
      </c>
    </row>
    <row r="464" spans="1:26" x14ac:dyDescent="0.25">
      <c r="A464" s="4">
        <v>42530</v>
      </c>
      <c r="B464" t="s">
        <v>30</v>
      </c>
      <c r="C464">
        <v>203</v>
      </c>
      <c r="D464">
        <v>9</v>
      </c>
      <c r="E464">
        <v>2</v>
      </c>
      <c r="F464" t="s">
        <v>31</v>
      </c>
      <c r="G464" t="s">
        <v>32</v>
      </c>
      <c r="H464" t="s">
        <v>33</v>
      </c>
      <c r="I464" t="s">
        <v>57</v>
      </c>
      <c r="O464" s="5"/>
      <c r="P464" s="5"/>
      <c r="Z464" t="s">
        <v>39</v>
      </c>
    </row>
    <row r="465" spans="1:29" x14ac:dyDescent="0.25">
      <c r="A465" s="4">
        <v>42530</v>
      </c>
      <c r="B465" t="s">
        <v>30</v>
      </c>
      <c r="C465">
        <v>202</v>
      </c>
      <c r="D465">
        <v>2</v>
      </c>
      <c r="E465">
        <v>1</v>
      </c>
      <c r="F465" t="s">
        <v>31</v>
      </c>
      <c r="G465" t="s">
        <v>32</v>
      </c>
      <c r="H465" t="s">
        <v>33</v>
      </c>
      <c r="I465" t="s">
        <v>57</v>
      </c>
      <c r="O465" s="5"/>
      <c r="P465" s="5"/>
      <c r="Z465" t="s">
        <v>39</v>
      </c>
    </row>
    <row r="466" spans="1:29" x14ac:dyDescent="0.25">
      <c r="A466" s="4">
        <v>42530</v>
      </c>
      <c r="B466" t="s">
        <v>30</v>
      </c>
      <c r="C466">
        <v>202</v>
      </c>
      <c r="D466">
        <v>2</v>
      </c>
      <c r="E466">
        <v>2</v>
      </c>
      <c r="F466" t="s">
        <v>31</v>
      </c>
      <c r="G466" t="s">
        <v>32</v>
      </c>
      <c r="H466" t="s">
        <v>33</v>
      </c>
      <c r="I466" t="s">
        <v>57</v>
      </c>
      <c r="O466" s="5"/>
      <c r="P466" s="5"/>
      <c r="Z466" t="s">
        <v>39</v>
      </c>
    </row>
    <row r="467" spans="1:29" x14ac:dyDescent="0.25">
      <c r="A467" s="4">
        <v>42530</v>
      </c>
      <c r="B467" t="s">
        <v>30</v>
      </c>
      <c r="C467">
        <v>202</v>
      </c>
      <c r="D467">
        <v>3</v>
      </c>
      <c r="E467">
        <v>1</v>
      </c>
      <c r="F467" t="s">
        <v>31</v>
      </c>
      <c r="G467" t="s">
        <v>32</v>
      </c>
      <c r="H467" t="s">
        <v>33</v>
      </c>
      <c r="I467" t="s">
        <v>57</v>
      </c>
      <c r="O467" s="5"/>
      <c r="P467" s="5"/>
      <c r="Z467" t="s">
        <v>39</v>
      </c>
    </row>
    <row r="468" spans="1:29" x14ac:dyDescent="0.25">
      <c r="A468" s="4">
        <v>42530</v>
      </c>
      <c r="B468" t="s">
        <v>30</v>
      </c>
      <c r="C468">
        <v>202</v>
      </c>
      <c r="D468">
        <v>3</v>
      </c>
      <c r="E468">
        <v>2</v>
      </c>
      <c r="F468" t="s">
        <v>31</v>
      </c>
      <c r="G468" t="s">
        <v>32</v>
      </c>
      <c r="H468" t="s">
        <v>33</v>
      </c>
      <c r="I468" t="s">
        <v>57</v>
      </c>
      <c r="O468" s="5"/>
      <c r="P468" s="5"/>
      <c r="Z468" t="s">
        <v>39</v>
      </c>
    </row>
    <row r="469" spans="1:29" x14ac:dyDescent="0.25">
      <c r="A469" s="4">
        <v>42530</v>
      </c>
      <c r="B469" t="s">
        <v>30</v>
      </c>
      <c r="C469">
        <v>202</v>
      </c>
      <c r="D469">
        <v>5</v>
      </c>
      <c r="E469">
        <v>1</v>
      </c>
      <c r="F469" t="s">
        <v>31</v>
      </c>
      <c r="G469" t="s">
        <v>32</v>
      </c>
      <c r="H469" t="s">
        <v>33</v>
      </c>
      <c r="I469" t="s">
        <v>57</v>
      </c>
      <c r="O469" s="5"/>
      <c r="P469" s="5"/>
      <c r="Z469" t="s">
        <v>39</v>
      </c>
    </row>
    <row r="470" spans="1:29" x14ac:dyDescent="0.25">
      <c r="A470" s="4">
        <v>42530</v>
      </c>
      <c r="B470" t="s">
        <v>30</v>
      </c>
      <c r="C470">
        <v>202</v>
      </c>
      <c r="D470">
        <v>7</v>
      </c>
      <c r="E470">
        <v>1</v>
      </c>
      <c r="F470" t="s">
        <v>31</v>
      </c>
      <c r="G470" t="s">
        <v>32</v>
      </c>
      <c r="H470" t="s">
        <v>33</v>
      </c>
      <c r="I470" t="s">
        <v>57</v>
      </c>
      <c r="O470" s="5"/>
      <c r="P470" s="5"/>
      <c r="Z470" t="s">
        <v>39</v>
      </c>
    </row>
    <row r="471" spans="1:29" x14ac:dyDescent="0.25">
      <c r="A471" s="4">
        <v>42530</v>
      </c>
      <c r="B471" t="s">
        <v>30</v>
      </c>
      <c r="C471">
        <v>202</v>
      </c>
      <c r="D471">
        <v>8</v>
      </c>
      <c r="E471">
        <v>1</v>
      </c>
      <c r="F471" t="s">
        <v>31</v>
      </c>
      <c r="G471" t="s">
        <v>32</v>
      </c>
      <c r="H471" t="s">
        <v>33</v>
      </c>
      <c r="I471" t="s">
        <v>57</v>
      </c>
      <c r="O471" s="5"/>
      <c r="P471" s="5"/>
      <c r="Z471" t="s">
        <v>39</v>
      </c>
    </row>
    <row r="472" spans="1:29" x14ac:dyDescent="0.25">
      <c r="A472" s="4">
        <v>42530</v>
      </c>
      <c r="B472" t="s">
        <v>30</v>
      </c>
      <c r="C472">
        <v>304</v>
      </c>
      <c r="D472">
        <v>1</v>
      </c>
      <c r="E472">
        <v>1</v>
      </c>
      <c r="F472" t="s">
        <v>31</v>
      </c>
      <c r="G472" t="s">
        <v>32</v>
      </c>
      <c r="H472" t="s">
        <v>33</v>
      </c>
      <c r="I472" t="s">
        <v>57</v>
      </c>
      <c r="O472" s="5"/>
      <c r="P472" s="5"/>
      <c r="Z472" t="s">
        <v>39</v>
      </c>
    </row>
    <row r="473" spans="1:29" x14ac:dyDescent="0.25">
      <c r="A473" s="4">
        <v>42530</v>
      </c>
      <c r="B473" t="s">
        <v>30</v>
      </c>
      <c r="C473">
        <v>304</v>
      </c>
      <c r="D473">
        <v>5</v>
      </c>
      <c r="E473">
        <v>1</v>
      </c>
      <c r="F473" t="s">
        <v>31</v>
      </c>
      <c r="G473" t="s">
        <v>32</v>
      </c>
      <c r="H473" t="s">
        <v>33</v>
      </c>
      <c r="I473" t="s">
        <v>53</v>
      </c>
      <c r="O473" s="5"/>
      <c r="P473" s="5"/>
      <c r="Z473" t="s">
        <v>39</v>
      </c>
    </row>
    <row r="474" spans="1:29" x14ac:dyDescent="0.25">
      <c r="A474" s="4">
        <v>42530</v>
      </c>
      <c r="B474" t="s">
        <v>30</v>
      </c>
      <c r="C474">
        <v>304</v>
      </c>
      <c r="D474">
        <v>7</v>
      </c>
      <c r="E474">
        <v>1</v>
      </c>
      <c r="F474" t="s">
        <v>31</v>
      </c>
      <c r="G474" t="s">
        <v>32</v>
      </c>
      <c r="H474" t="s">
        <v>33</v>
      </c>
      <c r="I474" t="s">
        <v>57</v>
      </c>
      <c r="O474" s="5"/>
      <c r="P474" s="5"/>
      <c r="Z474" t="s">
        <v>39</v>
      </c>
    </row>
    <row r="475" spans="1:29" x14ac:dyDescent="0.25">
      <c r="A475" s="4">
        <v>42530</v>
      </c>
      <c r="B475" t="s">
        <v>30</v>
      </c>
      <c r="C475">
        <v>304</v>
      </c>
      <c r="D475">
        <v>7</v>
      </c>
      <c r="E475">
        <v>2</v>
      </c>
      <c r="F475" t="s">
        <v>31</v>
      </c>
      <c r="G475" t="s">
        <v>32</v>
      </c>
      <c r="H475" t="s">
        <v>33</v>
      </c>
      <c r="I475" t="s">
        <v>34</v>
      </c>
      <c r="J475" t="s">
        <v>42</v>
      </c>
      <c r="K475" t="s">
        <v>89</v>
      </c>
      <c r="L475" t="s">
        <v>43</v>
      </c>
      <c r="M475">
        <v>0</v>
      </c>
      <c r="N475">
        <v>1</v>
      </c>
      <c r="O475" s="5">
        <v>50352</v>
      </c>
      <c r="P475" s="5">
        <v>50367</v>
      </c>
      <c r="Q475">
        <v>11</v>
      </c>
      <c r="R475" t="s">
        <v>65</v>
      </c>
      <c r="S475" t="s">
        <v>39</v>
      </c>
      <c r="T475">
        <v>18</v>
      </c>
      <c r="U475">
        <v>78</v>
      </c>
      <c r="V475">
        <v>15.5</v>
      </c>
      <c r="W475">
        <v>11.6</v>
      </c>
      <c r="X475">
        <v>26.7</v>
      </c>
      <c r="Z475" t="s">
        <v>39</v>
      </c>
      <c r="AB475" t="s">
        <v>56</v>
      </c>
      <c r="AC475" t="s">
        <v>118</v>
      </c>
    </row>
    <row r="476" spans="1:29" x14ac:dyDescent="0.25">
      <c r="A476" s="4">
        <v>42530</v>
      </c>
      <c r="B476" t="s">
        <v>30</v>
      </c>
      <c r="C476">
        <v>304</v>
      </c>
      <c r="D476">
        <v>8</v>
      </c>
      <c r="E476">
        <v>1</v>
      </c>
      <c r="F476" t="s">
        <v>31</v>
      </c>
      <c r="G476" t="s">
        <v>32</v>
      </c>
      <c r="H476" t="s">
        <v>33</v>
      </c>
      <c r="I476" t="s">
        <v>57</v>
      </c>
      <c r="O476" s="5"/>
      <c r="P476" s="5"/>
      <c r="Z476" t="s">
        <v>39</v>
      </c>
    </row>
    <row r="477" spans="1:29" x14ac:dyDescent="0.25">
      <c r="A477" s="4">
        <v>42530</v>
      </c>
      <c r="B477" t="s">
        <v>30</v>
      </c>
      <c r="C477">
        <v>304</v>
      </c>
      <c r="D477">
        <v>10</v>
      </c>
      <c r="E477">
        <v>1</v>
      </c>
      <c r="F477" t="s">
        <v>31</v>
      </c>
      <c r="G477" t="s">
        <v>32</v>
      </c>
      <c r="H477" t="s">
        <v>33</v>
      </c>
      <c r="I477" t="s">
        <v>57</v>
      </c>
      <c r="O477" s="5"/>
      <c r="P477" s="5"/>
      <c r="Z477" t="s">
        <v>39</v>
      </c>
    </row>
    <row r="478" spans="1:29" x14ac:dyDescent="0.25">
      <c r="A478" s="4">
        <v>42530</v>
      </c>
      <c r="B478" t="s">
        <v>30</v>
      </c>
      <c r="C478">
        <v>304</v>
      </c>
      <c r="D478">
        <v>10</v>
      </c>
      <c r="E478">
        <v>2</v>
      </c>
      <c r="F478" t="s">
        <v>31</v>
      </c>
      <c r="G478" t="s">
        <v>32</v>
      </c>
      <c r="H478" t="s">
        <v>33</v>
      </c>
      <c r="I478" t="s">
        <v>91</v>
      </c>
      <c r="J478" t="s">
        <v>42</v>
      </c>
      <c r="K478" t="s">
        <v>113</v>
      </c>
      <c r="L478" t="s">
        <v>43</v>
      </c>
      <c r="M478">
        <v>0</v>
      </c>
      <c r="N478">
        <v>1</v>
      </c>
      <c r="O478" s="5">
        <v>50351</v>
      </c>
      <c r="P478" s="5"/>
      <c r="Q478">
        <v>19</v>
      </c>
      <c r="R478" t="s">
        <v>65</v>
      </c>
      <c r="S478" t="s">
        <v>39</v>
      </c>
      <c r="T478">
        <v>28</v>
      </c>
      <c r="W478">
        <v>11.1</v>
      </c>
      <c r="X478">
        <v>26.8</v>
      </c>
      <c r="Z478" t="s">
        <v>39</v>
      </c>
      <c r="AB478" t="s">
        <v>56</v>
      </c>
      <c r="AC478" t="s">
        <v>118</v>
      </c>
    </row>
    <row r="479" spans="1:29" x14ac:dyDescent="0.25">
      <c r="A479" s="4">
        <v>42530</v>
      </c>
      <c r="B479" t="s">
        <v>30</v>
      </c>
      <c r="C479">
        <v>111</v>
      </c>
      <c r="D479">
        <v>2</v>
      </c>
      <c r="E479">
        <v>1</v>
      </c>
      <c r="F479" t="s">
        <v>41</v>
      </c>
      <c r="G479" t="s">
        <v>32</v>
      </c>
      <c r="H479" t="s">
        <v>33</v>
      </c>
      <c r="I479" t="s">
        <v>34</v>
      </c>
      <c r="J479" t="s">
        <v>42</v>
      </c>
      <c r="K479" t="s">
        <v>113</v>
      </c>
      <c r="L479" t="s">
        <v>43</v>
      </c>
      <c r="M479">
        <v>0</v>
      </c>
      <c r="N479">
        <v>1</v>
      </c>
      <c r="O479" s="5">
        <v>50310</v>
      </c>
      <c r="P479" s="5">
        <v>50309</v>
      </c>
      <c r="Q479">
        <f>32.5-11</f>
        <v>21.5</v>
      </c>
      <c r="R479" t="s">
        <v>47</v>
      </c>
      <c r="S479" t="s">
        <v>39</v>
      </c>
      <c r="T479">
        <v>19</v>
      </c>
      <c r="U479">
        <v>97</v>
      </c>
      <c r="V479">
        <v>14</v>
      </c>
      <c r="W479">
        <v>13.5</v>
      </c>
      <c r="X479">
        <v>28.7</v>
      </c>
      <c r="Z479" t="s">
        <v>39</v>
      </c>
      <c r="AB479" t="s">
        <v>56</v>
      </c>
      <c r="AC479" t="s">
        <v>118</v>
      </c>
    </row>
    <row r="480" spans="1:29" x14ac:dyDescent="0.25">
      <c r="A480" s="4">
        <v>42530</v>
      </c>
      <c r="B480" t="s">
        <v>30</v>
      </c>
      <c r="C480">
        <v>111</v>
      </c>
      <c r="D480">
        <v>3</v>
      </c>
      <c r="E480">
        <v>1</v>
      </c>
      <c r="F480" t="s">
        <v>41</v>
      </c>
      <c r="G480" t="s">
        <v>32</v>
      </c>
      <c r="H480" t="s">
        <v>33</v>
      </c>
      <c r="I480" t="s">
        <v>34</v>
      </c>
      <c r="J480" t="s">
        <v>42</v>
      </c>
      <c r="K480" t="s">
        <v>113</v>
      </c>
      <c r="L480" t="s">
        <v>43</v>
      </c>
      <c r="M480">
        <v>0</v>
      </c>
      <c r="N480">
        <v>1</v>
      </c>
      <c r="O480" s="5">
        <v>50475</v>
      </c>
      <c r="P480" s="5">
        <v>50308</v>
      </c>
      <c r="Q480">
        <f>39-15</f>
        <v>24</v>
      </c>
      <c r="R480" t="s">
        <v>47</v>
      </c>
      <c r="S480" t="s">
        <v>39</v>
      </c>
      <c r="T480">
        <v>19</v>
      </c>
      <c r="U480">
        <v>83</v>
      </c>
      <c r="V480">
        <v>14</v>
      </c>
      <c r="W480">
        <v>12.7</v>
      </c>
      <c r="X480">
        <v>27.5</v>
      </c>
      <c r="Z480" t="s">
        <v>39</v>
      </c>
      <c r="AB480" t="s">
        <v>56</v>
      </c>
      <c r="AC480" t="s">
        <v>118</v>
      </c>
    </row>
    <row r="481" spans="1:29" x14ac:dyDescent="0.25">
      <c r="A481" s="4">
        <v>42530</v>
      </c>
      <c r="B481" t="s">
        <v>30</v>
      </c>
      <c r="C481">
        <v>111</v>
      </c>
      <c r="D481">
        <v>7</v>
      </c>
      <c r="E481">
        <v>1</v>
      </c>
      <c r="F481" t="s">
        <v>41</v>
      </c>
      <c r="G481" t="s">
        <v>32</v>
      </c>
      <c r="H481" t="s">
        <v>33</v>
      </c>
      <c r="I481" t="s">
        <v>34</v>
      </c>
      <c r="J481" t="s">
        <v>35</v>
      </c>
      <c r="K481" t="s">
        <v>113</v>
      </c>
      <c r="L481" t="s">
        <v>37</v>
      </c>
      <c r="M481">
        <v>0</v>
      </c>
      <c r="N481">
        <v>0</v>
      </c>
      <c r="O481" s="5">
        <v>50348</v>
      </c>
      <c r="P481" s="5">
        <v>50347</v>
      </c>
      <c r="Q481">
        <f>38-14</f>
        <v>24</v>
      </c>
      <c r="R481" t="s">
        <v>63</v>
      </c>
      <c r="S481" t="s">
        <v>97</v>
      </c>
      <c r="T481">
        <v>19</v>
      </c>
      <c r="U481">
        <v>83</v>
      </c>
      <c r="V481">
        <v>14</v>
      </c>
      <c r="W481">
        <v>13.9</v>
      </c>
      <c r="X481">
        <v>27.6</v>
      </c>
      <c r="Z481" t="s">
        <v>39</v>
      </c>
      <c r="AB481" t="s">
        <v>56</v>
      </c>
      <c r="AC481" t="s">
        <v>118</v>
      </c>
    </row>
    <row r="482" spans="1:29" x14ac:dyDescent="0.25">
      <c r="A482" s="4">
        <v>42530</v>
      </c>
      <c r="B482" t="s">
        <v>30</v>
      </c>
      <c r="C482">
        <v>111</v>
      </c>
      <c r="D482">
        <v>8</v>
      </c>
      <c r="E482">
        <v>1</v>
      </c>
      <c r="F482" t="s">
        <v>41</v>
      </c>
      <c r="G482" t="s">
        <v>32</v>
      </c>
      <c r="H482" t="s">
        <v>33</v>
      </c>
      <c r="I482" t="s">
        <v>57</v>
      </c>
      <c r="O482" s="5"/>
      <c r="P482" s="5"/>
      <c r="Z482" t="s">
        <v>39</v>
      </c>
    </row>
    <row r="483" spans="1:29" x14ac:dyDescent="0.25">
      <c r="A483" s="4">
        <v>42530</v>
      </c>
      <c r="B483" t="s">
        <v>30</v>
      </c>
      <c r="C483">
        <v>111</v>
      </c>
      <c r="D483">
        <v>8</v>
      </c>
      <c r="E483">
        <v>2</v>
      </c>
      <c r="F483" t="s">
        <v>41</v>
      </c>
      <c r="G483" t="s">
        <v>32</v>
      </c>
      <c r="H483" t="s">
        <v>33</v>
      </c>
      <c r="I483" t="s">
        <v>57</v>
      </c>
      <c r="O483" s="5"/>
      <c r="P483" s="5"/>
      <c r="Z483" t="s">
        <v>39</v>
      </c>
    </row>
    <row r="484" spans="1:29" x14ac:dyDescent="0.25">
      <c r="A484" s="4">
        <v>42530</v>
      </c>
      <c r="B484" t="s">
        <v>30</v>
      </c>
      <c r="C484">
        <v>111</v>
      </c>
      <c r="D484">
        <v>9</v>
      </c>
      <c r="E484">
        <v>1</v>
      </c>
      <c r="F484" t="s">
        <v>41</v>
      </c>
      <c r="G484" t="s">
        <v>32</v>
      </c>
      <c r="H484" t="s">
        <v>33</v>
      </c>
      <c r="I484" t="s">
        <v>57</v>
      </c>
      <c r="O484" s="5"/>
      <c r="P484" s="5"/>
      <c r="Z484" t="s">
        <v>39</v>
      </c>
    </row>
    <row r="485" spans="1:29" x14ac:dyDescent="0.25">
      <c r="A485" s="4">
        <v>42530</v>
      </c>
      <c r="B485" t="s">
        <v>30</v>
      </c>
      <c r="C485">
        <v>111</v>
      </c>
      <c r="D485">
        <v>9</v>
      </c>
      <c r="E485">
        <v>2</v>
      </c>
      <c r="F485" t="s">
        <v>41</v>
      </c>
      <c r="G485" t="s">
        <v>32</v>
      </c>
      <c r="H485" t="s">
        <v>33</v>
      </c>
      <c r="I485" t="s">
        <v>57</v>
      </c>
      <c r="O485" s="5"/>
      <c r="P485" s="5"/>
      <c r="Z485" t="s">
        <v>39</v>
      </c>
    </row>
    <row r="486" spans="1:29" x14ac:dyDescent="0.25">
      <c r="A486" s="4">
        <v>42530</v>
      </c>
      <c r="B486" t="s">
        <v>30</v>
      </c>
      <c r="C486">
        <v>112</v>
      </c>
      <c r="D486">
        <v>1</v>
      </c>
      <c r="E486">
        <v>1</v>
      </c>
      <c r="F486" t="s">
        <v>41</v>
      </c>
      <c r="G486" t="s">
        <v>32</v>
      </c>
      <c r="H486" t="s">
        <v>33</v>
      </c>
      <c r="I486" t="s">
        <v>84</v>
      </c>
      <c r="O486" s="5"/>
      <c r="P486" s="5"/>
      <c r="Z486" t="s">
        <v>39</v>
      </c>
    </row>
    <row r="487" spans="1:29" x14ac:dyDescent="0.25">
      <c r="A487" s="4">
        <v>42530</v>
      </c>
      <c r="B487" t="s">
        <v>30</v>
      </c>
      <c r="C487">
        <v>112</v>
      </c>
      <c r="D487">
        <v>1</v>
      </c>
      <c r="E487">
        <v>2</v>
      </c>
      <c r="F487" t="s">
        <v>41</v>
      </c>
      <c r="G487" t="s">
        <v>32</v>
      </c>
      <c r="H487" t="s">
        <v>33</v>
      </c>
      <c r="I487" t="s">
        <v>84</v>
      </c>
      <c r="O487" s="5"/>
      <c r="P487" s="5"/>
      <c r="Z487" t="s">
        <v>39</v>
      </c>
    </row>
    <row r="488" spans="1:29" x14ac:dyDescent="0.25">
      <c r="A488" s="4">
        <v>42530</v>
      </c>
      <c r="B488" t="s">
        <v>30</v>
      </c>
      <c r="C488">
        <v>112</v>
      </c>
      <c r="D488">
        <v>2</v>
      </c>
      <c r="E488">
        <v>1</v>
      </c>
      <c r="F488" t="s">
        <v>41</v>
      </c>
      <c r="G488" t="s">
        <v>32</v>
      </c>
      <c r="H488" t="s">
        <v>33</v>
      </c>
      <c r="I488" t="s">
        <v>84</v>
      </c>
      <c r="O488" s="5"/>
      <c r="P488" s="5"/>
      <c r="Z488" t="s">
        <v>39</v>
      </c>
    </row>
    <row r="489" spans="1:29" x14ac:dyDescent="0.25">
      <c r="A489" s="4">
        <v>42530</v>
      </c>
      <c r="B489" t="s">
        <v>30</v>
      </c>
      <c r="C489">
        <v>112</v>
      </c>
      <c r="D489">
        <v>2</v>
      </c>
      <c r="E489">
        <v>2</v>
      </c>
      <c r="F489" t="s">
        <v>41</v>
      </c>
      <c r="G489" t="s">
        <v>32</v>
      </c>
      <c r="H489" t="s">
        <v>33</v>
      </c>
      <c r="I489" t="s">
        <v>84</v>
      </c>
      <c r="O489" s="5"/>
      <c r="P489" s="5"/>
      <c r="Z489" t="s">
        <v>39</v>
      </c>
    </row>
    <row r="490" spans="1:29" x14ac:dyDescent="0.25">
      <c r="A490" s="4">
        <v>42530</v>
      </c>
      <c r="B490" t="s">
        <v>30</v>
      </c>
      <c r="C490">
        <v>112</v>
      </c>
      <c r="D490">
        <v>3</v>
      </c>
      <c r="E490">
        <v>1</v>
      </c>
      <c r="F490" t="s">
        <v>41</v>
      </c>
      <c r="G490" t="s">
        <v>32</v>
      </c>
      <c r="H490" t="s">
        <v>33</v>
      </c>
      <c r="I490" t="s">
        <v>84</v>
      </c>
      <c r="O490" s="5"/>
      <c r="P490" s="5"/>
      <c r="Z490" t="s">
        <v>39</v>
      </c>
    </row>
    <row r="491" spans="1:29" x14ac:dyDescent="0.25">
      <c r="A491" s="4">
        <v>42530</v>
      </c>
      <c r="B491" t="s">
        <v>30</v>
      </c>
      <c r="C491">
        <v>112</v>
      </c>
      <c r="D491">
        <v>3</v>
      </c>
      <c r="E491">
        <v>2</v>
      </c>
      <c r="F491" t="s">
        <v>41</v>
      </c>
      <c r="G491" t="s">
        <v>32</v>
      </c>
      <c r="H491" t="s">
        <v>33</v>
      </c>
      <c r="I491" t="s">
        <v>84</v>
      </c>
      <c r="O491" s="5"/>
      <c r="P491" s="5"/>
      <c r="Z491" t="s">
        <v>39</v>
      </c>
    </row>
    <row r="492" spans="1:29" x14ac:dyDescent="0.25">
      <c r="A492" s="4">
        <v>42530</v>
      </c>
      <c r="B492" t="s">
        <v>30</v>
      </c>
      <c r="C492">
        <v>112</v>
      </c>
      <c r="D492">
        <v>4</v>
      </c>
      <c r="E492">
        <v>1</v>
      </c>
      <c r="F492" t="s">
        <v>41</v>
      </c>
      <c r="G492" t="s">
        <v>32</v>
      </c>
      <c r="H492" t="s">
        <v>33</v>
      </c>
      <c r="I492" t="s">
        <v>84</v>
      </c>
      <c r="O492" s="5"/>
      <c r="P492" s="5"/>
      <c r="Z492" t="s">
        <v>39</v>
      </c>
    </row>
    <row r="493" spans="1:29" x14ac:dyDescent="0.25">
      <c r="A493" s="4">
        <v>42530</v>
      </c>
      <c r="B493" t="s">
        <v>30</v>
      </c>
      <c r="C493">
        <v>112</v>
      </c>
      <c r="D493">
        <v>4</v>
      </c>
      <c r="E493">
        <v>2</v>
      </c>
      <c r="F493" t="s">
        <v>41</v>
      </c>
      <c r="G493" t="s">
        <v>32</v>
      </c>
      <c r="H493" t="s">
        <v>33</v>
      </c>
      <c r="I493" t="s">
        <v>57</v>
      </c>
      <c r="O493" s="5"/>
      <c r="P493" s="5"/>
      <c r="Z493" t="s">
        <v>39</v>
      </c>
    </row>
    <row r="494" spans="1:29" x14ac:dyDescent="0.25">
      <c r="A494" s="4">
        <v>42530</v>
      </c>
      <c r="B494" t="s">
        <v>30</v>
      </c>
      <c r="C494">
        <v>112</v>
      </c>
      <c r="D494">
        <v>5</v>
      </c>
      <c r="E494">
        <v>1</v>
      </c>
      <c r="F494" t="s">
        <v>41</v>
      </c>
      <c r="G494" t="s">
        <v>32</v>
      </c>
      <c r="H494" t="s">
        <v>33</v>
      </c>
      <c r="I494" t="s">
        <v>84</v>
      </c>
      <c r="O494" s="5"/>
      <c r="P494" s="5"/>
      <c r="Z494" t="s">
        <v>39</v>
      </c>
    </row>
    <row r="495" spans="1:29" x14ac:dyDescent="0.25">
      <c r="A495" s="4">
        <v>42530</v>
      </c>
      <c r="B495" t="s">
        <v>30</v>
      </c>
      <c r="C495">
        <v>112</v>
      </c>
      <c r="D495">
        <v>6</v>
      </c>
      <c r="E495">
        <v>1</v>
      </c>
      <c r="F495" t="s">
        <v>41</v>
      </c>
      <c r="G495" t="s">
        <v>32</v>
      </c>
      <c r="H495" t="s">
        <v>33</v>
      </c>
      <c r="I495" t="s">
        <v>84</v>
      </c>
      <c r="O495" s="5"/>
      <c r="P495" s="5"/>
      <c r="Z495" t="s">
        <v>39</v>
      </c>
    </row>
    <row r="496" spans="1:29" x14ac:dyDescent="0.25">
      <c r="A496" s="4">
        <v>42530</v>
      </c>
      <c r="B496" t="s">
        <v>30</v>
      </c>
      <c r="C496">
        <v>112</v>
      </c>
      <c r="D496">
        <v>6</v>
      </c>
      <c r="E496">
        <v>2</v>
      </c>
      <c r="F496" t="s">
        <v>41</v>
      </c>
      <c r="G496" t="s">
        <v>32</v>
      </c>
      <c r="H496" t="s">
        <v>33</v>
      </c>
      <c r="I496" t="s">
        <v>84</v>
      </c>
      <c r="O496" s="5"/>
      <c r="P496" s="5"/>
      <c r="Z496" t="s">
        <v>39</v>
      </c>
    </row>
    <row r="497" spans="1:29" x14ac:dyDescent="0.25">
      <c r="A497" s="4">
        <v>42530</v>
      </c>
      <c r="B497" t="s">
        <v>30</v>
      </c>
      <c r="C497">
        <v>112</v>
      </c>
      <c r="D497">
        <v>7</v>
      </c>
      <c r="E497">
        <v>1</v>
      </c>
      <c r="F497" t="s">
        <v>41</v>
      </c>
      <c r="G497" t="s">
        <v>32</v>
      </c>
      <c r="H497" t="s">
        <v>33</v>
      </c>
      <c r="I497" t="s">
        <v>84</v>
      </c>
      <c r="O497" s="5"/>
      <c r="P497" s="5"/>
      <c r="Z497" t="s">
        <v>39</v>
      </c>
    </row>
    <row r="498" spans="1:29" x14ac:dyDescent="0.25">
      <c r="A498" s="4">
        <v>42530</v>
      </c>
      <c r="B498" t="s">
        <v>30</v>
      </c>
      <c r="C498">
        <v>112</v>
      </c>
      <c r="D498">
        <v>7</v>
      </c>
      <c r="E498">
        <v>2</v>
      </c>
      <c r="F498" t="s">
        <v>41</v>
      </c>
      <c r="G498" t="s">
        <v>32</v>
      </c>
      <c r="H498" t="s">
        <v>33</v>
      </c>
      <c r="I498" t="s">
        <v>84</v>
      </c>
      <c r="O498" s="5"/>
      <c r="P498" s="5"/>
      <c r="Z498" t="s">
        <v>39</v>
      </c>
    </row>
    <row r="499" spans="1:29" x14ac:dyDescent="0.25">
      <c r="A499" s="4">
        <v>42530</v>
      </c>
      <c r="B499" t="s">
        <v>30</v>
      </c>
      <c r="C499">
        <v>112</v>
      </c>
      <c r="D499">
        <v>8</v>
      </c>
      <c r="E499">
        <v>1</v>
      </c>
      <c r="F499" t="s">
        <v>41</v>
      </c>
      <c r="G499" t="s">
        <v>32</v>
      </c>
      <c r="H499" t="s">
        <v>33</v>
      </c>
      <c r="I499" t="s">
        <v>84</v>
      </c>
      <c r="O499" s="5"/>
      <c r="P499" s="5"/>
      <c r="Z499" t="s">
        <v>39</v>
      </c>
    </row>
    <row r="500" spans="1:29" x14ac:dyDescent="0.25">
      <c r="A500" s="4">
        <v>42530</v>
      </c>
      <c r="B500" t="s">
        <v>30</v>
      </c>
      <c r="C500">
        <v>112</v>
      </c>
      <c r="D500">
        <v>8</v>
      </c>
      <c r="E500">
        <v>2</v>
      </c>
      <c r="F500" t="s">
        <v>41</v>
      </c>
      <c r="G500" t="s">
        <v>32</v>
      </c>
      <c r="H500" t="s">
        <v>33</v>
      </c>
      <c r="I500" t="s">
        <v>84</v>
      </c>
      <c r="O500" s="5"/>
      <c r="P500" s="5"/>
      <c r="Z500" t="s">
        <v>39</v>
      </c>
    </row>
    <row r="501" spans="1:29" x14ac:dyDescent="0.25">
      <c r="A501" s="4">
        <v>42530</v>
      </c>
      <c r="B501" t="s">
        <v>30</v>
      </c>
      <c r="C501">
        <v>112</v>
      </c>
      <c r="D501">
        <v>9</v>
      </c>
      <c r="E501">
        <v>1</v>
      </c>
      <c r="F501" t="s">
        <v>41</v>
      </c>
      <c r="G501" t="s">
        <v>32</v>
      </c>
      <c r="H501" t="s">
        <v>33</v>
      </c>
      <c r="I501" t="s">
        <v>57</v>
      </c>
      <c r="O501" s="5"/>
      <c r="P501" s="5"/>
      <c r="Z501" t="s">
        <v>39</v>
      </c>
    </row>
    <row r="502" spans="1:29" x14ac:dyDescent="0.25">
      <c r="A502" s="4">
        <v>42530</v>
      </c>
      <c r="B502" t="s">
        <v>30</v>
      </c>
      <c r="C502">
        <v>112</v>
      </c>
      <c r="D502">
        <v>9</v>
      </c>
      <c r="E502">
        <v>2</v>
      </c>
      <c r="F502" t="s">
        <v>41</v>
      </c>
      <c r="G502" t="s">
        <v>32</v>
      </c>
      <c r="H502" t="s">
        <v>33</v>
      </c>
      <c r="I502" t="s">
        <v>57</v>
      </c>
      <c r="O502" s="5"/>
      <c r="P502" s="5"/>
      <c r="Z502" t="s">
        <v>39</v>
      </c>
    </row>
    <row r="503" spans="1:29" x14ac:dyDescent="0.25">
      <c r="A503" s="4">
        <v>42530</v>
      </c>
      <c r="B503" t="s">
        <v>30</v>
      </c>
      <c r="C503">
        <v>112</v>
      </c>
      <c r="D503">
        <v>10</v>
      </c>
      <c r="E503">
        <v>1</v>
      </c>
      <c r="F503" t="s">
        <v>41</v>
      </c>
      <c r="G503" t="s">
        <v>32</v>
      </c>
      <c r="H503" t="s">
        <v>33</v>
      </c>
      <c r="I503" t="s">
        <v>57</v>
      </c>
      <c r="O503" s="5"/>
      <c r="P503" s="5"/>
      <c r="Z503" t="s">
        <v>39</v>
      </c>
    </row>
    <row r="504" spans="1:29" x14ac:dyDescent="0.25">
      <c r="A504" s="4">
        <v>42530</v>
      </c>
      <c r="B504" t="s">
        <v>30</v>
      </c>
      <c r="C504">
        <v>113</v>
      </c>
      <c r="D504">
        <v>5</v>
      </c>
      <c r="E504">
        <v>1</v>
      </c>
      <c r="F504" t="s">
        <v>41</v>
      </c>
      <c r="G504" t="s">
        <v>32</v>
      </c>
      <c r="H504" t="s">
        <v>33</v>
      </c>
      <c r="I504" t="s">
        <v>57</v>
      </c>
      <c r="O504" s="5"/>
      <c r="P504" s="5"/>
      <c r="Z504" t="s">
        <v>39</v>
      </c>
    </row>
    <row r="505" spans="1:29" x14ac:dyDescent="0.25">
      <c r="A505" s="4">
        <v>42530</v>
      </c>
      <c r="B505" t="s">
        <v>30</v>
      </c>
      <c r="C505">
        <v>113</v>
      </c>
      <c r="D505">
        <v>6</v>
      </c>
      <c r="E505">
        <v>1</v>
      </c>
      <c r="F505" t="s">
        <v>41</v>
      </c>
      <c r="G505" t="s">
        <v>32</v>
      </c>
      <c r="H505" t="s">
        <v>33</v>
      </c>
      <c r="I505" t="s">
        <v>34</v>
      </c>
      <c r="J505" t="s">
        <v>42</v>
      </c>
      <c r="K505" t="s">
        <v>113</v>
      </c>
      <c r="L505" t="s">
        <v>37</v>
      </c>
      <c r="M505">
        <v>0</v>
      </c>
      <c r="N505">
        <v>1</v>
      </c>
      <c r="O505" s="5">
        <v>50474</v>
      </c>
      <c r="P505" s="5">
        <v>50473</v>
      </c>
      <c r="Q505">
        <f>19</f>
        <v>19</v>
      </c>
      <c r="R505" t="s">
        <v>63</v>
      </c>
      <c r="S505" t="s">
        <v>39</v>
      </c>
      <c r="T505">
        <v>18</v>
      </c>
      <c r="U505">
        <v>76</v>
      </c>
      <c r="V505">
        <v>14</v>
      </c>
      <c r="W505">
        <v>11.5</v>
      </c>
      <c r="X505">
        <v>26</v>
      </c>
      <c r="Y505" t="s">
        <v>119</v>
      </c>
      <c r="Z505" t="s">
        <v>39</v>
      </c>
      <c r="AB505" t="s">
        <v>59</v>
      </c>
      <c r="AC505" t="s">
        <v>56</v>
      </c>
    </row>
    <row r="506" spans="1:29" x14ac:dyDescent="0.25">
      <c r="A506" s="4">
        <v>42530</v>
      </c>
      <c r="B506" t="s">
        <v>30</v>
      </c>
      <c r="C506">
        <v>113</v>
      </c>
      <c r="D506">
        <v>8</v>
      </c>
      <c r="E506">
        <v>1</v>
      </c>
      <c r="F506" t="s">
        <v>41</v>
      </c>
      <c r="G506" t="s">
        <v>32</v>
      </c>
      <c r="H506" t="s">
        <v>33</v>
      </c>
      <c r="I506" t="s">
        <v>57</v>
      </c>
      <c r="O506" s="5"/>
      <c r="P506" s="5"/>
      <c r="Z506" t="s">
        <v>39</v>
      </c>
    </row>
    <row r="507" spans="1:29" x14ac:dyDescent="0.25">
      <c r="A507" s="4">
        <v>42530</v>
      </c>
      <c r="B507" t="s">
        <v>30</v>
      </c>
      <c r="C507">
        <v>402</v>
      </c>
      <c r="D507">
        <v>1</v>
      </c>
      <c r="E507">
        <v>1</v>
      </c>
      <c r="F507" t="s">
        <v>41</v>
      </c>
      <c r="G507" t="s">
        <v>32</v>
      </c>
      <c r="H507" t="s">
        <v>33</v>
      </c>
      <c r="I507" t="s">
        <v>84</v>
      </c>
      <c r="O507" s="5"/>
      <c r="P507" s="5"/>
      <c r="Z507" t="s">
        <v>39</v>
      </c>
    </row>
    <row r="508" spans="1:29" x14ac:dyDescent="0.25">
      <c r="A508" s="4">
        <v>42530</v>
      </c>
      <c r="B508" t="s">
        <v>30</v>
      </c>
      <c r="C508">
        <v>402</v>
      </c>
      <c r="D508">
        <v>1</v>
      </c>
      <c r="E508">
        <v>2</v>
      </c>
      <c r="F508" t="s">
        <v>41</v>
      </c>
      <c r="G508" t="s">
        <v>32</v>
      </c>
      <c r="H508" t="s">
        <v>33</v>
      </c>
      <c r="I508" t="s">
        <v>57</v>
      </c>
      <c r="O508" s="5"/>
      <c r="P508" s="5"/>
      <c r="Z508" t="s">
        <v>39</v>
      </c>
    </row>
    <row r="509" spans="1:29" x14ac:dyDescent="0.25">
      <c r="A509" s="4">
        <v>42530</v>
      </c>
      <c r="B509" t="s">
        <v>30</v>
      </c>
      <c r="C509">
        <v>402</v>
      </c>
      <c r="D509">
        <v>2</v>
      </c>
      <c r="E509">
        <v>1</v>
      </c>
      <c r="F509" t="s">
        <v>41</v>
      </c>
      <c r="G509" t="s">
        <v>32</v>
      </c>
      <c r="H509" t="s">
        <v>33</v>
      </c>
      <c r="I509" t="s">
        <v>57</v>
      </c>
      <c r="O509" s="5"/>
      <c r="P509" s="5"/>
      <c r="Z509" t="s">
        <v>39</v>
      </c>
    </row>
    <row r="510" spans="1:29" x14ac:dyDescent="0.25">
      <c r="A510" s="4">
        <v>42530</v>
      </c>
      <c r="B510" t="s">
        <v>30</v>
      </c>
      <c r="C510">
        <v>402</v>
      </c>
      <c r="D510">
        <v>2</v>
      </c>
      <c r="E510">
        <v>2</v>
      </c>
      <c r="F510" t="s">
        <v>41</v>
      </c>
      <c r="G510" t="s">
        <v>32</v>
      </c>
      <c r="H510" t="s">
        <v>33</v>
      </c>
      <c r="I510" t="s">
        <v>84</v>
      </c>
      <c r="O510" s="5"/>
      <c r="P510" s="5"/>
      <c r="Z510" t="s">
        <v>39</v>
      </c>
    </row>
    <row r="511" spans="1:29" x14ac:dyDescent="0.25">
      <c r="A511" s="4">
        <v>42530</v>
      </c>
      <c r="B511" t="s">
        <v>30</v>
      </c>
      <c r="C511">
        <v>402</v>
      </c>
      <c r="D511">
        <v>3</v>
      </c>
      <c r="E511">
        <v>1</v>
      </c>
      <c r="F511" t="s">
        <v>41</v>
      </c>
      <c r="G511" t="s">
        <v>32</v>
      </c>
      <c r="H511" t="s">
        <v>33</v>
      </c>
      <c r="I511" t="s">
        <v>84</v>
      </c>
      <c r="O511" s="5"/>
      <c r="P511" s="5"/>
      <c r="Z511" t="s">
        <v>39</v>
      </c>
    </row>
    <row r="512" spans="1:29" x14ac:dyDescent="0.25">
      <c r="A512" s="4">
        <v>42530</v>
      </c>
      <c r="B512" t="s">
        <v>30</v>
      </c>
      <c r="C512">
        <v>402</v>
      </c>
      <c r="D512">
        <v>3</v>
      </c>
      <c r="E512">
        <v>2</v>
      </c>
      <c r="F512" t="s">
        <v>41</v>
      </c>
      <c r="G512" t="s">
        <v>32</v>
      </c>
      <c r="H512" t="s">
        <v>33</v>
      </c>
      <c r="I512" t="s">
        <v>84</v>
      </c>
      <c r="O512" s="5"/>
      <c r="P512" s="5"/>
      <c r="Z512" t="s">
        <v>39</v>
      </c>
    </row>
    <row r="513" spans="1:30" x14ac:dyDescent="0.25">
      <c r="A513" s="4">
        <v>42530</v>
      </c>
      <c r="B513" t="s">
        <v>30</v>
      </c>
      <c r="C513">
        <v>402</v>
      </c>
      <c r="D513">
        <v>4</v>
      </c>
      <c r="E513">
        <v>1</v>
      </c>
      <c r="F513" t="s">
        <v>41</v>
      </c>
      <c r="G513" t="s">
        <v>32</v>
      </c>
      <c r="H513" t="s">
        <v>33</v>
      </c>
      <c r="I513" t="s">
        <v>84</v>
      </c>
      <c r="O513" s="5"/>
      <c r="P513" s="5"/>
      <c r="Z513" t="s">
        <v>39</v>
      </c>
    </row>
    <row r="514" spans="1:30" x14ac:dyDescent="0.25">
      <c r="A514" s="4">
        <v>42530</v>
      </c>
      <c r="B514" t="s">
        <v>30</v>
      </c>
      <c r="C514">
        <v>402</v>
      </c>
      <c r="D514">
        <v>4</v>
      </c>
      <c r="E514">
        <v>2</v>
      </c>
      <c r="F514" t="s">
        <v>41</v>
      </c>
      <c r="G514" t="s">
        <v>32</v>
      </c>
      <c r="H514" t="s">
        <v>33</v>
      </c>
      <c r="I514" t="s">
        <v>84</v>
      </c>
      <c r="O514" s="5"/>
      <c r="P514" s="5"/>
      <c r="Z514" t="s">
        <v>39</v>
      </c>
    </row>
    <row r="515" spans="1:30" x14ac:dyDescent="0.25">
      <c r="A515" s="4">
        <v>42530</v>
      </c>
      <c r="B515" t="s">
        <v>30</v>
      </c>
      <c r="C515">
        <v>402</v>
      </c>
      <c r="D515">
        <v>5</v>
      </c>
      <c r="E515">
        <v>1</v>
      </c>
      <c r="F515" t="s">
        <v>41</v>
      </c>
      <c r="G515" t="s">
        <v>32</v>
      </c>
      <c r="H515" t="s">
        <v>33</v>
      </c>
      <c r="I515" t="s">
        <v>84</v>
      </c>
      <c r="O515" s="5"/>
      <c r="P515" s="5"/>
      <c r="Z515" t="s">
        <v>39</v>
      </c>
    </row>
    <row r="516" spans="1:30" x14ac:dyDescent="0.25">
      <c r="A516" s="4">
        <v>42530</v>
      </c>
      <c r="B516" t="s">
        <v>30</v>
      </c>
      <c r="C516">
        <v>402</v>
      </c>
      <c r="D516">
        <v>5</v>
      </c>
      <c r="E516">
        <v>2</v>
      </c>
      <c r="F516" t="s">
        <v>41</v>
      </c>
      <c r="G516" t="s">
        <v>32</v>
      </c>
      <c r="H516" t="s">
        <v>33</v>
      </c>
      <c r="I516" t="s">
        <v>91</v>
      </c>
      <c r="J516" t="s">
        <v>42</v>
      </c>
      <c r="K516" t="s">
        <v>37</v>
      </c>
      <c r="L516" t="s">
        <v>36</v>
      </c>
      <c r="M516">
        <v>0</v>
      </c>
      <c r="N516">
        <v>1</v>
      </c>
      <c r="O516" s="5"/>
      <c r="P516" s="5">
        <v>50451</v>
      </c>
      <c r="Q516">
        <v>18.5</v>
      </c>
      <c r="R516" t="s">
        <v>120</v>
      </c>
      <c r="S516" t="s">
        <v>39</v>
      </c>
      <c r="W516">
        <v>11.5</v>
      </c>
      <c r="X516">
        <v>25</v>
      </c>
      <c r="Z516" t="s">
        <v>39</v>
      </c>
      <c r="AB516" t="s">
        <v>59</v>
      </c>
      <c r="AC516" t="s">
        <v>56</v>
      </c>
      <c r="AD516" t="s">
        <v>121</v>
      </c>
    </row>
    <row r="517" spans="1:30" x14ac:dyDescent="0.25">
      <c r="A517" s="4">
        <v>42530</v>
      </c>
      <c r="B517" t="s">
        <v>30</v>
      </c>
      <c r="C517">
        <v>402</v>
      </c>
      <c r="D517">
        <v>6</v>
      </c>
      <c r="E517">
        <v>1</v>
      </c>
      <c r="F517" t="s">
        <v>41</v>
      </c>
      <c r="G517" t="s">
        <v>32</v>
      </c>
      <c r="H517" t="s">
        <v>33</v>
      </c>
      <c r="I517" t="s">
        <v>84</v>
      </c>
      <c r="O517" s="5"/>
      <c r="P517" s="5"/>
      <c r="Z517" t="s">
        <v>39</v>
      </c>
    </row>
    <row r="518" spans="1:30" x14ac:dyDescent="0.25">
      <c r="A518" s="4">
        <v>42530</v>
      </c>
      <c r="B518" t="s">
        <v>30</v>
      </c>
      <c r="C518">
        <v>402</v>
      </c>
      <c r="D518">
        <v>6</v>
      </c>
      <c r="E518">
        <v>2</v>
      </c>
      <c r="F518" t="s">
        <v>41</v>
      </c>
      <c r="G518" t="s">
        <v>32</v>
      </c>
      <c r="H518" t="s">
        <v>33</v>
      </c>
      <c r="I518" t="s">
        <v>84</v>
      </c>
      <c r="O518" s="5"/>
      <c r="P518" s="5"/>
      <c r="Z518" t="s">
        <v>39</v>
      </c>
    </row>
    <row r="519" spans="1:30" x14ac:dyDescent="0.25">
      <c r="A519" s="4">
        <v>42530</v>
      </c>
      <c r="B519" t="s">
        <v>30</v>
      </c>
      <c r="C519">
        <v>402</v>
      </c>
      <c r="D519">
        <v>7</v>
      </c>
      <c r="E519">
        <v>1</v>
      </c>
      <c r="F519" t="s">
        <v>41</v>
      </c>
      <c r="G519" t="s">
        <v>32</v>
      </c>
      <c r="H519" t="s">
        <v>33</v>
      </c>
      <c r="I519" t="s">
        <v>84</v>
      </c>
      <c r="O519" s="5"/>
      <c r="P519" s="5"/>
      <c r="Z519" t="s">
        <v>39</v>
      </c>
    </row>
    <row r="520" spans="1:30" x14ac:dyDescent="0.25">
      <c r="A520" s="4">
        <v>42530</v>
      </c>
      <c r="B520" t="s">
        <v>30</v>
      </c>
      <c r="C520">
        <v>402</v>
      </c>
      <c r="D520">
        <v>7</v>
      </c>
      <c r="E520">
        <v>2</v>
      </c>
      <c r="F520" t="s">
        <v>41</v>
      </c>
      <c r="G520" t="s">
        <v>32</v>
      </c>
      <c r="H520" t="s">
        <v>33</v>
      </c>
      <c r="I520" t="s">
        <v>84</v>
      </c>
      <c r="O520" s="5"/>
      <c r="P520" s="5"/>
      <c r="Z520" t="s">
        <v>39</v>
      </c>
    </row>
    <row r="521" spans="1:30" x14ac:dyDescent="0.25">
      <c r="A521" s="4">
        <v>42530</v>
      </c>
      <c r="B521" t="s">
        <v>30</v>
      </c>
      <c r="C521">
        <v>402</v>
      </c>
      <c r="D521">
        <v>8</v>
      </c>
      <c r="E521">
        <v>1</v>
      </c>
      <c r="F521" t="s">
        <v>41</v>
      </c>
      <c r="G521" t="s">
        <v>32</v>
      </c>
      <c r="H521" t="s">
        <v>33</v>
      </c>
      <c r="I521" t="s">
        <v>84</v>
      </c>
      <c r="O521" s="5"/>
      <c r="P521" s="5"/>
      <c r="Z521" t="s">
        <v>39</v>
      </c>
    </row>
    <row r="522" spans="1:30" x14ac:dyDescent="0.25">
      <c r="A522" s="4">
        <v>42530</v>
      </c>
      <c r="B522" t="s">
        <v>30</v>
      </c>
      <c r="C522">
        <v>402</v>
      </c>
      <c r="D522">
        <v>8</v>
      </c>
      <c r="E522">
        <v>2</v>
      </c>
      <c r="F522" t="s">
        <v>41</v>
      </c>
      <c r="G522" t="s">
        <v>32</v>
      </c>
      <c r="H522" t="s">
        <v>33</v>
      </c>
      <c r="I522" t="s">
        <v>84</v>
      </c>
      <c r="O522" s="5"/>
      <c r="P522" s="5"/>
      <c r="Z522" t="s">
        <v>39</v>
      </c>
    </row>
    <row r="523" spans="1:30" x14ac:dyDescent="0.25">
      <c r="A523" s="4">
        <v>42530</v>
      </c>
      <c r="B523" t="s">
        <v>30</v>
      </c>
      <c r="C523">
        <v>402</v>
      </c>
      <c r="D523">
        <v>9</v>
      </c>
      <c r="E523">
        <v>1</v>
      </c>
      <c r="F523" t="s">
        <v>41</v>
      </c>
      <c r="G523" t="s">
        <v>32</v>
      </c>
      <c r="H523" t="s">
        <v>33</v>
      </c>
      <c r="I523" t="s">
        <v>84</v>
      </c>
      <c r="O523" s="5"/>
      <c r="P523" s="5"/>
      <c r="Z523" t="s">
        <v>39</v>
      </c>
    </row>
    <row r="524" spans="1:30" x14ac:dyDescent="0.25">
      <c r="A524" s="4">
        <v>42530</v>
      </c>
      <c r="B524" t="s">
        <v>30</v>
      </c>
      <c r="C524">
        <v>402</v>
      </c>
      <c r="D524">
        <v>9</v>
      </c>
      <c r="E524">
        <v>2</v>
      </c>
      <c r="F524" t="s">
        <v>41</v>
      </c>
      <c r="G524" t="s">
        <v>32</v>
      </c>
      <c r="H524" t="s">
        <v>33</v>
      </c>
      <c r="I524" t="s">
        <v>84</v>
      </c>
      <c r="O524" s="5"/>
      <c r="P524" s="5"/>
      <c r="Z524" t="s">
        <v>39</v>
      </c>
    </row>
    <row r="525" spans="1:30" x14ac:dyDescent="0.25">
      <c r="A525" s="4">
        <v>42530</v>
      </c>
      <c r="B525" t="s">
        <v>30</v>
      </c>
      <c r="C525">
        <v>402</v>
      </c>
      <c r="D525">
        <v>10</v>
      </c>
      <c r="E525">
        <v>1</v>
      </c>
      <c r="F525" t="s">
        <v>41</v>
      </c>
      <c r="G525" t="s">
        <v>32</v>
      </c>
      <c r="H525" t="s">
        <v>33</v>
      </c>
      <c r="I525" t="s">
        <v>84</v>
      </c>
      <c r="O525" s="5"/>
      <c r="P525" s="5"/>
      <c r="Z525" t="s">
        <v>39</v>
      </c>
    </row>
    <row r="526" spans="1:30" x14ac:dyDescent="0.25">
      <c r="A526" s="4">
        <v>42530</v>
      </c>
      <c r="B526" t="s">
        <v>30</v>
      </c>
      <c r="C526">
        <v>402</v>
      </c>
      <c r="D526">
        <v>10</v>
      </c>
      <c r="E526">
        <v>2</v>
      </c>
      <c r="F526" t="s">
        <v>41</v>
      </c>
      <c r="G526" t="s">
        <v>32</v>
      </c>
      <c r="H526" t="s">
        <v>33</v>
      </c>
      <c r="I526" t="s">
        <v>84</v>
      </c>
      <c r="O526" s="5"/>
      <c r="P526" s="5"/>
      <c r="Z526" t="s">
        <v>39</v>
      </c>
    </row>
    <row r="527" spans="1:30" x14ac:dyDescent="0.25">
      <c r="A527" s="4">
        <v>42535</v>
      </c>
      <c r="B527" t="s">
        <v>30</v>
      </c>
      <c r="C527">
        <v>501</v>
      </c>
      <c r="D527">
        <v>9</v>
      </c>
      <c r="E527">
        <v>1</v>
      </c>
      <c r="F527" t="s">
        <v>31</v>
      </c>
      <c r="G527" t="s">
        <v>32</v>
      </c>
      <c r="H527" t="s">
        <v>33</v>
      </c>
      <c r="I527" t="s">
        <v>34</v>
      </c>
      <c r="J527" t="s">
        <v>35</v>
      </c>
      <c r="K527" t="s">
        <v>113</v>
      </c>
      <c r="L527" t="s">
        <v>43</v>
      </c>
      <c r="M527">
        <v>0</v>
      </c>
      <c r="N527">
        <v>0</v>
      </c>
      <c r="O527" s="5">
        <v>26604</v>
      </c>
      <c r="P527" s="5">
        <v>26603</v>
      </c>
      <c r="Q527">
        <f>32-10.5</f>
        <v>21.5</v>
      </c>
      <c r="R527" t="s">
        <v>47</v>
      </c>
      <c r="S527" t="s">
        <v>39</v>
      </c>
      <c r="T527">
        <v>19</v>
      </c>
      <c r="U527">
        <v>85</v>
      </c>
      <c r="V527">
        <v>14</v>
      </c>
      <c r="W527">
        <v>12</v>
      </c>
      <c r="X527">
        <v>28.3</v>
      </c>
      <c r="Z527" t="s">
        <v>39</v>
      </c>
      <c r="AB527" t="s">
        <v>40</v>
      </c>
      <c r="AC527" t="s">
        <v>78</v>
      </c>
    </row>
    <row r="528" spans="1:30" x14ac:dyDescent="0.25">
      <c r="A528" s="4">
        <v>42535</v>
      </c>
      <c r="B528" t="s">
        <v>30</v>
      </c>
      <c r="C528">
        <v>501</v>
      </c>
      <c r="D528">
        <v>10</v>
      </c>
      <c r="E528">
        <v>1</v>
      </c>
      <c r="F528" t="s">
        <v>31</v>
      </c>
      <c r="G528" t="s">
        <v>32</v>
      </c>
      <c r="H528" t="s">
        <v>33</v>
      </c>
      <c r="I528" t="s">
        <v>57</v>
      </c>
      <c r="O528" s="5"/>
      <c r="P528" s="5"/>
      <c r="Z528" t="s">
        <v>39</v>
      </c>
    </row>
    <row r="529" spans="1:29" x14ac:dyDescent="0.25">
      <c r="A529" s="4">
        <v>42535</v>
      </c>
      <c r="B529" t="s">
        <v>30</v>
      </c>
      <c r="C529">
        <v>501</v>
      </c>
      <c r="D529">
        <v>10</v>
      </c>
      <c r="E529">
        <v>2</v>
      </c>
      <c r="F529" t="s">
        <v>31</v>
      </c>
      <c r="G529" t="s">
        <v>32</v>
      </c>
      <c r="H529" t="s">
        <v>33</v>
      </c>
      <c r="I529" t="s">
        <v>73</v>
      </c>
      <c r="J529" t="s">
        <v>122</v>
      </c>
      <c r="K529" t="s">
        <v>113</v>
      </c>
      <c r="O529" s="5"/>
      <c r="P529" s="5"/>
      <c r="Z529" t="s">
        <v>39</v>
      </c>
    </row>
    <row r="530" spans="1:29" x14ac:dyDescent="0.25">
      <c r="A530" s="4">
        <v>42535</v>
      </c>
      <c r="B530" t="s">
        <v>30</v>
      </c>
      <c r="C530">
        <v>503</v>
      </c>
      <c r="D530">
        <v>1</v>
      </c>
      <c r="E530">
        <v>1</v>
      </c>
      <c r="F530" t="s">
        <v>31</v>
      </c>
      <c r="G530" t="s">
        <v>32</v>
      </c>
      <c r="H530" t="s">
        <v>33</v>
      </c>
      <c r="I530" t="s">
        <v>57</v>
      </c>
      <c r="O530" s="5"/>
      <c r="P530" s="5"/>
      <c r="Z530" t="s">
        <v>39</v>
      </c>
    </row>
    <row r="531" spans="1:29" x14ac:dyDescent="0.25">
      <c r="A531" s="4">
        <v>42535</v>
      </c>
      <c r="B531" t="s">
        <v>30</v>
      </c>
      <c r="C531">
        <v>503</v>
      </c>
      <c r="D531">
        <v>2</v>
      </c>
      <c r="E531">
        <v>1</v>
      </c>
      <c r="F531" t="s">
        <v>31</v>
      </c>
      <c r="G531" t="s">
        <v>32</v>
      </c>
      <c r="H531" t="s">
        <v>33</v>
      </c>
      <c r="I531" t="s">
        <v>57</v>
      </c>
      <c r="O531" s="5"/>
      <c r="P531" s="5"/>
      <c r="Z531" t="s">
        <v>39</v>
      </c>
    </row>
    <row r="532" spans="1:29" x14ac:dyDescent="0.25">
      <c r="A532" s="4">
        <v>42535</v>
      </c>
      <c r="B532" t="s">
        <v>30</v>
      </c>
      <c r="C532">
        <v>503</v>
      </c>
      <c r="D532">
        <v>2</v>
      </c>
      <c r="E532">
        <v>2</v>
      </c>
      <c r="F532" t="s">
        <v>31</v>
      </c>
      <c r="G532" t="s">
        <v>32</v>
      </c>
      <c r="H532" t="s">
        <v>33</v>
      </c>
      <c r="I532" t="s">
        <v>73</v>
      </c>
      <c r="J532" t="s">
        <v>51</v>
      </c>
      <c r="K532" t="s">
        <v>113</v>
      </c>
      <c r="L532" t="s">
        <v>37</v>
      </c>
      <c r="M532">
        <v>1</v>
      </c>
      <c r="N532">
        <v>0</v>
      </c>
      <c r="O532" s="5"/>
      <c r="P532" s="5">
        <v>50578</v>
      </c>
      <c r="Q532">
        <f>198-87</f>
        <v>111</v>
      </c>
      <c r="R532" t="s">
        <v>74</v>
      </c>
      <c r="S532" t="s">
        <v>97</v>
      </c>
      <c r="T532">
        <v>30</v>
      </c>
      <c r="W532">
        <v>22.2</v>
      </c>
      <c r="X532">
        <v>45</v>
      </c>
      <c r="Z532" t="s">
        <v>39</v>
      </c>
      <c r="AB532" t="s">
        <v>40</v>
      </c>
      <c r="AC532" t="s">
        <v>78</v>
      </c>
    </row>
    <row r="533" spans="1:29" x14ac:dyDescent="0.25">
      <c r="A533" s="4">
        <v>42535</v>
      </c>
      <c r="B533" t="s">
        <v>30</v>
      </c>
      <c r="C533">
        <v>503</v>
      </c>
      <c r="D533">
        <v>5</v>
      </c>
      <c r="E533">
        <v>1</v>
      </c>
      <c r="F533" t="s">
        <v>31</v>
      </c>
      <c r="G533" t="s">
        <v>32</v>
      </c>
      <c r="H533" t="s">
        <v>33</v>
      </c>
      <c r="I533" t="s">
        <v>57</v>
      </c>
      <c r="O533" s="5"/>
      <c r="P533" s="5"/>
      <c r="Z533" t="s">
        <v>39</v>
      </c>
    </row>
    <row r="534" spans="1:29" x14ac:dyDescent="0.25">
      <c r="A534" s="4">
        <v>42535</v>
      </c>
      <c r="B534" t="s">
        <v>30</v>
      </c>
      <c r="C534">
        <v>503</v>
      </c>
      <c r="D534">
        <v>6</v>
      </c>
      <c r="E534">
        <v>1</v>
      </c>
      <c r="F534" t="s">
        <v>31</v>
      </c>
      <c r="G534" t="s">
        <v>32</v>
      </c>
      <c r="H534" t="s">
        <v>33</v>
      </c>
      <c r="I534" t="s">
        <v>53</v>
      </c>
      <c r="O534" s="5"/>
      <c r="P534" s="5"/>
      <c r="Z534" t="s">
        <v>39</v>
      </c>
    </row>
    <row r="535" spans="1:29" x14ac:dyDescent="0.25">
      <c r="A535" s="4">
        <v>42535</v>
      </c>
      <c r="B535" t="s">
        <v>30</v>
      </c>
      <c r="C535">
        <v>503</v>
      </c>
      <c r="D535">
        <v>7</v>
      </c>
      <c r="E535">
        <v>1</v>
      </c>
      <c r="F535" t="s">
        <v>31</v>
      </c>
      <c r="G535" t="s">
        <v>32</v>
      </c>
      <c r="H535" t="s">
        <v>33</v>
      </c>
      <c r="I535" t="s">
        <v>58</v>
      </c>
      <c r="J535" t="s">
        <v>42</v>
      </c>
      <c r="K535" t="s">
        <v>113</v>
      </c>
      <c r="L535" t="s">
        <v>43</v>
      </c>
      <c r="M535">
        <v>0</v>
      </c>
      <c r="N535">
        <v>1</v>
      </c>
      <c r="O535" s="5">
        <v>50579</v>
      </c>
      <c r="P535" s="5"/>
      <c r="Q535">
        <f>44-16</f>
        <v>28</v>
      </c>
      <c r="R535" t="s">
        <v>47</v>
      </c>
      <c r="S535" t="s">
        <v>39</v>
      </c>
      <c r="T535">
        <v>17</v>
      </c>
      <c r="W535">
        <v>12.7</v>
      </c>
      <c r="X535">
        <v>29.5</v>
      </c>
      <c r="Z535" t="s">
        <v>39</v>
      </c>
      <c r="AB535" t="s">
        <v>40</v>
      </c>
      <c r="AC535" t="s">
        <v>78</v>
      </c>
    </row>
    <row r="536" spans="1:29" x14ac:dyDescent="0.25">
      <c r="A536" s="4">
        <v>42535</v>
      </c>
      <c r="B536" t="s">
        <v>30</v>
      </c>
      <c r="C536">
        <v>503</v>
      </c>
      <c r="D536">
        <v>8</v>
      </c>
      <c r="E536">
        <v>1</v>
      </c>
      <c r="F536" t="s">
        <v>31</v>
      </c>
      <c r="G536" t="s">
        <v>32</v>
      </c>
      <c r="H536" t="s">
        <v>33</v>
      </c>
      <c r="I536" t="s">
        <v>57</v>
      </c>
      <c r="O536" s="5"/>
      <c r="P536" s="5"/>
      <c r="Z536" t="s">
        <v>39</v>
      </c>
    </row>
    <row r="537" spans="1:29" x14ac:dyDescent="0.25">
      <c r="A537" s="4">
        <v>42535</v>
      </c>
      <c r="B537" t="s">
        <v>30</v>
      </c>
      <c r="C537">
        <v>503</v>
      </c>
      <c r="D537">
        <v>8</v>
      </c>
      <c r="E537">
        <v>2</v>
      </c>
      <c r="F537" t="s">
        <v>31</v>
      </c>
      <c r="G537" t="s">
        <v>32</v>
      </c>
      <c r="H537" t="s">
        <v>33</v>
      </c>
      <c r="I537" t="s">
        <v>91</v>
      </c>
      <c r="J537" t="s">
        <v>51</v>
      </c>
      <c r="K537" t="s">
        <v>113</v>
      </c>
      <c r="L537" t="s">
        <v>43</v>
      </c>
      <c r="M537">
        <v>1</v>
      </c>
      <c r="N537">
        <v>0</v>
      </c>
      <c r="O537" s="5">
        <v>50580</v>
      </c>
      <c r="P537" s="5"/>
      <c r="Q537">
        <v>24</v>
      </c>
      <c r="R537" t="s">
        <v>65</v>
      </c>
      <c r="S537" t="s">
        <v>39</v>
      </c>
      <c r="T537">
        <v>29.5</v>
      </c>
      <c r="W537">
        <v>12.2</v>
      </c>
      <c r="X537">
        <v>30</v>
      </c>
      <c r="Z537" t="s">
        <v>39</v>
      </c>
      <c r="AB537" t="s">
        <v>40</v>
      </c>
      <c r="AC537" t="s">
        <v>78</v>
      </c>
    </row>
    <row r="538" spans="1:29" x14ac:dyDescent="0.25">
      <c r="A538" s="4">
        <v>42535</v>
      </c>
      <c r="B538" t="s">
        <v>30</v>
      </c>
      <c r="C538">
        <v>303</v>
      </c>
      <c r="D538">
        <v>1</v>
      </c>
      <c r="E538">
        <v>1</v>
      </c>
      <c r="F538" t="s">
        <v>31</v>
      </c>
      <c r="G538" t="s">
        <v>32</v>
      </c>
      <c r="H538" t="s">
        <v>33</v>
      </c>
      <c r="I538" t="s">
        <v>57</v>
      </c>
      <c r="O538" s="5"/>
      <c r="P538" s="5"/>
      <c r="Z538" t="s">
        <v>39</v>
      </c>
    </row>
    <row r="539" spans="1:29" x14ac:dyDescent="0.25">
      <c r="A539" s="4">
        <v>42535</v>
      </c>
      <c r="B539" t="s">
        <v>30</v>
      </c>
      <c r="C539">
        <v>303</v>
      </c>
      <c r="D539">
        <v>2</v>
      </c>
      <c r="E539">
        <v>1</v>
      </c>
      <c r="F539" t="s">
        <v>31</v>
      </c>
      <c r="G539" t="s">
        <v>32</v>
      </c>
      <c r="H539" t="s">
        <v>33</v>
      </c>
      <c r="I539" t="s">
        <v>57</v>
      </c>
      <c r="O539" s="5"/>
      <c r="P539" s="5"/>
      <c r="Z539" t="s">
        <v>39</v>
      </c>
    </row>
    <row r="540" spans="1:29" x14ac:dyDescent="0.25">
      <c r="A540" s="4">
        <v>42535</v>
      </c>
      <c r="B540" t="s">
        <v>30</v>
      </c>
      <c r="C540">
        <v>303</v>
      </c>
      <c r="D540">
        <v>3</v>
      </c>
      <c r="E540">
        <v>1</v>
      </c>
      <c r="F540" t="s">
        <v>31</v>
      </c>
      <c r="G540" t="s">
        <v>32</v>
      </c>
      <c r="H540" t="s">
        <v>33</v>
      </c>
      <c r="I540" t="s">
        <v>57</v>
      </c>
      <c r="O540" s="5"/>
      <c r="P540" s="5"/>
      <c r="Z540" t="s">
        <v>39</v>
      </c>
    </row>
    <row r="541" spans="1:29" x14ac:dyDescent="0.25">
      <c r="A541" s="4">
        <v>42535</v>
      </c>
      <c r="B541" t="s">
        <v>30</v>
      </c>
      <c r="C541">
        <v>303</v>
      </c>
      <c r="D541">
        <v>4</v>
      </c>
      <c r="E541">
        <v>1</v>
      </c>
      <c r="F541" t="s">
        <v>31</v>
      </c>
      <c r="G541" t="s">
        <v>32</v>
      </c>
      <c r="H541" t="s">
        <v>33</v>
      </c>
      <c r="I541" t="s">
        <v>57</v>
      </c>
      <c r="O541" s="5"/>
      <c r="P541" s="5"/>
      <c r="Z541" t="s">
        <v>39</v>
      </c>
    </row>
    <row r="542" spans="1:29" x14ac:dyDescent="0.25">
      <c r="A542" s="4">
        <v>42535</v>
      </c>
      <c r="B542" t="s">
        <v>30</v>
      </c>
      <c r="C542">
        <v>303</v>
      </c>
      <c r="D542">
        <v>5</v>
      </c>
      <c r="E542">
        <v>1</v>
      </c>
      <c r="F542" t="s">
        <v>31</v>
      </c>
      <c r="G542" t="s">
        <v>32</v>
      </c>
      <c r="H542" t="s">
        <v>33</v>
      </c>
      <c r="I542" t="s">
        <v>57</v>
      </c>
      <c r="O542" s="5"/>
      <c r="P542" s="5"/>
      <c r="Z542" t="s">
        <v>39</v>
      </c>
    </row>
    <row r="543" spans="1:29" x14ac:dyDescent="0.25">
      <c r="A543" s="4">
        <v>42535</v>
      </c>
      <c r="B543" t="s">
        <v>30</v>
      </c>
      <c r="C543">
        <v>303</v>
      </c>
      <c r="D543">
        <v>5</v>
      </c>
      <c r="E543">
        <v>2</v>
      </c>
      <c r="F543" t="s">
        <v>31</v>
      </c>
      <c r="G543" t="s">
        <v>32</v>
      </c>
      <c r="H543" t="s">
        <v>33</v>
      </c>
      <c r="I543" t="s">
        <v>57</v>
      </c>
      <c r="O543" s="5"/>
      <c r="P543" s="5"/>
      <c r="Z543" t="s">
        <v>39</v>
      </c>
    </row>
    <row r="544" spans="1:29" x14ac:dyDescent="0.25">
      <c r="A544" s="4">
        <v>42535</v>
      </c>
      <c r="B544" t="s">
        <v>30</v>
      </c>
      <c r="C544">
        <v>303</v>
      </c>
      <c r="D544">
        <v>6</v>
      </c>
      <c r="E544">
        <v>1</v>
      </c>
      <c r="F544" t="s">
        <v>31</v>
      </c>
      <c r="G544" t="s">
        <v>32</v>
      </c>
      <c r="H544" t="s">
        <v>33</v>
      </c>
      <c r="I544" t="s">
        <v>53</v>
      </c>
      <c r="O544" s="5"/>
      <c r="P544" s="5"/>
      <c r="Z544" t="s">
        <v>39</v>
      </c>
    </row>
    <row r="545" spans="1:30" x14ac:dyDescent="0.25">
      <c r="A545" s="4">
        <v>42535</v>
      </c>
      <c r="B545" t="s">
        <v>30</v>
      </c>
      <c r="C545">
        <v>703</v>
      </c>
      <c r="D545">
        <v>1</v>
      </c>
      <c r="E545">
        <v>1</v>
      </c>
      <c r="F545" t="s">
        <v>41</v>
      </c>
      <c r="G545" t="s">
        <v>32</v>
      </c>
      <c r="H545" t="s">
        <v>33</v>
      </c>
      <c r="I545" t="s">
        <v>34</v>
      </c>
      <c r="J545" t="s">
        <v>35</v>
      </c>
      <c r="K545" t="s">
        <v>113</v>
      </c>
      <c r="L545" t="s">
        <v>37</v>
      </c>
      <c r="M545">
        <v>0</v>
      </c>
      <c r="N545">
        <v>0</v>
      </c>
      <c r="O545" s="5" t="s">
        <v>71</v>
      </c>
      <c r="P545" s="5" t="s">
        <v>72</v>
      </c>
      <c r="Q545">
        <f>30-10.5</f>
        <v>19.5</v>
      </c>
      <c r="R545" t="s">
        <v>63</v>
      </c>
      <c r="S545" t="s">
        <v>97</v>
      </c>
      <c r="T545">
        <v>21</v>
      </c>
      <c r="U545">
        <v>88</v>
      </c>
      <c r="V545">
        <v>13</v>
      </c>
      <c r="W545">
        <v>13.3</v>
      </c>
      <c r="X545">
        <v>29.5</v>
      </c>
      <c r="Z545" t="s">
        <v>39</v>
      </c>
      <c r="AB545" t="s">
        <v>40</v>
      </c>
      <c r="AC545" t="s">
        <v>78</v>
      </c>
    </row>
    <row r="546" spans="1:30" x14ac:dyDescent="0.25">
      <c r="A546" s="4">
        <v>42535</v>
      </c>
      <c r="B546" t="s">
        <v>30</v>
      </c>
      <c r="C546">
        <v>703</v>
      </c>
      <c r="D546">
        <v>4</v>
      </c>
      <c r="E546">
        <v>1</v>
      </c>
      <c r="F546" t="s">
        <v>41</v>
      </c>
      <c r="G546" t="s">
        <v>32</v>
      </c>
      <c r="H546" t="s">
        <v>33</v>
      </c>
      <c r="I546" t="s">
        <v>57</v>
      </c>
      <c r="O546" s="5"/>
      <c r="P546" s="5"/>
      <c r="Z546" t="s">
        <v>39</v>
      </c>
    </row>
    <row r="547" spans="1:30" x14ac:dyDescent="0.25">
      <c r="A547" s="4">
        <v>42535</v>
      </c>
      <c r="B547" t="s">
        <v>30</v>
      </c>
      <c r="C547">
        <v>703</v>
      </c>
      <c r="D547">
        <v>5</v>
      </c>
      <c r="E547">
        <v>1</v>
      </c>
      <c r="F547" t="s">
        <v>41</v>
      </c>
      <c r="G547" t="s">
        <v>32</v>
      </c>
      <c r="H547" t="s">
        <v>33</v>
      </c>
      <c r="I547" t="s">
        <v>53</v>
      </c>
      <c r="J547" t="s">
        <v>123</v>
      </c>
      <c r="O547" s="5"/>
      <c r="P547" s="5"/>
      <c r="Z547" t="s">
        <v>39</v>
      </c>
    </row>
    <row r="548" spans="1:30" x14ac:dyDescent="0.25">
      <c r="A548" s="4">
        <v>42535</v>
      </c>
      <c r="B548" t="s">
        <v>30</v>
      </c>
      <c r="C548">
        <v>703</v>
      </c>
      <c r="D548">
        <v>7</v>
      </c>
      <c r="E548">
        <v>1</v>
      </c>
      <c r="F548" t="s">
        <v>41</v>
      </c>
      <c r="G548" t="s">
        <v>32</v>
      </c>
      <c r="H548" t="s">
        <v>33</v>
      </c>
      <c r="I548" t="s">
        <v>73</v>
      </c>
      <c r="J548" t="s">
        <v>122</v>
      </c>
      <c r="K548" t="s">
        <v>113</v>
      </c>
      <c r="L548" t="s">
        <v>43</v>
      </c>
      <c r="O548" s="5"/>
      <c r="P548" s="5"/>
      <c r="R548" t="s">
        <v>47</v>
      </c>
      <c r="Z548" t="s">
        <v>39</v>
      </c>
    </row>
    <row r="549" spans="1:30" x14ac:dyDescent="0.25">
      <c r="A549" s="4">
        <v>42535</v>
      </c>
      <c r="B549" t="s">
        <v>30</v>
      </c>
      <c r="C549">
        <v>703</v>
      </c>
      <c r="D549">
        <v>9</v>
      </c>
      <c r="E549">
        <v>1</v>
      </c>
      <c r="F549" t="s">
        <v>41</v>
      </c>
      <c r="G549" t="s">
        <v>32</v>
      </c>
      <c r="H549" t="s">
        <v>33</v>
      </c>
      <c r="I549" t="s">
        <v>57</v>
      </c>
      <c r="O549" s="5"/>
      <c r="P549" s="5"/>
      <c r="Z549" t="s">
        <v>39</v>
      </c>
    </row>
    <row r="550" spans="1:30" x14ac:dyDescent="0.25">
      <c r="A550" s="4">
        <v>42535</v>
      </c>
      <c r="B550" t="s">
        <v>30</v>
      </c>
      <c r="C550">
        <v>703</v>
      </c>
      <c r="D550">
        <v>9</v>
      </c>
      <c r="E550">
        <v>2</v>
      </c>
      <c r="F550" t="s">
        <v>41</v>
      </c>
      <c r="G550" t="s">
        <v>32</v>
      </c>
      <c r="H550" t="s">
        <v>33</v>
      </c>
      <c r="I550" t="s">
        <v>57</v>
      </c>
      <c r="O550" s="5"/>
      <c r="P550" s="5"/>
      <c r="Z550" t="s">
        <v>39</v>
      </c>
    </row>
    <row r="551" spans="1:30" x14ac:dyDescent="0.25">
      <c r="A551" s="4">
        <v>42535</v>
      </c>
      <c r="B551" t="s">
        <v>30</v>
      </c>
      <c r="C551">
        <v>703</v>
      </c>
      <c r="D551">
        <v>10</v>
      </c>
      <c r="E551">
        <v>1</v>
      </c>
      <c r="F551" t="s">
        <v>41</v>
      </c>
      <c r="G551" t="s">
        <v>32</v>
      </c>
      <c r="H551" t="s">
        <v>33</v>
      </c>
      <c r="I551" t="s">
        <v>57</v>
      </c>
      <c r="O551" s="5"/>
      <c r="P551" s="5"/>
      <c r="Z551" t="s">
        <v>39</v>
      </c>
    </row>
    <row r="552" spans="1:30" x14ac:dyDescent="0.25">
      <c r="A552" s="4">
        <v>42535</v>
      </c>
      <c r="B552" t="s">
        <v>30</v>
      </c>
      <c r="C552">
        <v>701</v>
      </c>
      <c r="D552">
        <v>2</v>
      </c>
      <c r="E552">
        <v>1</v>
      </c>
      <c r="F552" t="s">
        <v>41</v>
      </c>
      <c r="G552" t="s">
        <v>32</v>
      </c>
      <c r="H552" t="s">
        <v>33</v>
      </c>
      <c r="I552" t="s">
        <v>53</v>
      </c>
      <c r="J552" t="s">
        <v>62</v>
      </c>
      <c r="O552" s="5"/>
      <c r="P552" s="5"/>
      <c r="Z552" t="s">
        <v>39</v>
      </c>
    </row>
    <row r="553" spans="1:30" x14ac:dyDescent="0.25">
      <c r="A553" s="4">
        <v>42535</v>
      </c>
      <c r="B553" t="s">
        <v>30</v>
      </c>
      <c r="C553">
        <v>701</v>
      </c>
      <c r="D553">
        <v>6</v>
      </c>
      <c r="E553">
        <v>1</v>
      </c>
      <c r="F553" t="s">
        <v>41</v>
      </c>
      <c r="G553" t="s">
        <v>32</v>
      </c>
      <c r="H553" t="s">
        <v>33</v>
      </c>
      <c r="I553" t="s">
        <v>98</v>
      </c>
      <c r="O553" s="5"/>
      <c r="P553" s="5"/>
      <c r="Z553" t="s">
        <v>39</v>
      </c>
      <c r="AD553" t="s">
        <v>124</v>
      </c>
    </row>
    <row r="554" spans="1:30" x14ac:dyDescent="0.25">
      <c r="A554" s="4">
        <v>42535</v>
      </c>
      <c r="B554" t="s">
        <v>30</v>
      </c>
      <c r="C554">
        <v>801</v>
      </c>
      <c r="D554">
        <v>4</v>
      </c>
      <c r="E554">
        <v>1</v>
      </c>
      <c r="F554" t="s">
        <v>41</v>
      </c>
      <c r="G554" t="s">
        <v>32</v>
      </c>
      <c r="H554" t="s">
        <v>33</v>
      </c>
      <c r="I554" t="s">
        <v>57</v>
      </c>
      <c r="O554" s="5"/>
      <c r="P554" s="5"/>
      <c r="Z554" t="s">
        <v>39</v>
      </c>
    </row>
    <row r="555" spans="1:30" x14ac:dyDescent="0.25">
      <c r="A555" s="4">
        <v>42535</v>
      </c>
      <c r="B555" t="s">
        <v>30</v>
      </c>
      <c r="C555">
        <v>803</v>
      </c>
      <c r="D555">
        <v>8</v>
      </c>
      <c r="E555">
        <v>1</v>
      </c>
      <c r="F555" t="s">
        <v>41</v>
      </c>
      <c r="G555" t="s">
        <v>32</v>
      </c>
      <c r="H555" t="s">
        <v>33</v>
      </c>
      <c r="I555" t="s">
        <v>57</v>
      </c>
      <c r="O555" s="5"/>
      <c r="P555" s="5"/>
      <c r="Z555" t="s">
        <v>39</v>
      </c>
    </row>
    <row r="556" spans="1:30" x14ac:dyDescent="0.25">
      <c r="A556" s="4">
        <v>42535</v>
      </c>
      <c r="B556" t="s">
        <v>30</v>
      </c>
      <c r="C556">
        <v>803</v>
      </c>
      <c r="D556">
        <v>7</v>
      </c>
      <c r="E556">
        <v>1</v>
      </c>
      <c r="F556" t="s">
        <v>41</v>
      </c>
      <c r="G556" t="s">
        <v>32</v>
      </c>
      <c r="H556" t="s">
        <v>33</v>
      </c>
      <c r="I556" t="s">
        <v>34</v>
      </c>
      <c r="J556" t="s">
        <v>42</v>
      </c>
      <c r="K556" t="s">
        <v>113</v>
      </c>
      <c r="L556" t="s">
        <v>43</v>
      </c>
      <c r="M556">
        <v>0</v>
      </c>
      <c r="N556">
        <v>1</v>
      </c>
      <c r="O556" s="5">
        <v>50455</v>
      </c>
      <c r="P556" s="5">
        <v>50454</v>
      </c>
      <c r="Q556">
        <f>35.5-12</f>
        <v>23.5</v>
      </c>
      <c r="R556" t="s">
        <v>47</v>
      </c>
      <c r="S556" t="s">
        <v>39</v>
      </c>
      <c r="T556">
        <v>19</v>
      </c>
      <c r="U556">
        <v>86</v>
      </c>
      <c r="V556">
        <v>13</v>
      </c>
      <c r="W556">
        <v>12.5</v>
      </c>
      <c r="X556">
        <v>30</v>
      </c>
      <c r="Y556" t="s">
        <v>125</v>
      </c>
      <c r="Z556" t="s">
        <v>39</v>
      </c>
      <c r="AB556" t="s">
        <v>40</v>
      </c>
      <c r="AC556" t="s">
        <v>78</v>
      </c>
    </row>
    <row r="557" spans="1:30" x14ac:dyDescent="0.25">
      <c r="A557" s="4">
        <v>42535</v>
      </c>
      <c r="B557" t="s">
        <v>30</v>
      </c>
      <c r="C557">
        <v>803</v>
      </c>
      <c r="D557">
        <v>7</v>
      </c>
      <c r="E557">
        <v>2</v>
      </c>
      <c r="F557" t="s">
        <v>41</v>
      </c>
      <c r="G557" t="s">
        <v>32</v>
      </c>
      <c r="H557" t="s">
        <v>33</v>
      </c>
      <c r="I557" t="s">
        <v>34</v>
      </c>
      <c r="J557" t="s">
        <v>42</v>
      </c>
      <c r="K557" t="s">
        <v>114</v>
      </c>
      <c r="L557" t="s">
        <v>37</v>
      </c>
      <c r="M557">
        <v>0</v>
      </c>
      <c r="N557">
        <v>1</v>
      </c>
      <c r="O557" s="5">
        <v>50457</v>
      </c>
      <c r="P557" s="5">
        <v>50456</v>
      </c>
      <c r="Q557">
        <f>25-11.5</f>
        <v>13.5</v>
      </c>
      <c r="R557" t="s">
        <v>63</v>
      </c>
      <c r="S557" t="s">
        <v>39</v>
      </c>
      <c r="T557">
        <v>19</v>
      </c>
      <c r="U557">
        <v>78</v>
      </c>
      <c r="V557">
        <v>13</v>
      </c>
      <c r="W557">
        <v>26.6</v>
      </c>
      <c r="X557">
        <v>11.9</v>
      </c>
      <c r="Z557" t="s">
        <v>39</v>
      </c>
      <c r="AB557" t="s">
        <v>40</v>
      </c>
      <c r="AC557" t="s">
        <v>78</v>
      </c>
    </row>
    <row r="558" spans="1:30" x14ac:dyDescent="0.25">
      <c r="A558" s="4">
        <v>42535</v>
      </c>
      <c r="B558" t="s">
        <v>30</v>
      </c>
      <c r="C558">
        <v>803</v>
      </c>
      <c r="D558">
        <v>6</v>
      </c>
      <c r="E558">
        <v>1</v>
      </c>
      <c r="F558" t="s">
        <v>41</v>
      </c>
      <c r="G558" t="s">
        <v>32</v>
      </c>
      <c r="H558" t="s">
        <v>33</v>
      </c>
      <c r="I558" t="s">
        <v>57</v>
      </c>
      <c r="O558" s="5"/>
      <c r="P558" s="5"/>
      <c r="Z558" t="s">
        <v>39</v>
      </c>
    </row>
    <row r="559" spans="1:30" x14ac:dyDescent="0.25">
      <c r="A559" s="4">
        <v>42535</v>
      </c>
      <c r="B559" t="s">
        <v>30</v>
      </c>
      <c r="C559">
        <v>803</v>
      </c>
      <c r="D559">
        <v>5</v>
      </c>
      <c r="E559">
        <v>1</v>
      </c>
      <c r="F559" t="s">
        <v>41</v>
      </c>
      <c r="G559" t="s">
        <v>32</v>
      </c>
      <c r="H559" t="s">
        <v>33</v>
      </c>
      <c r="I559" t="s">
        <v>73</v>
      </c>
      <c r="J559" t="s">
        <v>35</v>
      </c>
      <c r="K559" t="s">
        <v>113</v>
      </c>
      <c r="L559" t="s">
        <v>43</v>
      </c>
      <c r="M559">
        <v>0</v>
      </c>
      <c r="N559">
        <v>0</v>
      </c>
      <c r="O559" s="5">
        <v>50391</v>
      </c>
      <c r="P559" s="5"/>
      <c r="Q559">
        <f>132-82</f>
        <v>50</v>
      </c>
      <c r="R559" t="s">
        <v>47</v>
      </c>
      <c r="S559" t="s">
        <v>39</v>
      </c>
      <c r="Z559" t="s">
        <v>39</v>
      </c>
      <c r="AB559" t="s">
        <v>40</v>
      </c>
      <c r="AC559" t="s">
        <v>78</v>
      </c>
    </row>
    <row r="560" spans="1:30" x14ac:dyDescent="0.25">
      <c r="A560" s="4">
        <v>42535</v>
      </c>
      <c r="B560" t="s">
        <v>30</v>
      </c>
      <c r="C560">
        <v>901</v>
      </c>
      <c r="D560">
        <v>2</v>
      </c>
      <c r="E560">
        <v>1</v>
      </c>
      <c r="F560" t="s">
        <v>41</v>
      </c>
      <c r="G560" t="s">
        <v>32</v>
      </c>
      <c r="H560" t="s">
        <v>33</v>
      </c>
      <c r="I560" t="s">
        <v>53</v>
      </c>
      <c r="J560" t="s">
        <v>62</v>
      </c>
      <c r="O560" s="5"/>
      <c r="P560" s="5"/>
      <c r="Z560" t="s">
        <v>39</v>
      </c>
    </row>
    <row r="561" spans="1:29" x14ac:dyDescent="0.25">
      <c r="A561" s="4">
        <v>42536</v>
      </c>
      <c r="B561" t="s">
        <v>30</v>
      </c>
      <c r="C561">
        <v>501</v>
      </c>
      <c r="D561">
        <v>1</v>
      </c>
      <c r="E561">
        <v>1</v>
      </c>
      <c r="F561" t="s">
        <v>31</v>
      </c>
      <c r="G561" t="s">
        <v>32</v>
      </c>
      <c r="H561" t="s">
        <v>33</v>
      </c>
      <c r="I561" t="s">
        <v>34</v>
      </c>
      <c r="J561" t="s">
        <v>35</v>
      </c>
      <c r="K561" t="s">
        <v>113</v>
      </c>
      <c r="L561" t="s">
        <v>43</v>
      </c>
      <c r="M561">
        <v>0</v>
      </c>
      <c r="N561">
        <v>0</v>
      </c>
      <c r="O561" s="5">
        <v>26604</v>
      </c>
      <c r="P561" s="5">
        <v>26603</v>
      </c>
      <c r="Q561">
        <f>33.5-13.5</f>
        <v>20</v>
      </c>
      <c r="R561" t="s">
        <v>47</v>
      </c>
      <c r="S561" t="s">
        <v>39</v>
      </c>
      <c r="T561">
        <v>19</v>
      </c>
      <c r="U561">
        <v>85</v>
      </c>
      <c r="V561">
        <v>13.5</v>
      </c>
      <c r="W561">
        <v>12.6</v>
      </c>
      <c r="X561">
        <v>28.3</v>
      </c>
      <c r="Z561" t="s">
        <v>39</v>
      </c>
      <c r="AB561" t="s">
        <v>40</v>
      </c>
      <c r="AC561" t="s">
        <v>56</v>
      </c>
    </row>
    <row r="562" spans="1:29" x14ac:dyDescent="0.25">
      <c r="A562" s="4">
        <v>42536</v>
      </c>
      <c r="B562" t="s">
        <v>30</v>
      </c>
      <c r="C562">
        <v>501</v>
      </c>
      <c r="D562">
        <v>7</v>
      </c>
      <c r="E562">
        <v>1</v>
      </c>
      <c r="F562" t="s">
        <v>31</v>
      </c>
      <c r="G562" t="s">
        <v>32</v>
      </c>
      <c r="H562" t="s">
        <v>33</v>
      </c>
      <c r="I562" t="s">
        <v>73</v>
      </c>
      <c r="J562" t="s">
        <v>35</v>
      </c>
      <c r="K562" t="s">
        <v>113</v>
      </c>
      <c r="M562">
        <v>0</v>
      </c>
      <c r="N562">
        <v>0</v>
      </c>
      <c r="O562" s="5"/>
      <c r="P562" s="5">
        <v>50337</v>
      </c>
      <c r="Q562">
        <f>170-90</f>
        <v>80</v>
      </c>
      <c r="Z562" t="s">
        <v>39</v>
      </c>
    </row>
    <row r="563" spans="1:29" x14ac:dyDescent="0.25">
      <c r="A563" s="4">
        <v>42536</v>
      </c>
      <c r="B563" t="s">
        <v>30</v>
      </c>
      <c r="C563">
        <v>501</v>
      </c>
      <c r="D563">
        <v>9</v>
      </c>
      <c r="E563">
        <v>1</v>
      </c>
      <c r="F563" t="s">
        <v>31</v>
      </c>
      <c r="G563" t="s">
        <v>32</v>
      </c>
      <c r="H563" t="s">
        <v>33</v>
      </c>
      <c r="I563" t="s">
        <v>57</v>
      </c>
      <c r="O563" s="5"/>
      <c r="P563" s="5"/>
      <c r="Z563" t="s">
        <v>39</v>
      </c>
    </row>
    <row r="564" spans="1:29" x14ac:dyDescent="0.25">
      <c r="A564" s="4">
        <v>42536</v>
      </c>
      <c r="B564" t="s">
        <v>30</v>
      </c>
      <c r="C564">
        <v>501</v>
      </c>
      <c r="D564">
        <v>9</v>
      </c>
      <c r="E564">
        <v>2</v>
      </c>
      <c r="F564" t="s">
        <v>31</v>
      </c>
      <c r="G564" t="s">
        <v>32</v>
      </c>
      <c r="H564" t="s">
        <v>33</v>
      </c>
      <c r="I564" t="s">
        <v>57</v>
      </c>
      <c r="O564" s="5"/>
      <c r="P564" s="5"/>
      <c r="Z564" t="s">
        <v>39</v>
      </c>
    </row>
    <row r="565" spans="1:29" x14ac:dyDescent="0.25">
      <c r="A565" s="4">
        <v>42536</v>
      </c>
      <c r="B565" t="s">
        <v>30</v>
      </c>
      <c r="C565">
        <v>503</v>
      </c>
      <c r="D565">
        <v>1</v>
      </c>
      <c r="E565">
        <v>1</v>
      </c>
      <c r="F565" t="s">
        <v>31</v>
      </c>
      <c r="G565" t="s">
        <v>32</v>
      </c>
      <c r="H565" t="s">
        <v>33</v>
      </c>
      <c r="I565" t="s">
        <v>73</v>
      </c>
      <c r="J565" t="s">
        <v>35</v>
      </c>
      <c r="K565" t="s">
        <v>113</v>
      </c>
      <c r="L565" t="s">
        <v>37</v>
      </c>
      <c r="M565">
        <v>0</v>
      </c>
      <c r="N565">
        <v>0</v>
      </c>
      <c r="O565" s="5"/>
      <c r="P565" s="5">
        <v>50578</v>
      </c>
      <c r="Q565">
        <v>110</v>
      </c>
      <c r="R565" t="s">
        <v>74</v>
      </c>
      <c r="S565" t="s">
        <v>97</v>
      </c>
      <c r="T565">
        <v>36</v>
      </c>
      <c r="W565">
        <v>22.3</v>
      </c>
      <c r="X565">
        <v>44.5</v>
      </c>
      <c r="Z565" t="s">
        <v>39</v>
      </c>
      <c r="AB565" t="s">
        <v>40</v>
      </c>
      <c r="AC565" t="s">
        <v>56</v>
      </c>
    </row>
    <row r="566" spans="1:29" x14ac:dyDescent="0.25">
      <c r="A566" s="4">
        <v>42536</v>
      </c>
      <c r="B566" t="s">
        <v>30</v>
      </c>
      <c r="C566">
        <v>503</v>
      </c>
      <c r="D566">
        <v>5</v>
      </c>
      <c r="E566">
        <v>1</v>
      </c>
      <c r="F566" t="s">
        <v>31</v>
      </c>
      <c r="G566" t="s">
        <v>32</v>
      </c>
      <c r="H566" t="s">
        <v>33</v>
      </c>
      <c r="I566" t="s">
        <v>53</v>
      </c>
      <c r="O566" s="5"/>
      <c r="P566" s="5"/>
      <c r="Z566" t="s">
        <v>39</v>
      </c>
    </row>
    <row r="567" spans="1:29" x14ac:dyDescent="0.25">
      <c r="A567" s="4">
        <v>42536</v>
      </c>
      <c r="B567" t="s">
        <v>30</v>
      </c>
      <c r="C567">
        <v>503</v>
      </c>
      <c r="D567">
        <v>9</v>
      </c>
      <c r="E567">
        <v>1</v>
      </c>
      <c r="F567" t="s">
        <v>31</v>
      </c>
      <c r="G567" t="s">
        <v>32</v>
      </c>
      <c r="H567" t="s">
        <v>33</v>
      </c>
      <c r="I567" t="s">
        <v>57</v>
      </c>
      <c r="O567" s="5"/>
      <c r="P567" s="5"/>
      <c r="Z567" t="s">
        <v>39</v>
      </c>
    </row>
    <row r="568" spans="1:29" x14ac:dyDescent="0.25">
      <c r="A568" s="4">
        <v>42536</v>
      </c>
      <c r="B568" t="s">
        <v>30</v>
      </c>
      <c r="C568">
        <v>503</v>
      </c>
      <c r="D568">
        <v>9</v>
      </c>
      <c r="E568">
        <v>2</v>
      </c>
      <c r="F568" t="s">
        <v>31</v>
      </c>
      <c r="G568" t="s">
        <v>32</v>
      </c>
      <c r="H568" t="s">
        <v>33</v>
      </c>
      <c r="I568" t="s">
        <v>57</v>
      </c>
      <c r="O568" s="5"/>
      <c r="P568" s="5"/>
      <c r="Z568" t="s">
        <v>39</v>
      </c>
    </row>
    <row r="569" spans="1:29" x14ac:dyDescent="0.25">
      <c r="A569" s="4">
        <v>42536</v>
      </c>
      <c r="B569" t="s">
        <v>30</v>
      </c>
      <c r="C569">
        <v>503</v>
      </c>
      <c r="D569">
        <v>10</v>
      </c>
      <c r="E569">
        <v>1</v>
      </c>
      <c r="F569" t="s">
        <v>31</v>
      </c>
      <c r="G569" t="s">
        <v>32</v>
      </c>
      <c r="H569" t="s">
        <v>33</v>
      </c>
      <c r="I569" t="s">
        <v>57</v>
      </c>
      <c r="O569" s="5"/>
      <c r="P569" s="5"/>
      <c r="Z569" t="s">
        <v>39</v>
      </c>
    </row>
    <row r="570" spans="1:29" x14ac:dyDescent="0.25">
      <c r="A570" s="4">
        <v>42536</v>
      </c>
      <c r="B570" t="s">
        <v>30</v>
      </c>
      <c r="C570">
        <v>503</v>
      </c>
      <c r="D570">
        <v>10</v>
      </c>
      <c r="E570">
        <v>2</v>
      </c>
      <c r="F570" t="s">
        <v>31</v>
      </c>
      <c r="G570" t="s">
        <v>32</v>
      </c>
      <c r="H570" t="s">
        <v>33</v>
      </c>
      <c r="I570" t="s">
        <v>57</v>
      </c>
      <c r="O570" s="5"/>
      <c r="P570" s="5"/>
      <c r="Z570" t="s">
        <v>39</v>
      </c>
    </row>
    <row r="571" spans="1:29" x14ac:dyDescent="0.25">
      <c r="A571" s="4">
        <v>42536</v>
      </c>
      <c r="B571" t="s">
        <v>30</v>
      </c>
      <c r="C571">
        <v>303</v>
      </c>
      <c r="D571">
        <v>1</v>
      </c>
      <c r="E571">
        <v>1</v>
      </c>
      <c r="F571" t="s">
        <v>31</v>
      </c>
      <c r="G571" t="s">
        <v>32</v>
      </c>
      <c r="H571" t="s">
        <v>33</v>
      </c>
      <c r="I571" t="s">
        <v>34</v>
      </c>
      <c r="J571" t="s">
        <v>35</v>
      </c>
      <c r="K571" t="s">
        <v>113</v>
      </c>
      <c r="L571" t="s">
        <v>43</v>
      </c>
      <c r="M571">
        <v>0</v>
      </c>
      <c r="N571">
        <v>0</v>
      </c>
      <c r="O571" s="5">
        <v>50321</v>
      </c>
      <c r="P571" s="5">
        <v>50320</v>
      </c>
      <c r="Q571">
        <f>32.5-12</f>
        <v>20.5</v>
      </c>
      <c r="R571" t="s">
        <v>65</v>
      </c>
      <c r="S571" t="s">
        <v>39</v>
      </c>
      <c r="T571">
        <v>19</v>
      </c>
      <c r="U571">
        <v>80</v>
      </c>
      <c r="V571">
        <v>16</v>
      </c>
      <c r="W571">
        <v>12.4</v>
      </c>
      <c r="X571">
        <v>28.8</v>
      </c>
      <c r="Z571" t="s">
        <v>39</v>
      </c>
      <c r="AB571" t="s">
        <v>40</v>
      </c>
      <c r="AC571" t="s">
        <v>56</v>
      </c>
    </row>
    <row r="572" spans="1:29" x14ac:dyDescent="0.25">
      <c r="A572" s="4">
        <v>42536</v>
      </c>
      <c r="B572" t="s">
        <v>30</v>
      </c>
      <c r="C572">
        <v>303</v>
      </c>
      <c r="D572">
        <v>2</v>
      </c>
      <c r="E572">
        <v>1</v>
      </c>
      <c r="F572" t="s">
        <v>31</v>
      </c>
      <c r="G572" t="s">
        <v>32</v>
      </c>
      <c r="H572" t="s">
        <v>33</v>
      </c>
      <c r="I572" t="s">
        <v>57</v>
      </c>
      <c r="O572" s="5"/>
      <c r="P572" s="5"/>
      <c r="Z572" t="s">
        <v>39</v>
      </c>
    </row>
    <row r="573" spans="1:29" x14ac:dyDescent="0.25">
      <c r="A573" s="4">
        <v>42536</v>
      </c>
      <c r="B573" t="s">
        <v>30</v>
      </c>
      <c r="C573">
        <v>303</v>
      </c>
      <c r="D573">
        <v>2</v>
      </c>
      <c r="E573">
        <v>2</v>
      </c>
      <c r="F573" t="s">
        <v>31</v>
      </c>
      <c r="G573" t="s">
        <v>32</v>
      </c>
      <c r="H573" t="s">
        <v>33</v>
      </c>
      <c r="I573" t="s">
        <v>34</v>
      </c>
      <c r="J573" t="s">
        <v>42</v>
      </c>
      <c r="K573" t="s">
        <v>89</v>
      </c>
      <c r="L573" t="s">
        <v>37</v>
      </c>
      <c r="M573">
        <v>0</v>
      </c>
      <c r="N573">
        <v>1</v>
      </c>
      <c r="O573" s="5">
        <v>50582</v>
      </c>
      <c r="P573" s="5">
        <v>50581</v>
      </c>
      <c r="Q573">
        <f>26.5-13</f>
        <v>13.5</v>
      </c>
      <c r="R573" t="s">
        <v>38</v>
      </c>
      <c r="S573" t="s">
        <v>39</v>
      </c>
      <c r="T573">
        <v>18</v>
      </c>
      <c r="U573">
        <v>76.5</v>
      </c>
      <c r="V573">
        <v>16</v>
      </c>
      <c r="W573">
        <v>12.1</v>
      </c>
      <c r="X573">
        <v>27.8</v>
      </c>
      <c r="Z573" t="s">
        <v>39</v>
      </c>
      <c r="AB573" t="s">
        <v>126</v>
      </c>
      <c r="AC573" t="s">
        <v>56</v>
      </c>
    </row>
    <row r="574" spans="1:29" x14ac:dyDescent="0.25">
      <c r="A574" s="4">
        <v>42536</v>
      </c>
      <c r="B574" t="s">
        <v>30</v>
      </c>
      <c r="C574">
        <v>303</v>
      </c>
      <c r="D574">
        <v>3</v>
      </c>
      <c r="E574">
        <v>1</v>
      </c>
      <c r="F574" t="s">
        <v>31</v>
      </c>
      <c r="G574" t="s">
        <v>32</v>
      </c>
      <c r="H574" t="s">
        <v>33</v>
      </c>
      <c r="I574" t="s">
        <v>34</v>
      </c>
      <c r="J574" t="s">
        <v>42</v>
      </c>
      <c r="K574" t="s">
        <v>89</v>
      </c>
      <c r="L574" t="s">
        <v>37</v>
      </c>
      <c r="M574">
        <v>0</v>
      </c>
      <c r="N574">
        <v>1</v>
      </c>
      <c r="O574" s="5">
        <v>50477</v>
      </c>
      <c r="P574" s="5">
        <v>50476</v>
      </c>
      <c r="Q574">
        <f>32-16</f>
        <v>16</v>
      </c>
      <c r="R574" t="s">
        <v>38</v>
      </c>
      <c r="S574" t="s">
        <v>39</v>
      </c>
      <c r="T574">
        <v>18.5</v>
      </c>
      <c r="U574">
        <v>79</v>
      </c>
      <c r="V574">
        <v>16</v>
      </c>
      <c r="W574">
        <v>12.6</v>
      </c>
      <c r="X574">
        <v>29.5</v>
      </c>
      <c r="Z574" t="s">
        <v>39</v>
      </c>
      <c r="AB574" t="s">
        <v>126</v>
      </c>
      <c r="AC574" t="s">
        <v>56</v>
      </c>
    </row>
    <row r="575" spans="1:29" x14ac:dyDescent="0.25">
      <c r="A575" s="4">
        <v>42536</v>
      </c>
      <c r="B575" t="s">
        <v>30</v>
      </c>
      <c r="C575">
        <v>303</v>
      </c>
      <c r="D575">
        <v>5</v>
      </c>
      <c r="E575">
        <v>1</v>
      </c>
      <c r="F575" t="s">
        <v>31</v>
      </c>
      <c r="G575" t="s">
        <v>32</v>
      </c>
      <c r="H575" t="s">
        <v>33</v>
      </c>
      <c r="I575" t="s">
        <v>57</v>
      </c>
      <c r="O575" s="5"/>
      <c r="P575" s="5"/>
      <c r="Z575" t="s">
        <v>39</v>
      </c>
    </row>
    <row r="576" spans="1:29" x14ac:dyDescent="0.25">
      <c r="A576" s="4">
        <v>42536</v>
      </c>
      <c r="B576" t="s">
        <v>30</v>
      </c>
      <c r="C576">
        <v>703</v>
      </c>
      <c r="D576">
        <v>1</v>
      </c>
      <c r="E576">
        <v>1</v>
      </c>
      <c r="F576" t="s">
        <v>41</v>
      </c>
      <c r="G576" t="s">
        <v>32</v>
      </c>
      <c r="H576" t="s">
        <v>33</v>
      </c>
      <c r="I576" t="s">
        <v>57</v>
      </c>
      <c r="O576" s="5"/>
      <c r="P576" s="5"/>
      <c r="Z576" t="s">
        <v>39</v>
      </c>
    </row>
    <row r="577" spans="1:29" x14ac:dyDescent="0.25">
      <c r="A577" s="4">
        <v>42536</v>
      </c>
      <c r="B577" t="s">
        <v>30</v>
      </c>
      <c r="C577">
        <v>703</v>
      </c>
      <c r="D577">
        <v>1</v>
      </c>
      <c r="E577">
        <v>2</v>
      </c>
      <c r="F577" t="s">
        <v>41</v>
      </c>
      <c r="G577" t="s">
        <v>32</v>
      </c>
      <c r="H577" t="s">
        <v>33</v>
      </c>
      <c r="I577" t="s">
        <v>57</v>
      </c>
      <c r="O577" s="5"/>
      <c r="P577" s="5"/>
      <c r="Z577" t="s">
        <v>39</v>
      </c>
    </row>
    <row r="578" spans="1:29" x14ac:dyDescent="0.25">
      <c r="A578" s="4">
        <v>42536</v>
      </c>
      <c r="B578" t="s">
        <v>30</v>
      </c>
      <c r="C578">
        <v>703</v>
      </c>
      <c r="D578">
        <v>2</v>
      </c>
      <c r="E578">
        <v>1</v>
      </c>
      <c r="F578" t="s">
        <v>41</v>
      </c>
      <c r="G578" t="s">
        <v>32</v>
      </c>
      <c r="H578" t="s">
        <v>33</v>
      </c>
      <c r="I578" t="s">
        <v>57</v>
      </c>
      <c r="O578" s="5"/>
      <c r="P578" s="5"/>
      <c r="Z578" t="s">
        <v>39</v>
      </c>
    </row>
    <row r="579" spans="1:29" x14ac:dyDescent="0.25">
      <c r="A579" s="4">
        <v>42536</v>
      </c>
      <c r="B579" t="s">
        <v>30</v>
      </c>
      <c r="C579">
        <v>703</v>
      </c>
      <c r="D579">
        <v>3</v>
      </c>
      <c r="E579">
        <v>1</v>
      </c>
      <c r="F579" t="s">
        <v>41</v>
      </c>
      <c r="G579" t="s">
        <v>32</v>
      </c>
      <c r="H579" t="s">
        <v>33</v>
      </c>
      <c r="I579" t="s">
        <v>64</v>
      </c>
      <c r="J579" t="s">
        <v>122</v>
      </c>
      <c r="O579" s="5"/>
      <c r="P579" s="5"/>
      <c r="Z579" t="s">
        <v>39</v>
      </c>
    </row>
    <row r="580" spans="1:29" x14ac:dyDescent="0.25">
      <c r="A580" s="4">
        <v>42536</v>
      </c>
      <c r="B580" t="s">
        <v>30</v>
      </c>
      <c r="C580">
        <v>703</v>
      </c>
      <c r="D580">
        <v>7</v>
      </c>
      <c r="E580">
        <v>1</v>
      </c>
      <c r="F580" t="s">
        <v>41</v>
      </c>
      <c r="G580" t="s">
        <v>32</v>
      </c>
      <c r="H580" t="s">
        <v>33</v>
      </c>
      <c r="I580" t="s">
        <v>57</v>
      </c>
      <c r="O580" s="5"/>
      <c r="P580" s="5"/>
      <c r="Z580" t="s">
        <v>39</v>
      </c>
    </row>
    <row r="581" spans="1:29" x14ac:dyDescent="0.25">
      <c r="A581" s="4">
        <v>42536</v>
      </c>
      <c r="B581" t="s">
        <v>30</v>
      </c>
      <c r="C581">
        <v>703</v>
      </c>
      <c r="D581">
        <v>9</v>
      </c>
      <c r="E581">
        <v>1</v>
      </c>
      <c r="F581" t="s">
        <v>41</v>
      </c>
      <c r="G581" t="s">
        <v>32</v>
      </c>
      <c r="H581" t="s">
        <v>33</v>
      </c>
      <c r="I581" t="s">
        <v>34</v>
      </c>
      <c r="J581" t="s">
        <v>35</v>
      </c>
      <c r="K581" t="s">
        <v>113</v>
      </c>
      <c r="L581" t="s">
        <v>37</v>
      </c>
      <c r="M581">
        <v>0</v>
      </c>
      <c r="N581">
        <v>0</v>
      </c>
      <c r="O581" s="5">
        <v>50395</v>
      </c>
      <c r="P581" s="5">
        <v>50394</v>
      </c>
      <c r="Q581">
        <f>34-12.5</f>
        <v>21.5</v>
      </c>
      <c r="R581" t="s">
        <v>63</v>
      </c>
      <c r="S581" t="s">
        <v>97</v>
      </c>
      <c r="T581">
        <v>19</v>
      </c>
      <c r="U581">
        <v>82</v>
      </c>
      <c r="V581">
        <v>13</v>
      </c>
      <c r="Z581" t="s">
        <v>39</v>
      </c>
      <c r="AB581" t="s">
        <v>40</v>
      </c>
      <c r="AC581" t="s">
        <v>56</v>
      </c>
    </row>
    <row r="582" spans="1:29" x14ac:dyDescent="0.25">
      <c r="A582" s="4">
        <v>42536</v>
      </c>
      <c r="B582" t="s">
        <v>30</v>
      </c>
      <c r="C582">
        <v>703</v>
      </c>
      <c r="D582">
        <v>9</v>
      </c>
      <c r="E582">
        <v>2</v>
      </c>
      <c r="F582" t="s">
        <v>41</v>
      </c>
      <c r="G582" t="s">
        <v>32</v>
      </c>
      <c r="H582" t="s">
        <v>33</v>
      </c>
      <c r="I582" t="s">
        <v>34</v>
      </c>
      <c r="J582" t="s">
        <v>35</v>
      </c>
      <c r="K582" t="s">
        <v>113</v>
      </c>
      <c r="L582" t="s">
        <v>37</v>
      </c>
      <c r="M582">
        <v>0</v>
      </c>
      <c r="N582">
        <v>0</v>
      </c>
      <c r="O582" s="5" t="s">
        <v>71</v>
      </c>
      <c r="P582" s="5" t="s">
        <v>72</v>
      </c>
      <c r="Q582">
        <f>33-12</f>
        <v>21</v>
      </c>
      <c r="R582" t="s">
        <v>63</v>
      </c>
      <c r="S582" t="s">
        <v>97</v>
      </c>
      <c r="T582">
        <v>21</v>
      </c>
      <c r="U582">
        <v>88</v>
      </c>
      <c r="V582">
        <v>12</v>
      </c>
      <c r="W582">
        <v>12.5</v>
      </c>
      <c r="X582">
        <v>29.2</v>
      </c>
      <c r="Y582" t="s">
        <v>127</v>
      </c>
      <c r="Z582" t="s">
        <v>39</v>
      </c>
      <c r="AB582" t="s">
        <v>40</v>
      </c>
      <c r="AC582" t="s">
        <v>56</v>
      </c>
    </row>
    <row r="583" spans="1:29" x14ac:dyDescent="0.25">
      <c r="A583" s="4">
        <v>42536</v>
      </c>
      <c r="B583" t="s">
        <v>30</v>
      </c>
      <c r="C583">
        <v>703</v>
      </c>
      <c r="D583">
        <v>10</v>
      </c>
      <c r="E583">
        <v>1</v>
      </c>
      <c r="F583" t="s">
        <v>41</v>
      </c>
      <c r="G583" t="s">
        <v>32</v>
      </c>
      <c r="H583" t="s">
        <v>33</v>
      </c>
      <c r="I583" t="s">
        <v>128</v>
      </c>
      <c r="M583">
        <v>0</v>
      </c>
      <c r="N583">
        <v>0</v>
      </c>
      <c r="O583" s="5">
        <v>50382</v>
      </c>
      <c r="P583" s="5">
        <v>50381</v>
      </c>
      <c r="Q583">
        <f>152-38</f>
        <v>114</v>
      </c>
      <c r="Z583" t="s">
        <v>39</v>
      </c>
      <c r="AB583" t="s">
        <v>40</v>
      </c>
      <c r="AC583" t="s">
        <v>56</v>
      </c>
    </row>
    <row r="584" spans="1:29" x14ac:dyDescent="0.25">
      <c r="A584" s="4">
        <v>42536</v>
      </c>
      <c r="B584" t="s">
        <v>30</v>
      </c>
      <c r="C584">
        <v>701</v>
      </c>
      <c r="D584">
        <v>2</v>
      </c>
      <c r="E584">
        <v>1</v>
      </c>
      <c r="F584" t="s">
        <v>41</v>
      </c>
      <c r="G584" t="s">
        <v>32</v>
      </c>
      <c r="H584" t="s">
        <v>33</v>
      </c>
      <c r="I584" t="s">
        <v>34</v>
      </c>
      <c r="J584" t="s">
        <v>42</v>
      </c>
      <c r="K584" t="s">
        <v>113</v>
      </c>
      <c r="L584" t="s">
        <v>37</v>
      </c>
      <c r="M584">
        <v>0</v>
      </c>
      <c r="N584">
        <v>1</v>
      </c>
      <c r="O584" s="5">
        <v>50459</v>
      </c>
      <c r="P584" s="5">
        <v>50458</v>
      </c>
      <c r="Q584">
        <f>22-14.5</f>
        <v>7.5</v>
      </c>
      <c r="R584" t="s">
        <v>63</v>
      </c>
      <c r="S584" t="s">
        <v>97</v>
      </c>
      <c r="T584">
        <v>19</v>
      </c>
      <c r="U584">
        <v>76</v>
      </c>
      <c r="V584">
        <v>14</v>
      </c>
      <c r="W584">
        <v>11.8</v>
      </c>
      <c r="X584">
        <v>27.5</v>
      </c>
      <c r="Z584" t="s">
        <v>39</v>
      </c>
      <c r="AB584" t="s">
        <v>40</v>
      </c>
      <c r="AC584" t="s">
        <v>56</v>
      </c>
    </row>
    <row r="585" spans="1:29" x14ac:dyDescent="0.25">
      <c r="A585" s="4">
        <v>42536</v>
      </c>
      <c r="B585" t="s">
        <v>30</v>
      </c>
      <c r="C585">
        <v>701</v>
      </c>
      <c r="D585">
        <v>3</v>
      </c>
      <c r="E585">
        <v>1</v>
      </c>
      <c r="F585" t="s">
        <v>41</v>
      </c>
      <c r="G585" t="s">
        <v>32</v>
      </c>
      <c r="H585" t="s">
        <v>33</v>
      </c>
      <c r="I585" t="s">
        <v>57</v>
      </c>
      <c r="O585" s="5"/>
      <c r="P585" s="5"/>
      <c r="Z585" t="s">
        <v>39</v>
      </c>
    </row>
    <row r="586" spans="1:29" x14ac:dyDescent="0.25">
      <c r="A586" s="4">
        <v>42536</v>
      </c>
      <c r="B586" t="s">
        <v>30</v>
      </c>
      <c r="C586">
        <v>701</v>
      </c>
      <c r="D586">
        <v>3</v>
      </c>
      <c r="E586">
        <v>2</v>
      </c>
      <c r="F586" t="s">
        <v>41</v>
      </c>
      <c r="G586" t="s">
        <v>32</v>
      </c>
      <c r="H586" t="s">
        <v>33</v>
      </c>
      <c r="I586" t="s">
        <v>73</v>
      </c>
      <c r="J586" t="s">
        <v>35</v>
      </c>
      <c r="K586" t="s">
        <v>113</v>
      </c>
      <c r="L586" t="s">
        <v>37</v>
      </c>
      <c r="M586">
        <v>0</v>
      </c>
      <c r="N586">
        <v>0</v>
      </c>
      <c r="O586" s="5"/>
      <c r="P586" s="5" t="s">
        <v>94</v>
      </c>
      <c r="Q586">
        <f>144-48</f>
        <v>96</v>
      </c>
      <c r="R586" t="s">
        <v>63</v>
      </c>
      <c r="S586" t="s">
        <v>97</v>
      </c>
      <c r="T586">
        <v>32</v>
      </c>
      <c r="W586">
        <v>42.4</v>
      </c>
      <c r="X586">
        <v>21.1</v>
      </c>
      <c r="Z586" t="s">
        <v>39</v>
      </c>
      <c r="AB586" t="s">
        <v>40</v>
      </c>
      <c r="AC586" t="s">
        <v>56</v>
      </c>
    </row>
    <row r="587" spans="1:29" x14ac:dyDescent="0.25">
      <c r="A587" s="4">
        <v>42536</v>
      </c>
      <c r="B587" t="s">
        <v>30</v>
      </c>
      <c r="C587">
        <v>701</v>
      </c>
      <c r="D587">
        <v>4</v>
      </c>
      <c r="E587">
        <v>1</v>
      </c>
      <c r="F587" t="s">
        <v>41</v>
      </c>
      <c r="G587" t="s">
        <v>32</v>
      </c>
      <c r="H587" t="s">
        <v>33</v>
      </c>
      <c r="I587" t="s">
        <v>57</v>
      </c>
      <c r="O587" s="5"/>
      <c r="P587" s="5"/>
      <c r="Z587" t="s">
        <v>39</v>
      </c>
    </row>
    <row r="588" spans="1:29" x14ac:dyDescent="0.25">
      <c r="A588" s="4">
        <v>42536</v>
      </c>
      <c r="B588" t="s">
        <v>30</v>
      </c>
      <c r="C588">
        <v>701</v>
      </c>
      <c r="D588">
        <v>4</v>
      </c>
      <c r="E588">
        <v>2</v>
      </c>
      <c r="F588" t="s">
        <v>41</v>
      </c>
      <c r="G588" t="s">
        <v>32</v>
      </c>
      <c r="H588" t="s">
        <v>33</v>
      </c>
      <c r="I588" t="s">
        <v>57</v>
      </c>
      <c r="O588" s="5"/>
      <c r="P588" s="5"/>
      <c r="Z588" t="s">
        <v>39</v>
      </c>
    </row>
    <row r="589" spans="1:29" x14ac:dyDescent="0.25">
      <c r="A589" s="4">
        <v>42536</v>
      </c>
      <c r="B589" t="s">
        <v>30</v>
      </c>
      <c r="C589">
        <v>701</v>
      </c>
      <c r="D589">
        <v>5</v>
      </c>
      <c r="E589">
        <v>1</v>
      </c>
      <c r="F589" t="s">
        <v>41</v>
      </c>
      <c r="G589" t="s">
        <v>32</v>
      </c>
      <c r="H589" t="s">
        <v>33</v>
      </c>
      <c r="I589" t="s">
        <v>64</v>
      </c>
      <c r="J589" t="s">
        <v>122</v>
      </c>
      <c r="O589" s="5"/>
      <c r="P589" s="5"/>
      <c r="Z589" t="s">
        <v>39</v>
      </c>
    </row>
    <row r="590" spans="1:29" x14ac:dyDescent="0.25">
      <c r="A590" s="4">
        <v>42536</v>
      </c>
      <c r="B590" t="s">
        <v>30</v>
      </c>
      <c r="C590">
        <v>701</v>
      </c>
      <c r="D590">
        <v>5</v>
      </c>
      <c r="E590">
        <v>2</v>
      </c>
      <c r="F590" t="s">
        <v>41</v>
      </c>
      <c r="G590" t="s">
        <v>32</v>
      </c>
      <c r="H590" t="s">
        <v>33</v>
      </c>
      <c r="I590" t="s">
        <v>64</v>
      </c>
      <c r="J590" t="s">
        <v>122</v>
      </c>
      <c r="O590" s="5"/>
      <c r="P590" s="5"/>
      <c r="Z590" t="s">
        <v>39</v>
      </c>
    </row>
    <row r="591" spans="1:29" x14ac:dyDescent="0.25">
      <c r="A591" s="4">
        <v>42536</v>
      </c>
      <c r="B591" t="s">
        <v>30</v>
      </c>
      <c r="C591">
        <v>701</v>
      </c>
      <c r="D591">
        <v>7</v>
      </c>
      <c r="E591">
        <v>1</v>
      </c>
      <c r="F591" t="s">
        <v>41</v>
      </c>
      <c r="G591" t="s">
        <v>32</v>
      </c>
      <c r="H591" t="s">
        <v>33</v>
      </c>
      <c r="I591" t="s">
        <v>79</v>
      </c>
      <c r="O591" s="5"/>
      <c r="P591" s="5"/>
      <c r="Z591" t="s">
        <v>39</v>
      </c>
    </row>
    <row r="592" spans="1:29" x14ac:dyDescent="0.25">
      <c r="A592" s="4">
        <v>42536</v>
      </c>
      <c r="B592" t="s">
        <v>30</v>
      </c>
      <c r="C592">
        <v>701</v>
      </c>
      <c r="D592">
        <v>7</v>
      </c>
      <c r="E592">
        <v>2</v>
      </c>
      <c r="F592" t="s">
        <v>41</v>
      </c>
      <c r="G592" t="s">
        <v>32</v>
      </c>
      <c r="H592" t="s">
        <v>33</v>
      </c>
      <c r="I592" t="s">
        <v>57</v>
      </c>
      <c r="O592" s="5"/>
      <c r="P592" s="5"/>
      <c r="Z592" t="s">
        <v>39</v>
      </c>
    </row>
    <row r="593" spans="1:29" x14ac:dyDescent="0.25">
      <c r="A593" s="4">
        <v>42536</v>
      </c>
      <c r="B593" t="s">
        <v>30</v>
      </c>
      <c r="C593">
        <v>701</v>
      </c>
      <c r="D593">
        <v>8</v>
      </c>
      <c r="E593">
        <v>1</v>
      </c>
      <c r="F593" t="s">
        <v>41</v>
      </c>
      <c r="G593" t="s">
        <v>32</v>
      </c>
      <c r="H593" t="s">
        <v>33</v>
      </c>
      <c r="I593" t="s">
        <v>91</v>
      </c>
      <c r="J593" t="s">
        <v>42</v>
      </c>
      <c r="K593" t="s">
        <v>113</v>
      </c>
      <c r="L593" t="s">
        <v>43</v>
      </c>
      <c r="M593">
        <v>0</v>
      </c>
      <c r="N593">
        <v>1</v>
      </c>
      <c r="O593" s="5">
        <v>50472</v>
      </c>
      <c r="P593" s="5"/>
      <c r="Q593">
        <f>28-3</f>
        <v>25</v>
      </c>
      <c r="R593" t="s">
        <v>47</v>
      </c>
      <c r="T593">
        <v>30</v>
      </c>
      <c r="W593">
        <v>12.6</v>
      </c>
      <c r="X593">
        <v>30</v>
      </c>
      <c r="Z593" t="s">
        <v>39</v>
      </c>
      <c r="AB593" t="s">
        <v>40</v>
      </c>
      <c r="AC593" t="s">
        <v>56</v>
      </c>
    </row>
    <row r="594" spans="1:29" x14ac:dyDescent="0.25">
      <c r="A594" s="4">
        <v>42536</v>
      </c>
      <c r="B594" t="s">
        <v>30</v>
      </c>
      <c r="C594">
        <v>701</v>
      </c>
      <c r="D594">
        <v>9</v>
      </c>
      <c r="E594">
        <v>1</v>
      </c>
      <c r="F594" t="s">
        <v>41</v>
      </c>
      <c r="G594" t="s">
        <v>32</v>
      </c>
      <c r="H594" t="s">
        <v>33</v>
      </c>
      <c r="I594" t="s">
        <v>64</v>
      </c>
      <c r="J594" t="s">
        <v>42</v>
      </c>
      <c r="K594" t="s">
        <v>113</v>
      </c>
      <c r="L594" t="s">
        <v>37</v>
      </c>
      <c r="M594">
        <v>0</v>
      </c>
      <c r="N594">
        <v>0</v>
      </c>
      <c r="O594" s="5">
        <v>50460</v>
      </c>
      <c r="P594" s="5"/>
      <c r="Q594">
        <f>220-48</f>
        <v>172</v>
      </c>
      <c r="R594" t="s">
        <v>63</v>
      </c>
      <c r="S594" t="s">
        <v>97</v>
      </c>
      <c r="T594">
        <v>38</v>
      </c>
      <c r="W594">
        <v>41.8</v>
      </c>
      <c r="X594">
        <v>12.5</v>
      </c>
      <c r="Z594" t="s">
        <v>39</v>
      </c>
      <c r="AB594" t="s">
        <v>40</v>
      </c>
      <c r="AC594" t="s">
        <v>56</v>
      </c>
    </row>
    <row r="595" spans="1:29" x14ac:dyDescent="0.25">
      <c r="A595" s="4">
        <v>42536</v>
      </c>
      <c r="B595" t="s">
        <v>30</v>
      </c>
      <c r="C595">
        <v>701</v>
      </c>
      <c r="D595">
        <v>10</v>
      </c>
      <c r="E595">
        <v>1</v>
      </c>
      <c r="F595" t="s">
        <v>41</v>
      </c>
      <c r="G595" t="s">
        <v>32</v>
      </c>
      <c r="H595" t="s">
        <v>33</v>
      </c>
      <c r="I595" t="s">
        <v>73</v>
      </c>
      <c r="J595" t="s">
        <v>129</v>
      </c>
      <c r="K595" t="s">
        <v>113</v>
      </c>
      <c r="L595" t="s">
        <v>43</v>
      </c>
      <c r="M595">
        <v>0</v>
      </c>
      <c r="N595">
        <v>0</v>
      </c>
      <c r="O595" s="5"/>
      <c r="P595" s="5">
        <v>50371</v>
      </c>
      <c r="R595" t="s">
        <v>47</v>
      </c>
      <c r="T595">
        <v>28</v>
      </c>
      <c r="W595">
        <v>19.5</v>
      </c>
      <c r="X595">
        <v>42.5</v>
      </c>
      <c r="Z595" t="s">
        <v>39</v>
      </c>
      <c r="AB595" t="s">
        <v>40</v>
      </c>
      <c r="AC595" t="s">
        <v>56</v>
      </c>
    </row>
    <row r="596" spans="1:29" x14ac:dyDescent="0.25">
      <c r="A596" s="4">
        <v>42536</v>
      </c>
      <c r="B596" t="s">
        <v>30</v>
      </c>
      <c r="C596">
        <v>801</v>
      </c>
      <c r="D596">
        <v>8</v>
      </c>
      <c r="E596">
        <v>1</v>
      </c>
      <c r="F596" t="s">
        <v>41</v>
      </c>
      <c r="G596" t="s">
        <v>32</v>
      </c>
      <c r="H596" t="s">
        <v>33</v>
      </c>
      <c r="I596" t="s">
        <v>73</v>
      </c>
      <c r="J596" t="s">
        <v>35</v>
      </c>
      <c r="K596" t="s">
        <v>113</v>
      </c>
      <c r="L596" t="s">
        <v>43</v>
      </c>
      <c r="M596">
        <v>0</v>
      </c>
      <c r="N596">
        <v>0</v>
      </c>
      <c r="O596" s="5"/>
      <c r="P596" s="5">
        <v>50302</v>
      </c>
      <c r="Q596">
        <v>100</v>
      </c>
      <c r="R596" t="s">
        <v>47</v>
      </c>
      <c r="T596">
        <v>30</v>
      </c>
      <c r="Z596" t="s">
        <v>39</v>
      </c>
      <c r="AB596" t="s">
        <v>40</v>
      </c>
      <c r="AC596" t="s">
        <v>56</v>
      </c>
    </row>
    <row r="597" spans="1:29" x14ac:dyDescent="0.25">
      <c r="A597" s="4">
        <v>42536</v>
      </c>
      <c r="B597" t="s">
        <v>30</v>
      </c>
      <c r="C597">
        <v>801</v>
      </c>
      <c r="D597">
        <v>8</v>
      </c>
      <c r="E597">
        <v>2</v>
      </c>
      <c r="F597" t="s">
        <v>41</v>
      </c>
      <c r="G597" t="s">
        <v>32</v>
      </c>
      <c r="H597" t="s">
        <v>33</v>
      </c>
      <c r="I597" t="s">
        <v>91</v>
      </c>
      <c r="J597" t="s">
        <v>122</v>
      </c>
      <c r="O597" s="5"/>
      <c r="P597" s="5"/>
      <c r="Z597" t="s">
        <v>39</v>
      </c>
    </row>
    <row r="598" spans="1:29" x14ac:dyDescent="0.25">
      <c r="A598" s="4">
        <v>42536</v>
      </c>
      <c r="B598" t="s">
        <v>30</v>
      </c>
      <c r="C598">
        <v>801</v>
      </c>
      <c r="D598">
        <v>9</v>
      </c>
      <c r="E598">
        <v>1</v>
      </c>
      <c r="F598" t="s">
        <v>41</v>
      </c>
      <c r="G598" t="s">
        <v>32</v>
      </c>
      <c r="H598" t="s">
        <v>33</v>
      </c>
      <c r="I598" t="s">
        <v>34</v>
      </c>
      <c r="J598" t="s">
        <v>42</v>
      </c>
      <c r="K598" t="s">
        <v>114</v>
      </c>
      <c r="L598" t="s">
        <v>37</v>
      </c>
      <c r="M598">
        <v>0</v>
      </c>
      <c r="N598">
        <v>1</v>
      </c>
      <c r="O598" s="5">
        <v>50462</v>
      </c>
      <c r="P598" s="5">
        <v>50461</v>
      </c>
      <c r="Q598">
        <f>18.5-3.5</f>
        <v>15</v>
      </c>
      <c r="R598" t="s">
        <v>38</v>
      </c>
      <c r="S598" t="s">
        <v>39</v>
      </c>
      <c r="T598">
        <v>20</v>
      </c>
      <c r="U598">
        <v>78</v>
      </c>
      <c r="V598">
        <v>13</v>
      </c>
      <c r="W598">
        <v>12.7</v>
      </c>
      <c r="X598">
        <v>26.8</v>
      </c>
      <c r="Z598" t="s">
        <v>39</v>
      </c>
      <c r="AB598" t="s">
        <v>40</v>
      </c>
      <c r="AC598" t="s">
        <v>56</v>
      </c>
    </row>
    <row r="599" spans="1:29" x14ac:dyDescent="0.25">
      <c r="A599" s="4">
        <v>42536</v>
      </c>
      <c r="B599" t="s">
        <v>30</v>
      </c>
      <c r="C599">
        <v>803</v>
      </c>
      <c r="D599">
        <v>10</v>
      </c>
      <c r="E599">
        <v>1</v>
      </c>
      <c r="F599" t="s">
        <v>41</v>
      </c>
      <c r="G599" t="s">
        <v>32</v>
      </c>
      <c r="H599" t="s">
        <v>33</v>
      </c>
      <c r="I599" t="s">
        <v>57</v>
      </c>
      <c r="O599" s="5"/>
      <c r="P599" s="5"/>
      <c r="Z599" t="s">
        <v>39</v>
      </c>
    </row>
    <row r="600" spans="1:29" x14ac:dyDescent="0.25">
      <c r="A600" s="4">
        <v>42536</v>
      </c>
      <c r="B600" t="s">
        <v>30</v>
      </c>
      <c r="C600">
        <v>803</v>
      </c>
      <c r="D600">
        <v>9</v>
      </c>
      <c r="E600">
        <v>1</v>
      </c>
      <c r="F600" t="s">
        <v>41</v>
      </c>
      <c r="G600" t="s">
        <v>32</v>
      </c>
      <c r="H600" t="s">
        <v>33</v>
      </c>
      <c r="I600" t="s">
        <v>73</v>
      </c>
      <c r="J600" t="s">
        <v>42</v>
      </c>
      <c r="K600" t="s">
        <v>113</v>
      </c>
      <c r="L600" t="s">
        <v>43</v>
      </c>
      <c r="M600">
        <v>0</v>
      </c>
      <c r="N600">
        <v>1</v>
      </c>
      <c r="O600" s="5">
        <v>50463</v>
      </c>
      <c r="P600" s="5"/>
      <c r="Q600">
        <f>128-50</f>
        <v>78</v>
      </c>
      <c r="R600" t="s">
        <v>47</v>
      </c>
      <c r="W600">
        <v>18</v>
      </c>
      <c r="X600">
        <v>42</v>
      </c>
      <c r="Z600" t="s">
        <v>39</v>
      </c>
      <c r="AB600" t="s">
        <v>55</v>
      </c>
      <c r="AC600" t="s">
        <v>56</v>
      </c>
    </row>
    <row r="601" spans="1:29" x14ac:dyDescent="0.25">
      <c r="A601" s="4">
        <v>42536</v>
      </c>
      <c r="B601" t="s">
        <v>30</v>
      </c>
      <c r="C601">
        <v>803</v>
      </c>
      <c r="D601">
        <v>8</v>
      </c>
      <c r="E601">
        <v>1</v>
      </c>
      <c r="F601" t="s">
        <v>41</v>
      </c>
      <c r="G601" t="s">
        <v>32</v>
      </c>
      <c r="H601" t="s">
        <v>33</v>
      </c>
      <c r="I601" t="s">
        <v>57</v>
      </c>
      <c r="O601" s="5"/>
      <c r="P601" s="5"/>
      <c r="Z601" t="s">
        <v>39</v>
      </c>
    </row>
    <row r="602" spans="1:29" x14ac:dyDescent="0.25">
      <c r="A602" s="4">
        <v>42536</v>
      </c>
      <c r="B602" t="s">
        <v>30</v>
      </c>
      <c r="C602">
        <v>803</v>
      </c>
      <c r="D602">
        <v>7</v>
      </c>
      <c r="E602">
        <v>1</v>
      </c>
      <c r="F602" t="s">
        <v>41</v>
      </c>
      <c r="G602" t="s">
        <v>32</v>
      </c>
      <c r="H602" t="s">
        <v>33</v>
      </c>
      <c r="I602" t="s">
        <v>34</v>
      </c>
      <c r="J602" t="s">
        <v>35</v>
      </c>
      <c r="K602" t="s">
        <v>114</v>
      </c>
      <c r="L602" t="s">
        <v>37</v>
      </c>
      <c r="M602">
        <v>0</v>
      </c>
      <c r="N602">
        <v>0</v>
      </c>
      <c r="O602" s="5">
        <v>50457</v>
      </c>
      <c r="P602" s="5">
        <v>50456</v>
      </c>
      <c r="Q602">
        <f>19-4</f>
        <v>15</v>
      </c>
      <c r="R602" t="s">
        <v>63</v>
      </c>
      <c r="S602" t="s">
        <v>39</v>
      </c>
      <c r="T602">
        <v>18</v>
      </c>
      <c r="U602">
        <v>76</v>
      </c>
      <c r="V602">
        <v>14</v>
      </c>
      <c r="W602">
        <v>11.5</v>
      </c>
      <c r="X602">
        <v>25.5</v>
      </c>
      <c r="Z602" t="s">
        <v>39</v>
      </c>
      <c r="AB602" t="s">
        <v>55</v>
      </c>
      <c r="AC602" t="s">
        <v>56</v>
      </c>
    </row>
    <row r="603" spans="1:29" x14ac:dyDescent="0.25">
      <c r="A603" s="4">
        <v>42536</v>
      </c>
      <c r="B603" t="s">
        <v>30</v>
      </c>
      <c r="C603">
        <v>803</v>
      </c>
      <c r="D603">
        <v>6</v>
      </c>
      <c r="E603">
        <v>1</v>
      </c>
      <c r="F603" t="s">
        <v>41</v>
      </c>
      <c r="G603" t="s">
        <v>32</v>
      </c>
      <c r="H603" t="s">
        <v>33</v>
      </c>
      <c r="I603" t="s">
        <v>73</v>
      </c>
      <c r="J603" t="s">
        <v>35</v>
      </c>
      <c r="K603" t="s">
        <v>113</v>
      </c>
      <c r="L603" t="s">
        <v>43</v>
      </c>
      <c r="M603">
        <v>0</v>
      </c>
      <c r="N603">
        <v>0</v>
      </c>
      <c r="O603" s="5">
        <v>50391</v>
      </c>
      <c r="P603" s="5"/>
      <c r="Q603">
        <f>134-48</f>
        <v>86</v>
      </c>
      <c r="R603" t="s">
        <v>47</v>
      </c>
      <c r="T603">
        <v>32</v>
      </c>
      <c r="Z603" t="s">
        <v>39</v>
      </c>
      <c r="AB603" t="s">
        <v>55</v>
      </c>
      <c r="AC603" t="s">
        <v>56</v>
      </c>
    </row>
    <row r="604" spans="1:29" x14ac:dyDescent="0.25">
      <c r="A604" s="4">
        <v>42536</v>
      </c>
      <c r="B604" t="s">
        <v>30</v>
      </c>
      <c r="C604">
        <v>803</v>
      </c>
      <c r="D604">
        <v>5</v>
      </c>
      <c r="E604">
        <v>1</v>
      </c>
      <c r="F604" t="s">
        <v>41</v>
      </c>
      <c r="G604" t="s">
        <v>32</v>
      </c>
      <c r="H604" t="s">
        <v>33</v>
      </c>
      <c r="I604" t="s">
        <v>57</v>
      </c>
      <c r="O604" s="5"/>
      <c r="P604" s="5"/>
      <c r="Z604" t="s">
        <v>39</v>
      </c>
    </row>
    <row r="605" spans="1:29" x14ac:dyDescent="0.25">
      <c r="A605" s="4">
        <v>42536</v>
      </c>
      <c r="B605" t="s">
        <v>30</v>
      </c>
      <c r="C605">
        <v>803</v>
      </c>
      <c r="D605">
        <v>2</v>
      </c>
      <c r="E605">
        <v>1</v>
      </c>
      <c r="F605" t="s">
        <v>41</v>
      </c>
      <c r="G605" t="s">
        <v>32</v>
      </c>
      <c r="H605" t="s">
        <v>33</v>
      </c>
      <c r="I605" t="s">
        <v>98</v>
      </c>
      <c r="O605" s="5"/>
      <c r="P605" s="5"/>
      <c r="Z605" t="s">
        <v>39</v>
      </c>
    </row>
    <row r="606" spans="1:29" x14ac:dyDescent="0.25">
      <c r="A606" s="4">
        <v>42536</v>
      </c>
      <c r="B606" t="s">
        <v>30</v>
      </c>
      <c r="C606">
        <v>803</v>
      </c>
      <c r="D606">
        <v>2</v>
      </c>
      <c r="E606">
        <v>2</v>
      </c>
      <c r="F606" t="s">
        <v>41</v>
      </c>
      <c r="G606" t="s">
        <v>32</v>
      </c>
      <c r="H606" t="s">
        <v>33</v>
      </c>
      <c r="I606" t="s">
        <v>98</v>
      </c>
      <c r="O606" s="5"/>
      <c r="P606" s="5"/>
      <c r="Z606" t="s">
        <v>39</v>
      </c>
    </row>
    <row r="607" spans="1:29" x14ac:dyDescent="0.25">
      <c r="A607" s="4">
        <v>42536</v>
      </c>
      <c r="B607" t="s">
        <v>30</v>
      </c>
      <c r="C607">
        <v>803</v>
      </c>
      <c r="D607">
        <v>1</v>
      </c>
      <c r="E607">
        <v>1</v>
      </c>
      <c r="F607" t="s">
        <v>41</v>
      </c>
      <c r="G607" t="s">
        <v>32</v>
      </c>
      <c r="H607" t="s">
        <v>33</v>
      </c>
      <c r="I607" t="s">
        <v>98</v>
      </c>
      <c r="O607" s="5"/>
      <c r="P607" s="5"/>
      <c r="Z607" t="s">
        <v>39</v>
      </c>
    </row>
    <row r="608" spans="1:29" x14ac:dyDescent="0.25">
      <c r="A608" s="4">
        <v>42536</v>
      </c>
      <c r="B608" t="s">
        <v>30</v>
      </c>
      <c r="C608">
        <v>803</v>
      </c>
      <c r="D608">
        <v>1</v>
      </c>
      <c r="E608">
        <v>2</v>
      </c>
      <c r="F608" t="s">
        <v>41</v>
      </c>
      <c r="G608" t="s">
        <v>32</v>
      </c>
      <c r="H608" t="s">
        <v>33</v>
      </c>
      <c r="I608" t="s">
        <v>98</v>
      </c>
      <c r="O608" s="5"/>
      <c r="P608" s="5"/>
      <c r="Z608" t="s">
        <v>39</v>
      </c>
    </row>
    <row r="609" spans="1:29" x14ac:dyDescent="0.25">
      <c r="A609" s="4">
        <v>42537</v>
      </c>
      <c r="B609" t="s">
        <v>30</v>
      </c>
      <c r="C609">
        <v>703</v>
      </c>
      <c r="D609">
        <v>1</v>
      </c>
      <c r="E609">
        <v>1</v>
      </c>
      <c r="F609" t="s">
        <v>41</v>
      </c>
      <c r="G609" t="s">
        <v>32</v>
      </c>
      <c r="H609" t="s">
        <v>33</v>
      </c>
      <c r="I609" t="s">
        <v>57</v>
      </c>
      <c r="O609" s="5"/>
      <c r="P609" s="5"/>
      <c r="Z609" t="s">
        <v>39</v>
      </c>
    </row>
    <row r="610" spans="1:29" x14ac:dyDescent="0.25">
      <c r="A610" s="4">
        <v>42537</v>
      </c>
      <c r="B610" t="s">
        <v>30</v>
      </c>
      <c r="C610">
        <v>703</v>
      </c>
      <c r="D610">
        <v>1</v>
      </c>
      <c r="E610">
        <v>2</v>
      </c>
      <c r="F610" t="s">
        <v>41</v>
      </c>
      <c r="G610" t="s">
        <v>32</v>
      </c>
      <c r="H610" t="s">
        <v>33</v>
      </c>
      <c r="I610" t="s">
        <v>57</v>
      </c>
      <c r="O610" s="5"/>
      <c r="P610" s="5"/>
      <c r="Z610" t="s">
        <v>39</v>
      </c>
    </row>
    <row r="611" spans="1:29" x14ac:dyDescent="0.25">
      <c r="A611" s="4">
        <v>42537</v>
      </c>
      <c r="B611" t="s">
        <v>30</v>
      </c>
      <c r="C611">
        <v>703</v>
      </c>
      <c r="D611">
        <v>2</v>
      </c>
      <c r="E611">
        <v>1</v>
      </c>
      <c r="F611" t="s">
        <v>41</v>
      </c>
      <c r="G611" t="s">
        <v>32</v>
      </c>
      <c r="H611" t="s">
        <v>33</v>
      </c>
      <c r="I611" t="s">
        <v>58</v>
      </c>
      <c r="J611" t="s">
        <v>42</v>
      </c>
      <c r="K611" t="s">
        <v>113</v>
      </c>
      <c r="L611" t="s">
        <v>43</v>
      </c>
      <c r="M611">
        <v>0</v>
      </c>
      <c r="N611">
        <v>1</v>
      </c>
      <c r="O611" s="5">
        <v>50464</v>
      </c>
      <c r="P611" s="5"/>
      <c r="Q611">
        <f>28-11.5</f>
        <v>16.5</v>
      </c>
      <c r="R611" t="s">
        <v>47</v>
      </c>
      <c r="T611">
        <v>18</v>
      </c>
      <c r="W611">
        <v>12.4</v>
      </c>
      <c r="X611">
        <v>27.5</v>
      </c>
      <c r="Z611" t="s">
        <v>39</v>
      </c>
      <c r="AB611" t="s">
        <v>40</v>
      </c>
      <c r="AC611" t="s">
        <v>88</v>
      </c>
    </row>
    <row r="612" spans="1:29" x14ac:dyDescent="0.25">
      <c r="A612" s="4">
        <v>42537</v>
      </c>
      <c r="B612" t="s">
        <v>30</v>
      </c>
      <c r="C612">
        <v>703</v>
      </c>
      <c r="D612">
        <v>4</v>
      </c>
      <c r="E612">
        <v>1</v>
      </c>
      <c r="F612" t="s">
        <v>41</v>
      </c>
      <c r="G612" t="s">
        <v>32</v>
      </c>
      <c r="H612" t="s">
        <v>33</v>
      </c>
      <c r="I612" t="s">
        <v>128</v>
      </c>
      <c r="J612" t="s">
        <v>35</v>
      </c>
      <c r="K612" t="s">
        <v>113</v>
      </c>
      <c r="L612" t="s">
        <v>37</v>
      </c>
      <c r="M612">
        <v>0</v>
      </c>
      <c r="N612">
        <v>0</v>
      </c>
      <c r="O612" s="5">
        <v>50382</v>
      </c>
      <c r="P612" s="5">
        <v>50381</v>
      </c>
      <c r="R612" t="s">
        <v>63</v>
      </c>
      <c r="S612" t="s">
        <v>97</v>
      </c>
      <c r="Z612" t="s">
        <v>39</v>
      </c>
      <c r="AB612" t="s">
        <v>40</v>
      </c>
      <c r="AC612" t="s">
        <v>88</v>
      </c>
    </row>
    <row r="613" spans="1:29" x14ac:dyDescent="0.25">
      <c r="A613" s="4">
        <v>42537</v>
      </c>
      <c r="B613" t="s">
        <v>30</v>
      </c>
      <c r="C613">
        <v>703</v>
      </c>
      <c r="D613">
        <v>5</v>
      </c>
      <c r="E613">
        <v>1</v>
      </c>
      <c r="F613" t="s">
        <v>41</v>
      </c>
      <c r="G613" t="s">
        <v>32</v>
      </c>
      <c r="H613" t="s">
        <v>33</v>
      </c>
      <c r="I613" t="s">
        <v>53</v>
      </c>
      <c r="J613" t="s">
        <v>62</v>
      </c>
      <c r="O613" s="5"/>
      <c r="P613" s="5"/>
      <c r="Z613" t="s">
        <v>39</v>
      </c>
    </row>
    <row r="614" spans="1:29" x14ac:dyDescent="0.25">
      <c r="A614" s="4">
        <v>42537</v>
      </c>
      <c r="B614" t="s">
        <v>30</v>
      </c>
      <c r="C614">
        <v>703</v>
      </c>
      <c r="D614">
        <v>6</v>
      </c>
      <c r="E614">
        <v>1</v>
      </c>
      <c r="F614" t="s">
        <v>41</v>
      </c>
      <c r="G614" t="s">
        <v>32</v>
      </c>
      <c r="H614" t="s">
        <v>33</v>
      </c>
      <c r="I614" t="s">
        <v>64</v>
      </c>
      <c r="J614" t="s">
        <v>35</v>
      </c>
      <c r="K614" t="s">
        <v>113</v>
      </c>
      <c r="L614" t="s">
        <v>37</v>
      </c>
      <c r="M614">
        <v>0</v>
      </c>
      <c r="N614">
        <v>0</v>
      </c>
      <c r="O614" s="5">
        <v>50390</v>
      </c>
      <c r="P614" s="5"/>
      <c r="Q614">
        <f>206-48</f>
        <v>158</v>
      </c>
      <c r="R614" t="s">
        <v>63</v>
      </c>
      <c r="S614" t="s">
        <v>97</v>
      </c>
      <c r="T614">
        <v>41</v>
      </c>
      <c r="X614">
        <v>42.5</v>
      </c>
      <c r="Z614" t="s">
        <v>39</v>
      </c>
      <c r="AB614" t="s">
        <v>40</v>
      </c>
      <c r="AC614" t="s">
        <v>88</v>
      </c>
    </row>
    <row r="615" spans="1:29" x14ac:dyDescent="0.25">
      <c r="A615" s="4">
        <v>42537</v>
      </c>
      <c r="B615" t="s">
        <v>30</v>
      </c>
      <c r="C615">
        <v>703</v>
      </c>
      <c r="D615">
        <v>7</v>
      </c>
      <c r="E615">
        <v>1</v>
      </c>
      <c r="F615" t="s">
        <v>41</v>
      </c>
      <c r="G615" t="s">
        <v>32</v>
      </c>
      <c r="H615" t="s">
        <v>33</v>
      </c>
      <c r="I615" t="s">
        <v>57</v>
      </c>
      <c r="O615" s="5"/>
      <c r="P615" s="5"/>
      <c r="Z615" t="s">
        <v>39</v>
      </c>
    </row>
    <row r="616" spans="1:29" x14ac:dyDescent="0.25">
      <c r="A616" s="4">
        <v>42537</v>
      </c>
      <c r="B616" t="s">
        <v>30</v>
      </c>
      <c r="C616">
        <v>703</v>
      </c>
      <c r="D616">
        <v>7</v>
      </c>
      <c r="E616">
        <v>2</v>
      </c>
      <c r="F616" t="s">
        <v>41</v>
      </c>
      <c r="G616" t="s">
        <v>32</v>
      </c>
      <c r="H616" t="s">
        <v>33</v>
      </c>
      <c r="I616" t="s">
        <v>57</v>
      </c>
      <c r="O616" s="5"/>
      <c r="P616" s="5"/>
      <c r="Z616" t="s">
        <v>39</v>
      </c>
    </row>
    <row r="617" spans="1:29" x14ac:dyDescent="0.25">
      <c r="A617" s="4">
        <v>42537</v>
      </c>
      <c r="B617" t="s">
        <v>30</v>
      </c>
      <c r="C617">
        <v>703</v>
      </c>
      <c r="D617">
        <v>8</v>
      </c>
      <c r="E617">
        <v>1</v>
      </c>
      <c r="F617" t="s">
        <v>41</v>
      </c>
      <c r="G617" t="s">
        <v>32</v>
      </c>
      <c r="H617" t="s">
        <v>33</v>
      </c>
      <c r="I617" t="s">
        <v>64</v>
      </c>
      <c r="J617" t="s">
        <v>35</v>
      </c>
      <c r="K617" t="s">
        <v>113</v>
      </c>
      <c r="L617" t="s">
        <v>37</v>
      </c>
      <c r="M617">
        <v>0</v>
      </c>
      <c r="N617">
        <v>0</v>
      </c>
      <c r="O617" s="5">
        <v>50460</v>
      </c>
      <c r="P617" s="5"/>
      <c r="Q617">
        <f>232-48</f>
        <v>184</v>
      </c>
      <c r="R617" t="s">
        <v>63</v>
      </c>
      <c r="S617" t="s">
        <v>97</v>
      </c>
      <c r="T617">
        <v>40</v>
      </c>
      <c r="Z617" t="s">
        <v>39</v>
      </c>
      <c r="AB617" t="s">
        <v>55</v>
      </c>
      <c r="AC617" t="s">
        <v>88</v>
      </c>
    </row>
    <row r="618" spans="1:29" x14ac:dyDescent="0.25">
      <c r="A618" s="4">
        <v>42537</v>
      </c>
      <c r="B618" t="s">
        <v>30</v>
      </c>
      <c r="C618">
        <v>703</v>
      </c>
      <c r="D618">
        <v>9</v>
      </c>
      <c r="E618">
        <v>1</v>
      </c>
      <c r="F618" t="s">
        <v>41</v>
      </c>
      <c r="G618" t="s">
        <v>32</v>
      </c>
      <c r="H618" t="s">
        <v>33</v>
      </c>
      <c r="I618" t="s">
        <v>34</v>
      </c>
      <c r="J618" t="s">
        <v>35</v>
      </c>
      <c r="K618" t="s">
        <v>113</v>
      </c>
      <c r="L618" t="s">
        <v>37</v>
      </c>
      <c r="M618">
        <v>0</v>
      </c>
      <c r="N618">
        <v>0</v>
      </c>
      <c r="O618" s="5">
        <v>50395</v>
      </c>
      <c r="P618" s="5">
        <v>50394</v>
      </c>
      <c r="Q618">
        <f>26-3.5</f>
        <v>22.5</v>
      </c>
      <c r="R618" t="s">
        <v>63</v>
      </c>
      <c r="S618" t="s">
        <v>97</v>
      </c>
      <c r="T618">
        <v>20</v>
      </c>
      <c r="U618">
        <v>84</v>
      </c>
      <c r="Z618" t="s">
        <v>39</v>
      </c>
      <c r="AB618" t="s">
        <v>55</v>
      </c>
      <c r="AC618" t="s">
        <v>88</v>
      </c>
    </row>
    <row r="619" spans="1:29" x14ac:dyDescent="0.25">
      <c r="A619" s="4">
        <v>42537</v>
      </c>
      <c r="B619" t="s">
        <v>30</v>
      </c>
      <c r="C619">
        <v>703</v>
      </c>
      <c r="D619">
        <v>9</v>
      </c>
      <c r="E619">
        <v>2</v>
      </c>
      <c r="F619" t="s">
        <v>41</v>
      </c>
      <c r="G619" t="s">
        <v>32</v>
      </c>
      <c r="H619" t="s">
        <v>33</v>
      </c>
      <c r="I619" t="s">
        <v>34</v>
      </c>
      <c r="J619" t="s">
        <v>35</v>
      </c>
      <c r="K619" t="s">
        <v>113</v>
      </c>
      <c r="L619" t="s">
        <v>37</v>
      </c>
      <c r="M619">
        <v>0</v>
      </c>
      <c r="N619">
        <v>0</v>
      </c>
      <c r="O619" s="5" t="s">
        <v>71</v>
      </c>
      <c r="P619" s="5" t="s">
        <v>72</v>
      </c>
      <c r="Q619">
        <f>22-2.5</f>
        <v>19.5</v>
      </c>
      <c r="R619" t="s">
        <v>63</v>
      </c>
      <c r="S619" t="s">
        <v>97</v>
      </c>
      <c r="T619">
        <v>19</v>
      </c>
      <c r="U619">
        <v>86</v>
      </c>
      <c r="V619">
        <v>12</v>
      </c>
      <c r="W619">
        <v>12.5</v>
      </c>
      <c r="X619">
        <v>29.6</v>
      </c>
      <c r="Z619" t="s">
        <v>39</v>
      </c>
      <c r="AB619" t="s">
        <v>55</v>
      </c>
      <c r="AC619" t="s">
        <v>88</v>
      </c>
    </row>
    <row r="620" spans="1:29" x14ac:dyDescent="0.25">
      <c r="A620" s="4">
        <v>42537</v>
      </c>
      <c r="B620" t="s">
        <v>30</v>
      </c>
      <c r="C620">
        <v>703</v>
      </c>
      <c r="D620">
        <v>10</v>
      </c>
      <c r="E620">
        <v>1</v>
      </c>
      <c r="F620" t="s">
        <v>41</v>
      </c>
      <c r="G620" t="s">
        <v>32</v>
      </c>
      <c r="H620" t="s">
        <v>33</v>
      </c>
      <c r="I620" t="s">
        <v>34</v>
      </c>
      <c r="J620" t="s">
        <v>42</v>
      </c>
      <c r="K620" t="s">
        <v>89</v>
      </c>
      <c r="L620" t="s">
        <v>37</v>
      </c>
      <c r="M620">
        <v>0</v>
      </c>
      <c r="N620">
        <v>1</v>
      </c>
      <c r="O620" s="5">
        <v>50466</v>
      </c>
      <c r="P620" s="5">
        <v>50465</v>
      </c>
      <c r="Q620">
        <v>9</v>
      </c>
      <c r="R620" t="s">
        <v>38</v>
      </c>
      <c r="S620" t="s">
        <v>39</v>
      </c>
      <c r="T620">
        <v>17</v>
      </c>
      <c r="U620">
        <v>60</v>
      </c>
      <c r="V620">
        <v>10</v>
      </c>
      <c r="W620">
        <v>11.5</v>
      </c>
      <c r="X620">
        <v>23.8</v>
      </c>
      <c r="Z620" t="s">
        <v>39</v>
      </c>
      <c r="AB620" t="s">
        <v>55</v>
      </c>
      <c r="AC620" t="s">
        <v>88</v>
      </c>
    </row>
    <row r="621" spans="1:29" x14ac:dyDescent="0.25">
      <c r="A621" s="4">
        <v>42537</v>
      </c>
      <c r="B621" t="s">
        <v>30</v>
      </c>
      <c r="C621">
        <v>701</v>
      </c>
      <c r="D621">
        <v>1</v>
      </c>
      <c r="E621">
        <v>1</v>
      </c>
      <c r="F621" t="s">
        <v>41</v>
      </c>
      <c r="G621" t="s">
        <v>32</v>
      </c>
      <c r="H621" t="s">
        <v>33</v>
      </c>
      <c r="I621" t="s">
        <v>58</v>
      </c>
      <c r="J621" t="s">
        <v>42</v>
      </c>
      <c r="K621" t="s">
        <v>113</v>
      </c>
      <c r="L621" t="s">
        <v>43</v>
      </c>
      <c r="M621">
        <v>0</v>
      </c>
      <c r="N621">
        <v>1</v>
      </c>
      <c r="O621" s="5"/>
      <c r="P621" s="5">
        <v>50452</v>
      </c>
      <c r="Q621">
        <f>19-3.5</f>
        <v>15.5</v>
      </c>
      <c r="R621" t="s">
        <v>47</v>
      </c>
      <c r="T621">
        <v>17</v>
      </c>
      <c r="W621">
        <v>12.4</v>
      </c>
      <c r="X621">
        <v>26.6</v>
      </c>
      <c r="Z621" t="s">
        <v>39</v>
      </c>
      <c r="AB621" t="s">
        <v>55</v>
      </c>
      <c r="AC621" t="s">
        <v>88</v>
      </c>
    </row>
    <row r="622" spans="1:29" x14ac:dyDescent="0.25">
      <c r="A622" s="4">
        <v>42537</v>
      </c>
      <c r="B622" t="s">
        <v>30</v>
      </c>
      <c r="C622">
        <v>701</v>
      </c>
      <c r="D622">
        <v>1</v>
      </c>
      <c r="E622">
        <v>2</v>
      </c>
      <c r="F622" t="s">
        <v>41</v>
      </c>
      <c r="G622" t="s">
        <v>32</v>
      </c>
      <c r="H622" t="s">
        <v>33</v>
      </c>
      <c r="I622" t="s">
        <v>34</v>
      </c>
      <c r="J622" t="s">
        <v>42</v>
      </c>
      <c r="K622" t="s">
        <v>113</v>
      </c>
      <c r="L622" t="s">
        <v>43</v>
      </c>
      <c r="M622">
        <v>0</v>
      </c>
      <c r="N622">
        <v>1</v>
      </c>
      <c r="O622" s="5">
        <v>50468</v>
      </c>
      <c r="P622" s="5">
        <v>50467</v>
      </c>
      <c r="Q622">
        <f>27.5-2</f>
        <v>25.5</v>
      </c>
      <c r="R622" t="s">
        <v>47</v>
      </c>
      <c r="T622">
        <v>21</v>
      </c>
      <c r="U622">
        <v>91</v>
      </c>
      <c r="V622">
        <v>16</v>
      </c>
      <c r="W622">
        <v>13.9</v>
      </c>
      <c r="X622">
        <v>31.1</v>
      </c>
      <c r="Z622" t="s">
        <v>39</v>
      </c>
      <c r="AB622" t="s">
        <v>55</v>
      </c>
      <c r="AC622" t="s">
        <v>88</v>
      </c>
    </row>
    <row r="623" spans="1:29" x14ac:dyDescent="0.25">
      <c r="A623" s="4">
        <v>42537</v>
      </c>
      <c r="B623" t="s">
        <v>30</v>
      </c>
      <c r="C623">
        <v>701</v>
      </c>
      <c r="D623">
        <v>6</v>
      </c>
      <c r="E623">
        <v>1</v>
      </c>
      <c r="F623" t="s">
        <v>41</v>
      </c>
      <c r="G623" t="s">
        <v>32</v>
      </c>
      <c r="H623" t="s">
        <v>33</v>
      </c>
      <c r="I623" t="s">
        <v>64</v>
      </c>
      <c r="J623" t="s">
        <v>42</v>
      </c>
      <c r="K623" t="s">
        <v>113</v>
      </c>
      <c r="L623" t="s">
        <v>43</v>
      </c>
      <c r="M623">
        <v>0</v>
      </c>
      <c r="N623">
        <v>1</v>
      </c>
      <c r="O623" s="5">
        <v>50471</v>
      </c>
      <c r="P623" s="5"/>
      <c r="Q623">
        <f>232-50</f>
        <v>182</v>
      </c>
      <c r="R623" t="s">
        <v>47</v>
      </c>
      <c r="T623">
        <v>42</v>
      </c>
      <c r="W623">
        <v>27.2</v>
      </c>
      <c r="X623">
        <v>50</v>
      </c>
      <c r="Y623" t="s">
        <v>130</v>
      </c>
      <c r="Z623" t="s">
        <v>39</v>
      </c>
      <c r="AB623" t="s">
        <v>55</v>
      </c>
      <c r="AC623" t="s">
        <v>88</v>
      </c>
    </row>
    <row r="624" spans="1:29" x14ac:dyDescent="0.25">
      <c r="A624" s="4">
        <v>42537</v>
      </c>
      <c r="B624" t="s">
        <v>30</v>
      </c>
      <c r="C624">
        <v>701</v>
      </c>
      <c r="D624">
        <v>9</v>
      </c>
      <c r="E624">
        <v>1</v>
      </c>
      <c r="F624" t="s">
        <v>41</v>
      </c>
      <c r="G624" t="s">
        <v>32</v>
      </c>
      <c r="H624" t="s">
        <v>33</v>
      </c>
      <c r="I624" t="s">
        <v>34</v>
      </c>
      <c r="J624" t="s">
        <v>42</v>
      </c>
      <c r="K624" t="s">
        <v>89</v>
      </c>
      <c r="L624" t="s">
        <v>43</v>
      </c>
      <c r="M624">
        <v>0</v>
      </c>
      <c r="N624">
        <v>1</v>
      </c>
      <c r="O624" s="5">
        <v>50470</v>
      </c>
      <c r="P624" s="5">
        <v>50469</v>
      </c>
      <c r="Q624">
        <f>21-12</f>
        <v>9</v>
      </c>
      <c r="R624" t="s">
        <v>38</v>
      </c>
      <c r="T624">
        <v>18</v>
      </c>
      <c r="U624">
        <v>59</v>
      </c>
      <c r="V624">
        <v>12</v>
      </c>
      <c r="W624">
        <v>11.8</v>
      </c>
      <c r="X624">
        <v>25.8</v>
      </c>
      <c r="Z624" t="s">
        <v>39</v>
      </c>
      <c r="AB624" t="s">
        <v>40</v>
      </c>
      <c r="AC624" t="s">
        <v>88</v>
      </c>
    </row>
    <row r="625" spans="1:29" x14ac:dyDescent="0.25">
      <c r="A625" s="4">
        <v>42537</v>
      </c>
      <c r="B625" t="s">
        <v>30</v>
      </c>
      <c r="C625">
        <v>701</v>
      </c>
      <c r="D625">
        <v>10</v>
      </c>
      <c r="E625">
        <v>1</v>
      </c>
      <c r="F625" t="s">
        <v>41</v>
      </c>
      <c r="G625" t="s">
        <v>32</v>
      </c>
      <c r="H625" t="s">
        <v>33</v>
      </c>
      <c r="I625" t="s">
        <v>57</v>
      </c>
      <c r="O625" s="5"/>
      <c r="P625" s="5"/>
      <c r="Z625" t="s">
        <v>39</v>
      </c>
    </row>
    <row r="626" spans="1:29" x14ac:dyDescent="0.25">
      <c r="A626" s="4">
        <v>42537</v>
      </c>
      <c r="B626" t="s">
        <v>30</v>
      </c>
      <c r="C626">
        <v>701</v>
      </c>
      <c r="D626">
        <v>10</v>
      </c>
      <c r="E626">
        <v>2</v>
      </c>
      <c r="F626" t="s">
        <v>41</v>
      </c>
      <c r="G626" t="s">
        <v>32</v>
      </c>
      <c r="H626" t="s">
        <v>33</v>
      </c>
      <c r="I626" t="s">
        <v>73</v>
      </c>
      <c r="J626" t="s">
        <v>35</v>
      </c>
      <c r="K626" t="s">
        <v>113</v>
      </c>
      <c r="L626" t="s">
        <v>37</v>
      </c>
      <c r="M626">
        <v>0</v>
      </c>
      <c r="N626">
        <v>0</v>
      </c>
      <c r="O626" s="5"/>
      <c r="P626" s="5" t="s">
        <v>94</v>
      </c>
      <c r="Q626">
        <f>138-49</f>
        <v>89</v>
      </c>
      <c r="R626" t="s">
        <v>63</v>
      </c>
      <c r="S626" t="s">
        <v>97</v>
      </c>
      <c r="T626">
        <v>31</v>
      </c>
      <c r="Y626" t="s">
        <v>131</v>
      </c>
      <c r="Z626" t="s">
        <v>39</v>
      </c>
      <c r="AB626" t="s">
        <v>40</v>
      </c>
      <c r="AC626" t="s">
        <v>88</v>
      </c>
    </row>
    <row r="627" spans="1:29" x14ac:dyDescent="0.25">
      <c r="A627" s="4">
        <v>42537</v>
      </c>
      <c r="B627" t="s">
        <v>30</v>
      </c>
      <c r="C627">
        <v>801</v>
      </c>
      <c r="D627">
        <v>2</v>
      </c>
      <c r="E627">
        <v>1</v>
      </c>
      <c r="F627" t="s">
        <v>41</v>
      </c>
      <c r="G627" t="s">
        <v>32</v>
      </c>
      <c r="H627" t="s">
        <v>33</v>
      </c>
      <c r="I627" t="s">
        <v>73</v>
      </c>
      <c r="J627" t="s">
        <v>35</v>
      </c>
      <c r="K627" t="s">
        <v>113</v>
      </c>
      <c r="L627" t="s">
        <v>43</v>
      </c>
      <c r="M627">
        <v>0</v>
      </c>
      <c r="N627">
        <v>0</v>
      </c>
      <c r="O627" s="5"/>
      <c r="P627" s="5">
        <v>50392</v>
      </c>
      <c r="Q627">
        <f>146-48</f>
        <v>98</v>
      </c>
      <c r="R627" t="s">
        <v>47</v>
      </c>
      <c r="T627">
        <v>28</v>
      </c>
      <c r="W627">
        <v>21.2</v>
      </c>
      <c r="X627">
        <v>44.8</v>
      </c>
      <c r="Z627" t="s">
        <v>39</v>
      </c>
      <c r="AB627" t="s">
        <v>40</v>
      </c>
      <c r="AC627" t="s">
        <v>88</v>
      </c>
    </row>
    <row r="628" spans="1:29" x14ac:dyDescent="0.25">
      <c r="A628" s="4">
        <v>42537</v>
      </c>
      <c r="B628" t="s">
        <v>30</v>
      </c>
      <c r="C628">
        <v>803</v>
      </c>
      <c r="D628">
        <v>10</v>
      </c>
      <c r="E628">
        <v>1</v>
      </c>
      <c r="F628" t="s">
        <v>41</v>
      </c>
      <c r="G628" t="s">
        <v>32</v>
      </c>
      <c r="H628" t="s">
        <v>33</v>
      </c>
      <c r="I628" t="s">
        <v>57</v>
      </c>
      <c r="O628" s="5"/>
      <c r="P628" s="5"/>
      <c r="Z628" t="s">
        <v>39</v>
      </c>
    </row>
    <row r="629" spans="1:29" x14ac:dyDescent="0.25">
      <c r="A629" s="4">
        <v>42537</v>
      </c>
      <c r="B629" t="s">
        <v>30</v>
      </c>
      <c r="C629">
        <v>803</v>
      </c>
      <c r="D629">
        <v>9</v>
      </c>
      <c r="E629">
        <v>1</v>
      </c>
      <c r="F629" t="s">
        <v>41</v>
      </c>
      <c r="G629" t="s">
        <v>32</v>
      </c>
      <c r="H629" t="s">
        <v>33</v>
      </c>
      <c r="I629" t="s">
        <v>57</v>
      </c>
      <c r="O629" s="5"/>
      <c r="P629" s="5"/>
      <c r="Z629" t="s">
        <v>39</v>
      </c>
    </row>
    <row r="630" spans="1:29" x14ac:dyDescent="0.25">
      <c r="A630" s="4">
        <v>42537</v>
      </c>
      <c r="B630" t="s">
        <v>30</v>
      </c>
      <c r="C630">
        <v>803</v>
      </c>
      <c r="D630">
        <v>8</v>
      </c>
      <c r="E630">
        <v>1</v>
      </c>
      <c r="F630" t="s">
        <v>41</v>
      </c>
      <c r="G630" t="s">
        <v>32</v>
      </c>
      <c r="H630" t="s">
        <v>33</v>
      </c>
      <c r="I630" t="s">
        <v>34</v>
      </c>
      <c r="J630" t="s">
        <v>35</v>
      </c>
      <c r="K630" t="s">
        <v>113</v>
      </c>
      <c r="L630" t="s">
        <v>43</v>
      </c>
      <c r="M630">
        <v>0</v>
      </c>
      <c r="N630">
        <v>0</v>
      </c>
      <c r="O630" s="5">
        <v>50453</v>
      </c>
      <c r="P630" s="5">
        <v>50454</v>
      </c>
      <c r="Q630">
        <f>38-14.4</f>
        <v>23.6</v>
      </c>
      <c r="R630" t="s">
        <v>47</v>
      </c>
      <c r="T630">
        <v>19</v>
      </c>
      <c r="U630">
        <v>81</v>
      </c>
      <c r="V630">
        <v>12</v>
      </c>
      <c r="W630">
        <v>13</v>
      </c>
      <c r="X630">
        <v>29.5</v>
      </c>
      <c r="Z630" t="s">
        <v>39</v>
      </c>
      <c r="AB630" t="s">
        <v>40</v>
      </c>
      <c r="AC630" t="s">
        <v>88</v>
      </c>
    </row>
    <row r="631" spans="1:29" x14ac:dyDescent="0.25">
      <c r="A631" s="4">
        <v>42537</v>
      </c>
      <c r="B631" t="s">
        <v>30</v>
      </c>
      <c r="C631">
        <v>803</v>
      </c>
      <c r="D631">
        <v>7</v>
      </c>
      <c r="E631">
        <v>1</v>
      </c>
      <c r="F631" t="s">
        <v>41</v>
      </c>
      <c r="G631" t="s">
        <v>32</v>
      </c>
      <c r="H631" t="s">
        <v>33</v>
      </c>
      <c r="I631" t="s">
        <v>34</v>
      </c>
      <c r="J631" t="s">
        <v>35</v>
      </c>
      <c r="K631" t="s">
        <v>114</v>
      </c>
      <c r="L631" t="s">
        <v>37</v>
      </c>
      <c r="M631">
        <v>0</v>
      </c>
      <c r="N631">
        <v>0</v>
      </c>
      <c r="O631" s="5">
        <v>50457</v>
      </c>
      <c r="P631" s="5">
        <v>50456</v>
      </c>
      <c r="R631" t="s">
        <v>63</v>
      </c>
      <c r="S631" t="s">
        <v>39</v>
      </c>
      <c r="T631">
        <v>18</v>
      </c>
      <c r="U631">
        <v>76</v>
      </c>
      <c r="V631">
        <v>12</v>
      </c>
      <c r="W631">
        <v>12.5</v>
      </c>
      <c r="X631">
        <v>26.8</v>
      </c>
      <c r="Y631" t="s">
        <v>132</v>
      </c>
      <c r="Z631" t="s">
        <v>39</v>
      </c>
      <c r="AB631" t="s">
        <v>40</v>
      </c>
      <c r="AC631" t="s">
        <v>88</v>
      </c>
    </row>
    <row r="632" spans="1:29" x14ac:dyDescent="0.25">
      <c r="A632" s="4">
        <v>42537</v>
      </c>
      <c r="B632" t="s">
        <v>30</v>
      </c>
      <c r="C632">
        <v>803</v>
      </c>
      <c r="D632">
        <v>6</v>
      </c>
      <c r="E632">
        <v>1</v>
      </c>
      <c r="F632" t="s">
        <v>41</v>
      </c>
      <c r="G632" t="s">
        <v>32</v>
      </c>
      <c r="H632" t="s">
        <v>33</v>
      </c>
      <c r="I632" t="s">
        <v>73</v>
      </c>
      <c r="J632" t="s">
        <v>35</v>
      </c>
      <c r="K632" t="s">
        <v>113</v>
      </c>
      <c r="L632" t="s">
        <v>43</v>
      </c>
      <c r="M632">
        <v>0</v>
      </c>
      <c r="N632">
        <v>0</v>
      </c>
      <c r="O632" s="5">
        <v>50391</v>
      </c>
      <c r="P632" s="5"/>
      <c r="Q632">
        <f>138-49</f>
        <v>89</v>
      </c>
      <c r="R632" t="s">
        <v>47</v>
      </c>
      <c r="T632">
        <v>29</v>
      </c>
      <c r="Z632" t="s">
        <v>39</v>
      </c>
      <c r="AB632" t="s">
        <v>40</v>
      </c>
      <c r="AC632" t="s">
        <v>88</v>
      </c>
    </row>
    <row r="633" spans="1:29" x14ac:dyDescent="0.25">
      <c r="A633" s="4">
        <v>42537</v>
      </c>
      <c r="B633" t="s">
        <v>30</v>
      </c>
      <c r="C633">
        <v>803</v>
      </c>
      <c r="D633">
        <v>5</v>
      </c>
      <c r="E633">
        <v>1</v>
      </c>
      <c r="F633" t="s">
        <v>41</v>
      </c>
      <c r="G633" t="s">
        <v>32</v>
      </c>
      <c r="H633" t="s">
        <v>33</v>
      </c>
      <c r="I633" t="s">
        <v>57</v>
      </c>
      <c r="O633" s="5"/>
      <c r="P633" s="5"/>
      <c r="Z633" t="s">
        <v>39</v>
      </c>
    </row>
    <row r="634" spans="1:29" x14ac:dyDescent="0.25">
      <c r="A634" s="4">
        <v>42537</v>
      </c>
      <c r="B634" t="s">
        <v>30</v>
      </c>
      <c r="C634">
        <v>803</v>
      </c>
      <c r="D634">
        <v>4</v>
      </c>
      <c r="E634">
        <v>1</v>
      </c>
      <c r="F634" t="s">
        <v>41</v>
      </c>
      <c r="G634" t="s">
        <v>32</v>
      </c>
      <c r="H634" t="s">
        <v>33</v>
      </c>
      <c r="I634" t="s">
        <v>57</v>
      </c>
      <c r="O634" s="5"/>
      <c r="P634" s="5"/>
      <c r="Z634" t="s">
        <v>39</v>
      </c>
    </row>
    <row r="635" spans="1:29" x14ac:dyDescent="0.25">
      <c r="A635" s="4">
        <v>42537</v>
      </c>
      <c r="B635" t="s">
        <v>30</v>
      </c>
      <c r="C635">
        <v>803</v>
      </c>
      <c r="D635">
        <v>4</v>
      </c>
      <c r="E635">
        <v>2</v>
      </c>
      <c r="F635" t="s">
        <v>41</v>
      </c>
      <c r="G635" t="s">
        <v>32</v>
      </c>
      <c r="H635" t="s">
        <v>33</v>
      </c>
      <c r="I635" t="s">
        <v>73</v>
      </c>
      <c r="J635" t="s">
        <v>35</v>
      </c>
      <c r="K635" t="s">
        <v>113</v>
      </c>
      <c r="L635" t="s">
        <v>43</v>
      </c>
      <c r="M635">
        <v>0</v>
      </c>
      <c r="N635">
        <v>0</v>
      </c>
      <c r="O635" s="5">
        <v>50463</v>
      </c>
      <c r="P635" s="5"/>
      <c r="Q635">
        <f>127-48</f>
        <v>79</v>
      </c>
      <c r="R635" t="s">
        <v>47</v>
      </c>
      <c r="T635">
        <v>31</v>
      </c>
      <c r="W635">
        <v>19.5</v>
      </c>
      <c r="X635">
        <v>43.5</v>
      </c>
      <c r="Z635" t="s">
        <v>39</v>
      </c>
      <c r="AB635" t="s">
        <v>40</v>
      </c>
      <c r="AC635" t="s">
        <v>88</v>
      </c>
    </row>
    <row r="636" spans="1:29" x14ac:dyDescent="0.25">
      <c r="A636" s="4">
        <v>42537</v>
      </c>
      <c r="B636" t="s">
        <v>30</v>
      </c>
      <c r="C636">
        <v>501</v>
      </c>
      <c r="D636">
        <v>1</v>
      </c>
      <c r="E636">
        <v>1</v>
      </c>
      <c r="F636" t="s">
        <v>31</v>
      </c>
      <c r="G636" t="s">
        <v>32</v>
      </c>
      <c r="H636" t="s">
        <v>33</v>
      </c>
      <c r="I636" t="s">
        <v>73</v>
      </c>
      <c r="J636" t="s">
        <v>35</v>
      </c>
      <c r="K636" t="s">
        <v>113</v>
      </c>
      <c r="M636">
        <v>0</v>
      </c>
      <c r="N636">
        <v>0</v>
      </c>
      <c r="O636" s="5"/>
      <c r="P636" s="5">
        <v>50337</v>
      </c>
      <c r="Q636">
        <f>140-90</f>
        <v>50</v>
      </c>
      <c r="T636">
        <v>33</v>
      </c>
      <c r="W636">
        <v>21</v>
      </c>
      <c r="X636">
        <v>42</v>
      </c>
      <c r="Z636" t="s">
        <v>39</v>
      </c>
      <c r="AB636" t="s">
        <v>40</v>
      </c>
      <c r="AC636" t="s">
        <v>88</v>
      </c>
    </row>
    <row r="637" spans="1:29" x14ac:dyDescent="0.25">
      <c r="A637" s="4">
        <v>42537</v>
      </c>
      <c r="B637" t="s">
        <v>30</v>
      </c>
      <c r="C637">
        <v>501</v>
      </c>
      <c r="D637">
        <v>3</v>
      </c>
      <c r="E637">
        <v>1</v>
      </c>
      <c r="F637" t="s">
        <v>31</v>
      </c>
      <c r="G637" t="s">
        <v>32</v>
      </c>
      <c r="H637" t="s">
        <v>33</v>
      </c>
      <c r="I637" t="s">
        <v>34</v>
      </c>
      <c r="J637" t="s">
        <v>35</v>
      </c>
      <c r="K637" t="s">
        <v>113</v>
      </c>
      <c r="L637" t="s">
        <v>43</v>
      </c>
      <c r="M637">
        <v>0</v>
      </c>
      <c r="N637">
        <v>0</v>
      </c>
      <c r="O637" s="5">
        <v>26604</v>
      </c>
      <c r="P637" s="5">
        <v>26603</v>
      </c>
      <c r="Q637">
        <f>31.5-11</f>
        <v>20.5</v>
      </c>
      <c r="R637" t="s">
        <v>47</v>
      </c>
      <c r="T637">
        <v>17</v>
      </c>
      <c r="U637">
        <v>82</v>
      </c>
      <c r="V637">
        <v>14</v>
      </c>
      <c r="W637">
        <v>12.25</v>
      </c>
      <c r="X637">
        <v>27.5</v>
      </c>
      <c r="Z637" t="s">
        <v>39</v>
      </c>
      <c r="AB637" t="s">
        <v>40</v>
      </c>
      <c r="AC637" t="s">
        <v>88</v>
      </c>
    </row>
    <row r="638" spans="1:29" x14ac:dyDescent="0.25">
      <c r="A638" s="4">
        <v>42537</v>
      </c>
      <c r="B638" t="s">
        <v>30</v>
      </c>
      <c r="C638">
        <v>501</v>
      </c>
      <c r="D638">
        <v>4</v>
      </c>
      <c r="E638">
        <v>1</v>
      </c>
      <c r="F638" t="s">
        <v>31</v>
      </c>
      <c r="G638" t="s">
        <v>32</v>
      </c>
      <c r="H638" t="s">
        <v>33</v>
      </c>
      <c r="I638" t="s">
        <v>34</v>
      </c>
      <c r="J638" t="s">
        <v>42</v>
      </c>
      <c r="K638" t="s">
        <v>114</v>
      </c>
      <c r="L638" t="s">
        <v>43</v>
      </c>
      <c r="M638">
        <v>0</v>
      </c>
      <c r="N638">
        <v>1</v>
      </c>
      <c r="O638" s="5">
        <v>50584</v>
      </c>
      <c r="P638" s="5">
        <v>50583</v>
      </c>
      <c r="Q638">
        <f>26.5-12.5</f>
        <v>14</v>
      </c>
      <c r="R638" t="s">
        <v>47</v>
      </c>
      <c r="T638">
        <v>17</v>
      </c>
      <c r="U638">
        <v>72</v>
      </c>
      <c r="V638">
        <v>14</v>
      </c>
      <c r="W638">
        <v>11.9</v>
      </c>
      <c r="X638">
        <v>25.6</v>
      </c>
      <c r="Z638" t="s">
        <v>39</v>
      </c>
      <c r="AB638" t="s">
        <v>40</v>
      </c>
      <c r="AC638" t="s">
        <v>88</v>
      </c>
    </row>
    <row r="639" spans="1:29" x14ac:dyDescent="0.25">
      <c r="A639" s="4">
        <v>42537</v>
      </c>
      <c r="B639" t="s">
        <v>30</v>
      </c>
      <c r="C639">
        <v>501</v>
      </c>
      <c r="D639">
        <v>7</v>
      </c>
      <c r="E639">
        <v>1</v>
      </c>
      <c r="F639" t="s">
        <v>31</v>
      </c>
      <c r="G639" t="s">
        <v>32</v>
      </c>
      <c r="H639" t="s">
        <v>33</v>
      </c>
      <c r="I639" t="s">
        <v>91</v>
      </c>
      <c r="J639" t="s">
        <v>42</v>
      </c>
      <c r="K639" t="s">
        <v>113</v>
      </c>
      <c r="L639" t="s">
        <v>37</v>
      </c>
      <c r="M639">
        <v>0</v>
      </c>
      <c r="N639">
        <v>1</v>
      </c>
      <c r="O639" s="5"/>
      <c r="P639" s="5">
        <v>50585</v>
      </c>
      <c r="Q639">
        <f>38.5-11</f>
        <v>27.5</v>
      </c>
      <c r="R639" t="s">
        <v>120</v>
      </c>
      <c r="S639" t="s">
        <v>97</v>
      </c>
      <c r="T639">
        <v>28</v>
      </c>
      <c r="W639">
        <v>12.6</v>
      </c>
      <c r="X639">
        <v>29.8</v>
      </c>
      <c r="Z639" t="s">
        <v>39</v>
      </c>
      <c r="AB639" t="s">
        <v>40</v>
      </c>
      <c r="AC639" t="s">
        <v>88</v>
      </c>
    </row>
    <row r="640" spans="1:29" x14ac:dyDescent="0.25">
      <c r="A640" s="4">
        <v>42537</v>
      </c>
      <c r="B640" t="s">
        <v>30</v>
      </c>
      <c r="C640">
        <v>501</v>
      </c>
      <c r="D640">
        <v>8</v>
      </c>
      <c r="E640">
        <v>1</v>
      </c>
      <c r="F640" t="s">
        <v>31</v>
      </c>
      <c r="G640" t="s">
        <v>32</v>
      </c>
      <c r="H640" t="s">
        <v>33</v>
      </c>
      <c r="I640" t="s">
        <v>57</v>
      </c>
      <c r="O640" s="5"/>
      <c r="P640" s="5"/>
      <c r="Z640" t="s">
        <v>39</v>
      </c>
    </row>
    <row r="641" spans="1:29" x14ac:dyDescent="0.25">
      <c r="A641" s="4">
        <v>42537</v>
      </c>
      <c r="B641" t="s">
        <v>30</v>
      </c>
      <c r="C641">
        <v>501</v>
      </c>
      <c r="D641">
        <v>9</v>
      </c>
      <c r="E641">
        <v>1</v>
      </c>
      <c r="F641" t="s">
        <v>31</v>
      </c>
      <c r="G641" t="s">
        <v>32</v>
      </c>
      <c r="H641" t="s">
        <v>33</v>
      </c>
      <c r="I641" t="s">
        <v>58</v>
      </c>
      <c r="J641" t="s">
        <v>42</v>
      </c>
      <c r="K641" t="s">
        <v>113</v>
      </c>
      <c r="L641" t="s">
        <v>43</v>
      </c>
      <c r="M641">
        <v>0</v>
      </c>
      <c r="N641">
        <v>1</v>
      </c>
      <c r="O641" s="5">
        <v>50586</v>
      </c>
      <c r="P641" s="5"/>
      <c r="Q641">
        <f>38-12</f>
        <v>26</v>
      </c>
      <c r="R641" t="s">
        <v>47</v>
      </c>
      <c r="T641">
        <v>16</v>
      </c>
      <c r="W641">
        <v>13.1</v>
      </c>
      <c r="X641">
        <v>27.6</v>
      </c>
      <c r="Z641" t="s">
        <v>39</v>
      </c>
      <c r="AB641" t="s">
        <v>40</v>
      </c>
      <c r="AC641" t="s">
        <v>88</v>
      </c>
    </row>
    <row r="642" spans="1:29" x14ac:dyDescent="0.25">
      <c r="A642" s="4">
        <v>42537</v>
      </c>
      <c r="B642" t="s">
        <v>30</v>
      </c>
      <c r="C642">
        <v>503</v>
      </c>
      <c r="D642">
        <v>2</v>
      </c>
      <c r="E642">
        <v>1</v>
      </c>
      <c r="F642" t="s">
        <v>31</v>
      </c>
      <c r="G642" t="s">
        <v>32</v>
      </c>
      <c r="H642" t="s">
        <v>33</v>
      </c>
      <c r="I642" t="s">
        <v>73</v>
      </c>
      <c r="J642" t="s">
        <v>35</v>
      </c>
      <c r="K642" t="s">
        <v>113</v>
      </c>
      <c r="L642" t="s">
        <v>37</v>
      </c>
      <c r="M642">
        <v>0</v>
      </c>
      <c r="N642">
        <v>0</v>
      </c>
      <c r="O642" s="5"/>
      <c r="P642" s="5">
        <v>50578</v>
      </c>
      <c r="Q642">
        <f>197-90</f>
        <v>107</v>
      </c>
      <c r="R642" t="s">
        <v>74</v>
      </c>
      <c r="S642" t="s">
        <v>97</v>
      </c>
      <c r="T642">
        <v>34</v>
      </c>
      <c r="W642">
        <v>22.2</v>
      </c>
      <c r="X642">
        <v>43.65</v>
      </c>
      <c r="Z642" t="s">
        <v>39</v>
      </c>
      <c r="AB642" t="s">
        <v>40</v>
      </c>
      <c r="AC642" t="s">
        <v>88</v>
      </c>
    </row>
    <row r="643" spans="1:29" x14ac:dyDescent="0.25">
      <c r="A643" s="4">
        <v>42537</v>
      </c>
      <c r="B643" t="s">
        <v>30</v>
      </c>
      <c r="C643">
        <v>503</v>
      </c>
      <c r="D643">
        <v>8</v>
      </c>
      <c r="E643">
        <v>1</v>
      </c>
      <c r="F643" t="s">
        <v>31</v>
      </c>
      <c r="G643" t="s">
        <v>32</v>
      </c>
      <c r="H643" t="s">
        <v>33</v>
      </c>
      <c r="I643" t="s">
        <v>57</v>
      </c>
      <c r="O643" s="5"/>
      <c r="P643" s="5"/>
      <c r="Z643" t="s">
        <v>39</v>
      </c>
    </row>
    <row r="644" spans="1:29" x14ac:dyDescent="0.25">
      <c r="A644" s="4">
        <v>42537</v>
      </c>
      <c r="B644" t="s">
        <v>30</v>
      </c>
      <c r="C644">
        <v>503</v>
      </c>
      <c r="D644">
        <v>8</v>
      </c>
      <c r="E644">
        <v>2</v>
      </c>
      <c r="F644" t="s">
        <v>31</v>
      </c>
      <c r="G644" t="s">
        <v>32</v>
      </c>
      <c r="H644" t="s">
        <v>33</v>
      </c>
      <c r="I644" t="s">
        <v>34</v>
      </c>
      <c r="J644" t="s">
        <v>42</v>
      </c>
      <c r="K644" t="s">
        <v>89</v>
      </c>
      <c r="L644" t="s">
        <v>43</v>
      </c>
      <c r="M644">
        <v>0</v>
      </c>
      <c r="N644">
        <v>1</v>
      </c>
      <c r="O644" s="5">
        <v>50588</v>
      </c>
      <c r="P644" s="5">
        <v>50587</v>
      </c>
      <c r="Q644">
        <f>26-12</f>
        <v>14</v>
      </c>
      <c r="R644" t="s">
        <v>65</v>
      </c>
      <c r="T644">
        <v>19</v>
      </c>
      <c r="U644">
        <v>84</v>
      </c>
      <c r="V644">
        <v>16</v>
      </c>
      <c r="W644">
        <v>12.1</v>
      </c>
      <c r="X644">
        <v>27</v>
      </c>
      <c r="Z644" t="s">
        <v>39</v>
      </c>
      <c r="AB644" t="s">
        <v>40</v>
      </c>
      <c r="AC644" t="s">
        <v>88</v>
      </c>
    </row>
    <row r="645" spans="1:29" x14ac:dyDescent="0.25">
      <c r="A645" s="4">
        <v>42537</v>
      </c>
      <c r="B645" t="s">
        <v>30</v>
      </c>
      <c r="C645">
        <v>503</v>
      </c>
      <c r="D645">
        <v>10</v>
      </c>
      <c r="E645">
        <v>1</v>
      </c>
      <c r="F645" t="s">
        <v>31</v>
      </c>
      <c r="G645" t="s">
        <v>32</v>
      </c>
      <c r="H645" t="s">
        <v>33</v>
      </c>
      <c r="I645" t="s">
        <v>57</v>
      </c>
      <c r="O645" s="5"/>
      <c r="P645" s="5"/>
      <c r="Z645" t="s">
        <v>39</v>
      </c>
    </row>
    <row r="646" spans="1:29" x14ac:dyDescent="0.25">
      <c r="A646" s="4">
        <v>42537</v>
      </c>
      <c r="B646" t="s">
        <v>30</v>
      </c>
      <c r="C646">
        <v>503</v>
      </c>
      <c r="D646">
        <v>10</v>
      </c>
      <c r="E646">
        <v>2</v>
      </c>
      <c r="F646" t="s">
        <v>31</v>
      </c>
      <c r="G646" t="s">
        <v>32</v>
      </c>
      <c r="H646" t="s">
        <v>33</v>
      </c>
      <c r="I646" t="s">
        <v>58</v>
      </c>
      <c r="J646" t="s">
        <v>35</v>
      </c>
      <c r="K646" t="s">
        <v>113</v>
      </c>
      <c r="L646" t="s">
        <v>43</v>
      </c>
      <c r="M646">
        <v>0</v>
      </c>
      <c r="N646">
        <v>0</v>
      </c>
      <c r="O646" s="5">
        <v>50579</v>
      </c>
      <c r="P646" s="5"/>
      <c r="Q646">
        <f>41-13</f>
        <v>28</v>
      </c>
      <c r="R646" t="s">
        <v>47</v>
      </c>
      <c r="T646">
        <v>15.5</v>
      </c>
      <c r="W646">
        <v>12.6</v>
      </c>
      <c r="X646">
        <v>28.7</v>
      </c>
      <c r="Z646" t="s">
        <v>39</v>
      </c>
      <c r="AB646" t="s">
        <v>40</v>
      </c>
      <c r="AC646" t="s">
        <v>88</v>
      </c>
    </row>
    <row r="647" spans="1:29" x14ac:dyDescent="0.25">
      <c r="A647" s="4">
        <v>42537</v>
      </c>
      <c r="B647" t="s">
        <v>30</v>
      </c>
      <c r="C647">
        <v>303</v>
      </c>
      <c r="D647">
        <v>1</v>
      </c>
      <c r="E647">
        <v>1</v>
      </c>
      <c r="F647" t="s">
        <v>31</v>
      </c>
      <c r="G647" t="s">
        <v>32</v>
      </c>
      <c r="H647" t="s">
        <v>33</v>
      </c>
      <c r="I647" t="s">
        <v>34</v>
      </c>
      <c r="J647" t="s">
        <v>35</v>
      </c>
      <c r="K647" t="s">
        <v>113</v>
      </c>
      <c r="L647" t="s">
        <v>43</v>
      </c>
      <c r="M647">
        <v>0</v>
      </c>
      <c r="N647">
        <v>0</v>
      </c>
      <c r="O647" s="5">
        <v>50320</v>
      </c>
      <c r="P647" s="5">
        <v>50321</v>
      </c>
      <c r="Q647">
        <f>35-12</f>
        <v>23</v>
      </c>
      <c r="R647" t="s">
        <v>47</v>
      </c>
      <c r="T647">
        <v>18</v>
      </c>
      <c r="U647">
        <v>85</v>
      </c>
      <c r="V647">
        <v>16</v>
      </c>
      <c r="W647">
        <v>12.5</v>
      </c>
      <c r="X647">
        <v>30.5</v>
      </c>
      <c r="Z647" t="s">
        <v>39</v>
      </c>
      <c r="AB647" t="s">
        <v>40</v>
      </c>
      <c r="AC647" t="s">
        <v>88</v>
      </c>
    </row>
    <row r="648" spans="1:29" x14ac:dyDescent="0.25">
      <c r="A648" s="4">
        <v>42537</v>
      </c>
      <c r="B648" t="s">
        <v>30</v>
      </c>
      <c r="C648">
        <v>303</v>
      </c>
      <c r="D648">
        <v>1</v>
      </c>
      <c r="E648">
        <v>2</v>
      </c>
      <c r="F648" t="s">
        <v>31</v>
      </c>
      <c r="G648" t="s">
        <v>32</v>
      </c>
      <c r="H648" t="s">
        <v>33</v>
      </c>
      <c r="I648" t="s">
        <v>34</v>
      </c>
      <c r="J648" t="s">
        <v>35</v>
      </c>
      <c r="K648" t="s">
        <v>89</v>
      </c>
      <c r="L648" t="s">
        <v>43</v>
      </c>
      <c r="M648">
        <v>0</v>
      </c>
      <c r="N648">
        <v>0</v>
      </c>
      <c r="O648" s="5">
        <v>50477</v>
      </c>
      <c r="P648" s="5">
        <v>50476</v>
      </c>
      <c r="Q648">
        <f>27-11.5</f>
        <v>15.5</v>
      </c>
      <c r="R648" t="s">
        <v>38</v>
      </c>
      <c r="T648">
        <v>18</v>
      </c>
      <c r="U648">
        <v>79</v>
      </c>
      <c r="V648">
        <v>16</v>
      </c>
      <c r="W648">
        <v>12.5</v>
      </c>
      <c r="X648">
        <v>29</v>
      </c>
      <c r="Z648" t="s">
        <v>39</v>
      </c>
      <c r="AB648" t="s">
        <v>40</v>
      </c>
      <c r="AC648" t="s">
        <v>88</v>
      </c>
    </row>
    <row r="649" spans="1:29" x14ac:dyDescent="0.25">
      <c r="A649" s="4">
        <v>42537</v>
      </c>
      <c r="B649" t="s">
        <v>30</v>
      </c>
      <c r="C649">
        <v>303</v>
      </c>
      <c r="D649">
        <v>2</v>
      </c>
      <c r="E649">
        <v>1</v>
      </c>
      <c r="F649" t="s">
        <v>31</v>
      </c>
      <c r="G649" t="s">
        <v>32</v>
      </c>
      <c r="H649" t="s">
        <v>33</v>
      </c>
      <c r="I649" t="s">
        <v>57</v>
      </c>
      <c r="O649" s="5"/>
      <c r="P649" s="5"/>
      <c r="Z649" t="s">
        <v>39</v>
      </c>
    </row>
    <row r="650" spans="1:29" x14ac:dyDescent="0.25">
      <c r="A650" s="4">
        <v>42537</v>
      </c>
      <c r="B650" t="s">
        <v>30</v>
      </c>
      <c r="C650">
        <v>303</v>
      </c>
      <c r="D650">
        <v>3</v>
      </c>
      <c r="E650">
        <v>1</v>
      </c>
      <c r="F650" t="s">
        <v>31</v>
      </c>
      <c r="G650" t="s">
        <v>32</v>
      </c>
      <c r="H650" t="s">
        <v>33</v>
      </c>
      <c r="I650" t="s">
        <v>34</v>
      </c>
      <c r="J650" t="s">
        <v>35</v>
      </c>
      <c r="K650" t="s">
        <v>89</v>
      </c>
      <c r="L650" t="s">
        <v>37</v>
      </c>
      <c r="M650">
        <v>0</v>
      </c>
      <c r="N650">
        <v>0</v>
      </c>
      <c r="O650" s="5">
        <v>50582</v>
      </c>
      <c r="P650" s="5">
        <v>50581</v>
      </c>
      <c r="Q650">
        <f>26-11.5</f>
        <v>14.5</v>
      </c>
      <c r="R650" t="s">
        <v>38</v>
      </c>
      <c r="T650">
        <v>18</v>
      </c>
      <c r="U650">
        <v>79</v>
      </c>
      <c r="V650">
        <v>14.5</v>
      </c>
      <c r="W650">
        <v>13</v>
      </c>
      <c r="X650">
        <v>27.1</v>
      </c>
      <c r="Z650" t="s">
        <v>39</v>
      </c>
      <c r="AB650" t="s">
        <v>40</v>
      </c>
      <c r="AC650" t="s">
        <v>88</v>
      </c>
    </row>
    <row r="651" spans="1:29" x14ac:dyDescent="0.25">
      <c r="A651" s="4">
        <v>42537</v>
      </c>
      <c r="B651" t="s">
        <v>30</v>
      </c>
      <c r="C651">
        <v>303</v>
      </c>
      <c r="D651">
        <v>5</v>
      </c>
      <c r="E651">
        <v>1</v>
      </c>
      <c r="F651" t="s">
        <v>31</v>
      </c>
      <c r="G651" t="s">
        <v>32</v>
      </c>
      <c r="H651" t="s">
        <v>33</v>
      </c>
      <c r="I651" t="s">
        <v>91</v>
      </c>
      <c r="J651" t="s">
        <v>133</v>
      </c>
      <c r="K651" t="s">
        <v>113</v>
      </c>
      <c r="M651">
        <v>0</v>
      </c>
      <c r="N651">
        <v>0</v>
      </c>
      <c r="O651" s="5" t="s">
        <v>134</v>
      </c>
      <c r="P651" s="5"/>
      <c r="Z651" t="s">
        <v>39</v>
      </c>
    </row>
    <row r="652" spans="1:29" x14ac:dyDescent="0.25">
      <c r="A652" s="4">
        <v>42537</v>
      </c>
      <c r="B652" t="s">
        <v>30</v>
      </c>
      <c r="C652">
        <v>401</v>
      </c>
      <c r="D652">
        <v>1</v>
      </c>
      <c r="E652">
        <v>1</v>
      </c>
      <c r="F652" t="s">
        <v>31</v>
      </c>
      <c r="G652" t="s">
        <v>32</v>
      </c>
      <c r="H652" t="s">
        <v>33</v>
      </c>
      <c r="I652" t="s">
        <v>57</v>
      </c>
      <c r="O652" s="5"/>
      <c r="P652" s="5"/>
      <c r="Z652" t="s">
        <v>39</v>
      </c>
    </row>
    <row r="653" spans="1:29" x14ac:dyDescent="0.25">
      <c r="A653" s="4">
        <v>42537</v>
      </c>
      <c r="B653" t="s">
        <v>30</v>
      </c>
      <c r="C653">
        <v>401</v>
      </c>
      <c r="D653">
        <v>4</v>
      </c>
      <c r="E653">
        <v>1</v>
      </c>
      <c r="F653" t="s">
        <v>31</v>
      </c>
      <c r="G653" t="s">
        <v>32</v>
      </c>
      <c r="H653" t="s">
        <v>33</v>
      </c>
      <c r="I653" t="s">
        <v>57</v>
      </c>
      <c r="O653" s="5"/>
      <c r="P653" s="5"/>
      <c r="Z653" t="s">
        <v>39</v>
      </c>
    </row>
    <row r="654" spans="1:29" x14ac:dyDescent="0.25">
      <c r="A654" s="4">
        <v>42537</v>
      </c>
      <c r="B654" t="s">
        <v>30</v>
      </c>
      <c r="C654">
        <v>401</v>
      </c>
      <c r="D654">
        <v>5</v>
      </c>
      <c r="E654">
        <v>1</v>
      </c>
      <c r="F654" t="s">
        <v>31</v>
      </c>
      <c r="G654" t="s">
        <v>32</v>
      </c>
      <c r="H654" t="s">
        <v>33</v>
      </c>
      <c r="I654" t="s">
        <v>34</v>
      </c>
      <c r="J654" t="s">
        <v>42</v>
      </c>
      <c r="K654" t="s">
        <v>114</v>
      </c>
      <c r="L654" t="s">
        <v>43</v>
      </c>
      <c r="M654">
        <v>0</v>
      </c>
      <c r="N654">
        <v>1</v>
      </c>
      <c r="O654" s="5">
        <v>50590</v>
      </c>
      <c r="P654" s="5">
        <v>50589</v>
      </c>
      <c r="Q654">
        <f>30-14</f>
        <v>16</v>
      </c>
      <c r="R654" t="s">
        <v>47</v>
      </c>
      <c r="T654">
        <v>17</v>
      </c>
      <c r="U654">
        <v>75</v>
      </c>
      <c r="V654">
        <v>14</v>
      </c>
      <c r="W654">
        <v>11.9</v>
      </c>
      <c r="X654">
        <v>27.2</v>
      </c>
      <c r="Z654" t="s">
        <v>39</v>
      </c>
      <c r="AB654" t="s">
        <v>40</v>
      </c>
      <c r="AC654" t="s">
        <v>88</v>
      </c>
    </row>
    <row r="655" spans="1:29" x14ac:dyDescent="0.25">
      <c r="A655" s="4">
        <v>42541</v>
      </c>
      <c r="B655" t="s">
        <v>30</v>
      </c>
      <c r="C655">
        <v>201</v>
      </c>
      <c r="D655">
        <v>4</v>
      </c>
      <c r="E655">
        <v>1</v>
      </c>
      <c r="F655" t="s">
        <v>41</v>
      </c>
      <c r="G655" t="s">
        <v>32</v>
      </c>
      <c r="H655" t="s">
        <v>33</v>
      </c>
      <c r="I655" t="s">
        <v>57</v>
      </c>
      <c r="O655" s="5"/>
      <c r="P655" s="5"/>
      <c r="Z655" t="s">
        <v>39</v>
      </c>
    </row>
    <row r="656" spans="1:29" x14ac:dyDescent="0.25">
      <c r="A656" s="4">
        <v>42541</v>
      </c>
      <c r="B656" t="s">
        <v>30</v>
      </c>
      <c r="C656">
        <v>201</v>
      </c>
      <c r="D656">
        <v>6</v>
      </c>
      <c r="E656">
        <v>1</v>
      </c>
      <c r="F656" t="s">
        <v>41</v>
      </c>
      <c r="G656" t="s">
        <v>32</v>
      </c>
      <c r="H656" t="s">
        <v>33</v>
      </c>
      <c r="I656" t="s">
        <v>57</v>
      </c>
      <c r="O656" s="5"/>
      <c r="P656" s="5"/>
      <c r="Z656" t="s">
        <v>39</v>
      </c>
    </row>
    <row r="657" spans="1:29" x14ac:dyDescent="0.25">
      <c r="A657" s="4">
        <v>42541</v>
      </c>
      <c r="B657" t="s">
        <v>30</v>
      </c>
      <c r="C657">
        <v>201</v>
      </c>
      <c r="D657">
        <v>7</v>
      </c>
      <c r="E657">
        <v>1</v>
      </c>
      <c r="F657" t="s">
        <v>41</v>
      </c>
      <c r="G657" t="s">
        <v>32</v>
      </c>
      <c r="H657" t="s">
        <v>33</v>
      </c>
      <c r="I657" t="s">
        <v>57</v>
      </c>
      <c r="O657" s="5"/>
      <c r="P657" s="5"/>
      <c r="Z657" t="s">
        <v>39</v>
      </c>
    </row>
    <row r="658" spans="1:29" x14ac:dyDescent="0.25">
      <c r="A658" s="4">
        <v>42541</v>
      </c>
      <c r="B658" t="s">
        <v>30</v>
      </c>
      <c r="C658">
        <v>201</v>
      </c>
      <c r="D658">
        <v>7</v>
      </c>
      <c r="E658">
        <v>2</v>
      </c>
      <c r="F658" t="s">
        <v>41</v>
      </c>
      <c r="G658" t="s">
        <v>32</v>
      </c>
      <c r="H658" t="s">
        <v>33</v>
      </c>
      <c r="I658" t="s">
        <v>34</v>
      </c>
      <c r="J658" t="s">
        <v>35</v>
      </c>
      <c r="K658" t="s">
        <v>36</v>
      </c>
      <c r="L658" t="s">
        <v>37</v>
      </c>
      <c r="M658">
        <v>0</v>
      </c>
      <c r="N658">
        <v>0</v>
      </c>
      <c r="O658" s="5">
        <v>50359</v>
      </c>
      <c r="P658" s="5">
        <v>50358</v>
      </c>
      <c r="Q658">
        <f>34-12</f>
        <v>22</v>
      </c>
      <c r="R658" t="s">
        <v>63</v>
      </c>
      <c r="S658" t="s">
        <v>39</v>
      </c>
      <c r="T658">
        <v>18</v>
      </c>
      <c r="U658">
        <v>85</v>
      </c>
      <c r="V658">
        <v>14</v>
      </c>
      <c r="W658">
        <v>14</v>
      </c>
      <c r="X658">
        <v>29.8</v>
      </c>
      <c r="Z658" t="s">
        <v>39</v>
      </c>
      <c r="AB658" t="s">
        <v>59</v>
      </c>
      <c r="AC658" t="s">
        <v>88</v>
      </c>
    </row>
    <row r="659" spans="1:29" x14ac:dyDescent="0.25">
      <c r="A659" s="4">
        <v>42541</v>
      </c>
      <c r="B659" t="s">
        <v>30</v>
      </c>
      <c r="C659">
        <v>201</v>
      </c>
      <c r="D659">
        <v>8</v>
      </c>
      <c r="E659">
        <v>1</v>
      </c>
      <c r="F659" t="s">
        <v>41</v>
      </c>
      <c r="G659" t="s">
        <v>32</v>
      </c>
      <c r="H659" t="s">
        <v>33</v>
      </c>
      <c r="I659" t="s">
        <v>57</v>
      </c>
      <c r="O659" s="5"/>
      <c r="P659" s="5"/>
      <c r="Z659" t="s">
        <v>39</v>
      </c>
    </row>
    <row r="660" spans="1:29" x14ac:dyDescent="0.25">
      <c r="A660" s="4">
        <v>42541</v>
      </c>
      <c r="B660" t="s">
        <v>30</v>
      </c>
      <c r="C660">
        <v>201</v>
      </c>
      <c r="D660">
        <v>8</v>
      </c>
      <c r="E660">
        <v>2</v>
      </c>
      <c r="F660" t="s">
        <v>41</v>
      </c>
      <c r="G660" t="s">
        <v>32</v>
      </c>
      <c r="H660" t="s">
        <v>33</v>
      </c>
      <c r="I660" t="s">
        <v>57</v>
      </c>
      <c r="O660" s="5"/>
      <c r="P660" s="5"/>
      <c r="Z660" t="s">
        <v>39</v>
      </c>
    </row>
    <row r="661" spans="1:29" x14ac:dyDescent="0.25">
      <c r="A661" s="4">
        <v>42541</v>
      </c>
      <c r="B661" t="s">
        <v>30</v>
      </c>
      <c r="C661">
        <v>203</v>
      </c>
      <c r="D661">
        <v>3</v>
      </c>
      <c r="E661">
        <v>1</v>
      </c>
      <c r="F661" t="s">
        <v>41</v>
      </c>
      <c r="G661" t="s">
        <v>32</v>
      </c>
      <c r="H661" t="s">
        <v>33</v>
      </c>
      <c r="I661" t="s">
        <v>34</v>
      </c>
      <c r="J661" t="s">
        <v>42</v>
      </c>
      <c r="K661" t="s">
        <v>114</v>
      </c>
      <c r="L661" t="s">
        <v>37</v>
      </c>
      <c r="M661">
        <v>0</v>
      </c>
      <c r="N661">
        <v>1</v>
      </c>
      <c r="O661" s="5">
        <v>50420</v>
      </c>
      <c r="P661" s="5">
        <v>50419</v>
      </c>
      <c r="Q661">
        <f>32-13.5</f>
        <v>18.5</v>
      </c>
      <c r="R661" t="s">
        <v>38</v>
      </c>
      <c r="S661" t="s">
        <v>39</v>
      </c>
      <c r="T661">
        <v>20</v>
      </c>
      <c r="U661">
        <v>80</v>
      </c>
      <c r="V661">
        <v>13</v>
      </c>
      <c r="W661">
        <v>27.7</v>
      </c>
      <c r="X661">
        <v>11.8</v>
      </c>
      <c r="Z661" t="s">
        <v>39</v>
      </c>
      <c r="AB661" t="s">
        <v>59</v>
      </c>
      <c r="AC661" t="s">
        <v>88</v>
      </c>
    </row>
    <row r="662" spans="1:29" x14ac:dyDescent="0.25">
      <c r="A662" s="4">
        <v>42541</v>
      </c>
      <c r="B662" t="s">
        <v>30</v>
      </c>
      <c r="C662">
        <v>203</v>
      </c>
      <c r="D662">
        <v>5</v>
      </c>
      <c r="E662">
        <v>1</v>
      </c>
      <c r="F662" t="s">
        <v>41</v>
      </c>
      <c r="G662" t="s">
        <v>32</v>
      </c>
      <c r="H662" t="s">
        <v>33</v>
      </c>
      <c r="I662" t="s">
        <v>34</v>
      </c>
      <c r="J662" t="s">
        <v>35</v>
      </c>
      <c r="K662" t="s">
        <v>36</v>
      </c>
      <c r="L662" t="s">
        <v>43</v>
      </c>
      <c r="M662">
        <v>0</v>
      </c>
      <c r="N662">
        <v>0</v>
      </c>
      <c r="O662" s="5" t="s">
        <v>45</v>
      </c>
      <c r="P662" s="5" t="s">
        <v>46</v>
      </c>
      <c r="Q662">
        <f>34-12</f>
        <v>22</v>
      </c>
      <c r="R662" t="s">
        <v>47</v>
      </c>
      <c r="T662">
        <v>20</v>
      </c>
      <c r="U662">
        <v>86</v>
      </c>
      <c r="V662">
        <v>15</v>
      </c>
      <c r="W662">
        <v>12.5</v>
      </c>
      <c r="X662">
        <v>30.4</v>
      </c>
      <c r="Z662" t="s">
        <v>39</v>
      </c>
      <c r="AB662" t="s">
        <v>59</v>
      </c>
      <c r="AC662" t="s">
        <v>88</v>
      </c>
    </row>
    <row r="663" spans="1:29" x14ac:dyDescent="0.25">
      <c r="A663" s="4">
        <v>42541</v>
      </c>
      <c r="B663" t="s">
        <v>30</v>
      </c>
      <c r="C663">
        <v>203</v>
      </c>
      <c r="D663">
        <v>8</v>
      </c>
      <c r="E663">
        <v>1</v>
      </c>
      <c r="F663" t="s">
        <v>41</v>
      </c>
      <c r="G663" t="s">
        <v>32</v>
      </c>
      <c r="H663" t="s">
        <v>33</v>
      </c>
      <c r="I663" t="s">
        <v>57</v>
      </c>
      <c r="O663" s="5"/>
      <c r="P663" s="5"/>
      <c r="Z663" t="s">
        <v>39</v>
      </c>
    </row>
    <row r="664" spans="1:29" x14ac:dyDescent="0.25">
      <c r="A664" s="4">
        <v>42541</v>
      </c>
      <c r="B664" t="s">
        <v>30</v>
      </c>
      <c r="C664">
        <v>203</v>
      </c>
      <c r="D664">
        <v>9</v>
      </c>
      <c r="E664">
        <v>1</v>
      </c>
      <c r="F664" t="s">
        <v>41</v>
      </c>
      <c r="G664" t="s">
        <v>32</v>
      </c>
      <c r="H664" t="s">
        <v>33</v>
      </c>
      <c r="I664" t="s">
        <v>57</v>
      </c>
      <c r="O664" s="5"/>
      <c r="P664" s="5"/>
      <c r="Z664" t="s">
        <v>39</v>
      </c>
    </row>
    <row r="665" spans="1:29" x14ac:dyDescent="0.25">
      <c r="A665" s="4">
        <v>42541</v>
      </c>
      <c r="B665" t="s">
        <v>30</v>
      </c>
      <c r="C665">
        <v>202</v>
      </c>
      <c r="D665">
        <v>2</v>
      </c>
      <c r="E665">
        <v>1</v>
      </c>
      <c r="F665" t="s">
        <v>41</v>
      </c>
      <c r="G665" t="s">
        <v>32</v>
      </c>
      <c r="H665" t="s">
        <v>33</v>
      </c>
      <c r="I665" t="s">
        <v>57</v>
      </c>
      <c r="O665" s="5"/>
      <c r="P665" s="5"/>
      <c r="Z665" t="s">
        <v>39</v>
      </c>
    </row>
    <row r="666" spans="1:29" x14ac:dyDescent="0.25">
      <c r="A666" s="4">
        <v>42541</v>
      </c>
      <c r="B666" t="s">
        <v>30</v>
      </c>
      <c r="C666">
        <v>202</v>
      </c>
      <c r="D666">
        <v>5</v>
      </c>
      <c r="E666">
        <v>1</v>
      </c>
      <c r="F666" t="s">
        <v>41</v>
      </c>
      <c r="G666" t="s">
        <v>32</v>
      </c>
      <c r="H666" t="s">
        <v>33</v>
      </c>
      <c r="I666" t="s">
        <v>34</v>
      </c>
      <c r="J666" t="s">
        <v>122</v>
      </c>
      <c r="O666" s="5"/>
      <c r="P666" s="5"/>
      <c r="Z666" t="s">
        <v>39</v>
      </c>
    </row>
    <row r="667" spans="1:29" x14ac:dyDescent="0.25">
      <c r="A667" s="4">
        <v>42541</v>
      </c>
      <c r="B667" t="s">
        <v>30</v>
      </c>
      <c r="C667">
        <v>202</v>
      </c>
      <c r="D667">
        <v>10</v>
      </c>
      <c r="E667">
        <v>1</v>
      </c>
      <c r="F667" t="s">
        <v>41</v>
      </c>
      <c r="G667" t="s">
        <v>32</v>
      </c>
      <c r="H667" t="s">
        <v>33</v>
      </c>
      <c r="I667" t="s">
        <v>73</v>
      </c>
      <c r="J667" t="s">
        <v>35</v>
      </c>
      <c r="K667" t="s">
        <v>36</v>
      </c>
      <c r="L667" t="s">
        <v>37</v>
      </c>
      <c r="M667">
        <v>0</v>
      </c>
      <c r="N667">
        <v>0</v>
      </c>
      <c r="O667" s="5"/>
      <c r="P667" s="5" t="s">
        <v>135</v>
      </c>
      <c r="Q667">
        <f>143-48</f>
        <v>95</v>
      </c>
      <c r="R667" t="s">
        <v>136</v>
      </c>
      <c r="S667" t="s">
        <v>97</v>
      </c>
      <c r="T667">
        <v>32</v>
      </c>
      <c r="Z667" t="s">
        <v>39</v>
      </c>
      <c r="AB667" t="s">
        <v>59</v>
      </c>
      <c r="AC667" t="s">
        <v>88</v>
      </c>
    </row>
    <row r="668" spans="1:29" x14ac:dyDescent="0.25">
      <c r="A668" s="4">
        <v>42541</v>
      </c>
      <c r="B668" t="s">
        <v>30</v>
      </c>
      <c r="C668">
        <v>111</v>
      </c>
      <c r="D668">
        <v>3</v>
      </c>
      <c r="E668">
        <v>1</v>
      </c>
      <c r="F668" t="s">
        <v>31</v>
      </c>
      <c r="G668" t="s">
        <v>32</v>
      </c>
      <c r="H668" t="s">
        <v>33</v>
      </c>
      <c r="I668" t="s">
        <v>34</v>
      </c>
      <c r="J668" t="s">
        <v>35</v>
      </c>
      <c r="K668" t="s">
        <v>36</v>
      </c>
      <c r="L668" t="s">
        <v>43</v>
      </c>
      <c r="M668">
        <v>0</v>
      </c>
      <c r="N668">
        <v>0</v>
      </c>
      <c r="O668" s="5">
        <v>50475</v>
      </c>
      <c r="P668" s="5">
        <v>50308</v>
      </c>
      <c r="Q668">
        <f>36-15.5</f>
        <v>20.5</v>
      </c>
      <c r="R668" t="s">
        <v>47</v>
      </c>
      <c r="S668" t="s">
        <v>39</v>
      </c>
      <c r="T668">
        <v>17</v>
      </c>
      <c r="U668">
        <v>85</v>
      </c>
      <c r="V668">
        <v>15</v>
      </c>
      <c r="W668">
        <v>13.4</v>
      </c>
      <c r="X668">
        <v>27.9</v>
      </c>
      <c r="Z668" t="s">
        <v>39</v>
      </c>
      <c r="AB668" t="s">
        <v>59</v>
      </c>
      <c r="AC668" t="s">
        <v>137</v>
      </c>
    </row>
    <row r="669" spans="1:29" x14ac:dyDescent="0.25">
      <c r="A669" s="4">
        <v>42541</v>
      </c>
      <c r="B669" t="s">
        <v>30</v>
      </c>
      <c r="C669">
        <v>111</v>
      </c>
      <c r="D669">
        <v>4</v>
      </c>
      <c r="E669">
        <v>1</v>
      </c>
      <c r="F669" t="s">
        <v>31</v>
      </c>
      <c r="G669" t="s">
        <v>32</v>
      </c>
      <c r="H669" t="s">
        <v>33</v>
      </c>
      <c r="I669" t="s">
        <v>57</v>
      </c>
      <c r="O669" s="5"/>
      <c r="P669" s="5"/>
      <c r="Z669" t="s">
        <v>39</v>
      </c>
    </row>
    <row r="670" spans="1:29" x14ac:dyDescent="0.25">
      <c r="A670" s="4">
        <v>42541</v>
      </c>
      <c r="B670" t="s">
        <v>30</v>
      </c>
      <c r="C670">
        <v>111</v>
      </c>
      <c r="D670">
        <v>4</v>
      </c>
      <c r="E670">
        <v>2</v>
      </c>
      <c r="F670" t="s">
        <v>31</v>
      </c>
      <c r="G670" t="s">
        <v>32</v>
      </c>
      <c r="H670" t="s">
        <v>33</v>
      </c>
      <c r="I670" t="s">
        <v>57</v>
      </c>
      <c r="O670" s="5"/>
      <c r="P670" s="5"/>
      <c r="Z670" t="s">
        <v>39</v>
      </c>
    </row>
    <row r="671" spans="1:29" x14ac:dyDescent="0.25">
      <c r="A671" s="4">
        <v>42541</v>
      </c>
      <c r="B671" t="s">
        <v>30</v>
      </c>
      <c r="C671">
        <v>111</v>
      </c>
      <c r="D671">
        <v>6</v>
      </c>
      <c r="E671">
        <v>1</v>
      </c>
      <c r="F671" t="s">
        <v>31</v>
      </c>
      <c r="G671" t="s">
        <v>32</v>
      </c>
      <c r="H671" t="s">
        <v>33</v>
      </c>
      <c r="I671" t="s">
        <v>34</v>
      </c>
      <c r="J671" t="s">
        <v>35</v>
      </c>
      <c r="K671" t="s">
        <v>36</v>
      </c>
      <c r="L671" t="s">
        <v>37</v>
      </c>
      <c r="M671">
        <v>0</v>
      </c>
      <c r="N671">
        <v>0</v>
      </c>
      <c r="O671" s="5">
        <v>50348</v>
      </c>
      <c r="P671" s="5">
        <v>50347</v>
      </c>
      <c r="Q671">
        <f>34.5-12.5</f>
        <v>22</v>
      </c>
      <c r="R671" t="s">
        <v>63</v>
      </c>
      <c r="S671" t="s">
        <v>39</v>
      </c>
      <c r="T671">
        <v>18</v>
      </c>
      <c r="U671">
        <v>88</v>
      </c>
      <c r="V671">
        <v>16</v>
      </c>
      <c r="Z671" t="s">
        <v>39</v>
      </c>
      <c r="AB671" t="s">
        <v>138</v>
      </c>
      <c r="AC671" t="s">
        <v>137</v>
      </c>
    </row>
    <row r="672" spans="1:29" x14ac:dyDescent="0.25">
      <c r="A672" s="4">
        <v>42541</v>
      </c>
      <c r="B672" t="s">
        <v>30</v>
      </c>
      <c r="C672">
        <v>111</v>
      </c>
      <c r="D672">
        <v>7</v>
      </c>
      <c r="E672">
        <v>1</v>
      </c>
      <c r="F672" t="s">
        <v>31</v>
      </c>
      <c r="G672" t="s">
        <v>32</v>
      </c>
      <c r="H672" t="s">
        <v>33</v>
      </c>
      <c r="I672" t="s">
        <v>57</v>
      </c>
      <c r="O672" s="5"/>
      <c r="P672" s="5"/>
      <c r="Z672" t="s">
        <v>39</v>
      </c>
    </row>
    <row r="673" spans="1:30" x14ac:dyDescent="0.25">
      <c r="A673" s="4">
        <v>42541</v>
      </c>
      <c r="B673" t="s">
        <v>30</v>
      </c>
      <c r="C673">
        <v>111</v>
      </c>
      <c r="D673">
        <v>8</v>
      </c>
      <c r="E673">
        <v>1</v>
      </c>
      <c r="F673" t="s">
        <v>31</v>
      </c>
      <c r="G673" t="s">
        <v>32</v>
      </c>
      <c r="H673" t="s">
        <v>33</v>
      </c>
      <c r="I673" t="s">
        <v>57</v>
      </c>
      <c r="O673" s="5"/>
      <c r="P673" s="5"/>
      <c r="Z673" t="s">
        <v>39</v>
      </c>
    </row>
    <row r="674" spans="1:30" x14ac:dyDescent="0.25">
      <c r="A674" s="4">
        <v>42541</v>
      </c>
      <c r="B674" t="s">
        <v>30</v>
      </c>
      <c r="C674">
        <v>111</v>
      </c>
      <c r="D674">
        <v>8</v>
      </c>
      <c r="E674">
        <v>2</v>
      </c>
      <c r="F674" t="s">
        <v>31</v>
      </c>
      <c r="G674" t="s">
        <v>32</v>
      </c>
      <c r="H674" t="s">
        <v>33</v>
      </c>
      <c r="I674" t="s">
        <v>57</v>
      </c>
      <c r="O674" s="5"/>
      <c r="P674" s="5"/>
      <c r="Z674" t="s">
        <v>39</v>
      </c>
    </row>
    <row r="675" spans="1:30" x14ac:dyDescent="0.25">
      <c r="A675" s="4">
        <v>42541</v>
      </c>
      <c r="B675" t="s">
        <v>30</v>
      </c>
      <c r="C675">
        <v>112</v>
      </c>
      <c r="D675">
        <v>2</v>
      </c>
      <c r="E675">
        <v>1</v>
      </c>
      <c r="F675" t="s">
        <v>31</v>
      </c>
      <c r="G675" t="s">
        <v>32</v>
      </c>
      <c r="H675" t="s">
        <v>33</v>
      </c>
      <c r="I675" t="s">
        <v>34</v>
      </c>
      <c r="J675" t="s">
        <v>35</v>
      </c>
      <c r="K675" t="s">
        <v>36</v>
      </c>
      <c r="L675" t="s">
        <v>37</v>
      </c>
      <c r="M675">
        <v>0</v>
      </c>
      <c r="N675">
        <v>0</v>
      </c>
      <c r="O675" s="5">
        <v>50350</v>
      </c>
      <c r="P675" s="5">
        <v>50349</v>
      </c>
      <c r="Q675">
        <f>42-14</f>
        <v>28</v>
      </c>
      <c r="R675" t="s">
        <v>120</v>
      </c>
      <c r="S675" t="s">
        <v>39</v>
      </c>
      <c r="T675">
        <v>19</v>
      </c>
      <c r="U675">
        <v>96</v>
      </c>
      <c r="V675">
        <v>17</v>
      </c>
      <c r="W675">
        <v>13</v>
      </c>
      <c r="X675">
        <v>29.7</v>
      </c>
      <c r="Z675" t="s">
        <v>39</v>
      </c>
      <c r="AB675" t="s">
        <v>139</v>
      </c>
      <c r="AC675" t="s">
        <v>137</v>
      </c>
    </row>
    <row r="676" spans="1:30" x14ac:dyDescent="0.25">
      <c r="A676" s="4">
        <v>42541</v>
      </c>
      <c r="B676" t="s">
        <v>30</v>
      </c>
      <c r="C676">
        <v>112</v>
      </c>
      <c r="D676">
        <v>3</v>
      </c>
      <c r="E676">
        <v>1</v>
      </c>
      <c r="F676" t="s">
        <v>31</v>
      </c>
      <c r="G676" t="s">
        <v>32</v>
      </c>
      <c r="H676" t="s">
        <v>33</v>
      </c>
      <c r="I676" t="s">
        <v>34</v>
      </c>
      <c r="J676" t="s">
        <v>42</v>
      </c>
      <c r="K676" t="s">
        <v>36</v>
      </c>
      <c r="L676" t="s">
        <v>43</v>
      </c>
      <c r="M676">
        <v>0</v>
      </c>
      <c r="N676">
        <v>1</v>
      </c>
      <c r="O676" s="5">
        <v>50597</v>
      </c>
      <c r="P676" s="5">
        <v>50596</v>
      </c>
      <c r="Q676">
        <f>35.5-12.5</f>
        <v>23</v>
      </c>
      <c r="R676" t="s">
        <v>47</v>
      </c>
      <c r="S676" t="s">
        <v>39</v>
      </c>
      <c r="T676">
        <v>19</v>
      </c>
      <c r="U676">
        <v>90</v>
      </c>
      <c r="V676">
        <v>17</v>
      </c>
      <c r="W676">
        <v>12.8</v>
      </c>
      <c r="X676">
        <v>29.3</v>
      </c>
      <c r="Z676" t="s">
        <v>39</v>
      </c>
      <c r="AB676" t="s">
        <v>139</v>
      </c>
      <c r="AC676" t="s">
        <v>137</v>
      </c>
    </row>
    <row r="677" spans="1:30" x14ac:dyDescent="0.25">
      <c r="A677" s="4">
        <v>42541</v>
      </c>
      <c r="B677" t="s">
        <v>30</v>
      </c>
      <c r="C677">
        <v>112</v>
      </c>
      <c r="D677">
        <v>4</v>
      </c>
      <c r="E677">
        <v>1</v>
      </c>
      <c r="F677" t="s">
        <v>31</v>
      </c>
      <c r="G677" t="s">
        <v>32</v>
      </c>
      <c r="H677" t="s">
        <v>33</v>
      </c>
      <c r="I677" t="s">
        <v>57</v>
      </c>
      <c r="O677" s="5"/>
      <c r="P677" s="5"/>
      <c r="Z677" t="s">
        <v>39</v>
      </c>
    </row>
    <row r="678" spans="1:30" x14ac:dyDescent="0.25">
      <c r="A678" s="4">
        <v>42541</v>
      </c>
      <c r="B678" t="s">
        <v>30</v>
      </c>
      <c r="C678">
        <v>112</v>
      </c>
      <c r="D678">
        <v>4</v>
      </c>
      <c r="E678">
        <v>2</v>
      </c>
      <c r="F678" t="s">
        <v>31</v>
      </c>
      <c r="G678" t="s">
        <v>32</v>
      </c>
      <c r="H678" t="s">
        <v>33</v>
      </c>
      <c r="I678" t="s">
        <v>34</v>
      </c>
      <c r="J678" t="s">
        <v>42</v>
      </c>
      <c r="K678" t="s">
        <v>114</v>
      </c>
      <c r="L678" t="s">
        <v>43</v>
      </c>
      <c r="M678">
        <v>0</v>
      </c>
      <c r="N678">
        <v>1</v>
      </c>
      <c r="O678" s="5">
        <v>50595</v>
      </c>
      <c r="P678" s="5">
        <v>50594</v>
      </c>
      <c r="Q678">
        <f>31-13</f>
        <v>18</v>
      </c>
      <c r="R678" t="s">
        <v>47</v>
      </c>
      <c r="S678" t="s">
        <v>39</v>
      </c>
      <c r="T678">
        <v>19.5</v>
      </c>
      <c r="U678">
        <v>86</v>
      </c>
      <c r="V678">
        <v>16</v>
      </c>
      <c r="W678">
        <v>12.8</v>
      </c>
      <c r="X678">
        <v>27.2</v>
      </c>
      <c r="Z678" t="s">
        <v>39</v>
      </c>
      <c r="AB678" t="s">
        <v>59</v>
      </c>
      <c r="AC678" t="s">
        <v>137</v>
      </c>
    </row>
    <row r="679" spans="1:30" x14ac:dyDescent="0.25">
      <c r="A679" s="4">
        <v>42541</v>
      </c>
      <c r="B679" t="s">
        <v>30</v>
      </c>
      <c r="C679">
        <v>112</v>
      </c>
      <c r="D679">
        <v>8</v>
      </c>
      <c r="E679">
        <v>1</v>
      </c>
      <c r="F679" t="s">
        <v>31</v>
      </c>
      <c r="G679" t="s">
        <v>32</v>
      </c>
      <c r="H679" t="s">
        <v>33</v>
      </c>
      <c r="I679" t="s">
        <v>73</v>
      </c>
      <c r="J679" t="s">
        <v>35</v>
      </c>
      <c r="K679" t="s">
        <v>36</v>
      </c>
      <c r="L679" t="s">
        <v>43</v>
      </c>
      <c r="M679">
        <v>0</v>
      </c>
      <c r="N679">
        <v>0</v>
      </c>
      <c r="O679" s="5" t="s">
        <v>140</v>
      </c>
      <c r="P679" s="5"/>
      <c r="Q679">
        <f>180-90</f>
        <v>90</v>
      </c>
      <c r="R679" t="s">
        <v>47</v>
      </c>
      <c r="S679" t="s">
        <v>39</v>
      </c>
      <c r="T679">
        <v>34</v>
      </c>
      <c r="W679">
        <v>21.1</v>
      </c>
      <c r="X679">
        <v>43.7</v>
      </c>
      <c r="Z679" t="s">
        <v>39</v>
      </c>
      <c r="AB679" t="s">
        <v>59</v>
      </c>
      <c r="AC679" t="s">
        <v>137</v>
      </c>
    </row>
    <row r="680" spans="1:30" x14ac:dyDescent="0.25">
      <c r="A680" s="4">
        <v>42541</v>
      </c>
      <c r="B680" t="s">
        <v>30</v>
      </c>
      <c r="C680">
        <v>112</v>
      </c>
      <c r="D680">
        <v>9</v>
      </c>
      <c r="E680">
        <v>1</v>
      </c>
      <c r="F680" t="s">
        <v>31</v>
      </c>
      <c r="G680" t="s">
        <v>32</v>
      </c>
      <c r="H680" t="s">
        <v>33</v>
      </c>
      <c r="I680" t="s">
        <v>57</v>
      </c>
      <c r="O680" s="5"/>
      <c r="P680" s="5"/>
      <c r="Z680" t="s">
        <v>39</v>
      </c>
    </row>
    <row r="681" spans="1:30" x14ac:dyDescent="0.25">
      <c r="A681" s="4">
        <v>42541</v>
      </c>
      <c r="B681" t="s">
        <v>30</v>
      </c>
      <c r="C681">
        <v>112</v>
      </c>
      <c r="D681">
        <v>10</v>
      </c>
      <c r="E681">
        <v>1</v>
      </c>
      <c r="F681" t="s">
        <v>31</v>
      </c>
      <c r="G681" t="s">
        <v>32</v>
      </c>
      <c r="H681" t="s">
        <v>33</v>
      </c>
      <c r="I681" t="s">
        <v>57</v>
      </c>
      <c r="O681" s="5"/>
      <c r="P681" s="5"/>
      <c r="Z681" t="s">
        <v>39</v>
      </c>
    </row>
    <row r="682" spans="1:30" x14ac:dyDescent="0.25">
      <c r="A682" s="4">
        <v>42541</v>
      </c>
      <c r="B682" t="s">
        <v>30</v>
      </c>
      <c r="C682">
        <v>112</v>
      </c>
      <c r="D682">
        <v>10</v>
      </c>
      <c r="E682">
        <v>2</v>
      </c>
      <c r="F682" t="s">
        <v>31</v>
      </c>
      <c r="G682" t="s">
        <v>32</v>
      </c>
      <c r="H682" t="s">
        <v>33</v>
      </c>
      <c r="I682" t="s">
        <v>34</v>
      </c>
      <c r="J682" t="s">
        <v>42</v>
      </c>
      <c r="K682" t="s">
        <v>36</v>
      </c>
      <c r="L682" t="s">
        <v>37</v>
      </c>
      <c r="M682">
        <v>0</v>
      </c>
      <c r="N682">
        <v>0</v>
      </c>
      <c r="O682" s="5">
        <v>50498</v>
      </c>
      <c r="P682" s="5">
        <v>50499</v>
      </c>
      <c r="Q682">
        <f>34.5-12.5</f>
        <v>22</v>
      </c>
      <c r="R682" t="s">
        <v>38</v>
      </c>
      <c r="S682" t="s">
        <v>39</v>
      </c>
      <c r="T682">
        <v>19</v>
      </c>
      <c r="U682">
        <v>87</v>
      </c>
      <c r="V682">
        <v>18</v>
      </c>
      <c r="W682">
        <v>12.6</v>
      </c>
      <c r="X682">
        <v>29.6</v>
      </c>
      <c r="Z682" t="s">
        <v>39</v>
      </c>
      <c r="AB682" t="s">
        <v>59</v>
      </c>
      <c r="AC682" t="s">
        <v>137</v>
      </c>
    </row>
    <row r="683" spans="1:30" x14ac:dyDescent="0.25">
      <c r="A683" s="4">
        <v>42541</v>
      </c>
      <c r="B683" t="s">
        <v>30</v>
      </c>
      <c r="C683">
        <v>113</v>
      </c>
      <c r="D683">
        <v>1</v>
      </c>
      <c r="E683">
        <v>1</v>
      </c>
      <c r="F683" t="s">
        <v>31</v>
      </c>
      <c r="G683" t="s">
        <v>32</v>
      </c>
      <c r="H683" t="s">
        <v>33</v>
      </c>
      <c r="I683" t="s">
        <v>34</v>
      </c>
      <c r="J683" t="s">
        <v>141</v>
      </c>
      <c r="O683" s="5"/>
      <c r="P683" s="5"/>
      <c r="Z683" t="s">
        <v>39</v>
      </c>
      <c r="AB683" t="s">
        <v>59</v>
      </c>
      <c r="AC683" t="s">
        <v>137</v>
      </c>
      <c r="AD683" t="s">
        <v>142</v>
      </c>
    </row>
    <row r="684" spans="1:30" x14ac:dyDescent="0.25">
      <c r="A684" s="4">
        <v>42541</v>
      </c>
      <c r="B684" t="s">
        <v>30</v>
      </c>
      <c r="C684">
        <v>113</v>
      </c>
      <c r="D684">
        <v>1</v>
      </c>
      <c r="E684">
        <v>2</v>
      </c>
      <c r="F684" t="s">
        <v>31</v>
      </c>
      <c r="G684" t="s">
        <v>32</v>
      </c>
      <c r="H684" t="s">
        <v>33</v>
      </c>
      <c r="I684" t="s">
        <v>57</v>
      </c>
      <c r="O684" s="5"/>
      <c r="P684" s="5"/>
      <c r="Z684" t="s">
        <v>39</v>
      </c>
    </row>
    <row r="685" spans="1:30" x14ac:dyDescent="0.25">
      <c r="A685" s="4">
        <v>42541</v>
      </c>
      <c r="B685" t="s">
        <v>30</v>
      </c>
      <c r="C685">
        <v>113</v>
      </c>
      <c r="D685">
        <v>3</v>
      </c>
      <c r="E685">
        <v>1</v>
      </c>
      <c r="F685" t="s">
        <v>31</v>
      </c>
      <c r="G685" t="s">
        <v>32</v>
      </c>
      <c r="H685" t="s">
        <v>33</v>
      </c>
      <c r="I685" t="s">
        <v>73</v>
      </c>
      <c r="J685" t="s">
        <v>42</v>
      </c>
      <c r="K685" t="s">
        <v>89</v>
      </c>
      <c r="L685" t="s">
        <v>37</v>
      </c>
      <c r="M685">
        <v>0</v>
      </c>
      <c r="N685">
        <v>1</v>
      </c>
      <c r="O685" s="5">
        <v>50599</v>
      </c>
      <c r="P685" s="5"/>
      <c r="Q685">
        <f>158-90</f>
        <v>68</v>
      </c>
      <c r="R685" t="s">
        <v>38</v>
      </c>
      <c r="S685" t="s">
        <v>39</v>
      </c>
      <c r="T685">
        <v>29</v>
      </c>
      <c r="W685">
        <v>20.5</v>
      </c>
      <c r="X685">
        <v>39.5</v>
      </c>
      <c r="Z685" t="s">
        <v>39</v>
      </c>
      <c r="AB685" t="s">
        <v>138</v>
      </c>
      <c r="AC685" t="s">
        <v>137</v>
      </c>
    </row>
    <row r="686" spans="1:30" x14ac:dyDescent="0.25">
      <c r="A686" s="4">
        <v>42541</v>
      </c>
      <c r="B686" t="s">
        <v>30</v>
      </c>
      <c r="C686">
        <v>113</v>
      </c>
      <c r="D686">
        <v>8</v>
      </c>
      <c r="E686">
        <v>1</v>
      </c>
      <c r="F686" t="s">
        <v>31</v>
      </c>
      <c r="G686" t="s">
        <v>32</v>
      </c>
      <c r="H686" t="s">
        <v>33</v>
      </c>
      <c r="I686" t="s">
        <v>73</v>
      </c>
      <c r="J686" t="s">
        <v>42</v>
      </c>
      <c r="K686" t="s">
        <v>114</v>
      </c>
      <c r="L686" t="s">
        <v>43</v>
      </c>
      <c r="M686">
        <v>0</v>
      </c>
      <c r="N686">
        <v>1</v>
      </c>
      <c r="O686" s="5">
        <v>50482</v>
      </c>
      <c r="P686" s="5"/>
      <c r="Q686">
        <f>175-90</f>
        <v>85</v>
      </c>
      <c r="R686" t="s">
        <v>47</v>
      </c>
      <c r="S686" t="s">
        <v>39</v>
      </c>
      <c r="T686">
        <v>34</v>
      </c>
      <c r="W686">
        <v>20.399999999999999</v>
      </c>
      <c r="X686">
        <v>41.1</v>
      </c>
      <c r="Z686" t="s">
        <v>39</v>
      </c>
      <c r="AB686" t="s">
        <v>138</v>
      </c>
      <c r="AC686" t="s">
        <v>137</v>
      </c>
    </row>
    <row r="687" spans="1:30" x14ac:dyDescent="0.25">
      <c r="A687" s="4">
        <v>42541</v>
      </c>
      <c r="B687" t="s">
        <v>30</v>
      </c>
      <c r="C687">
        <v>113</v>
      </c>
      <c r="D687">
        <v>8</v>
      </c>
      <c r="E687">
        <v>2</v>
      </c>
      <c r="F687" t="s">
        <v>31</v>
      </c>
      <c r="G687" t="s">
        <v>32</v>
      </c>
      <c r="H687" t="s">
        <v>33</v>
      </c>
      <c r="I687" t="s">
        <v>57</v>
      </c>
      <c r="O687" s="5"/>
      <c r="P687" s="5"/>
      <c r="Z687" t="s">
        <v>39</v>
      </c>
    </row>
    <row r="688" spans="1:30" x14ac:dyDescent="0.25">
      <c r="A688" s="4">
        <v>42541</v>
      </c>
      <c r="B688" t="s">
        <v>30</v>
      </c>
      <c r="C688">
        <v>113</v>
      </c>
      <c r="D688">
        <v>9</v>
      </c>
      <c r="E688">
        <v>1</v>
      </c>
      <c r="F688" t="s">
        <v>31</v>
      </c>
      <c r="G688" t="s">
        <v>32</v>
      </c>
      <c r="H688" t="s">
        <v>33</v>
      </c>
      <c r="I688" t="s">
        <v>34</v>
      </c>
      <c r="J688" t="s">
        <v>35</v>
      </c>
      <c r="K688" t="s">
        <v>114</v>
      </c>
      <c r="L688" t="s">
        <v>37</v>
      </c>
      <c r="M688">
        <v>0</v>
      </c>
      <c r="N688">
        <v>0</v>
      </c>
      <c r="O688" s="5">
        <v>50474</v>
      </c>
      <c r="P688" s="5">
        <v>50473</v>
      </c>
      <c r="Q688">
        <f>32.5-14</f>
        <v>18.5</v>
      </c>
      <c r="R688" t="s">
        <v>38</v>
      </c>
      <c r="S688" t="s">
        <v>39</v>
      </c>
      <c r="T688">
        <v>17</v>
      </c>
      <c r="U688">
        <v>79.5</v>
      </c>
      <c r="V688">
        <v>16.5</v>
      </c>
      <c r="W688">
        <v>12.2</v>
      </c>
      <c r="X688">
        <v>29.6</v>
      </c>
      <c r="Z688" t="s">
        <v>39</v>
      </c>
      <c r="AB688" t="s">
        <v>59</v>
      </c>
      <c r="AC688" t="s">
        <v>137</v>
      </c>
    </row>
    <row r="689" spans="1:29" x14ac:dyDescent="0.25">
      <c r="A689" s="4">
        <v>42541</v>
      </c>
      <c r="B689" t="s">
        <v>30</v>
      </c>
      <c r="C689">
        <v>402</v>
      </c>
      <c r="D689">
        <v>1</v>
      </c>
      <c r="E689">
        <v>1</v>
      </c>
      <c r="F689" t="s">
        <v>31</v>
      </c>
      <c r="G689" t="s">
        <v>32</v>
      </c>
      <c r="H689" t="s">
        <v>33</v>
      </c>
      <c r="I689" t="s">
        <v>57</v>
      </c>
      <c r="O689" s="5"/>
      <c r="P689" s="5"/>
      <c r="Z689" t="s">
        <v>39</v>
      </c>
    </row>
    <row r="690" spans="1:29" x14ac:dyDescent="0.25">
      <c r="A690" s="4">
        <v>42541</v>
      </c>
      <c r="B690" t="s">
        <v>30</v>
      </c>
      <c r="C690">
        <v>402</v>
      </c>
      <c r="D690">
        <v>1</v>
      </c>
      <c r="E690">
        <v>2</v>
      </c>
      <c r="F690" t="s">
        <v>31</v>
      </c>
      <c r="G690" t="s">
        <v>32</v>
      </c>
      <c r="H690" t="s">
        <v>33</v>
      </c>
      <c r="I690" t="s">
        <v>73</v>
      </c>
      <c r="J690" t="s">
        <v>42</v>
      </c>
      <c r="K690" t="s">
        <v>89</v>
      </c>
      <c r="L690" t="s">
        <v>37</v>
      </c>
      <c r="M690">
        <v>0</v>
      </c>
      <c r="N690">
        <v>1</v>
      </c>
      <c r="O690" s="5">
        <v>50478</v>
      </c>
      <c r="P690" s="5"/>
      <c r="Q690">
        <f>170-90</f>
        <v>80</v>
      </c>
      <c r="R690" t="s">
        <v>38</v>
      </c>
      <c r="S690" t="s">
        <v>39</v>
      </c>
      <c r="T690">
        <v>35</v>
      </c>
      <c r="W690">
        <v>21.5</v>
      </c>
      <c r="X690">
        <v>42.9</v>
      </c>
      <c r="Z690" t="s">
        <v>39</v>
      </c>
      <c r="AB690" t="s">
        <v>138</v>
      </c>
      <c r="AC690" t="s">
        <v>137</v>
      </c>
    </row>
    <row r="691" spans="1:29" x14ac:dyDescent="0.25">
      <c r="A691" s="4">
        <v>42542</v>
      </c>
      <c r="B691" t="s">
        <v>30</v>
      </c>
      <c r="C691">
        <v>201</v>
      </c>
      <c r="D691">
        <v>1</v>
      </c>
      <c r="E691">
        <v>1</v>
      </c>
      <c r="F691" t="s">
        <v>41</v>
      </c>
      <c r="G691" t="s">
        <v>32</v>
      </c>
      <c r="H691" t="s">
        <v>33</v>
      </c>
      <c r="I691" t="s">
        <v>34</v>
      </c>
      <c r="J691" t="s">
        <v>42</v>
      </c>
      <c r="K691" t="s">
        <v>36</v>
      </c>
      <c r="L691" t="s">
        <v>37</v>
      </c>
      <c r="M691">
        <v>0</v>
      </c>
      <c r="N691">
        <v>1</v>
      </c>
      <c r="O691" s="5">
        <v>50418</v>
      </c>
      <c r="P691" s="5">
        <v>50407</v>
      </c>
      <c r="Q691">
        <f>34-12.5</f>
        <v>21.5</v>
      </c>
      <c r="R691" t="s">
        <v>143</v>
      </c>
      <c r="S691" t="s">
        <v>97</v>
      </c>
      <c r="T691">
        <v>21</v>
      </c>
      <c r="U691">
        <v>84</v>
      </c>
      <c r="V691">
        <v>14</v>
      </c>
      <c r="W691">
        <v>12.4</v>
      </c>
      <c r="X691">
        <v>30.8</v>
      </c>
      <c r="Z691" t="s">
        <v>39</v>
      </c>
      <c r="AB691" t="s">
        <v>40</v>
      </c>
      <c r="AC691" t="s">
        <v>88</v>
      </c>
    </row>
    <row r="692" spans="1:29" x14ac:dyDescent="0.25">
      <c r="A692" s="4">
        <v>42542</v>
      </c>
      <c r="B692" t="s">
        <v>30</v>
      </c>
      <c r="C692">
        <v>201</v>
      </c>
      <c r="D692">
        <v>1</v>
      </c>
      <c r="E692">
        <v>2</v>
      </c>
      <c r="F692" t="s">
        <v>41</v>
      </c>
      <c r="G692" t="s">
        <v>32</v>
      </c>
      <c r="H692" t="s">
        <v>33</v>
      </c>
      <c r="I692" t="s">
        <v>34</v>
      </c>
      <c r="J692" t="s">
        <v>42</v>
      </c>
      <c r="K692" t="s">
        <v>114</v>
      </c>
      <c r="L692" t="s">
        <v>37</v>
      </c>
      <c r="M692">
        <v>0</v>
      </c>
      <c r="N692">
        <v>1</v>
      </c>
      <c r="O692" s="5">
        <v>50417</v>
      </c>
      <c r="P692" s="5">
        <v>50416</v>
      </c>
      <c r="Q692">
        <f>28.5-14</f>
        <v>14.5</v>
      </c>
      <c r="R692" t="s">
        <v>63</v>
      </c>
      <c r="S692" t="s">
        <v>39</v>
      </c>
      <c r="T692">
        <v>18</v>
      </c>
      <c r="U692">
        <v>74</v>
      </c>
      <c r="V692">
        <v>14</v>
      </c>
      <c r="W692">
        <v>11.8</v>
      </c>
      <c r="X692">
        <v>26.6</v>
      </c>
      <c r="Z692" t="s">
        <v>39</v>
      </c>
      <c r="AB692" t="s">
        <v>40</v>
      </c>
      <c r="AC692" t="s">
        <v>88</v>
      </c>
    </row>
    <row r="693" spans="1:29" x14ac:dyDescent="0.25">
      <c r="A693" s="4">
        <v>42542</v>
      </c>
      <c r="B693" t="s">
        <v>30</v>
      </c>
      <c r="C693">
        <v>201</v>
      </c>
      <c r="D693">
        <v>2</v>
      </c>
      <c r="E693">
        <v>1</v>
      </c>
      <c r="F693" t="s">
        <v>41</v>
      </c>
      <c r="G693" t="s">
        <v>32</v>
      </c>
      <c r="H693" t="s">
        <v>33</v>
      </c>
      <c r="I693" t="s">
        <v>34</v>
      </c>
      <c r="J693" t="s">
        <v>35</v>
      </c>
      <c r="K693" t="s">
        <v>36</v>
      </c>
      <c r="L693" t="s">
        <v>43</v>
      </c>
      <c r="M693">
        <v>0</v>
      </c>
      <c r="N693">
        <v>0</v>
      </c>
      <c r="O693" s="5">
        <v>50335</v>
      </c>
      <c r="P693" s="5">
        <v>50334</v>
      </c>
      <c r="Q693">
        <f>34.5-13</f>
        <v>21.5</v>
      </c>
      <c r="R693" t="s">
        <v>47</v>
      </c>
      <c r="T693">
        <v>20</v>
      </c>
      <c r="U693">
        <v>74</v>
      </c>
      <c r="V693">
        <v>14</v>
      </c>
      <c r="W693">
        <v>12.5</v>
      </c>
      <c r="X693">
        <v>28.6</v>
      </c>
      <c r="Z693" t="s">
        <v>39</v>
      </c>
      <c r="AB693" t="s">
        <v>40</v>
      </c>
      <c r="AC693" t="s">
        <v>88</v>
      </c>
    </row>
    <row r="694" spans="1:29" x14ac:dyDescent="0.25">
      <c r="A694" s="4">
        <v>42542</v>
      </c>
      <c r="B694" t="s">
        <v>30</v>
      </c>
      <c r="C694">
        <v>201</v>
      </c>
      <c r="D694">
        <v>3</v>
      </c>
      <c r="E694">
        <v>1</v>
      </c>
      <c r="F694" t="s">
        <v>41</v>
      </c>
      <c r="G694" t="s">
        <v>32</v>
      </c>
      <c r="H694" t="s">
        <v>33</v>
      </c>
      <c r="I694" t="s">
        <v>57</v>
      </c>
      <c r="O694" s="5"/>
      <c r="P694" s="5"/>
      <c r="Z694" t="s">
        <v>39</v>
      </c>
    </row>
    <row r="695" spans="1:29" x14ac:dyDescent="0.25">
      <c r="A695" s="4">
        <v>42542</v>
      </c>
      <c r="B695" t="s">
        <v>30</v>
      </c>
      <c r="C695">
        <v>201</v>
      </c>
      <c r="D695">
        <v>4</v>
      </c>
      <c r="E695">
        <v>1</v>
      </c>
      <c r="F695" t="s">
        <v>41</v>
      </c>
      <c r="G695" t="s">
        <v>32</v>
      </c>
      <c r="H695" t="s">
        <v>33</v>
      </c>
      <c r="I695" t="s">
        <v>57</v>
      </c>
      <c r="O695" s="5"/>
      <c r="P695" s="5"/>
      <c r="Z695" t="s">
        <v>39</v>
      </c>
    </row>
    <row r="696" spans="1:29" x14ac:dyDescent="0.25">
      <c r="A696" s="4">
        <v>42542</v>
      </c>
      <c r="B696" t="s">
        <v>30</v>
      </c>
      <c r="C696">
        <v>201</v>
      </c>
      <c r="D696">
        <v>5</v>
      </c>
      <c r="E696">
        <v>1</v>
      </c>
      <c r="F696" t="s">
        <v>41</v>
      </c>
      <c r="G696" t="s">
        <v>32</v>
      </c>
      <c r="H696" t="s">
        <v>33</v>
      </c>
      <c r="I696" t="s">
        <v>57</v>
      </c>
      <c r="O696" s="5"/>
      <c r="P696" s="5"/>
      <c r="Z696" t="s">
        <v>39</v>
      </c>
    </row>
    <row r="697" spans="1:29" x14ac:dyDescent="0.25">
      <c r="A697" s="4">
        <v>42542</v>
      </c>
      <c r="B697" t="s">
        <v>30</v>
      </c>
      <c r="C697">
        <v>201</v>
      </c>
      <c r="D697">
        <v>6</v>
      </c>
      <c r="E697">
        <v>1</v>
      </c>
      <c r="F697" t="s">
        <v>41</v>
      </c>
      <c r="G697" t="s">
        <v>32</v>
      </c>
      <c r="H697" t="s">
        <v>33</v>
      </c>
      <c r="I697" t="s">
        <v>57</v>
      </c>
      <c r="O697" s="5"/>
      <c r="P697" s="5"/>
      <c r="Z697" t="s">
        <v>39</v>
      </c>
    </row>
    <row r="698" spans="1:29" x14ac:dyDescent="0.25">
      <c r="A698" s="4">
        <v>42542</v>
      </c>
      <c r="B698" t="s">
        <v>30</v>
      </c>
      <c r="C698">
        <v>201</v>
      </c>
      <c r="D698">
        <v>7</v>
      </c>
      <c r="E698">
        <v>1</v>
      </c>
      <c r="F698" t="s">
        <v>41</v>
      </c>
      <c r="G698" t="s">
        <v>32</v>
      </c>
      <c r="H698" t="s">
        <v>33</v>
      </c>
      <c r="I698" t="s">
        <v>57</v>
      </c>
      <c r="O698" s="5"/>
      <c r="P698" s="5"/>
      <c r="Z698" t="s">
        <v>39</v>
      </c>
    </row>
    <row r="699" spans="1:29" x14ac:dyDescent="0.25">
      <c r="A699" s="4">
        <v>42542</v>
      </c>
      <c r="B699" t="s">
        <v>30</v>
      </c>
      <c r="C699">
        <v>201</v>
      </c>
      <c r="D699">
        <v>8</v>
      </c>
      <c r="E699">
        <v>1</v>
      </c>
      <c r="F699" t="s">
        <v>41</v>
      </c>
      <c r="G699" t="s">
        <v>32</v>
      </c>
      <c r="H699" t="s">
        <v>33</v>
      </c>
      <c r="I699" t="s">
        <v>34</v>
      </c>
      <c r="J699" t="s">
        <v>35</v>
      </c>
      <c r="K699" t="s">
        <v>36</v>
      </c>
      <c r="L699" t="s">
        <v>37</v>
      </c>
      <c r="M699">
        <v>0</v>
      </c>
      <c r="N699">
        <v>0</v>
      </c>
      <c r="O699" s="5">
        <v>50359</v>
      </c>
      <c r="P699" s="5">
        <v>50358</v>
      </c>
      <c r="Q699">
        <f>34-14.5</f>
        <v>19.5</v>
      </c>
      <c r="R699" t="s">
        <v>63</v>
      </c>
      <c r="S699" t="s">
        <v>39</v>
      </c>
      <c r="T699">
        <v>19</v>
      </c>
      <c r="U699">
        <v>82</v>
      </c>
      <c r="V699">
        <v>14</v>
      </c>
      <c r="W699">
        <v>12.9</v>
      </c>
      <c r="X699">
        <v>29.3</v>
      </c>
      <c r="Z699" t="s">
        <v>39</v>
      </c>
      <c r="AB699" t="s">
        <v>40</v>
      </c>
      <c r="AC699" t="s">
        <v>88</v>
      </c>
    </row>
    <row r="700" spans="1:29" x14ac:dyDescent="0.25">
      <c r="A700" s="4">
        <v>42542</v>
      </c>
      <c r="B700" t="s">
        <v>30</v>
      </c>
      <c r="C700">
        <v>201</v>
      </c>
      <c r="D700">
        <v>9</v>
      </c>
      <c r="E700">
        <v>1</v>
      </c>
      <c r="F700" t="s">
        <v>41</v>
      </c>
      <c r="G700" t="s">
        <v>32</v>
      </c>
      <c r="H700" t="s">
        <v>33</v>
      </c>
      <c r="I700" t="s">
        <v>34</v>
      </c>
      <c r="J700" t="s">
        <v>42</v>
      </c>
      <c r="K700" t="s">
        <v>89</v>
      </c>
      <c r="L700" t="s">
        <v>37</v>
      </c>
      <c r="M700">
        <v>0</v>
      </c>
      <c r="N700">
        <v>1</v>
      </c>
      <c r="O700" s="5">
        <v>50415</v>
      </c>
      <c r="P700" s="5">
        <v>50414</v>
      </c>
      <c r="Q700">
        <f>32-15</f>
        <v>17</v>
      </c>
      <c r="R700" t="s">
        <v>38</v>
      </c>
      <c r="S700" t="s">
        <v>39</v>
      </c>
      <c r="T700">
        <v>20</v>
      </c>
      <c r="U700">
        <v>88</v>
      </c>
      <c r="V700">
        <v>13</v>
      </c>
      <c r="W700">
        <v>12.5</v>
      </c>
      <c r="X700">
        <v>28.1</v>
      </c>
      <c r="Z700" t="s">
        <v>39</v>
      </c>
      <c r="AB700" t="s">
        <v>40</v>
      </c>
      <c r="AC700" t="s">
        <v>88</v>
      </c>
    </row>
    <row r="701" spans="1:29" x14ac:dyDescent="0.25">
      <c r="A701" s="4">
        <v>42542</v>
      </c>
      <c r="B701" t="s">
        <v>30</v>
      </c>
      <c r="C701">
        <v>203</v>
      </c>
      <c r="D701">
        <v>3</v>
      </c>
      <c r="E701">
        <v>1</v>
      </c>
      <c r="F701" t="s">
        <v>41</v>
      </c>
      <c r="G701" t="s">
        <v>32</v>
      </c>
      <c r="H701" t="s">
        <v>33</v>
      </c>
      <c r="I701" t="s">
        <v>84</v>
      </c>
      <c r="O701" s="5"/>
      <c r="P701" s="5"/>
      <c r="Z701" t="s">
        <v>39</v>
      </c>
    </row>
    <row r="702" spans="1:29" x14ac:dyDescent="0.25">
      <c r="A702" s="4">
        <v>42542</v>
      </c>
      <c r="B702" t="s">
        <v>30</v>
      </c>
      <c r="C702">
        <v>203</v>
      </c>
      <c r="D702">
        <v>4</v>
      </c>
      <c r="E702">
        <v>1</v>
      </c>
      <c r="F702" t="s">
        <v>41</v>
      </c>
      <c r="G702" t="s">
        <v>32</v>
      </c>
      <c r="H702" t="s">
        <v>33</v>
      </c>
      <c r="I702" t="s">
        <v>57</v>
      </c>
      <c r="O702" s="5"/>
      <c r="P702" s="5"/>
      <c r="Z702" t="s">
        <v>39</v>
      </c>
    </row>
    <row r="703" spans="1:29" x14ac:dyDescent="0.25">
      <c r="A703" s="4">
        <v>42542</v>
      </c>
      <c r="B703" t="s">
        <v>30</v>
      </c>
      <c r="C703">
        <v>203</v>
      </c>
      <c r="D703">
        <v>8</v>
      </c>
      <c r="E703">
        <v>1</v>
      </c>
      <c r="F703" t="s">
        <v>41</v>
      </c>
      <c r="G703" t="s">
        <v>32</v>
      </c>
      <c r="H703" t="s">
        <v>33</v>
      </c>
      <c r="I703" t="s">
        <v>57</v>
      </c>
      <c r="O703" s="5"/>
      <c r="P703" s="5"/>
      <c r="Z703" t="s">
        <v>39</v>
      </c>
    </row>
    <row r="704" spans="1:29" x14ac:dyDescent="0.25">
      <c r="A704" s="4">
        <v>42542</v>
      </c>
      <c r="B704" t="s">
        <v>30</v>
      </c>
      <c r="C704">
        <v>203</v>
      </c>
      <c r="D704">
        <v>9</v>
      </c>
      <c r="E704">
        <v>1</v>
      </c>
      <c r="F704" t="s">
        <v>41</v>
      </c>
      <c r="G704" t="s">
        <v>32</v>
      </c>
      <c r="H704" t="s">
        <v>33</v>
      </c>
      <c r="I704" t="s">
        <v>57</v>
      </c>
      <c r="O704" s="5"/>
      <c r="P704" s="5"/>
      <c r="Z704" t="s">
        <v>39</v>
      </c>
    </row>
    <row r="705" spans="1:30" x14ac:dyDescent="0.25">
      <c r="A705" s="4">
        <v>42542</v>
      </c>
      <c r="B705" t="s">
        <v>30</v>
      </c>
      <c r="C705">
        <v>203</v>
      </c>
      <c r="D705">
        <v>9</v>
      </c>
      <c r="E705">
        <v>2</v>
      </c>
      <c r="F705" t="s">
        <v>41</v>
      </c>
      <c r="G705" t="s">
        <v>32</v>
      </c>
      <c r="H705" t="s">
        <v>33</v>
      </c>
      <c r="I705" t="s">
        <v>57</v>
      </c>
      <c r="O705" s="5"/>
      <c r="P705" s="5"/>
      <c r="Z705" t="s">
        <v>39</v>
      </c>
    </row>
    <row r="706" spans="1:30" x14ac:dyDescent="0.25">
      <c r="A706" s="4">
        <v>42542</v>
      </c>
      <c r="B706" t="s">
        <v>30</v>
      </c>
      <c r="C706">
        <v>202</v>
      </c>
      <c r="D706">
        <v>1</v>
      </c>
      <c r="E706">
        <v>1</v>
      </c>
      <c r="F706" t="s">
        <v>41</v>
      </c>
      <c r="G706" t="s">
        <v>32</v>
      </c>
      <c r="H706" t="s">
        <v>33</v>
      </c>
      <c r="I706" t="s">
        <v>84</v>
      </c>
      <c r="O706" s="5"/>
      <c r="P706" s="5"/>
      <c r="Z706" t="s">
        <v>39</v>
      </c>
    </row>
    <row r="707" spans="1:30" x14ac:dyDescent="0.25">
      <c r="A707" s="4">
        <v>42542</v>
      </c>
      <c r="B707" t="s">
        <v>30</v>
      </c>
      <c r="C707">
        <v>202</v>
      </c>
      <c r="D707">
        <v>2</v>
      </c>
      <c r="E707">
        <v>1</v>
      </c>
      <c r="F707" t="s">
        <v>41</v>
      </c>
      <c r="G707" t="s">
        <v>32</v>
      </c>
      <c r="H707" t="s">
        <v>33</v>
      </c>
      <c r="I707" t="s">
        <v>57</v>
      </c>
      <c r="O707" s="5"/>
      <c r="P707" s="5"/>
      <c r="Z707" t="s">
        <v>39</v>
      </c>
    </row>
    <row r="708" spans="1:30" x14ac:dyDescent="0.25">
      <c r="A708" s="4">
        <v>42542</v>
      </c>
      <c r="B708" t="s">
        <v>30</v>
      </c>
      <c r="C708">
        <v>202</v>
      </c>
      <c r="D708">
        <v>5</v>
      </c>
      <c r="E708">
        <v>1</v>
      </c>
      <c r="F708" t="s">
        <v>41</v>
      </c>
      <c r="G708" t="s">
        <v>32</v>
      </c>
      <c r="H708" t="s">
        <v>33</v>
      </c>
      <c r="I708" t="s">
        <v>57</v>
      </c>
      <c r="O708" s="5"/>
      <c r="P708" s="5"/>
      <c r="Z708" t="s">
        <v>39</v>
      </c>
    </row>
    <row r="709" spans="1:30" x14ac:dyDescent="0.25">
      <c r="A709" s="4">
        <v>42542</v>
      </c>
      <c r="B709" t="s">
        <v>30</v>
      </c>
      <c r="C709">
        <v>202</v>
      </c>
      <c r="D709">
        <v>5</v>
      </c>
      <c r="E709">
        <v>2</v>
      </c>
      <c r="F709" t="s">
        <v>41</v>
      </c>
      <c r="G709" t="s">
        <v>32</v>
      </c>
      <c r="H709" t="s">
        <v>33</v>
      </c>
      <c r="I709" t="s">
        <v>53</v>
      </c>
      <c r="J709" t="s">
        <v>123</v>
      </c>
      <c r="O709" s="5"/>
      <c r="P709" s="5"/>
      <c r="Z709" t="s">
        <v>39</v>
      </c>
    </row>
    <row r="710" spans="1:30" x14ac:dyDescent="0.25">
      <c r="A710" s="4">
        <v>42542</v>
      </c>
      <c r="B710" t="s">
        <v>30</v>
      </c>
      <c r="C710">
        <v>202</v>
      </c>
      <c r="D710">
        <v>10</v>
      </c>
      <c r="E710">
        <v>1</v>
      </c>
      <c r="F710" t="s">
        <v>41</v>
      </c>
      <c r="G710" t="s">
        <v>32</v>
      </c>
      <c r="H710" t="s">
        <v>33</v>
      </c>
      <c r="I710" t="s">
        <v>84</v>
      </c>
      <c r="O710" s="5"/>
      <c r="P710" s="5"/>
      <c r="Z710" t="s">
        <v>39</v>
      </c>
    </row>
    <row r="711" spans="1:30" x14ac:dyDescent="0.25">
      <c r="A711" s="4">
        <v>42542</v>
      </c>
      <c r="B711" t="s">
        <v>30</v>
      </c>
      <c r="C711">
        <v>301</v>
      </c>
      <c r="D711">
        <v>2</v>
      </c>
      <c r="E711">
        <v>1</v>
      </c>
      <c r="F711" t="s">
        <v>41</v>
      </c>
      <c r="G711" t="s">
        <v>32</v>
      </c>
      <c r="H711" t="s">
        <v>33</v>
      </c>
      <c r="I711" t="s">
        <v>57</v>
      </c>
      <c r="O711" s="5"/>
      <c r="P711" s="5"/>
      <c r="Z711" t="s">
        <v>39</v>
      </c>
    </row>
    <row r="712" spans="1:30" x14ac:dyDescent="0.25">
      <c r="A712" s="4">
        <v>42542</v>
      </c>
      <c r="B712" t="s">
        <v>30</v>
      </c>
      <c r="C712">
        <v>301</v>
      </c>
      <c r="D712">
        <v>5</v>
      </c>
      <c r="E712">
        <v>1</v>
      </c>
      <c r="F712" t="s">
        <v>41</v>
      </c>
      <c r="G712" t="s">
        <v>32</v>
      </c>
      <c r="H712" t="s">
        <v>33</v>
      </c>
      <c r="I712" t="s">
        <v>34</v>
      </c>
      <c r="J712" t="s">
        <v>35</v>
      </c>
      <c r="K712" t="s">
        <v>89</v>
      </c>
      <c r="L712" t="s">
        <v>43</v>
      </c>
      <c r="M712">
        <v>0</v>
      </c>
      <c r="N712">
        <v>0</v>
      </c>
      <c r="O712" s="5">
        <v>50352</v>
      </c>
      <c r="P712" s="5">
        <v>50367</v>
      </c>
      <c r="Q712">
        <f>30-16</f>
        <v>14</v>
      </c>
      <c r="R712" t="s">
        <v>65</v>
      </c>
      <c r="T712">
        <v>19</v>
      </c>
      <c r="U712">
        <v>74</v>
      </c>
      <c r="V712">
        <v>14</v>
      </c>
      <c r="W712">
        <v>12.2</v>
      </c>
      <c r="X712">
        <v>27.4</v>
      </c>
      <c r="Z712" t="s">
        <v>39</v>
      </c>
      <c r="AB712" t="s">
        <v>40</v>
      </c>
      <c r="AC712" t="s">
        <v>88</v>
      </c>
    </row>
    <row r="713" spans="1:30" x14ac:dyDescent="0.25">
      <c r="A713" s="4">
        <v>42542</v>
      </c>
      <c r="B713" t="s">
        <v>30</v>
      </c>
      <c r="C713">
        <v>301</v>
      </c>
      <c r="D713">
        <v>6</v>
      </c>
      <c r="E713">
        <v>1</v>
      </c>
      <c r="F713" t="s">
        <v>41</v>
      </c>
      <c r="G713" t="s">
        <v>32</v>
      </c>
      <c r="H713" t="s">
        <v>33</v>
      </c>
      <c r="I713" t="s">
        <v>57</v>
      </c>
      <c r="O713" s="5"/>
      <c r="P713" s="5"/>
      <c r="Z713" t="s">
        <v>39</v>
      </c>
    </row>
    <row r="714" spans="1:30" x14ac:dyDescent="0.25">
      <c r="A714" s="4">
        <v>42542</v>
      </c>
      <c r="B714" t="s">
        <v>30</v>
      </c>
      <c r="C714">
        <v>301</v>
      </c>
      <c r="D714">
        <v>7</v>
      </c>
      <c r="E714">
        <v>1</v>
      </c>
      <c r="F714" t="s">
        <v>41</v>
      </c>
      <c r="G714" t="s">
        <v>32</v>
      </c>
      <c r="H714" t="s">
        <v>33</v>
      </c>
      <c r="I714" t="s">
        <v>57</v>
      </c>
      <c r="O714" s="5"/>
      <c r="P714" s="5"/>
      <c r="Z714" t="s">
        <v>39</v>
      </c>
    </row>
    <row r="715" spans="1:30" x14ac:dyDescent="0.25">
      <c r="A715" s="4">
        <v>42542</v>
      </c>
      <c r="B715" t="s">
        <v>30</v>
      </c>
      <c r="C715">
        <v>111</v>
      </c>
      <c r="D715">
        <v>8</v>
      </c>
      <c r="E715">
        <v>1</v>
      </c>
      <c r="F715" t="s">
        <v>31</v>
      </c>
      <c r="G715" t="s">
        <v>32</v>
      </c>
      <c r="H715" t="s">
        <v>33</v>
      </c>
      <c r="I715" t="s">
        <v>34</v>
      </c>
      <c r="J715" t="s">
        <v>35</v>
      </c>
      <c r="K715" t="s">
        <v>36</v>
      </c>
      <c r="L715" t="s">
        <v>37</v>
      </c>
      <c r="M715">
        <v>0</v>
      </c>
      <c r="N715">
        <v>0</v>
      </c>
      <c r="O715" s="5">
        <v>50348</v>
      </c>
      <c r="P715" s="5">
        <v>50347</v>
      </c>
      <c r="Q715">
        <f>32.5-13.5</f>
        <v>19</v>
      </c>
      <c r="R715" t="s">
        <v>74</v>
      </c>
      <c r="S715" t="s">
        <v>97</v>
      </c>
      <c r="T715">
        <v>18.5</v>
      </c>
      <c r="U715">
        <v>87</v>
      </c>
      <c r="V715">
        <v>17</v>
      </c>
      <c r="W715">
        <v>11.8</v>
      </c>
      <c r="X715">
        <v>25.6</v>
      </c>
      <c r="Z715" t="s">
        <v>39</v>
      </c>
      <c r="AB715" t="s">
        <v>40</v>
      </c>
      <c r="AC715" t="s">
        <v>88</v>
      </c>
    </row>
    <row r="716" spans="1:30" x14ac:dyDescent="0.25">
      <c r="A716" s="4">
        <v>42542</v>
      </c>
      <c r="B716" t="s">
        <v>30</v>
      </c>
      <c r="C716">
        <v>111</v>
      </c>
      <c r="D716">
        <v>8</v>
      </c>
      <c r="E716">
        <v>2</v>
      </c>
      <c r="F716" t="s">
        <v>31</v>
      </c>
      <c r="G716" t="s">
        <v>32</v>
      </c>
      <c r="H716" t="s">
        <v>33</v>
      </c>
      <c r="I716" t="s">
        <v>53</v>
      </c>
      <c r="O716" s="5"/>
      <c r="P716" s="5"/>
      <c r="Z716" t="s">
        <v>39</v>
      </c>
    </row>
    <row r="717" spans="1:30" x14ac:dyDescent="0.25">
      <c r="A717" s="4">
        <v>42542</v>
      </c>
      <c r="B717" t="s">
        <v>30</v>
      </c>
      <c r="C717">
        <v>112</v>
      </c>
      <c r="D717">
        <v>2</v>
      </c>
      <c r="E717">
        <v>1</v>
      </c>
      <c r="F717" t="s">
        <v>31</v>
      </c>
      <c r="G717" t="s">
        <v>32</v>
      </c>
      <c r="H717" t="s">
        <v>33</v>
      </c>
      <c r="I717" t="s">
        <v>34</v>
      </c>
      <c r="J717" t="s">
        <v>35</v>
      </c>
      <c r="K717" t="s">
        <v>36</v>
      </c>
      <c r="L717" t="s">
        <v>37</v>
      </c>
      <c r="M717">
        <v>0</v>
      </c>
      <c r="N717">
        <v>0</v>
      </c>
      <c r="O717" s="5">
        <v>50350</v>
      </c>
      <c r="P717" s="5">
        <v>50349</v>
      </c>
      <c r="Q717">
        <f>40-13</f>
        <v>27</v>
      </c>
      <c r="R717" t="s">
        <v>81</v>
      </c>
      <c r="S717" t="s">
        <v>39</v>
      </c>
      <c r="T717">
        <v>18</v>
      </c>
      <c r="U717">
        <v>96</v>
      </c>
      <c r="V717">
        <v>16</v>
      </c>
      <c r="W717">
        <v>13.1</v>
      </c>
      <c r="X717">
        <v>28.8</v>
      </c>
      <c r="Z717" t="s">
        <v>39</v>
      </c>
      <c r="AB717" t="s">
        <v>40</v>
      </c>
      <c r="AC717" t="s">
        <v>88</v>
      </c>
      <c r="AD717" t="s">
        <v>144</v>
      </c>
    </row>
    <row r="718" spans="1:30" x14ac:dyDescent="0.25">
      <c r="A718" s="4">
        <v>42542</v>
      </c>
      <c r="B718" t="s">
        <v>30</v>
      </c>
      <c r="C718">
        <v>112</v>
      </c>
      <c r="D718">
        <v>4</v>
      </c>
      <c r="E718">
        <v>1</v>
      </c>
      <c r="F718" t="s">
        <v>31</v>
      </c>
      <c r="G718" t="s">
        <v>32</v>
      </c>
      <c r="H718" t="s">
        <v>33</v>
      </c>
      <c r="I718" t="s">
        <v>34</v>
      </c>
      <c r="J718" t="s">
        <v>42</v>
      </c>
      <c r="K718" t="s">
        <v>114</v>
      </c>
      <c r="L718" t="s">
        <v>43</v>
      </c>
      <c r="M718">
        <v>0</v>
      </c>
      <c r="N718">
        <v>1</v>
      </c>
      <c r="O718" s="5">
        <v>50497</v>
      </c>
      <c r="P718" s="5">
        <v>50496</v>
      </c>
      <c r="Q718">
        <f>31-14</f>
        <v>17</v>
      </c>
      <c r="R718" t="s">
        <v>47</v>
      </c>
      <c r="S718" t="s">
        <v>39</v>
      </c>
      <c r="T718">
        <v>18</v>
      </c>
      <c r="U718">
        <v>76.5</v>
      </c>
      <c r="V718">
        <v>16</v>
      </c>
      <c r="W718">
        <v>12</v>
      </c>
      <c r="X718">
        <v>29.2</v>
      </c>
      <c r="Z718" t="s">
        <v>39</v>
      </c>
      <c r="AB718" t="s">
        <v>40</v>
      </c>
      <c r="AC718" t="s">
        <v>88</v>
      </c>
      <c r="AD718" t="s">
        <v>144</v>
      </c>
    </row>
    <row r="719" spans="1:30" x14ac:dyDescent="0.25">
      <c r="A719" s="4">
        <v>42542</v>
      </c>
      <c r="B719" t="s">
        <v>30</v>
      </c>
      <c r="C719">
        <v>112</v>
      </c>
      <c r="D719">
        <v>4</v>
      </c>
      <c r="E719">
        <v>2</v>
      </c>
      <c r="F719" t="s">
        <v>31</v>
      </c>
      <c r="G719" t="s">
        <v>32</v>
      </c>
      <c r="H719" t="s">
        <v>33</v>
      </c>
      <c r="I719" t="s">
        <v>91</v>
      </c>
      <c r="J719" t="s">
        <v>42</v>
      </c>
      <c r="K719" t="s">
        <v>36</v>
      </c>
      <c r="L719" t="s">
        <v>43</v>
      </c>
      <c r="M719">
        <v>0</v>
      </c>
      <c r="N719">
        <v>1</v>
      </c>
      <c r="O719" s="5">
        <v>50495</v>
      </c>
      <c r="P719" s="5"/>
      <c r="Q719">
        <f>38-17.5</f>
        <v>20.5</v>
      </c>
      <c r="R719" t="s">
        <v>47</v>
      </c>
      <c r="S719" t="s">
        <v>39</v>
      </c>
      <c r="T719">
        <v>28</v>
      </c>
      <c r="W719">
        <v>12.3</v>
      </c>
      <c r="X719">
        <v>27.8</v>
      </c>
      <c r="Z719" t="s">
        <v>39</v>
      </c>
      <c r="AB719" t="s">
        <v>40</v>
      </c>
      <c r="AC719" t="s">
        <v>88</v>
      </c>
      <c r="AD719" t="s">
        <v>145</v>
      </c>
    </row>
    <row r="720" spans="1:30" x14ac:dyDescent="0.25">
      <c r="A720" s="4">
        <v>42542</v>
      </c>
      <c r="B720" t="s">
        <v>30</v>
      </c>
      <c r="C720">
        <v>112</v>
      </c>
      <c r="D720">
        <v>6</v>
      </c>
      <c r="E720">
        <v>1</v>
      </c>
      <c r="F720" t="s">
        <v>31</v>
      </c>
      <c r="G720" t="s">
        <v>32</v>
      </c>
      <c r="H720" t="s">
        <v>33</v>
      </c>
      <c r="I720" t="s">
        <v>57</v>
      </c>
      <c r="O720" s="5"/>
      <c r="P720" s="5"/>
      <c r="Z720" t="s">
        <v>39</v>
      </c>
    </row>
    <row r="721" spans="1:30" x14ac:dyDescent="0.25">
      <c r="A721" s="4">
        <v>42542</v>
      </c>
      <c r="B721" t="s">
        <v>30</v>
      </c>
      <c r="C721">
        <v>112</v>
      </c>
      <c r="D721">
        <v>7</v>
      </c>
      <c r="E721">
        <v>1</v>
      </c>
      <c r="F721" t="s">
        <v>31</v>
      </c>
      <c r="G721" t="s">
        <v>32</v>
      </c>
      <c r="H721" t="s">
        <v>33</v>
      </c>
      <c r="I721" t="s">
        <v>34</v>
      </c>
      <c r="J721" t="s">
        <v>51</v>
      </c>
      <c r="K721" t="s">
        <v>114</v>
      </c>
      <c r="L721" t="s">
        <v>43</v>
      </c>
      <c r="M721">
        <v>0</v>
      </c>
      <c r="N721">
        <v>0</v>
      </c>
      <c r="O721" s="5">
        <v>50595</v>
      </c>
      <c r="P721" s="5">
        <v>50594</v>
      </c>
      <c r="Q721">
        <f>32.5-13.5</f>
        <v>19</v>
      </c>
      <c r="R721" t="s">
        <v>47</v>
      </c>
      <c r="S721" t="s">
        <v>39</v>
      </c>
      <c r="T721">
        <v>20</v>
      </c>
      <c r="U721">
        <v>85</v>
      </c>
      <c r="V721">
        <v>17</v>
      </c>
      <c r="W721">
        <v>12.7</v>
      </c>
      <c r="X721">
        <v>25.5</v>
      </c>
      <c r="Z721" t="s">
        <v>39</v>
      </c>
      <c r="AB721" t="s">
        <v>40</v>
      </c>
      <c r="AC721" t="s">
        <v>88</v>
      </c>
      <c r="AD721" t="s">
        <v>146</v>
      </c>
    </row>
    <row r="722" spans="1:30" x14ac:dyDescent="0.25">
      <c r="A722" s="4">
        <v>42542</v>
      </c>
      <c r="B722" t="s">
        <v>30</v>
      </c>
      <c r="C722">
        <v>112</v>
      </c>
      <c r="D722">
        <v>7</v>
      </c>
      <c r="E722">
        <v>2</v>
      </c>
      <c r="F722" t="s">
        <v>31</v>
      </c>
      <c r="G722" t="s">
        <v>32</v>
      </c>
      <c r="H722" t="s">
        <v>33</v>
      </c>
      <c r="I722" t="s">
        <v>91</v>
      </c>
      <c r="J722" t="s">
        <v>122</v>
      </c>
      <c r="O722" s="5"/>
      <c r="P722" s="5"/>
      <c r="Z722" t="s">
        <v>39</v>
      </c>
    </row>
    <row r="723" spans="1:30" x14ac:dyDescent="0.25">
      <c r="A723" s="4">
        <v>42542</v>
      </c>
      <c r="B723" t="s">
        <v>30</v>
      </c>
      <c r="C723">
        <v>112</v>
      </c>
      <c r="D723">
        <v>8</v>
      </c>
      <c r="E723">
        <v>1</v>
      </c>
      <c r="F723" t="s">
        <v>31</v>
      </c>
      <c r="G723" t="s">
        <v>32</v>
      </c>
      <c r="H723" t="s">
        <v>33</v>
      </c>
      <c r="I723" t="s">
        <v>57</v>
      </c>
      <c r="O723" s="5"/>
      <c r="P723" s="5"/>
      <c r="Z723" t="s">
        <v>39</v>
      </c>
    </row>
    <row r="724" spans="1:30" x14ac:dyDescent="0.25">
      <c r="A724" s="4">
        <v>42542</v>
      </c>
      <c r="B724" t="s">
        <v>30</v>
      </c>
      <c r="C724">
        <v>112</v>
      </c>
      <c r="D724">
        <v>8</v>
      </c>
      <c r="E724">
        <v>2</v>
      </c>
      <c r="F724" t="s">
        <v>31</v>
      </c>
      <c r="G724" t="s">
        <v>32</v>
      </c>
      <c r="H724" t="s">
        <v>33</v>
      </c>
      <c r="I724" t="s">
        <v>73</v>
      </c>
      <c r="J724" t="s">
        <v>35</v>
      </c>
      <c r="K724" t="s">
        <v>36</v>
      </c>
      <c r="L724" t="s">
        <v>43</v>
      </c>
      <c r="M724">
        <v>0</v>
      </c>
      <c r="N724">
        <v>0</v>
      </c>
      <c r="O724" s="5" t="s">
        <v>140</v>
      </c>
      <c r="P724" s="5"/>
      <c r="Q724">
        <f>185-90</f>
        <v>95</v>
      </c>
      <c r="R724" t="s">
        <v>47</v>
      </c>
      <c r="S724" t="s">
        <v>39</v>
      </c>
      <c r="Z724" t="s">
        <v>39</v>
      </c>
      <c r="AB724" t="s">
        <v>40</v>
      </c>
      <c r="AC724" t="s">
        <v>88</v>
      </c>
      <c r="AD724" t="s">
        <v>147</v>
      </c>
    </row>
    <row r="725" spans="1:30" x14ac:dyDescent="0.25">
      <c r="A725" s="4">
        <v>42542</v>
      </c>
      <c r="B725" t="s">
        <v>30</v>
      </c>
      <c r="C725">
        <v>112</v>
      </c>
      <c r="D725">
        <v>9</v>
      </c>
      <c r="E725">
        <v>1</v>
      </c>
      <c r="F725" t="s">
        <v>31</v>
      </c>
      <c r="G725" t="s">
        <v>32</v>
      </c>
      <c r="H725" t="s">
        <v>33</v>
      </c>
      <c r="I725" t="s">
        <v>57</v>
      </c>
      <c r="O725" s="5"/>
      <c r="P725" s="5"/>
      <c r="Z725" t="s">
        <v>39</v>
      </c>
    </row>
    <row r="726" spans="1:30" x14ac:dyDescent="0.25">
      <c r="A726" s="4">
        <v>42542</v>
      </c>
      <c r="B726" t="s">
        <v>30</v>
      </c>
      <c r="C726">
        <v>112</v>
      </c>
      <c r="D726">
        <v>9</v>
      </c>
      <c r="E726">
        <v>2</v>
      </c>
      <c r="F726" t="s">
        <v>31</v>
      </c>
      <c r="G726" t="s">
        <v>32</v>
      </c>
      <c r="H726" t="s">
        <v>33</v>
      </c>
      <c r="I726" t="s">
        <v>91</v>
      </c>
      <c r="J726" t="s">
        <v>42</v>
      </c>
      <c r="K726" t="s">
        <v>36</v>
      </c>
      <c r="L726" t="s">
        <v>37</v>
      </c>
      <c r="M726">
        <v>0</v>
      </c>
      <c r="N726">
        <v>1</v>
      </c>
      <c r="O726" s="5">
        <v>50494</v>
      </c>
      <c r="P726" s="5"/>
      <c r="Q726">
        <f>37.5-11.5</f>
        <v>26</v>
      </c>
      <c r="R726" t="s">
        <v>74</v>
      </c>
      <c r="S726" t="s">
        <v>97</v>
      </c>
      <c r="T726">
        <v>29</v>
      </c>
      <c r="W726">
        <v>13.1</v>
      </c>
      <c r="X726">
        <v>28</v>
      </c>
      <c r="Z726" t="s">
        <v>39</v>
      </c>
      <c r="AB726" t="s">
        <v>40</v>
      </c>
      <c r="AC726" t="s">
        <v>88</v>
      </c>
    </row>
    <row r="727" spans="1:30" x14ac:dyDescent="0.25">
      <c r="A727" s="4">
        <v>42542</v>
      </c>
      <c r="B727" t="s">
        <v>30</v>
      </c>
      <c r="C727">
        <v>112</v>
      </c>
      <c r="D727">
        <v>10</v>
      </c>
      <c r="E727">
        <v>1</v>
      </c>
      <c r="F727" t="s">
        <v>31</v>
      </c>
      <c r="G727" t="s">
        <v>32</v>
      </c>
      <c r="H727" t="s">
        <v>33</v>
      </c>
      <c r="I727" t="s">
        <v>34</v>
      </c>
      <c r="J727" t="s">
        <v>35</v>
      </c>
      <c r="K727" t="s">
        <v>36</v>
      </c>
      <c r="L727" t="s">
        <v>37</v>
      </c>
      <c r="M727">
        <v>0</v>
      </c>
      <c r="N727">
        <v>0</v>
      </c>
      <c r="O727" s="5">
        <v>50498</v>
      </c>
      <c r="P727" s="5">
        <v>50499</v>
      </c>
      <c r="Q727">
        <f>36-13.5</f>
        <v>22.5</v>
      </c>
      <c r="R727" t="s">
        <v>63</v>
      </c>
      <c r="S727" t="s">
        <v>39</v>
      </c>
      <c r="T727">
        <v>17</v>
      </c>
      <c r="U727">
        <v>87</v>
      </c>
      <c r="V727">
        <v>18</v>
      </c>
      <c r="W727">
        <v>13.2</v>
      </c>
      <c r="X727">
        <v>30.5</v>
      </c>
      <c r="Z727" t="s">
        <v>39</v>
      </c>
      <c r="AB727" t="s">
        <v>40</v>
      </c>
      <c r="AC727" t="s">
        <v>88</v>
      </c>
    </row>
    <row r="728" spans="1:30" x14ac:dyDescent="0.25">
      <c r="A728" s="4">
        <v>42542</v>
      </c>
      <c r="B728" t="s">
        <v>30</v>
      </c>
      <c r="C728">
        <v>113</v>
      </c>
      <c r="D728">
        <v>1</v>
      </c>
      <c r="E728">
        <v>1</v>
      </c>
      <c r="F728" t="s">
        <v>31</v>
      </c>
      <c r="G728" t="s">
        <v>32</v>
      </c>
      <c r="H728" t="s">
        <v>33</v>
      </c>
      <c r="I728" t="s">
        <v>57</v>
      </c>
      <c r="O728" s="5"/>
      <c r="P728" s="5"/>
      <c r="Z728" t="s">
        <v>39</v>
      </c>
    </row>
    <row r="729" spans="1:30" x14ac:dyDescent="0.25">
      <c r="A729" s="4">
        <v>42542</v>
      </c>
      <c r="B729" t="s">
        <v>30</v>
      </c>
      <c r="C729">
        <v>113</v>
      </c>
      <c r="D729">
        <v>3</v>
      </c>
      <c r="E729">
        <v>1</v>
      </c>
      <c r="F729" t="s">
        <v>31</v>
      </c>
      <c r="G729" t="s">
        <v>32</v>
      </c>
      <c r="H729" t="s">
        <v>33</v>
      </c>
      <c r="I729" t="s">
        <v>79</v>
      </c>
      <c r="O729" s="5"/>
      <c r="P729" s="5"/>
      <c r="Z729" t="s">
        <v>39</v>
      </c>
    </row>
    <row r="730" spans="1:30" x14ac:dyDescent="0.25">
      <c r="A730" s="4">
        <v>42542</v>
      </c>
      <c r="B730" t="s">
        <v>30</v>
      </c>
      <c r="C730">
        <v>113</v>
      </c>
      <c r="D730">
        <v>4</v>
      </c>
      <c r="E730">
        <v>1</v>
      </c>
      <c r="F730" t="s">
        <v>31</v>
      </c>
      <c r="G730" t="s">
        <v>32</v>
      </c>
      <c r="H730" t="s">
        <v>33</v>
      </c>
      <c r="I730" t="s">
        <v>73</v>
      </c>
      <c r="J730" t="s">
        <v>42</v>
      </c>
      <c r="K730" t="s">
        <v>89</v>
      </c>
      <c r="L730" t="s">
        <v>37</v>
      </c>
      <c r="M730">
        <v>0</v>
      </c>
      <c r="N730">
        <v>1</v>
      </c>
      <c r="O730" s="5">
        <v>50493</v>
      </c>
      <c r="P730" s="5"/>
      <c r="Q730">
        <f>168-90</f>
        <v>78</v>
      </c>
      <c r="R730" t="s">
        <v>38</v>
      </c>
      <c r="S730" t="s">
        <v>39</v>
      </c>
      <c r="T730">
        <v>31</v>
      </c>
      <c r="W730">
        <v>21.2</v>
      </c>
      <c r="X730">
        <v>41.5</v>
      </c>
      <c r="Z730" t="s">
        <v>39</v>
      </c>
      <c r="AB730" t="s">
        <v>40</v>
      </c>
      <c r="AC730" t="s">
        <v>88</v>
      </c>
    </row>
    <row r="731" spans="1:30" x14ac:dyDescent="0.25">
      <c r="A731" s="4">
        <v>42542</v>
      </c>
      <c r="B731" t="s">
        <v>30</v>
      </c>
      <c r="C731">
        <v>113</v>
      </c>
      <c r="D731">
        <v>7</v>
      </c>
      <c r="E731">
        <v>1</v>
      </c>
      <c r="F731" t="s">
        <v>31</v>
      </c>
      <c r="G731" t="s">
        <v>32</v>
      </c>
      <c r="H731" t="s">
        <v>33</v>
      </c>
      <c r="I731" t="s">
        <v>34</v>
      </c>
      <c r="J731" t="s">
        <v>35</v>
      </c>
      <c r="K731" t="s">
        <v>114</v>
      </c>
      <c r="L731" t="s">
        <v>37</v>
      </c>
      <c r="M731">
        <v>0</v>
      </c>
      <c r="N731">
        <v>0</v>
      </c>
      <c r="O731" s="5">
        <v>50479</v>
      </c>
      <c r="P731" s="5">
        <v>50473</v>
      </c>
      <c r="Q731">
        <f>29.5-11.5</f>
        <v>18</v>
      </c>
      <c r="R731" t="s">
        <v>38</v>
      </c>
      <c r="S731" t="s">
        <v>39</v>
      </c>
      <c r="T731">
        <v>17</v>
      </c>
      <c r="U731">
        <v>81</v>
      </c>
      <c r="V731">
        <v>15</v>
      </c>
      <c r="W731">
        <v>12.2</v>
      </c>
      <c r="X731">
        <v>29.3</v>
      </c>
      <c r="Z731" t="s">
        <v>39</v>
      </c>
      <c r="AB731" t="s">
        <v>40</v>
      </c>
      <c r="AC731" t="s">
        <v>88</v>
      </c>
    </row>
    <row r="732" spans="1:30" x14ac:dyDescent="0.25">
      <c r="A732" s="4">
        <v>42542</v>
      </c>
      <c r="B732" t="s">
        <v>30</v>
      </c>
      <c r="C732">
        <v>113</v>
      </c>
      <c r="D732">
        <v>8</v>
      </c>
      <c r="E732">
        <v>1</v>
      </c>
      <c r="F732" t="s">
        <v>31</v>
      </c>
      <c r="G732" t="s">
        <v>32</v>
      </c>
      <c r="H732" t="s">
        <v>33</v>
      </c>
      <c r="I732" t="s">
        <v>57</v>
      </c>
      <c r="O732" s="5"/>
      <c r="P732" s="5"/>
      <c r="Z732" t="s">
        <v>39</v>
      </c>
    </row>
    <row r="733" spans="1:30" x14ac:dyDescent="0.25">
      <c r="A733" s="4">
        <v>42542</v>
      </c>
      <c r="B733" t="s">
        <v>30</v>
      </c>
      <c r="C733">
        <v>113</v>
      </c>
      <c r="D733">
        <v>8</v>
      </c>
      <c r="E733">
        <v>2</v>
      </c>
      <c r="F733" t="s">
        <v>31</v>
      </c>
      <c r="G733" t="s">
        <v>32</v>
      </c>
      <c r="H733" t="s">
        <v>33</v>
      </c>
      <c r="I733" t="s">
        <v>57</v>
      </c>
      <c r="O733" s="5"/>
      <c r="P733" s="5"/>
      <c r="Z733" t="s">
        <v>39</v>
      </c>
    </row>
    <row r="734" spans="1:30" x14ac:dyDescent="0.25">
      <c r="A734" s="4">
        <v>42542</v>
      </c>
      <c r="B734" t="s">
        <v>30</v>
      </c>
      <c r="C734">
        <v>113</v>
      </c>
      <c r="D734">
        <v>9</v>
      </c>
      <c r="E734">
        <v>1</v>
      </c>
      <c r="F734" t="s">
        <v>31</v>
      </c>
      <c r="G734" t="s">
        <v>32</v>
      </c>
      <c r="H734" t="s">
        <v>33</v>
      </c>
      <c r="I734" t="s">
        <v>73</v>
      </c>
      <c r="J734" t="s">
        <v>35</v>
      </c>
      <c r="K734" t="s">
        <v>36</v>
      </c>
      <c r="L734" t="s">
        <v>43</v>
      </c>
      <c r="M734">
        <v>0</v>
      </c>
      <c r="N734">
        <v>0</v>
      </c>
      <c r="O734" s="5">
        <v>50482</v>
      </c>
      <c r="P734" s="5"/>
      <c r="Q734">
        <f>178-90</f>
        <v>88</v>
      </c>
      <c r="R734" t="s">
        <v>47</v>
      </c>
      <c r="S734" t="s">
        <v>39</v>
      </c>
      <c r="T734">
        <v>32</v>
      </c>
      <c r="W734">
        <v>21.6</v>
      </c>
      <c r="X734">
        <v>43.2</v>
      </c>
      <c r="Z734" t="s">
        <v>39</v>
      </c>
      <c r="AB734" t="s">
        <v>40</v>
      </c>
      <c r="AC734" t="s">
        <v>88</v>
      </c>
    </row>
    <row r="735" spans="1:30" x14ac:dyDescent="0.25">
      <c r="A735" s="4">
        <v>42542</v>
      </c>
      <c r="B735" t="s">
        <v>30</v>
      </c>
      <c r="C735">
        <v>402</v>
      </c>
      <c r="D735">
        <v>1</v>
      </c>
      <c r="E735">
        <v>1</v>
      </c>
      <c r="F735" t="s">
        <v>31</v>
      </c>
      <c r="G735" t="s">
        <v>32</v>
      </c>
      <c r="H735" t="s">
        <v>33</v>
      </c>
      <c r="I735" t="s">
        <v>73</v>
      </c>
      <c r="J735" t="s">
        <v>35</v>
      </c>
      <c r="K735" t="s">
        <v>36</v>
      </c>
      <c r="L735" t="s">
        <v>37</v>
      </c>
      <c r="M735">
        <v>0</v>
      </c>
      <c r="N735">
        <v>0</v>
      </c>
      <c r="O735" s="5">
        <v>50478</v>
      </c>
      <c r="P735" s="5"/>
      <c r="Q735">
        <f>170-90</f>
        <v>80</v>
      </c>
      <c r="R735" t="s">
        <v>38</v>
      </c>
      <c r="S735" t="s">
        <v>39</v>
      </c>
      <c r="T735">
        <v>32</v>
      </c>
      <c r="W735">
        <v>21.2</v>
      </c>
      <c r="X735">
        <v>40.6</v>
      </c>
      <c r="Z735" t="s">
        <v>39</v>
      </c>
      <c r="AB735" t="s">
        <v>40</v>
      </c>
      <c r="AC735" t="s">
        <v>88</v>
      </c>
    </row>
    <row r="736" spans="1:30" x14ac:dyDescent="0.25">
      <c r="A736" s="4">
        <v>42542</v>
      </c>
      <c r="B736" t="s">
        <v>30</v>
      </c>
      <c r="C736">
        <v>402</v>
      </c>
      <c r="D736">
        <v>1</v>
      </c>
      <c r="E736">
        <v>2</v>
      </c>
      <c r="F736" t="s">
        <v>31</v>
      </c>
      <c r="G736" t="s">
        <v>32</v>
      </c>
      <c r="H736" t="s">
        <v>33</v>
      </c>
      <c r="I736" t="s">
        <v>73</v>
      </c>
      <c r="J736" t="s">
        <v>35</v>
      </c>
      <c r="K736" t="s">
        <v>36</v>
      </c>
      <c r="L736" t="s">
        <v>43</v>
      </c>
      <c r="M736">
        <v>0</v>
      </c>
      <c r="N736">
        <v>0</v>
      </c>
      <c r="O736" s="5" t="s">
        <v>148</v>
      </c>
      <c r="P736" s="5"/>
      <c r="Q736">
        <f>180-90</f>
        <v>90</v>
      </c>
      <c r="R736" t="s">
        <v>47</v>
      </c>
      <c r="S736" t="s">
        <v>39</v>
      </c>
      <c r="T736">
        <v>34</v>
      </c>
      <c r="W736">
        <v>21.3</v>
      </c>
      <c r="X736">
        <v>38.799999999999997</v>
      </c>
      <c r="Z736" t="s">
        <v>39</v>
      </c>
      <c r="AB736" t="s">
        <v>40</v>
      </c>
      <c r="AC736" t="s">
        <v>88</v>
      </c>
    </row>
    <row r="737" spans="1:29" x14ac:dyDescent="0.25">
      <c r="A737" s="4">
        <v>42542</v>
      </c>
      <c r="B737" t="s">
        <v>30</v>
      </c>
      <c r="C737">
        <v>402</v>
      </c>
      <c r="D737">
        <v>7</v>
      </c>
      <c r="E737">
        <v>1</v>
      </c>
      <c r="F737" t="s">
        <v>31</v>
      </c>
      <c r="G737" t="s">
        <v>32</v>
      </c>
      <c r="H737" t="s">
        <v>33</v>
      </c>
      <c r="I737" t="s">
        <v>58</v>
      </c>
      <c r="J737" t="s">
        <v>42</v>
      </c>
      <c r="K737" t="s">
        <v>36</v>
      </c>
      <c r="L737" t="s">
        <v>37</v>
      </c>
      <c r="M737">
        <v>0</v>
      </c>
      <c r="N737">
        <v>1</v>
      </c>
      <c r="O737" s="5">
        <v>50483</v>
      </c>
      <c r="P737" s="5"/>
      <c r="Q737">
        <f>45.5-14.5</f>
        <v>31</v>
      </c>
      <c r="R737" t="s">
        <v>149</v>
      </c>
      <c r="S737" t="s">
        <v>97</v>
      </c>
      <c r="T737">
        <v>16</v>
      </c>
      <c r="W737">
        <v>12.8</v>
      </c>
      <c r="X737">
        <v>27.1</v>
      </c>
      <c r="Z737" t="s">
        <v>39</v>
      </c>
      <c r="AB737" t="s">
        <v>40</v>
      </c>
      <c r="AC737" t="s">
        <v>88</v>
      </c>
    </row>
    <row r="738" spans="1:29" x14ac:dyDescent="0.25">
      <c r="A738" s="4">
        <v>42542</v>
      </c>
      <c r="B738" t="s">
        <v>30</v>
      </c>
      <c r="C738">
        <v>402</v>
      </c>
      <c r="D738">
        <v>8</v>
      </c>
      <c r="E738">
        <v>1</v>
      </c>
      <c r="F738" t="s">
        <v>31</v>
      </c>
      <c r="G738" t="s">
        <v>32</v>
      </c>
      <c r="H738" t="s">
        <v>33</v>
      </c>
      <c r="I738" t="s">
        <v>57</v>
      </c>
      <c r="O738" s="5"/>
      <c r="P738" s="5"/>
      <c r="Z738" t="s">
        <v>39</v>
      </c>
    </row>
    <row r="739" spans="1:29" x14ac:dyDescent="0.25">
      <c r="A739" s="4">
        <v>42543</v>
      </c>
      <c r="B739" t="s">
        <v>30</v>
      </c>
      <c r="C739">
        <v>111</v>
      </c>
      <c r="D739">
        <v>3</v>
      </c>
      <c r="E739">
        <v>1</v>
      </c>
      <c r="F739" t="s">
        <v>31</v>
      </c>
      <c r="G739" t="s">
        <v>32</v>
      </c>
      <c r="H739" t="s">
        <v>33</v>
      </c>
      <c r="I739" t="s">
        <v>34</v>
      </c>
      <c r="J739" t="s">
        <v>42</v>
      </c>
      <c r="K739" t="s">
        <v>36</v>
      </c>
      <c r="L739" t="s">
        <v>43</v>
      </c>
      <c r="M739">
        <v>0</v>
      </c>
      <c r="N739">
        <v>1</v>
      </c>
      <c r="O739" s="5">
        <v>50602</v>
      </c>
      <c r="P739" s="5">
        <v>50601</v>
      </c>
      <c r="Q739">
        <f>35.5-13</f>
        <v>22.5</v>
      </c>
      <c r="R739" t="s">
        <v>47</v>
      </c>
      <c r="S739" t="s">
        <v>39</v>
      </c>
      <c r="T739">
        <v>18</v>
      </c>
      <c r="U739">
        <v>90</v>
      </c>
      <c r="V739">
        <v>13</v>
      </c>
      <c r="W739">
        <v>12.7</v>
      </c>
      <c r="X739">
        <v>27.5</v>
      </c>
      <c r="Z739" t="s">
        <v>39</v>
      </c>
      <c r="AB739" t="s">
        <v>59</v>
      </c>
      <c r="AC739" t="s">
        <v>56</v>
      </c>
    </row>
    <row r="740" spans="1:29" x14ac:dyDescent="0.25">
      <c r="A740" s="4">
        <v>42543</v>
      </c>
      <c r="B740" t="s">
        <v>30</v>
      </c>
      <c r="C740">
        <v>111</v>
      </c>
      <c r="D740">
        <v>2</v>
      </c>
      <c r="E740">
        <v>1</v>
      </c>
      <c r="F740" t="s">
        <v>31</v>
      </c>
      <c r="G740" t="s">
        <v>32</v>
      </c>
      <c r="H740" t="s">
        <v>33</v>
      </c>
      <c r="I740" t="s">
        <v>34</v>
      </c>
      <c r="J740" t="s">
        <v>35</v>
      </c>
      <c r="K740" t="s">
        <v>36</v>
      </c>
      <c r="L740" t="s">
        <v>37</v>
      </c>
      <c r="M740">
        <v>0</v>
      </c>
      <c r="N740">
        <v>0</v>
      </c>
      <c r="O740" s="5">
        <v>50348</v>
      </c>
      <c r="P740" s="5">
        <v>50347</v>
      </c>
      <c r="Q740">
        <f>31-11.5</f>
        <v>19.5</v>
      </c>
      <c r="R740" t="s">
        <v>74</v>
      </c>
      <c r="S740" t="s">
        <v>97</v>
      </c>
      <c r="T740">
        <v>18</v>
      </c>
      <c r="U740">
        <v>86.5</v>
      </c>
      <c r="V740">
        <v>17</v>
      </c>
      <c r="W740">
        <v>12</v>
      </c>
      <c r="X740">
        <v>26.4</v>
      </c>
      <c r="Y740" t="s">
        <v>150</v>
      </c>
      <c r="Z740" t="s">
        <v>39</v>
      </c>
      <c r="AB740" t="s">
        <v>59</v>
      </c>
      <c r="AC740" t="s">
        <v>56</v>
      </c>
    </row>
    <row r="741" spans="1:29" x14ac:dyDescent="0.25">
      <c r="A741" s="4">
        <v>42543</v>
      </c>
      <c r="B741" t="s">
        <v>30</v>
      </c>
      <c r="C741">
        <v>111</v>
      </c>
      <c r="D741">
        <v>9</v>
      </c>
      <c r="E741">
        <v>1</v>
      </c>
      <c r="F741" t="s">
        <v>31</v>
      </c>
      <c r="G741" t="s">
        <v>32</v>
      </c>
      <c r="H741" t="s">
        <v>33</v>
      </c>
      <c r="I741" t="s">
        <v>57</v>
      </c>
      <c r="O741" s="5"/>
      <c r="P741" s="5"/>
      <c r="Z741" t="s">
        <v>39</v>
      </c>
    </row>
    <row r="742" spans="1:29" x14ac:dyDescent="0.25">
      <c r="A742" s="4">
        <v>42543</v>
      </c>
      <c r="B742" t="s">
        <v>30</v>
      </c>
      <c r="C742">
        <v>112</v>
      </c>
      <c r="D742">
        <v>1</v>
      </c>
      <c r="E742">
        <v>1</v>
      </c>
      <c r="F742" t="s">
        <v>31</v>
      </c>
      <c r="G742" t="s">
        <v>32</v>
      </c>
      <c r="H742" t="s">
        <v>33</v>
      </c>
      <c r="I742" t="s">
        <v>79</v>
      </c>
      <c r="O742" s="5"/>
      <c r="P742" s="5"/>
      <c r="Z742" t="s">
        <v>39</v>
      </c>
    </row>
    <row r="743" spans="1:29" x14ac:dyDescent="0.25">
      <c r="A743" s="4">
        <v>42543</v>
      </c>
      <c r="B743" t="s">
        <v>30</v>
      </c>
      <c r="C743">
        <v>112</v>
      </c>
      <c r="D743">
        <v>1</v>
      </c>
      <c r="E743">
        <v>2</v>
      </c>
      <c r="F743" t="s">
        <v>31</v>
      </c>
      <c r="G743" t="s">
        <v>32</v>
      </c>
      <c r="H743" t="s">
        <v>33</v>
      </c>
      <c r="I743" t="s">
        <v>57</v>
      </c>
      <c r="O743" s="5"/>
      <c r="P743" s="5"/>
      <c r="Z743" t="s">
        <v>39</v>
      </c>
    </row>
    <row r="744" spans="1:29" x14ac:dyDescent="0.25">
      <c r="A744" s="4">
        <v>42543</v>
      </c>
      <c r="B744" t="s">
        <v>30</v>
      </c>
      <c r="C744">
        <v>112</v>
      </c>
      <c r="D744">
        <v>2</v>
      </c>
      <c r="E744">
        <v>1</v>
      </c>
      <c r="F744" t="s">
        <v>31</v>
      </c>
      <c r="G744" t="s">
        <v>32</v>
      </c>
      <c r="H744" t="s">
        <v>33</v>
      </c>
      <c r="I744" t="s">
        <v>79</v>
      </c>
      <c r="O744" s="5"/>
      <c r="P744" s="5"/>
      <c r="Z744" t="s">
        <v>39</v>
      </c>
    </row>
    <row r="745" spans="1:29" x14ac:dyDescent="0.25">
      <c r="A745" s="4">
        <v>42543</v>
      </c>
      <c r="B745" t="s">
        <v>30</v>
      </c>
      <c r="C745">
        <v>112</v>
      </c>
      <c r="D745">
        <v>2</v>
      </c>
      <c r="E745">
        <v>2</v>
      </c>
      <c r="F745" t="s">
        <v>31</v>
      </c>
      <c r="G745" t="s">
        <v>32</v>
      </c>
      <c r="H745" t="s">
        <v>33</v>
      </c>
      <c r="I745" t="s">
        <v>79</v>
      </c>
      <c r="O745" s="5"/>
      <c r="P745" s="5"/>
      <c r="Z745" t="s">
        <v>39</v>
      </c>
    </row>
    <row r="746" spans="1:29" x14ac:dyDescent="0.25">
      <c r="A746" s="4">
        <v>42543</v>
      </c>
      <c r="B746" t="s">
        <v>30</v>
      </c>
      <c r="C746">
        <v>112</v>
      </c>
      <c r="D746">
        <v>3</v>
      </c>
      <c r="E746">
        <v>1</v>
      </c>
      <c r="F746" t="s">
        <v>31</v>
      </c>
      <c r="G746" t="s">
        <v>32</v>
      </c>
      <c r="H746" t="s">
        <v>33</v>
      </c>
      <c r="I746" t="s">
        <v>79</v>
      </c>
      <c r="O746" s="5"/>
      <c r="P746" s="5"/>
      <c r="Z746" t="s">
        <v>39</v>
      </c>
    </row>
    <row r="747" spans="1:29" x14ac:dyDescent="0.25">
      <c r="A747" s="4">
        <v>42543</v>
      </c>
      <c r="B747" t="s">
        <v>30</v>
      </c>
      <c r="C747">
        <v>112</v>
      </c>
      <c r="D747">
        <v>3</v>
      </c>
      <c r="E747">
        <v>2</v>
      </c>
      <c r="F747" t="s">
        <v>31</v>
      </c>
      <c r="G747" t="s">
        <v>32</v>
      </c>
      <c r="H747" t="s">
        <v>33</v>
      </c>
      <c r="I747" t="s">
        <v>79</v>
      </c>
      <c r="O747" s="5"/>
      <c r="P747" s="5"/>
      <c r="Z747" t="s">
        <v>39</v>
      </c>
    </row>
    <row r="748" spans="1:29" x14ac:dyDescent="0.25">
      <c r="A748" s="4">
        <v>42543</v>
      </c>
      <c r="B748" t="s">
        <v>30</v>
      </c>
      <c r="C748">
        <v>112</v>
      </c>
      <c r="D748">
        <v>4</v>
      </c>
      <c r="E748">
        <v>1</v>
      </c>
      <c r="F748" t="s">
        <v>31</v>
      </c>
      <c r="G748" t="s">
        <v>32</v>
      </c>
      <c r="H748" t="s">
        <v>33</v>
      </c>
      <c r="I748" t="s">
        <v>79</v>
      </c>
      <c r="O748" s="5"/>
      <c r="P748" s="5"/>
      <c r="Z748" t="s">
        <v>39</v>
      </c>
    </row>
    <row r="749" spans="1:29" x14ac:dyDescent="0.25">
      <c r="A749" s="4">
        <v>42543</v>
      </c>
      <c r="B749" t="s">
        <v>30</v>
      </c>
      <c r="C749">
        <v>112</v>
      </c>
      <c r="D749">
        <v>4</v>
      </c>
      <c r="E749">
        <v>2</v>
      </c>
      <c r="F749" t="s">
        <v>31</v>
      </c>
      <c r="G749" t="s">
        <v>32</v>
      </c>
      <c r="H749" t="s">
        <v>33</v>
      </c>
      <c r="I749" t="s">
        <v>57</v>
      </c>
      <c r="O749" s="5"/>
      <c r="P749" s="5"/>
      <c r="Z749" t="s">
        <v>39</v>
      </c>
    </row>
    <row r="750" spans="1:29" x14ac:dyDescent="0.25">
      <c r="A750" s="4">
        <v>42543</v>
      </c>
      <c r="B750" t="s">
        <v>30</v>
      </c>
      <c r="C750">
        <v>112</v>
      </c>
      <c r="D750">
        <v>5</v>
      </c>
      <c r="E750">
        <v>1</v>
      </c>
      <c r="F750" t="s">
        <v>31</v>
      </c>
      <c r="G750" t="s">
        <v>32</v>
      </c>
      <c r="H750" t="s">
        <v>33</v>
      </c>
      <c r="I750" t="s">
        <v>79</v>
      </c>
      <c r="O750" s="5"/>
      <c r="P750" s="5"/>
      <c r="Z750" t="s">
        <v>39</v>
      </c>
    </row>
    <row r="751" spans="1:29" x14ac:dyDescent="0.25">
      <c r="A751" s="4">
        <v>42543</v>
      </c>
      <c r="B751" t="s">
        <v>30</v>
      </c>
      <c r="C751">
        <v>112</v>
      </c>
      <c r="D751">
        <v>5</v>
      </c>
      <c r="E751">
        <v>2</v>
      </c>
      <c r="F751" t="s">
        <v>31</v>
      </c>
      <c r="G751" t="s">
        <v>32</v>
      </c>
      <c r="H751" t="s">
        <v>33</v>
      </c>
      <c r="I751" t="s">
        <v>57</v>
      </c>
      <c r="O751" s="5"/>
      <c r="P751" s="5"/>
      <c r="Z751" t="s">
        <v>39</v>
      </c>
    </row>
    <row r="752" spans="1:29" x14ac:dyDescent="0.25">
      <c r="A752" s="4">
        <v>42543</v>
      </c>
      <c r="B752" t="s">
        <v>30</v>
      </c>
      <c r="C752">
        <v>112</v>
      </c>
      <c r="D752">
        <v>6</v>
      </c>
      <c r="E752">
        <v>1</v>
      </c>
      <c r="F752" t="s">
        <v>31</v>
      </c>
      <c r="G752" t="s">
        <v>32</v>
      </c>
      <c r="H752" t="s">
        <v>33</v>
      </c>
      <c r="I752" t="s">
        <v>79</v>
      </c>
      <c r="O752" s="5"/>
      <c r="P752" s="5"/>
      <c r="Z752" t="s">
        <v>39</v>
      </c>
    </row>
    <row r="753" spans="1:29" x14ac:dyDescent="0.25">
      <c r="A753" s="4">
        <v>42543</v>
      </c>
      <c r="B753" t="s">
        <v>30</v>
      </c>
      <c r="C753">
        <v>112</v>
      </c>
      <c r="D753">
        <v>6</v>
      </c>
      <c r="E753">
        <v>2</v>
      </c>
      <c r="F753" t="s">
        <v>31</v>
      </c>
      <c r="G753" t="s">
        <v>32</v>
      </c>
      <c r="H753" t="s">
        <v>33</v>
      </c>
      <c r="I753" t="s">
        <v>79</v>
      </c>
      <c r="O753" s="5"/>
      <c r="P753" s="5"/>
      <c r="Z753" t="s">
        <v>39</v>
      </c>
    </row>
    <row r="754" spans="1:29" x14ac:dyDescent="0.25">
      <c r="A754" s="4">
        <v>42543</v>
      </c>
      <c r="B754" t="s">
        <v>30</v>
      </c>
      <c r="C754">
        <v>112</v>
      </c>
      <c r="D754">
        <v>7</v>
      </c>
      <c r="E754">
        <v>1</v>
      </c>
      <c r="F754" t="s">
        <v>31</v>
      </c>
      <c r="G754" t="s">
        <v>32</v>
      </c>
      <c r="H754" t="s">
        <v>33</v>
      </c>
      <c r="I754" t="s">
        <v>79</v>
      </c>
      <c r="O754" s="5"/>
      <c r="P754" s="5"/>
      <c r="Z754" t="s">
        <v>39</v>
      </c>
    </row>
    <row r="755" spans="1:29" x14ac:dyDescent="0.25">
      <c r="A755" s="4">
        <v>42543</v>
      </c>
      <c r="B755" t="s">
        <v>30</v>
      </c>
      <c r="C755">
        <v>112</v>
      </c>
      <c r="D755">
        <v>7</v>
      </c>
      <c r="E755">
        <v>2</v>
      </c>
      <c r="F755" t="s">
        <v>31</v>
      </c>
      <c r="G755" t="s">
        <v>32</v>
      </c>
      <c r="H755" t="s">
        <v>33</v>
      </c>
      <c r="I755" t="s">
        <v>79</v>
      </c>
      <c r="O755" s="5"/>
      <c r="P755" s="5"/>
      <c r="Z755" t="s">
        <v>39</v>
      </c>
    </row>
    <row r="756" spans="1:29" x14ac:dyDescent="0.25">
      <c r="A756" s="4">
        <v>42543</v>
      </c>
      <c r="B756" t="s">
        <v>30</v>
      </c>
      <c r="C756">
        <v>112</v>
      </c>
      <c r="D756">
        <v>8</v>
      </c>
      <c r="E756">
        <v>1</v>
      </c>
      <c r="F756" t="s">
        <v>31</v>
      </c>
      <c r="G756" t="s">
        <v>32</v>
      </c>
      <c r="H756" t="s">
        <v>33</v>
      </c>
      <c r="I756" t="s">
        <v>79</v>
      </c>
      <c r="O756" s="5"/>
      <c r="P756" s="5"/>
      <c r="Z756" t="s">
        <v>39</v>
      </c>
    </row>
    <row r="757" spans="1:29" x14ac:dyDescent="0.25">
      <c r="A757" s="4">
        <v>42543</v>
      </c>
      <c r="B757" t="s">
        <v>30</v>
      </c>
      <c r="C757">
        <v>112</v>
      </c>
      <c r="D757">
        <v>8</v>
      </c>
      <c r="E757">
        <v>2</v>
      </c>
      <c r="F757" t="s">
        <v>31</v>
      </c>
      <c r="G757" t="s">
        <v>32</v>
      </c>
      <c r="H757" t="s">
        <v>33</v>
      </c>
      <c r="I757" t="s">
        <v>79</v>
      </c>
      <c r="O757" s="5"/>
      <c r="P757" s="5"/>
      <c r="Z757" t="s">
        <v>39</v>
      </c>
    </row>
    <row r="758" spans="1:29" x14ac:dyDescent="0.25">
      <c r="A758" s="4">
        <v>42543</v>
      </c>
      <c r="B758" t="s">
        <v>30</v>
      </c>
      <c r="C758">
        <v>112</v>
      </c>
      <c r="D758">
        <v>9</v>
      </c>
      <c r="E758">
        <v>1</v>
      </c>
      <c r="F758" t="s">
        <v>31</v>
      </c>
      <c r="G758" t="s">
        <v>32</v>
      </c>
      <c r="H758" t="s">
        <v>33</v>
      </c>
      <c r="I758" t="s">
        <v>57</v>
      </c>
      <c r="O758" s="5"/>
      <c r="P758" s="5"/>
      <c r="Z758" t="s">
        <v>39</v>
      </c>
    </row>
    <row r="759" spans="1:29" x14ac:dyDescent="0.25">
      <c r="A759" s="4">
        <v>42543</v>
      </c>
      <c r="B759" t="s">
        <v>30</v>
      </c>
      <c r="C759">
        <v>112</v>
      </c>
      <c r="D759">
        <v>10</v>
      </c>
      <c r="E759">
        <v>1</v>
      </c>
      <c r="F759" t="s">
        <v>31</v>
      </c>
      <c r="G759" t="s">
        <v>32</v>
      </c>
      <c r="H759" t="s">
        <v>33</v>
      </c>
      <c r="I759" t="s">
        <v>79</v>
      </c>
      <c r="O759" s="5"/>
      <c r="P759" s="5"/>
      <c r="Z759" t="s">
        <v>39</v>
      </c>
    </row>
    <row r="760" spans="1:29" x14ac:dyDescent="0.25">
      <c r="A760" s="4">
        <v>42543</v>
      </c>
      <c r="B760" t="s">
        <v>30</v>
      </c>
      <c r="C760">
        <v>112</v>
      </c>
      <c r="D760">
        <v>9</v>
      </c>
      <c r="E760">
        <v>2</v>
      </c>
      <c r="F760" t="s">
        <v>31</v>
      </c>
      <c r="G760" t="s">
        <v>32</v>
      </c>
      <c r="H760" t="s">
        <v>33</v>
      </c>
      <c r="I760" t="s">
        <v>34</v>
      </c>
      <c r="J760" t="s">
        <v>35</v>
      </c>
      <c r="K760" t="s">
        <v>36</v>
      </c>
      <c r="L760" t="s">
        <v>43</v>
      </c>
      <c r="M760">
        <v>0</v>
      </c>
      <c r="N760">
        <v>0</v>
      </c>
      <c r="O760" s="5">
        <v>50597</v>
      </c>
      <c r="P760" s="5">
        <v>50596</v>
      </c>
      <c r="Q760">
        <f>34.5-12.5</f>
        <v>22</v>
      </c>
      <c r="R760" t="s">
        <v>47</v>
      </c>
      <c r="S760" t="s">
        <v>39</v>
      </c>
      <c r="T760">
        <v>18</v>
      </c>
      <c r="U760">
        <v>90</v>
      </c>
      <c r="V760">
        <v>15.5</v>
      </c>
      <c r="W760">
        <v>12.5</v>
      </c>
      <c r="X760">
        <v>27.55</v>
      </c>
      <c r="Z760" t="s">
        <v>39</v>
      </c>
      <c r="AB760" t="s">
        <v>59</v>
      </c>
      <c r="AC760" t="s">
        <v>56</v>
      </c>
    </row>
    <row r="761" spans="1:29" x14ac:dyDescent="0.25">
      <c r="A761" s="4">
        <v>42543</v>
      </c>
      <c r="B761" t="s">
        <v>30</v>
      </c>
      <c r="C761">
        <v>113</v>
      </c>
      <c r="D761">
        <v>1</v>
      </c>
      <c r="E761">
        <v>1</v>
      </c>
      <c r="F761" t="s">
        <v>31</v>
      </c>
      <c r="G761" t="s">
        <v>32</v>
      </c>
      <c r="H761" t="s">
        <v>33</v>
      </c>
      <c r="I761" t="s">
        <v>57</v>
      </c>
      <c r="O761" s="5"/>
      <c r="P761" s="5"/>
      <c r="Z761" t="s">
        <v>39</v>
      </c>
    </row>
    <row r="762" spans="1:29" x14ac:dyDescent="0.25">
      <c r="A762" s="4">
        <v>42543</v>
      </c>
      <c r="B762" t="s">
        <v>30</v>
      </c>
      <c r="C762">
        <v>113</v>
      </c>
      <c r="D762">
        <v>2</v>
      </c>
      <c r="E762">
        <v>1</v>
      </c>
      <c r="F762" t="s">
        <v>31</v>
      </c>
      <c r="G762" t="s">
        <v>32</v>
      </c>
      <c r="H762" t="s">
        <v>33</v>
      </c>
      <c r="I762" t="s">
        <v>57</v>
      </c>
      <c r="O762" s="5"/>
      <c r="P762" s="5"/>
      <c r="Z762" t="s">
        <v>39</v>
      </c>
    </row>
    <row r="763" spans="1:29" x14ac:dyDescent="0.25">
      <c r="A763" s="4">
        <v>42543</v>
      </c>
      <c r="B763" t="s">
        <v>30</v>
      </c>
      <c r="C763">
        <v>113</v>
      </c>
      <c r="D763">
        <v>4</v>
      </c>
      <c r="E763">
        <v>1</v>
      </c>
      <c r="F763" t="s">
        <v>31</v>
      </c>
      <c r="G763" t="s">
        <v>32</v>
      </c>
      <c r="H763" t="s">
        <v>33</v>
      </c>
      <c r="I763" t="s">
        <v>73</v>
      </c>
      <c r="J763" t="s">
        <v>42</v>
      </c>
      <c r="K763" t="s">
        <v>36</v>
      </c>
      <c r="L763" t="s">
        <v>43</v>
      </c>
      <c r="M763">
        <v>0</v>
      </c>
      <c r="N763">
        <v>1</v>
      </c>
      <c r="O763" s="5">
        <v>50484</v>
      </c>
      <c r="P763" s="5"/>
      <c r="Q763">
        <f>185-90</f>
        <v>95</v>
      </c>
      <c r="R763" t="s">
        <v>47</v>
      </c>
      <c r="S763" t="s">
        <v>39</v>
      </c>
      <c r="T763">
        <v>32</v>
      </c>
      <c r="W763">
        <v>21.1</v>
      </c>
      <c r="X763">
        <v>40.5</v>
      </c>
      <c r="Z763" t="s">
        <v>39</v>
      </c>
      <c r="AB763" t="s">
        <v>59</v>
      </c>
      <c r="AC763" t="s">
        <v>56</v>
      </c>
    </row>
    <row r="764" spans="1:29" x14ac:dyDescent="0.25">
      <c r="A764" s="4">
        <v>42543</v>
      </c>
      <c r="B764" t="s">
        <v>30</v>
      </c>
      <c r="C764">
        <v>113</v>
      </c>
      <c r="D764">
        <v>7</v>
      </c>
      <c r="E764">
        <v>1</v>
      </c>
      <c r="F764" t="s">
        <v>31</v>
      </c>
      <c r="G764" t="s">
        <v>32</v>
      </c>
      <c r="H764" t="s">
        <v>33</v>
      </c>
      <c r="I764" t="s">
        <v>73</v>
      </c>
      <c r="J764" t="s">
        <v>42</v>
      </c>
      <c r="K764" t="s">
        <v>36</v>
      </c>
      <c r="L764" t="s">
        <v>43</v>
      </c>
      <c r="M764">
        <v>0</v>
      </c>
      <c r="N764">
        <v>1</v>
      </c>
      <c r="O764" s="5">
        <v>50487</v>
      </c>
      <c r="P764" s="5"/>
      <c r="Q764">
        <v>110</v>
      </c>
      <c r="R764" t="s">
        <v>47</v>
      </c>
      <c r="S764" t="s">
        <v>39</v>
      </c>
      <c r="T764">
        <v>34</v>
      </c>
      <c r="W764">
        <v>23.9</v>
      </c>
      <c r="X764">
        <v>45.5</v>
      </c>
      <c r="Z764" t="s">
        <v>39</v>
      </c>
      <c r="AB764" t="s">
        <v>59</v>
      </c>
      <c r="AC764" t="s">
        <v>56</v>
      </c>
    </row>
    <row r="765" spans="1:29" x14ac:dyDescent="0.25">
      <c r="A765" s="4">
        <v>42543</v>
      </c>
      <c r="B765" t="s">
        <v>30</v>
      </c>
      <c r="C765">
        <v>113</v>
      </c>
      <c r="D765">
        <v>9</v>
      </c>
      <c r="E765">
        <v>1</v>
      </c>
      <c r="F765" t="s">
        <v>31</v>
      </c>
      <c r="G765" t="s">
        <v>32</v>
      </c>
      <c r="H765" t="s">
        <v>33</v>
      </c>
      <c r="I765" t="s">
        <v>73</v>
      </c>
      <c r="J765" t="s">
        <v>35</v>
      </c>
      <c r="K765" t="s">
        <v>36</v>
      </c>
      <c r="L765" t="s">
        <v>43</v>
      </c>
      <c r="M765">
        <v>0</v>
      </c>
      <c r="N765">
        <v>0</v>
      </c>
      <c r="O765" s="5">
        <v>50482</v>
      </c>
      <c r="P765" s="5"/>
      <c r="Q765">
        <f>170-90</f>
        <v>80</v>
      </c>
      <c r="R765" t="s">
        <v>47</v>
      </c>
      <c r="S765" t="s">
        <v>39</v>
      </c>
      <c r="W765">
        <v>20.5</v>
      </c>
      <c r="X765">
        <v>43.7</v>
      </c>
      <c r="Y765" t="s">
        <v>151</v>
      </c>
      <c r="Z765" t="s">
        <v>39</v>
      </c>
      <c r="AB765" t="s">
        <v>59</v>
      </c>
      <c r="AC765" t="s">
        <v>56</v>
      </c>
    </row>
    <row r="766" spans="1:29" x14ac:dyDescent="0.25">
      <c r="A766" s="4">
        <v>42543</v>
      </c>
      <c r="B766" t="s">
        <v>30</v>
      </c>
      <c r="C766">
        <v>113</v>
      </c>
      <c r="D766">
        <v>8</v>
      </c>
      <c r="E766">
        <v>1</v>
      </c>
      <c r="F766" t="s">
        <v>31</v>
      </c>
      <c r="G766" t="s">
        <v>32</v>
      </c>
      <c r="H766" t="s">
        <v>33</v>
      </c>
      <c r="I766" t="s">
        <v>57</v>
      </c>
      <c r="O766" s="5"/>
      <c r="P766" s="5"/>
      <c r="Z766" t="s">
        <v>39</v>
      </c>
    </row>
    <row r="767" spans="1:29" x14ac:dyDescent="0.25">
      <c r="A767" s="4">
        <v>42543</v>
      </c>
      <c r="B767" t="s">
        <v>30</v>
      </c>
      <c r="C767">
        <v>113</v>
      </c>
      <c r="D767">
        <v>8</v>
      </c>
      <c r="E767">
        <v>2</v>
      </c>
      <c r="F767" t="s">
        <v>31</v>
      </c>
      <c r="G767" t="s">
        <v>32</v>
      </c>
      <c r="H767" t="s">
        <v>33</v>
      </c>
      <c r="I767" t="s">
        <v>57</v>
      </c>
      <c r="O767" s="5"/>
      <c r="P767" s="5"/>
      <c r="Z767" t="s">
        <v>39</v>
      </c>
    </row>
    <row r="768" spans="1:29" x14ac:dyDescent="0.25">
      <c r="A768" s="4">
        <v>42543</v>
      </c>
      <c r="B768" t="s">
        <v>30</v>
      </c>
      <c r="C768">
        <v>402</v>
      </c>
      <c r="D768">
        <v>1</v>
      </c>
      <c r="E768">
        <v>1</v>
      </c>
      <c r="F768" t="s">
        <v>31</v>
      </c>
      <c r="G768" t="s">
        <v>32</v>
      </c>
      <c r="H768" t="s">
        <v>33</v>
      </c>
      <c r="I768" t="s">
        <v>57</v>
      </c>
      <c r="O768" s="5"/>
      <c r="P768" s="5"/>
      <c r="Z768" t="s">
        <v>39</v>
      </c>
    </row>
    <row r="769" spans="1:30" x14ac:dyDescent="0.25">
      <c r="A769" s="4">
        <v>42543</v>
      </c>
      <c r="B769" t="s">
        <v>30</v>
      </c>
      <c r="C769">
        <v>402</v>
      </c>
      <c r="D769">
        <v>1</v>
      </c>
      <c r="E769">
        <v>2</v>
      </c>
      <c r="F769" t="s">
        <v>31</v>
      </c>
      <c r="G769" t="s">
        <v>32</v>
      </c>
      <c r="H769" t="s">
        <v>33</v>
      </c>
      <c r="I769" t="s">
        <v>57</v>
      </c>
      <c r="O769" s="5"/>
      <c r="P769" s="5"/>
      <c r="Z769" t="s">
        <v>39</v>
      </c>
    </row>
    <row r="770" spans="1:30" x14ac:dyDescent="0.25">
      <c r="A770" s="4">
        <v>42543</v>
      </c>
      <c r="B770" t="s">
        <v>30</v>
      </c>
      <c r="C770">
        <v>402</v>
      </c>
      <c r="D770">
        <v>6</v>
      </c>
      <c r="E770">
        <v>1</v>
      </c>
      <c r="F770" t="s">
        <v>31</v>
      </c>
      <c r="G770" t="s">
        <v>32</v>
      </c>
      <c r="H770" t="s">
        <v>33</v>
      </c>
      <c r="I770" t="s">
        <v>58</v>
      </c>
      <c r="J770" t="s">
        <v>35</v>
      </c>
      <c r="K770" t="s">
        <v>36</v>
      </c>
      <c r="L770" t="s">
        <v>37</v>
      </c>
      <c r="M770">
        <v>0</v>
      </c>
      <c r="N770">
        <v>0</v>
      </c>
      <c r="O770" s="5">
        <v>50483</v>
      </c>
      <c r="P770" s="5"/>
      <c r="Q770">
        <f>45-15.5</f>
        <v>29.5</v>
      </c>
      <c r="R770" t="s">
        <v>149</v>
      </c>
      <c r="S770" t="s">
        <v>97</v>
      </c>
      <c r="T770">
        <v>17</v>
      </c>
      <c r="W770">
        <v>13</v>
      </c>
      <c r="X770">
        <v>27.2</v>
      </c>
      <c r="Z770" t="s">
        <v>39</v>
      </c>
      <c r="AB770" t="s">
        <v>152</v>
      </c>
      <c r="AC770" t="s">
        <v>56</v>
      </c>
    </row>
    <row r="771" spans="1:30" x14ac:dyDescent="0.25">
      <c r="A771" s="4">
        <v>42543</v>
      </c>
      <c r="B771" t="s">
        <v>30</v>
      </c>
      <c r="C771">
        <v>304</v>
      </c>
      <c r="D771">
        <v>5</v>
      </c>
      <c r="E771">
        <v>1</v>
      </c>
      <c r="F771" t="s">
        <v>31</v>
      </c>
      <c r="G771" t="s">
        <v>32</v>
      </c>
      <c r="H771" t="s">
        <v>33</v>
      </c>
      <c r="I771" t="s">
        <v>64</v>
      </c>
      <c r="J771" t="s">
        <v>42</v>
      </c>
      <c r="K771" t="s">
        <v>36</v>
      </c>
      <c r="L771" t="s">
        <v>37</v>
      </c>
      <c r="M771">
        <v>0</v>
      </c>
      <c r="N771">
        <v>1</v>
      </c>
      <c r="O771" s="5">
        <v>50488</v>
      </c>
      <c r="P771" s="5"/>
      <c r="Q771">
        <f>280-90</f>
        <v>190</v>
      </c>
      <c r="R771" t="s">
        <v>74</v>
      </c>
      <c r="S771" t="s">
        <v>97</v>
      </c>
      <c r="T771">
        <v>42</v>
      </c>
      <c r="W771">
        <v>26.8</v>
      </c>
      <c r="X771">
        <v>50</v>
      </c>
      <c r="Z771" t="s">
        <v>39</v>
      </c>
      <c r="AB771" t="s">
        <v>152</v>
      </c>
      <c r="AC771" t="s">
        <v>56</v>
      </c>
    </row>
    <row r="772" spans="1:30" x14ac:dyDescent="0.25">
      <c r="A772" s="4">
        <v>42543</v>
      </c>
      <c r="B772" t="s">
        <v>30</v>
      </c>
      <c r="C772">
        <v>201</v>
      </c>
      <c r="D772">
        <v>1</v>
      </c>
      <c r="E772">
        <v>1</v>
      </c>
      <c r="F772" t="s">
        <v>41</v>
      </c>
      <c r="G772" t="s">
        <v>32</v>
      </c>
      <c r="H772" t="s">
        <v>33</v>
      </c>
      <c r="I772" t="s">
        <v>73</v>
      </c>
      <c r="J772" t="s">
        <v>42</v>
      </c>
      <c r="K772" t="s">
        <v>36</v>
      </c>
      <c r="L772" t="s">
        <v>43</v>
      </c>
      <c r="M772">
        <v>0</v>
      </c>
      <c r="N772">
        <v>1</v>
      </c>
      <c r="O772" s="5">
        <v>50413</v>
      </c>
      <c r="P772" s="5"/>
      <c r="Q772">
        <f>139-48</f>
        <v>91</v>
      </c>
      <c r="R772" t="s">
        <v>47</v>
      </c>
      <c r="T772">
        <v>30</v>
      </c>
      <c r="W772">
        <v>22.1</v>
      </c>
      <c r="X772">
        <v>45.8</v>
      </c>
      <c r="Z772" t="s">
        <v>39</v>
      </c>
      <c r="AB772" t="s">
        <v>59</v>
      </c>
      <c r="AC772" t="s">
        <v>88</v>
      </c>
    </row>
    <row r="773" spans="1:30" x14ac:dyDescent="0.25">
      <c r="A773" s="4">
        <v>42543</v>
      </c>
      <c r="B773" t="s">
        <v>30</v>
      </c>
      <c r="C773">
        <v>201</v>
      </c>
      <c r="D773">
        <v>1</v>
      </c>
      <c r="E773">
        <v>2</v>
      </c>
      <c r="F773" t="s">
        <v>41</v>
      </c>
      <c r="G773" t="s">
        <v>32</v>
      </c>
      <c r="H773" t="s">
        <v>33</v>
      </c>
      <c r="I773" t="s">
        <v>57</v>
      </c>
      <c r="O773" s="5"/>
      <c r="P773" s="5"/>
      <c r="Z773" t="s">
        <v>39</v>
      </c>
    </row>
    <row r="774" spans="1:30" x14ac:dyDescent="0.25">
      <c r="A774" s="4">
        <v>42543</v>
      </c>
      <c r="B774" t="s">
        <v>30</v>
      </c>
      <c r="C774">
        <v>201</v>
      </c>
      <c r="D774">
        <v>2</v>
      </c>
      <c r="E774">
        <v>1</v>
      </c>
      <c r="F774" t="s">
        <v>41</v>
      </c>
      <c r="G774" t="s">
        <v>32</v>
      </c>
      <c r="H774" t="s">
        <v>33</v>
      </c>
      <c r="I774" t="s">
        <v>85</v>
      </c>
      <c r="O774" s="5"/>
      <c r="P774" s="5"/>
      <c r="Z774" t="s">
        <v>39</v>
      </c>
      <c r="AD774" t="s">
        <v>153</v>
      </c>
    </row>
    <row r="775" spans="1:30" x14ac:dyDescent="0.25">
      <c r="A775" s="4">
        <v>42543</v>
      </c>
      <c r="B775" t="s">
        <v>30</v>
      </c>
      <c r="C775">
        <v>201</v>
      </c>
      <c r="D775">
        <v>4</v>
      </c>
      <c r="E775">
        <v>1</v>
      </c>
      <c r="F775" t="s">
        <v>41</v>
      </c>
      <c r="G775" t="s">
        <v>32</v>
      </c>
      <c r="H775" t="s">
        <v>33</v>
      </c>
      <c r="I775" t="s">
        <v>57</v>
      </c>
      <c r="O775" s="5"/>
      <c r="P775" s="5"/>
      <c r="Z775" t="s">
        <v>39</v>
      </c>
    </row>
    <row r="776" spans="1:30" x14ac:dyDescent="0.25">
      <c r="A776" s="4">
        <v>42543</v>
      </c>
      <c r="B776" t="s">
        <v>30</v>
      </c>
      <c r="C776">
        <v>201</v>
      </c>
      <c r="D776">
        <v>4</v>
      </c>
      <c r="E776">
        <v>2</v>
      </c>
      <c r="F776" t="s">
        <v>41</v>
      </c>
      <c r="G776" t="s">
        <v>32</v>
      </c>
      <c r="H776" t="s">
        <v>33</v>
      </c>
      <c r="I776" t="s">
        <v>34</v>
      </c>
      <c r="J776" t="s">
        <v>35</v>
      </c>
      <c r="K776" t="s">
        <v>114</v>
      </c>
      <c r="L776" t="s">
        <v>37</v>
      </c>
      <c r="M776">
        <v>0</v>
      </c>
      <c r="N776">
        <v>0</v>
      </c>
      <c r="O776" s="5">
        <v>50417</v>
      </c>
      <c r="P776" s="5">
        <v>50416</v>
      </c>
      <c r="Q776">
        <f>28-14</f>
        <v>14</v>
      </c>
      <c r="R776" t="s">
        <v>63</v>
      </c>
      <c r="S776" t="s">
        <v>39</v>
      </c>
      <c r="T776">
        <v>18</v>
      </c>
      <c r="U776">
        <v>73</v>
      </c>
      <c r="V776">
        <v>13</v>
      </c>
      <c r="W776">
        <v>11.8</v>
      </c>
      <c r="X776">
        <v>26.6</v>
      </c>
      <c r="Z776" t="s">
        <v>39</v>
      </c>
      <c r="AB776" t="s">
        <v>59</v>
      </c>
      <c r="AC776" t="s">
        <v>88</v>
      </c>
    </row>
    <row r="777" spans="1:30" x14ac:dyDescent="0.25">
      <c r="A777" s="4">
        <v>42543</v>
      </c>
      <c r="B777" t="s">
        <v>30</v>
      </c>
      <c r="C777">
        <v>201</v>
      </c>
      <c r="D777">
        <v>5</v>
      </c>
      <c r="E777">
        <v>1</v>
      </c>
      <c r="F777" t="s">
        <v>41</v>
      </c>
      <c r="G777" t="s">
        <v>32</v>
      </c>
      <c r="H777" t="s">
        <v>33</v>
      </c>
      <c r="I777" t="s">
        <v>57</v>
      </c>
      <c r="O777" s="5"/>
      <c r="P777" s="5"/>
      <c r="Z777" t="s">
        <v>39</v>
      </c>
    </row>
    <row r="778" spans="1:30" x14ac:dyDescent="0.25">
      <c r="A778" s="4">
        <v>42543</v>
      </c>
      <c r="B778" t="s">
        <v>30</v>
      </c>
      <c r="C778">
        <v>201</v>
      </c>
      <c r="D778">
        <v>5</v>
      </c>
      <c r="E778">
        <v>2</v>
      </c>
      <c r="F778" t="s">
        <v>41</v>
      </c>
      <c r="G778" t="s">
        <v>32</v>
      </c>
      <c r="H778" t="s">
        <v>33</v>
      </c>
      <c r="I778" t="s">
        <v>57</v>
      </c>
      <c r="O778" s="5"/>
      <c r="P778" s="5"/>
      <c r="Z778" t="s">
        <v>39</v>
      </c>
    </row>
    <row r="779" spans="1:30" x14ac:dyDescent="0.25">
      <c r="A779" s="4">
        <v>42543</v>
      </c>
      <c r="B779" t="s">
        <v>30</v>
      </c>
      <c r="C779">
        <v>201</v>
      </c>
      <c r="D779">
        <v>6</v>
      </c>
      <c r="E779">
        <v>1</v>
      </c>
      <c r="F779" t="s">
        <v>41</v>
      </c>
      <c r="G779" t="s">
        <v>32</v>
      </c>
      <c r="H779" t="s">
        <v>33</v>
      </c>
      <c r="I779" t="s">
        <v>57</v>
      </c>
      <c r="O779" s="5"/>
      <c r="P779" s="5"/>
      <c r="Z779" t="s">
        <v>39</v>
      </c>
    </row>
    <row r="780" spans="1:30" x14ac:dyDescent="0.25">
      <c r="A780" s="4">
        <v>42543</v>
      </c>
      <c r="B780" t="s">
        <v>30</v>
      </c>
      <c r="C780">
        <v>201</v>
      </c>
      <c r="D780">
        <v>6</v>
      </c>
      <c r="E780">
        <v>2</v>
      </c>
      <c r="F780" t="s">
        <v>41</v>
      </c>
      <c r="G780" t="s">
        <v>32</v>
      </c>
      <c r="H780" t="s">
        <v>33</v>
      </c>
      <c r="I780" t="s">
        <v>57</v>
      </c>
      <c r="O780" s="5"/>
      <c r="P780" s="5"/>
      <c r="Z780" t="s">
        <v>39</v>
      </c>
    </row>
    <row r="781" spans="1:30" x14ac:dyDescent="0.25">
      <c r="A781" s="4">
        <v>42543</v>
      </c>
      <c r="B781" t="s">
        <v>30</v>
      </c>
      <c r="C781">
        <v>201</v>
      </c>
      <c r="D781">
        <v>7</v>
      </c>
      <c r="E781">
        <v>1</v>
      </c>
      <c r="F781" t="s">
        <v>41</v>
      </c>
      <c r="G781" t="s">
        <v>32</v>
      </c>
      <c r="H781" t="s">
        <v>33</v>
      </c>
      <c r="I781" t="s">
        <v>57</v>
      </c>
      <c r="O781" s="5"/>
      <c r="P781" s="5"/>
      <c r="Z781" t="s">
        <v>39</v>
      </c>
    </row>
    <row r="782" spans="1:30" x14ac:dyDescent="0.25">
      <c r="A782" s="4">
        <v>42543</v>
      </c>
      <c r="B782" t="s">
        <v>30</v>
      </c>
      <c r="C782">
        <v>201</v>
      </c>
      <c r="D782">
        <v>7</v>
      </c>
      <c r="E782">
        <v>2</v>
      </c>
      <c r="F782" t="s">
        <v>41</v>
      </c>
      <c r="G782" t="s">
        <v>32</v>
      </c>
      <c r="H782" t="s">
        <v>33</v>
      </c>
      <c r="I782" t="s">
        <v>57</v>
      </c>
      <c r="O782" s="5"/>
      <c r="P782" s="5"/>
      <c r="Z782" t="s">
        <v>39</v>
      </c>
    </row>
    <row r="783" spans="1:30" x14ac:dyDescent="0.25">
      <c r="A783" s="4">
        <v>42543</v>
      </c>
      <c r="B783" t="s">
        <v>30</v>
      </c>
      <c r="C783">
        <v>201</v>
      </c>
      <c r="D783">
        <v>8</v>
      </c>
      <c r="E783">
        <v>1</v>
      </c>
      <c r="F783" t="s">
        <v>41</v>
      </c>
      <c r="G783" t="s">
        <v>32</v>
      </c>
      <c r="H783" t="s">
        <v>33</v>
      </c>
      <c r="I783" t="s">
        <v>57</v>
      </c>
      <c r="O783" s="5"/>
      <c r="P783" s="5"/>
      <c r="Z783" t="s">
        <v>39</v>
      </c>
    </row>
    <row r="784" spans="1:30" x14ac:dyDescent="0.25">
      <c r="A784" s="4">
        <v>42543</v>
      </c>
      <c r="B784" t="s">
        <v>30</v>
      </c>
      <c r="C784">
        <v>201</v>
      </c>
      <c r="D784">
        <v>8</v>
      </c>
      <c r="E784">
        <v>2</v>
      </c>
      <c r="F784" t="s">
        <v>41</v>
      </c>
      <c r="G784" t="s">
        <v>32</v>
      </c>
      <c r="H784" t="s">
        <v>33</v>
      </c>
      <c r="I784" t="s">
        <v>34</v>
      </c>
      <c r="J784" t="s">
        <v>42</v>
      </c>
      <c r="K784" t="s">
        <v>36</v>
      </c>
      <c r="L784" t="s">
        <v>43</v>
      </c>
      <c r="M784">
        <v>0</v>
      </c>
      <c r="N784">
        <v>1</v>
      </c>
      <c r="O784" s="5">
        <v>50409</v>
      </c>
      <c r="P784" s="5">
        <v>50408</v>
      </c>
      <c r="Q784">
        <f>31-13</f>
        <v>18</v>
      </c>
      <c r="R784" t="s">
        <v>47</v>
      </c>
      <c r="T784">
        <v>21</v>
      </c>
      <c r="U784">
        <v>81</v>
      </c>
      <c r="V784">
        <v>14</v>
      </c>
      <c r="W784">
        <v>12.5</v>
      </c>
      <c r="X784">
        <v>29.5</v>
      </c>
      <c r="Z784" t="s">
        <v>39</v>
      </c>
      <c r="AB784" t="s">
        <v>59</v>
      </c>
      <c r="AC784" t="s">
        <v>88</v>
      </c>
    </row>
    <row r="785" spans="1:30" x14ac:dyDescent="0.25">
      <c r="A785" s="4">
        <v>42543</v>
      </c>
      <c r="B785" t="s">
        <v>30</v>
      </c>
      <c r="C785">
        <v>201</v>
      </c>
      <c r="D785">
        <v>10</v>
      </c>
      <c r="E785">
        <v>1</v>
      </c>
      <c r="F785" t="s">
        <v>41</v>
      </c>
      <c r="G785" t="s">
        <v>32</v>
      </c>
      <c r="H785" t="s">
        <v>33</v>
      </c>
      <c r="I785" t="s">
        <v>57</v>
      </c>
      <c r="O785" s="5"/>
      <c r="P785" s="5"/>
      <c r="Z785" t="s">
        <v>39</v>
      </c>
    </row>
    <row r="786" spans="1:30" x14ac:dyDescent="0.25">
      <c r="A786" s="4">
        <v>42543</v>
      </c>
      <c r="B786" t="s">
        <v>30</v>
      </c>
      <c r="C786">
        <v>203</v>
      </c>
      <c r="D786">
        <v>3</v>
      </c>
      <c r="E786">
        <v>1</v>
      </c>
      <c r="F786" t="s">
        <v>41</v>
      </c>
      <c r="G786" t="s">
        <v>32</v>
      </c>
      <c r="H786" t="s">
        <v>33</v>
      </c>
      <c r="I786" t="s">
        <v>53</v>
      </c>
      <c r="J786" t="s">
        <v>62</v>
      </c>
      <c r="O786" s="5"/>
      <c r="P786" s="5"/>
      <c r="Z786" t="s">
        <v>39</v>
      </c>
    </row>
    <row r="787" spans="1:30" x14ac:dyDescent="0.25">
      <c r="A787" s="4">
        <v>42543</v>
      </c>
      <c r="B787" t="s">
        <v>30</v>
      </c>
      <c r="C787">
        <v>203</v>
      </c>
      <c r="D787">
        <v>4</v>
      </c>
      <c r="E787">
        <v>1</v>
      </c>
      <c r="F787" t="s">
        <v>41</v>
      </c>
      <c r="G787" t="s">
        <v>32</v>
      </c>
      <c r="H787" t="s">
        <v>33</v>
      </c>
      <c r="I787" t="s">
        <v>91</v>
      </c>
      <c r="J787" t="s">
        <v>129</v>
      </c>
      <c r="O787" s="5"/>
      <c r="P787" s="5">
        <v>50411</v>
      </c>
      <c r="Z787" t="s">
        <v>39</v>
      </c>
      <c r="AD787" t="s">
        <v>154</v>
      </c>
    </row>
    <row r="788" spans="1:30" x14ac:dyDescent="0.25">
      <c r="A788" s="4">
        <v>42543</v>
      </c>
      <c r="B788" t="s">
        <v>30</v>
      </c>
      <c r="C788">
        <v>203</v>
      </c>
      <c r="D788">
        <v>6</v>
      </c>
      <c r="E788">
        <v>1</v>
      </c>
      <c r="F788" t="s">
        <v>41</v>
      </c>
      <c r="G788" t="s">
        <v>32</v>
      </c>
      <c r="H788" t="s">
        <v>33</v>
      </c>
      <c r="I788" t="s">
        <v>34</v>
      </c>
      <c r="J788" t="s">
        <v>35</v>
      </c>
      <c r="K788" t="s">
        <v>36</v>
      </c>
      <c r="L788" t="s">
        <v>43</v>
      </c>
      <c r="M788">
        <v>0</v>
      </c>
      <c r="N788">
        <v>0</v>
      </c>
      <c r="O788" s="5" t="s">
        <v>155</v>
      </c>
      <c r="P788" s="5" t="s">
        <v>156</v>
      </c>
      <c r="Q788">
        <f>33-13</f>
        <v>20</v>
      </c>
      <c r="R788" t="s">
        <v>47</v>
      </c>
      <c r="T788">
        <v>20</v>
      </c>
      <c r="U788">
        <v>88</v>
      </c>
      <c r="V788">
        <v>13</v>
      </c>
      <c r="W788">
        <v>12</v>
      </c>
      <c r="X788">
        <v>28.3</v>
      </c>
      <c r="Z788" t="s">
        <v>39</v>
      </c>
      <c r="AB788" t="s">
        <v>59</v>
      </c>
      <c r="AC788" t="s">
        <v>88</v>
      </c>
    </row>
    <row r="789" spans="1:30" x14ac:dyDescent="0.25">
      <c r="A789" s="4">
        <v>42543</v>
      </c>
      <c r="B789" t="s">
        <v>30</v>
      </c>
      <c r="C789">
        <v>203</v>
      </c>
      <c r="D789">
        <v>7</v>
      </c>
      <c r="E789">
        <v>1</v>
      </c>
      <c r="F789" t="s">
        <v>41</v>
      </c>
      <c r="G789" t="s">
        <v>32</v>
      </c>
      <c r="H789" t="s">
        <v>33</v>
      </c>
      <c r="I789" t="s">
        <v>57</v>
      </c>
      <c r="O789" s="5"/>
      <c r="P789" s="5"/>
      <c r="Z789" t="s">
        <v>39</v>
      </c>
    </row>
    <row r="790" spans="1:30" x14ac:dyDescent="0.25">
      <c r="A790" s="4">
        <v>42543</v>
      </c>
      <c r="B790" t="s">
        <v>30</v>
      </c>
      <c r="C790">
        <v>203</v>
      </c>
      <c r="D790">
        <v>9</v>
      </c>
      <c r="E790">
        <v>1</v>
      </c>
      <c r="F790" t="s">
        <v>41</v>
      </c>
      <c r="G790" t="s">
        <v>32</v>
      </c>
      <c r="H790" t="s">
        <v>33</v>
      </c>
      <c r="I790" t="s">
        <v>57</v>
      </c>
      <c r="O790" s="5"/>
      <c r="P790" s="5"/>
      <c r="Z790" t="s">
        <v>39</v>
      </c>
    </row>
    <row r="791" spans="1:30" x14ac:dyDescent="0.25">
      <c r="A791" s="4">
        <v>42543</v>
      </c>
      <c r="B791" t="s">
        <v>30</v>
      </c>
      <c r="C791">
        <v>202</v>
      </c>
      <c r="D791">
        <v>5</v>
      </c>
      <c r="E791">
        <v>1</v>
      </c>
      <c r="F791" t="s">
        <v>41</v>
      </c>
      <c r="G791" t="s">
        <v>32</v>
      </c>
      <c r="H791" t="s">
        <v>33</v>
      </c>
      <c r="I791" t="s">
        <v>34</v>
      </c>
      <c r="J791" t="s">
        <v>42</v>
      </c>
      <c r="K791" t="s">
        <v>36</v>
      </c>
      <c r="L791" t="s">
        <v>43</v>
      </c>
      <c r="M791">
        <v>0</v>
      </c>
      <c r="N791">
        <v>1</v>
      </c>
      <c r="O791" s="5">
        <v>50412</v>
      </c>
      <c r="P791" s="5">
        <v>50410</v>
      </c>
      <c r="Q791">
        <f>35-12</f>
        <v>23</v>
      </c>
      <c r="R791" t="s">
        <v>47</v>
      </c>
      <c r="T791">
        <v>19</v>
      </c>
      <c r="U791">
        <v>90</v>
      </c>
      <c r="V791">
        <v>14</v>
      </c>
      <c r="W791">
        <v>12.4</v>
      </c>
      <c r="X791">
        <v>29.5</v>
      </c>
      <c r="Y791" t="s">
        <v>157</v>
      </c>
      <c r="Z791" t="s">
        <v>39</v>
      </c>
      <c r="AB791" t="s">
        <v>59</v>
      </c>
      <c r="AC791" t="s">
        <v>88</v>
      </c>
    </row>
    <row r="792" spans="1:30" x14ac:dyDescent="0.25">
      <c r="A792" s="4">
        <v>42543</v>
      </c>
      <c r="B792" t="s">
        <v>30</v>
      </c>
      <c r="C792">
        <v>304</v>
      </c>
      <c r="D792">
        <v>1</v>
      </c>
      <c r="E792">
        <v>1</v>
      </c>
      <c r="F792" t="s">
        <v>41</v>
      </c>
      <c r="G792" t="s">
        <v>32</v>
      </c>
      <c r="H792" t="s">
        <v>33</v>
      </c>
      <c r="I792" t="s">
        <v>34</v>
      </c>
      <c r="J792" t="s">
        <v>35</v>
      </c>
      <c r="K792" t="s">
        <v>89</v>
      </c>
      <c r="L792" t="s">
        <v>43</v>
      </c>
      <c r="M792">
        <v>0</v>
      </c>
      <c r="N792">
        <v>0</v>
      </c>
      <c r="O792" s="5">
        <v>50352</v>
      </c>
      <c r="P792" s="5">
        <v>50367</v>
      </c>
      <c r="Q792">
        <f>29-14.5</f>
        <v>14.5</v>
      </c>
      <c r="R792" t="s">
        <v>65</v>
      </c>
      <c r="T792">
        <v>20</v>
      </c>
      <c r="U792">
        <v>74</v>
      </c>
      <c r="V792">
        <v>14</v>
      </c>
      <c r="W792">
        <v>11.8</v>
      </c>
      <c r="X792">
        <v>27.2</v>
      </c>
      <c r="Z792" t="s">
        <v>39</v>
      </c>
      <c r="AB792" t="s">
        <v>59</v>
      </c>
      <c r="AC792" t="s">
        <v>88</v>
      </c>
    </row>
    <row r="793" spans="1:30" x14ac:dyDescent="0.25">
      <c r="A793" s="4">
        <v>42543</v>
      </c>
      <c r="B793" t="s">
        <v>30</v>
      </c>
      <c r="C793">
        <v>304</v>
      </c>
      <c r="D793">
        <v>2</v>
      </c>
      <c r="E793">
        <v>1</v>
      </c>
      <c r="F793" t="s">
        <v>41</v>
      </c>
      <c r="G793" t="s">
        <v>32</v>
      </c>
      <c r="H793" t="s">
        <v>33</v>
      </c>
      <c r="I793" t="s">
        <v>34</v>
      </c>
      <c r="J793" t="s">
        <v>42</v>
      </c>
      <c r="K793" t="s">
        <v>36</v>
      </c>
      <c r="L793" t="s">
        <v>37</v>
      </c>
      <c r="M793">
        <v>0</v>
      </c>
      <c r="N793">
        <v>1</v>
      </c>
      <c r="O793" s="5">
        <v>50428</v>
      </c>
      <c r="P793" s="5">
        <v>50427</v>
      </c>
      <c r="Q793">
        <f>36.5-13</f>
        <v>23.5</v>
      </c>
      <c r="R793" t="s">
        <v>149</v>
      </c>
      <c r="S793" t="s">
        <v>97</v>
      </c>
      <c r="T793">
        <v>18</v>
      </c>
      <c r="U793">
        <v>84</v>
      </c>
      <c r="V793">
        <v>15</v>
      </c>
      <c r="W793">
        <v>12.4</v>
      </c>
      <c r="X793">
        <v>30.4</v>
      </c>
      <c r="Z793" t="s">
        <v>39</v>
      </c>
      <c r="AB793" t="s">
        <v>59</v>
      </c>
      <c r="AC793" t="s">
        <v>88</v>
      </c>
    </row>
    <row r="794" spans="1:30" x14ac:dyDescent="0.25">
      <c r="A794" s="4">
        <v>42543</v>
      </c>
      <c r="B794" t="s">
        <v>30</v>
      </c>
      <c r="C794">
        <v>304</v>
      </c>
      <c r="D794">
        <v>7</v>
      </c>
      <c r="E794">
        <v>1</v>
      </c>
      <c r="F794" t="s">
        <v>41</v>
      </c>
      <c r="G794" t="s">
        <v>32</v>
      </c>
      <c r="H794" t="s">
        <v>33</v>
      </c>
      <c r="I794" t="s">
        <v>53</v>
      </c>
      <c r="J794" t="s">
        <v>62</v>
      </c>
      <c r="O794" s="5"/>
      <c r="P794" s="5"/>
      <c r="Z794" t="s">
        <v>39</v>
      </c>
    </row>
    <row r="795" spans="1:30" x14ac:dyDescent="0.25">
      <c r="A795" s="4">
        <v>42543</v>
      </c>
      <c r="B795" t="s">
        <v>30</v>
      </c>
      <c r="C795">
        <v>304</v>
      </c>
      <c r="D795">
        <v>8</v>
      </c>
      <c r="E795">
        <v>1</v>
      </c>
      <c r="F795" t="s">
        <v>41</v>
      </c>
      <c r="G795" t="s">
        <v>32</v>
      </c>
      <c r="H795" t="s">
        <v>33</v>
      </c>
      <c r="I795" t="s">
        <v>57</v>
      </c>
      <c r="O795" s="5"/>
      <c r="P795" s="5"/>
      <c r="Z795" t="s">
        <v>39</v>
      </c>
    </row>
    <row r="796" spans="1:30" x14ac:dyDescent="0.25">
      <c r="A796" s="4">
        <v>42543</v>
      </c>
      <c r="B796" t="s">
        <v>30</v>
      </c>
      <c r="C796">
        <v>304</v>
      </c>
      <c r="D796">
        <v>9</v>
      </c>
      <c r="E796">
        <v>1</v>
      </c>
      <c r="F796" t="s">
        <v>41</v>
      </c>
      <c r="G796" t="s">
        <v>32</v>
      </c>
      <c r="H796" t="s">
        <v>33</v>
      </c>
      <c r="I796" t="s">
        <v>64</v>
      </c>
      <c r="J796" t="s">
        <v>42</v>
      </c>
      <c r="K796" t="s">
        <v>89</v>
      </c>
      <c r="L796" t="s">
        <v>43</v>
      </c>
      <c r="M796">
        <v>0</v>
      </c>
      <c r="N796">
        <v>1</v>
      </c>
      <c r="O796" s="5">
        <v>50429</v>
      </c>
      <c r="P796" s="5"/>
      <c r="Q796">
        <f>170-47.5</f>
        <v>122.5</v>
      </c>
      <c r="R796" t="s">
        <v>65</v>
      </c>
      <c r="T796">
        <v>31</v>
      </c>
      <c r="W796">
        <v>24.9</v>
      </c>
      <c r="X796">
        <v>44.8</v>
      </c>
      <c r="Z796" t="s">
        <v>39</v>
      </c>
      <c r="AB796" t="s">
        <v>138</v>
      </c>
      <c r="AC796" t="s">
        <v>88</v>
      </c>
    </row>
    <row r="797" spans="1:30" x14ac:dyDescent="0.25">
      <c r="A797" s="4">
        <v>42549</v>
      </c>
      <c r="B797" t="s">
        <v>30</v>
      </c>
      <c r="C797">
        <v>501</v>
      </c>
      <c r="D797">
        <v>1</v>
      </c>
      <c r="E797">
        <v>1</v>
      </c>
      <c r="F797" t="s">
        <v>41</v>
      </c>
      <c r="G797" t="s">
        <v>32</v>
      </c>
      <c r="H797" t="s">
        <v>33</v>
      </c>
      <c r="I797" t="s">
        <v>73</v>
      </c>
      <c r="J797" t="s">
        <v>42</v>
      </c>
      <c r="K797" t="s">
        <v>89</v>
      </c>
      <c r="L797" t="s">
        <v>43</v>
      </c>
      <c r="M797">
        <v>0</v>
      </c>
      <c r="N797">
        <v>1</v>
      </c>
      <c r="O797" s="5">
        <v>50443</v>
      </c>
      <c r="P797" s="5"/>
      <c r="Q797">
        <f>120-49</f>
        <v>71</v>
      </c>
      <c r="R797" t="s">
        <v>65</v>
      </c>
      <c r="Z797" t="s">
        <v>39</v>
      </c>
      <c r="AB797" t="s">
        <v>102</v>
      </c>
      <c r="AC797" t="s">
        <v>88</v>
      </c>
    </row>
    <row r="798" spans="1:30" x14ac:dyDescent="0.25">
      <c r="A798" s="4">
        <v>42549</v>
      </c>
      <c r="B798" t="s">
        <v>30</v>
      </c>
      <c r="C798">
        <v>501</v>
      </c>
      <c r="D798">
        <v>3</v>
      </c>
      <c r="E798">
        <v>1</v>
      </c>
      <c r="F798" t="s">
        <v>41</v>
      </c>
      <c r="G798" t="s">
        <v>32</v>
      </c>
      <c r="H798" t="s">
        <v>33</v>
      </c>
      <c r="I798" t="s">
        <v>73</v>
      </c>
      <c r="J798" t="s">
        <v>35</v>
      </c>
      <c r="K798" t="s">
        <v>36</v>
      </c>
      <c r="L798" t="s">
        <v>37</v>
      </c>
      <c r="M798">
        <v>0</v>
      </c>
      <c r="N798">
        <v>0</v>
      </c>
      <c r="O798" s="5"/>
      <c r="P798" s="5">
        <v>50337</v>
      </c>
      <c r="Q798">
        <f>128-46</f>
        <v>82</v>
      </c>
      <c r="R798" t="s">
        <v>74</v>
      </c>
      <c r="S798" t="s">
        <v>97</v>
      </c>
      <c r="Z798" t="s">
        <v>39</v>
      </c>
      <c r="AB798" t="s">
        <v>102</v>
      </c>
      <c r="AC798" t="s">
        <v>88</v>
      </c>
    </row>
    <row r="799" spans="1:30" x14ac:dyDescent="0.25">
      <c r="A799" s="4">
        <v>42549</v>
      </c>
      <c r="B799" t="s">
        <v>30</v>
      </c>
      <c r="C799">
        <v>501</v>
      </c>
      <c r="D799">
        <v>5</v>
      </c>
      <c r="E799">
        <v>1</v>
      </c>
      <c r="F799" t="s">
        <v>41</v>
      </c>
      <c r="G799" t="s">
        <v>32</v>
      </c>
      <c r="H799" t="s">
        <v>33</v>
      </c>
      <c r="I799" t="s">
        <v>34</v>
      </c>
      <c r="J799" t="s">
        <v>35</v>
      </c>
      <c r="K799" t="s">
        <v>36</v>
      </c>
      <c r="L799" t="s">
        <v>43</v>
      </c>
      <c r="M799">
        <v>0</v>
      </c>
      <c r="N799">
        <v>0</v>
      </c>
      <c r="O799" s="5">
        <v>20604</v>
      </c>
      <c r="P799" s="5">
        <v>20603</v>
      </c>
      <c r="Q799">
        <f>32-13</f>
        <v>19</v>
      </c>
      <c r="R799" t="s">
        <v>47</v>
      </c>
      <c r="T799">
        <v>18</v>
      </c>
      <c r="V799">
        <v>14</v>
      </c>
      <c r="W799">
        <v>12</v>
      </c>
      <c r="X799">
        <v>31.5</v>
      </c>
      <c r="Z799" t="s">
        <v>39</v>
      </c>
      <c r="AB799" t="s">
        <v>102</v>
      </c>
      <c r="AC799" t="s">
        <v>88</v>
      </c>
    </row>
    <row r="800" spans="1:30" x14ac:dyDescent="0.25">
      <c r="A800" s="4">
        <v>42549</v>
      </c>
      <c r="B800" t="s">
        <v>30</v>
      </c>
      <c r="C800">
        <v>501</v>
      </c>
      <c r="D800">
        <v>5</v>
      </c>
      <c r="E800">
        <v>2</v>
      </c>
      <c r="F800" t="s">
        <v>41</v>
      </c>
      <c r="G800" t="s">
        <v>32</v>
      </c>
      <c r="H800" t="s">
        <v>33</v>
      </c>
      <c r="I800" t="s">
        <v>34</v>
      </c>
      <c r="J800" t="s">
        <v>42</v>
      </c>
      <c r="K800" t="s">
        <v>89</v>
      </c>
      <c r="L800" t="s">
        <v>37</v>
      </c>
      <c r="M800">
        <v>0</v>
      </c>
      <c r="N800">
        <v>1</v>
      </c>
      <c r="O800" s="5">
        <v>50448</v>
      </c>
      <c r="P800" s="5">
        <v>50447</v>
      </c>
      <c r="Q800">
        <f>28-12</f>
        <v>16</v>
      </c>
      <c r="R800" t="s">
        <v>38</v>
      </c>
      <c r="S800" t="s">
        <v>39</v>
      </c>
      <c r="T800">
        <v>19</v>
      </c>
      <c r="V800">
        <v>13</v>
      </c>
      <c r="W800">
        <v>12.5</v>
      </c>
      <c r="X800">
        <v>27</v>
      </c>
      <c r="Z800" t="s">
        <v>39</v>
      </c>
      <c r="AB800" t="s">
        <v>102</v>
      </c>
      <c r="AC800" t="s">
        <v>88</v>
      </c>
    </row>
    <row r="801" spans="1:29" x14ac:dyDescent="0.25">
      <c r="A801" s="4">
        <v>42549</v>
      </c>
      <c r="B801" t="s">
        <v>30</v>
      </c>
      <c r="C801">
        <v>501</v>
      </c>
      <c r="D801">
        <v>7</v>
      </c>
      <c r="E801">
        <v>1</v>
      </c>
      <c r="F801" t="s">
        <v>41</v>
      </c>
      <c r="G801" t="s">
        <v>32</v>
      </c>
      <c r="H801" t="s">
        <v>33</v>
      </c>
      <c r="I801" t="s">
        <v>57</v>
      </c>
      <c r="O801" s="5"/>
      <c r="P801" s="5"/>
      <c r="Z801" t="s">
        <v>39</v>
      </c>
    </row>
    <row r="802" spans="1:29" x14ac:dyDescent="0.25">
      <c r="A802" s="4">
        <v>42549</v>
      </c>
      <c r="B802" t="s">
        <v>30</v>
      </c>
      <c r="C802">
        <v>501</v>
      </c>
      <c r="D802">
        <v>7</v>
      </c>
      <c r="E802">
        <v>2</v>
      </c>
      <c r="F802" t="s">
        <v>41</v>
      </c>
      <c r="G802" t="s">
        <v>32</v>
      </c>
      <c r="H802" t="s">
        <v>33</v>
      </c>
      <c r="I802" t="s">
        <v>57</v>
      </c>
      <c r="O802" s="5"/>
      <c r="P802" s="5"/>
      <c r="Z802" t="s">
        <v>39</v>
      </c>
    </row>
    <row r="803" spans="1:29" x14ac:dyDescent="0.25">
      <c r="A803" s="4">
        <v>42549</v>
      </c>
      <c r="B803" t="s">
        <v>30</v>
      </c>
      <c r="C803">
        <v>503</v>
      </c>
      <c r="D803">
        <v>2</v>
      </c>
      <c r="E803">
        <v>1</v>
      </c>
      <c r="F803" t="s">
        <v>41</v>
      </c>
      <c r="G803" t="s">
        <v>32</v>
      </c>
      <c r="H803" t="s">
        <v>33</v>
      </c>
      <c r="I803" t="s">
        <v>57</v>
      </c>
      <c r="O803" s="5"/>
      <c r="P803" s="5"/>
      <c r="Z803" t="s">
        <v>39</v>
      </c>
    </row>
    <row r="804" spans="1:29" x14ac:dyDescent="0.25">
      <c r="A804" s="4">
        <v>42549</v>
      </c>
      <c r="B804" t="s">
        <v>30</v>
      </c>
      <c r="C804">
        <v>503</v>
      </c>
      <c r="D804">
        <v>2</v>
      </c>
      <c r="E804">
        <v>2</v>
      </c>
      <c r="F804" t="s">
        <v>41</v>
      </c>
      <c r="G804" t="s">
        <v>32</v>
      </c>
      <c r="H804" t="s">
        <v>33</v>
      </c>
      <c r="I804" t="s">
        <v>91</v>
      </c>
      <c r="J804" t="s">
        <v>122</v>
      </c>
      <c r="O804" s="5"/>
      <c r="P804" s="5"/>
      <c r="Z804" t="s">
        <v>39</v>
      </c>
    </row>
    <row r="805" spans="1:29" x14ac:dyDescent="0.25">
      <c r="A805" s="4">
        <v>42549</v>
      </c>
      <c r="B805" t="s">
        <v>30</v>
      </c>
      <c r="C805">
        <v>503</v>
      </c>
      <c r="D805">
        <v>7</v>
      </c>
      <c r="E805">
        <v>1</v>
      </c>
      <c r="F805" t="s">
        <v>41</v>
      </c>
      <c r="G805" t="s">
        <v>32</v>
      </c>
      <c r="H805" t="s">
        <v>33</v>
      </c>
      <c r="I805" t="s">
        <v>34</v>
      </c>
      <c r="J805" t="s">
        <v>42</v>
      </c>
      <c r="K805" t="s">
        <v>36</v>
      </c>
      <c r="L805" t="s">
        <v>43</v>
      </c>
      <c r="M805">
        <v>0</v>
      </c>
      <c r="N805">
        <v>1</v>
      </c>
      <c r="O805" s="5">
        <v>50436</v>
      </c>
      <c r="P805" s="5">
        <v>50435</v>
      </c>
      <c r="Q805">
        <f>33-14.5</f>
        <v>18.5</v>
      </c>
      <c r="R805" t="s">
        <v>47</v>
      </c>
      <c r="T805">
        <v>20</v>
      </c>
      <c r="V805">
        <v>14</v>
      </c>
      <c r="W805">
        <v>13</v>
      </c>
      <c r="X805">
        <v>29</v>
      </c>
      <c r="Z805" t="s">
        <v>39</v>
      </c>
      <c r="AB805" t="s">
        <v>102</v>
      </c>
      <c r="AC805" t="s">
        <v>88</v>
      </c>
    </row>
    <row r="806" spans="1:29" x14ac:dyDescent="0.25">
      <c r="A806" s="4">
        <v>42549</v>
      </c>
      <c r="B806" t="s">
        <v>30</v>
      </c>
      <c r="C806">
        <v>503</v>
      </c>
      <c r="D806">
        <v>10</v>
      </c>
      <c r="E806">
        <v>1</v>
      </c>
      <c r="F806" t="s">
        <v>41</v>
      </c>
      <c r="G806" t="s">
        <v>32</v>
      </c>
      <c r="H806" t="s">
        <v>33</v>
      </c>
      <c r="I806" t="s">
        <v>57</v>
      </c>
      <c r="O806" s="5"/>
      <c r="P806" s="5"/>
      <c r="Z806" t="s">
        <v>39</v>
      </c>
    </row>
    <row r="807" spans="1:29" x14ac:dyDescent="0.25">
      <c r="A807" s="4">
        <v>42549</v>
      </c>
      <c r="B807" t="s">
        <v>30</v>
      </c>
      <c r="C807">
        <v>303</v>
      </c>
      <c r="D807">
        <v>1</v>
      </c>
      <c r="E807">
        <v>1</v>
      </c>
      <c r="F807" t="s">
        <v>41</v>
      </c>
      <c r="G807" t="s">
        <v>32</v>
      </c>
      <c r="H807" t="s">
        <v>33</v>
      </c>
      <c r="I807" t="s">
        <v>57</v>
      </c>
      <c r="O807" s="5"/>
      <c r="P807" s="5"/>
      <c r="Z807" t="s">
        <v>39</v>
      </c>
    </row>
    <row r="808" spans="1:29" x14ac:dyDescent="0.25">
      <c r="A808" s="4">
        <v>42549</v>
      </c>
      <c r="B808" t="s">
        <v>30</v>
      </c>
      <c r="C808">
        <v>303</v>
      </c>
      <c r="D808">
        <v>2</v>
      </c>
      <c r="E808">
        <v>1</v>
      </c>
      <c r="F808" t="s">
        <v>41</v>
      </c>
      <c r="G808" t="s">
        <v>32</v>
      </c>
      <c r="H808" t="s">
        <v>33</v>
      </c>
      <c r="I808" t="s">
        <v>57</v>
      </c>
      <c r="O808" s="5"/>
      <c r="P808" s="5"/>
      <c r="Z808" t="s">
        <v>39</v>
      </c>
    </row>
    <row r="809" spans="1:29" x14ac:dyDescent="0.25">
      <c r="A809" s="4">
        <v>42549</v>
      </c>
      <c r="B809" t="s">
        <v>30</v>
      </c>
      <c r="C809">
        <v>303</v>
      </c>
      <c r="D809">
        <v>2</v>
      </c>
      <c r="E809">
        <v>2</v>
      </c>
      <c r="F809" t="s">
        <v>41</v>
      </c>
      <c r="G809" t="s">
        <v>32</v>
      </c>
      <c r="H809" t="s">
        <v>33</v>
      </c>
      <c r="I809" t="s">
        <v>57</v>
      </c>
      <c r="O809" s="5"/>
      <c r="P809" s="5"/>
      <c r="Z809" t="s">
        <v>39</v>
      </c>
    </row>
    <row r="810" spans="1:29" x14ac:dyDescent="0.25">
      <c r="A810" s="4">
        <v>42549</v>
      </c>
      <c r="B810" t="s">
        <v>30</v>
      </c>
      <c r="C810">
        <v>303</v>
      </c>
      <c r="D810">
        <v>3</v>
      </c>
      <c r="E810">
        <v>1</v>
      </c>
      <c r="F810" t="s">
        <v>41</v>
      </c>
      <c r="G810" t="s">
        <v>32</v>
      </c>
      <c r="H810" t="s">
        <v>33</v>
      </c>
      <c r="I810" t="s">
        <v>34</v>
      </c>
      <c r="J810" t="s">
        <v>35</v>
      </c>
      <c r="K810" t="s">
        <v>36</v>
      </c>
      <c r="L810" t="s">
        <v>43</v>
      </c>
      <c r="M810">
        <v>0</v>
      </c>
      <c r="N810">
        <v>0</v>
      </c>
      <c r="O810" s="5">
        <v>50321</v>
      </c>
      <c r="P810" s="5">
        <v>50320</v>
      </c>
      <c r="Q810">
        <f>33-12</f>
        <v>21</v>
      </c>
      <c r="R810" t="s">
        <v>47</v>
      </c>
      <c r="T810">
        <v>19</v>
      </c>
      <c r="V810">
        <v>14</v>
      </c>
      <c r="W810">
        <v>12.6</v>
      </c>
      <c r="X810">
        <v>30.2</v>
      </c>
      <c r="Y810" t="s">
        <v>158</v>
      </c>
      <c r="Z810" t="s">
        <v>39</v>
      </c>
      <c r="AB810" t="s">
        <v>87</v>
      </c>
      <c r="AC810" t="s">
        <v>88</v>
      </c>
    </row>
    <row r="811" spans="1:29" x14ac:dyDescent="0.25">
      <c r="A811" s="4">
        <v>42549</v>
      </c>
      <c r="B811" t="s">
        <v>30</v>
      </c>
      <c r="C811">
        <v>303</v>
      </c>
      <c r="D811">
        <v>6</v>
      </c>
      <c r="E811">
        <v>1</v>
      </c>
      <c r="F811" t="s">
        <v>41</v>
      </c>
      <c r="G811" t="s">
        <v>32</v>
      </c>
      <c r="H811" t="s">
        <v>33</v>
      </c>
      <c r="I811" t="s">
        <v>34</v>
      </c>
      <c r="J811" t="s">
        <v>35</v>
      </c>
      <c r="K811" t="s">
        <v>114</v>
      </c>
      <c r="L811" t="s">
        <v>37</v>
      </c>
      <c r="M811">
        <v>0</v>
      </c>
      <c r="N811">
        <v>0</v>
      </c>
      <c r="O811" s="5">
        <v>50582</v>
      </c>
      <c r="P811" s="5">
        <v>50581</v>
      </c>
      <c r="Q811">
        <f>29-12</f>
        <v>17</v>
      </c>
      <c r="R811" t="s">
        <v>63</v>
      </c>
      <c r="S811" t="s">
        <v>39</v>
      </c>
      <c r="T811">
        <v>20</v>
      </c>
      <c r="V811">
        <v>14</v>
      </c>
      <c r="W811">
        <v>12.6</v>
      </c>
      <c r="X811">
        <v>28.1</v>
      </c>
      <c r="Z811" t="s">
        <v>39</v>
      </c>
      <c r="AB811" t="s">
        <v>87</v>
      </c>
      <c r="AC811" t="s">
        <v>88</v>
      </c>
    </row>
    <row r="812" spans="1:29" x14ac:dyDescent="0.25">
      <c r="A812" s="4">
        <v>42549</v>
      </c>
      <c r="B812" t="s">
        <v>30</v>
      </c>
      <c r="C812">
        <v>303</v>
      </c>
      <c r="D812">
        <v>7</v>
      </c>
      <c r="E812">
        <v>1</v>
      </c>
      <c r="F812" t="s">
        <v>41</v>
      </c>
      <c r="G812" t="s">
        <v>32</v>
      </c>
      <c r="H812" t="s">
        <v>33</v>
      </c>
      <c r="I812" t="s">
        <v>57</v>
      </c>
      <c r="O812" s="5"/>
      <c r="P812" s="5"/>
      <c r="Z812" t="s">
        <v>39</v>
      </c>
    </row>
    <row r="813" spans="1:29" x14ac:dyDescent="0.25">
      <c r="A813" s="4">
        <v>42549</v>
      </c>
      <c r="B813" t="s">
        <v>30</v>
      </c>
      <c r="C813">
        <v>303</v>
      </c>
      <c r="D813">
        <v>9</v>
      </c>
      <c r="E813">
        <v>1</v>
      </c>
      <c r="F813" t="s">
        <v>41</v>
      </c>
      <c r="G813" t="s">
        <v>32</v>
      </c>
      <c r="H813" t="s">
        <v>33</v>
      </c>
      <c r="I813" t="s">
        <v>58</v>
      </c>
      <c r="J813" t="s">
        <v>42</v>
      </c>
      <c r="K813" t="s">
        <v>36</v>
      </c>
      <c r="L813" t="s">
        <v>43</v>
      </c>
      <c r="M813">
        <v>0</v>
      </c>
      <c r="N813">
        <v>1</v>
      </c>
      <c r="O813" s="5">
        <v>50444</v>
      </c>
      <c r="P813" s="5"/>
      <c r="Q813">
        <f>32.5-11.5</f>
        <v>21</v>
      </c>
      <c r="R813" t="s">
        <v>47</v>
      </c>
      <c r="T813">
        <v>18</v>
      </c>
      <c r="W813">
        <v>12.6</v>
      </c>
      <c r="X813">
        <v>28</v>
      </c>
      <c r="Z813" t="s">
        <v>39</v>
      </c>
      <c r="AB813" t="s">
        <v>87</v>
      </c>
      <c r="AC813" t="s">
        <v>88</v>
      </c>
    </row>
    <row r="814" spans="1:29" x14ac:dyDescent="0.25">
      <c r="A814" s="4">
        <v>42549</v>
      </c>
      <c r="B814" t="s">
        <v>30</v>
      </c>
      <c r="C814">
        <v>401</v>
      </c>
      <c r="D814">
        <v>3</v>
      </c>
      <c r="E814">
        <v>1</v>
      </c>
      <c r="F814" t="s">
        <v>41</v>
      </c>
      <c r="G814" t="s">
        <v>32</v>
      </c>
      <c r="H814" t="s">
        <v>33</v>
      </c>
      <c r="I814" t="s">
        <v>98</v>
      </c>
      <c r="O814" s="5"/>
      <c r="P814" s="5"/>
      <c r="Z814" t="s">
        <v>39</v>
      </c>
    </row>
    <row r="815" spans="1:29" x14ac:dyDescent="0.25">
      <c r="A815" s="4">
        <v>42549</v>
      </c>
      <c r="B815" t="s">
        <v>30</v>
      </c>
      <c r="C815">
        <v>401</v>
      </c>
      <c r="D815">
        <v>6</v>
      </c>
      <c r="E815">
        <v>1</v>
      </c>
      <c r="F815" t="s">
        <v>41</v>
      </c>
      <c r="G815" t="s">
        <v>32</v>
      </c>
      <c r="H815" t="s">
        <v>33</v>
      </c>
      <c r="I815" t="s">
        <v>34</v>
      </c>
      <c r="J815" t="s">
        <v>35</v>
      </c>
      <c r="K815" t="s">
        <v>36</v>
      </c>
      <c r="L815" t="s">
        <v>43</v>
      </c>
      <c r="M815">
        <v>0</v>
      </c>
      <c r="N815">
        <v>0</v>
      </c>
      <c r="O815" s="5">
        <v>50590</v>
      </c>
      <c r="P815" s="5">
        <v>50589</v>
      </c>
      <c r="Q815">
        <f>31-13</f>
        <v>18</v>
      </c>
      <c r="R815" t="s">
        <v>47</v>
      </c>
      <c r="T815">
        <v>20</v>
      </c>
      <c r="V815">
        <v>13</v>
      </c>
      <c r="W815">
        <v>12.5</v>
      </c>
      <c r="X815">
        <v>27.1</v>
      </c>
      <c r="Y815" t="s">
        <v>159</v>
      </c>
      <c r="Z815" t="s">
        <v>39</v>
      </c>
      <c r="AB815" t="s">
        <v>87</v>
      </c>
      <c r="AC815" t="s">
        <v>88</v>
      </c>
    </row>
    <row r="816" spans="1:29" x14ac:dyDescent="0.25">
      <c r="A816" s="4">
        <v>42549</v>
      </c>
      <c r="B816" t="s">
        <v>30</v>
      </c>
      <c r="C816">
        <v>703</v>
      </c>
      <c r="D816">
        <v>1</v>
      </c>
      <c r="E816">
        <v>1</v>
      </c>
      <c r="F816" t="s">
        <v>31</v>
      </c>
      <c r="G816" t="s">
        <v>32</v>
      </c>
      <c r="H816" t="s">
        <v>33</v>
      </c>
      <c r="I816" t="s">
        <v>34</v>
      </c>
      <c r="J816" t="s">
        <v>42</v>
      </c>
      <c r="K816" t="s">
        <v>89</v>
      </c>
      <c r="L816" t="s">
        <v>37</v>
      </c>
      <c r="M816">
        <v>0</v>
      </c>
      <c r="N816">
        <v>1</v>
      </c>
      <c r="O816" s="5">
        <v>50480</v>
      </c>
      <c r="P816" s="5">
        <v>50479</v>
      </c>
      <c r="Q816">
        <f>25-12.5</f>
        <v>12.5</v>
      </c>
      <c r="R816" t="s">
        <v>38</v>
      </c>
      <c r="S816" t="s">
        <v>39</v>
      </c>
      <c r="T816">
        <v>18</v>
      </c>
      <c r="U816">
        <v>75</v>
      </c>
      <c r="V816">
        <v>15</v>
      </c>
      <c r="W816">
        <v>11.6</v>
      </c>
      <c r="X816">
        <v>27</v>
      </c>
      <c r="Z816" t="s">
        <v>39</v>
      </c>
      <c r="AB816" t="s">
        <v>102</v>
      </c>
      <c r="AC816" t="s">
        <v>88</v>
      </c>
    </row>
    <row r="817" spans="1:30" x14ac:dyDescent="0.25">
      <c r="A817" s="4">
        <v>42549</v>
      </c>
      <c r="B817" t="s">
        <v>30</v>
      </c>
      <c r="C817">
        <v>703</v>
      </c>
      <c r="D817">
        <v>1</v>
      </c>
      <c r="E817">
        <v>2</v>
      </c>
      <c r="F817" t="s">
        <v>31</v>
      </c>
      <c r="G817" t="s">
        <v>32</v>
      </c>
      <c r="H817" t="s">
        <v>33</v>
      </c>
      <c r="I817" t="s">
        <v>64</v>
      </c>
      <c r="J817" t="s">
        <v>160</v>
      </c>
      <c r="K817" t="s">
        <v>36</v>
      </c>
      <c r="L817" t="s">
        <v>37</v>
      </c>
      <c r="M817">
        <v>0</v>
      </c>
      <c r="N817">
        <v>0</v>
      </c>
      <c r="O817" s="5">
        <v>50390</v>
      </c>
      <c r="P817" s="5"/>
      <c r="Q817">
        <f>250-90</f>
        <v>160</v>
      </c>
      <c r="R817" t="s">
        <v>74</v>
      </c>
      <c r="S817" t="s">
        <v>97</v>
      </c>
      <c r="T817">
        <v>40</v>
      </c>
      <c r="W817">
        <v>26.4</v>
      </c>
      <c r="X817">
        <v>49.8</v>
      </c>
      <c r="Z817" t="s">
        <v>39</v>
      </c>
      <c r="AB817" t="s">
        <v>87</v>
      </c>
      <c r="AC817" t="s">
        <v>88</v>
      </c>
    </row>
    <row r="818" spans="1:30" x14ac:dyDescent="0.25">
      <c r="A818" s="4">
        <v>42549</v>
      </c>
      <c r="B818" t="s">
        <v>30</v>
      </c>
      <c r="C818">
        <v>703</v>
      </c>
      <c r="D818">
        <v>2</v>
      </c>
      <c r="E818">
        <v>1</v>
      </c>
      <c r="F818" t="s">
        <v>31</v>
      </c>
      <c r="G818" t="s">
        <v>32</v>
      </c>
      <c r="H818" t="s">
        <v>33</v>
      </c>
      <c r="I818" t="s">
        <v>57</v>
      </c>
      <c r="O818" s="5"/>
      <c r="P818" s="5"/>
      <c r="Z818" t="s">
        <v>39</v>
      </c>
    </row>
    <row r="819" spans="1:30" x14ac:dyDescent="0.25">
      <c r="A819" s="4">
        <v>42549</v>
      </c>
      <c r="B819" t="s">
        <v>30</v>
      </c>
      <c r="C819">
        <v>703</v>
      </c>
      <c r="D819">
        <v>2</v>
      </c>
      <c r="E819">
        <v>2</v>
      </c>
      <c r="F819" t="s">
        <v>31</v>
      </c>
      <c r="G819" t="s">
        <v>32</v>
      </c>
      <c r="H819" t="s">
        <v>33</v>
      </c>
      <c r="I819" t="s">
        <v>91</v>
      </c>
      <c r="J819" t="s">
        <v>42</v>
      </c>
      <c r="K819" t="s">
        <v>36</v>
      </c>
      <c r="L819" t="s">
        <v>37</v>
      </c>
      <c r="M819">
        <v>0</v>
      </c>
      <c r="N819">
        <v>1</v>
      </c>
      <c r="O819" s="5">
        <v>50489</v>
      </c>
      <c r="P819" s="5"/>
      <c r="Q819">
        <f>39-12.5</f>
        <v>26.5</v>
      </c>
      <c r="R819" t="s">
        <v>74</v>
      </c>
      <c r="S819" t="s">
        <v>97</v>
      </c>
      <c r="T819">
        <v>29</v>
      </c>
      <c r="W819">
        <v>12.8</v>
      </c>
      <c r="X819">
        <v>27.5</v>
      </c>
      <c r="Z819" t="s">
        <v>39</v>
      </c>
      <c r="AB819" t="s">
        <v>102</v>
      </c>
      <c r="AC819" t="s">
        <v>88</v>
      </c>
    </row>
    <row r="820" spans="1:30" x14ac:dyDescent="0.25">
      <c r="A820" s="4">
        <v>42549</v>
      </c>
      <c r="B820" t="s">
        <v>30</v>
      </c>
      <c r="C820">
        <v>703</v>
      </c>
      <c r="D820">
        <v>5</v>
      </c>
      <c r="E820">
        <v>1</v>
      </c>
      <c r="F820" t="s">
        <v>31</v>
      </c>
      <c r="G820" t="s">
        <v>32</v>
      </c>
      <c r="H820" t="s">
        <v>33</v>
      </c>
      <c r="I820" t="s">
        <v>34</v>
      </c>
      <c r="J820" t="s">
        <v>35</v>
      </c>
      <c r="K820" t="s">
        <v>36</v>
      </c>
      <c r="L820" t="s">
        <v>37</v>
      </c>
      <c r="M820">
        <v>0</v>
      </c>
      <c r="N820">
        <v>0</v>
      </c>
      <c r="O820" s="5" t="s">
        <v>71</v>
      </c>
      <c r="P820" s="5" t="s">
        <v>72</v>
      </c>
      <c r="Q820">
        <f>34-12.5</f>
        <v>21.5</v>
      </c>
      <c r="R820" t="s">
        <v>38</v>
      </c>
      <c r="S820" t="s">
        <v>39</v>
      </c>
      <c r="T820">
        <v>19</v>
      </c>
      <c r="U820">
        <v>93</v>
      </c>
      <c r="V820">
        <v>14</v>
      </c>
      <c r="W820">
        <v>12.8</v>
      </c>
      <c r="X820">
        <v>27.4</v>
      </c>
      <c r="Z820" t="s">
        <v>39</v>
      </c>
      <c r="AB820" t="s">
        <v>102</v>
      </c>
      <c r="AC820" t="s">
        <v>88</v>
      </c>
    </row>
    <row r="821" spans="1:30" x14ac:dyDescent="0.25">
      <c r="A821" s="4">
        <v>42549</v>
      </c>
      <c r="B821" t="s">
        <v>30</v>
      </c>
      <c r="C821">
        <v>703</v>
      </c>
      <c r="D821">
        <v>7</v>
      </c>
      <c r="E821">
        <v>1</v>
      </c>
      <c r="F821" t="s">
        <v>31</v>
      </c>
      <c r="G821" t="s">
        <v>32</v>
      </c>
      <c r="H821" t="s">
        <v>33</v>
      </c>
      <c r="I821" t="s">
        <v>53</v>
      </c>
      <c r="J821" t="s">
        <v>62</v>
      </c>
      <c r="O821" s="5"/>
      <c r="P821" s="5"/>
      <c r="Z821" t="s">
        <v>39</v>
      </c>
    </row>
    <row r="822" spans="1:30" x14ac:dyDescent="0.25">
      <c r="A822" s="4">
        <v>42549</v>
      </c>
      <c r="B822" t="s">
        <v>30</v>
      </c>
      <c r="C822">
        <v>703</v>
      </c>
      <c r="D822">
        <v>8</v>
      </c>
      <c r="E822">
        <v>1</v>
      </c>
      <c r="F822" t="s">
        <v>31</v>
      </c>
      <c r="G822" t="s">
        <v>32</v>
      </c>
      <c r="H822" t="s">
        <v>33</v>
      </c>
      <c r="I822" t="s">
        <v>57</v>
      </c>
      <c r="O822" s="5"/>
      <c r="P822" s="5"/>
      <c r="Z822" t="s">
        <v>39</v>
      </c>
    </row>
    <row r="823" spans="1:30" x14ac:dyDescent="0.25">
      <c r="A823" s="4">
        <v>42549</v>
      </c>
      <c r="B823" t="s">
        <v>30</v>
      </c>
      <c r="C823">
        <v>703</v>
      </c>
      <c r="D823">
        <v>8</v>
      </c>
      <c r="E823">
        <v>2</v>
      </c>
      <c r="F823" t="s">
        <v>31</v>
      </c>
      <c r="G823" t="s">
        <v>32</v>
      </c>
      <c r="H823" t="s">
        <v>33</v>
      </c>
      <c r="I823" t="s">
        <v>34</v>
      </c>
      <c r="J823" t="s">
        <v>35</v>
      </c>
      <c r="K823" t="s">
        <v>89</v>
      </c>
      <c r="L823" t="s">
        <v>37</v>
      </c>
      <c r="M823">
        <v>0</v>
      </c>
      <c r="N823">
        <v>0</v>
      </c>
      <c r="O823" s="5">
        <v>50466</v>
      </c>
      <c r="P823" s="5">
        <v>50485</v>
      </c>
      <c r="Q823">
        <f>22-12.5</f>
        <v>9.5</v>
      </c>
      <c r="R823" t="s">
        <v>38</v>
      </c>
      <c r="S823" t="s">
        <v>39</v>
      </c>
      <c r="T823">
        <v>18</v>
      </c>
      <c r="U823">
        <v>72.5</v>
      </c>
      <c r="V823">
        <v>10</v>
      </c>
      <c r="W823">
        <v>11.4</v>
      </c>
      <c r="X823">
        <v>23.8</v>
      </c>
      <c r="Z823" t="s">
        <v>39</v>
      </c>
      <c r="AB823" t="s">
        <v>87</v>
      </c>
      <c r="AC823" t="s">
        <v>88</v>
      </c>
    </row>
    <row r="824" spans="1:30" x14ac:dyDescent="0.25">
      <c r="A824" s="4">
        <v>42549</v>
      </c>
      <c r="B824" t="s">
        <v>30</v>
      </c>
      <c r="C824">
        <v>703</v>
      </c>
      <c r="D824">
        <v>9</v>
      </c>
      <c r="E824">
        <v>1</v>
      </c>
      <c r="F824" t="s">
        <v>31</v>
      </c>
      <c r="G824" t="s">
        <v>32</v>
      </c>
      <c r="H824" t="s">
        <v>33</v>
      </c>
      <c r="I824" t="s">
        <v>57</v>
      </c>
      <c r="O824" s="5"/>
      <c r="P824" s="5"/>
      <c r="Z824" t="s">
        <v>39</v>
      </c>
    </row>
    <row r="825" spans="1:30" x14ac:dyDescent="0.25">
      <c r="A825" s="4">
        <v>42549</v>
      </c>
      <c r="B825" t="s">
        <v>30</v>
      </c>
      <c r="C825">
        <v>703</v>
      </c>
      <c r="D825">
        <v>9</v>
      </c>
      <c r="E825">
        <v>2</v>
      </c>
      <c r="F825" t="s">
        <v>31</v>
      </c>
      <c r="G825" t="s">
        <v>32</v>
      </c>
      <c r="H825" t="s">
        <v>33</v>
      </c>
      <c r="I825" t="s">
        <v>34</v>
      </c>
      <c r="J825" t="s">
        <v>42</v>
      </c>
      <c r="K825" t="s">
        <v>89</v>
      </c>
      <c r="L825" t="s">
        <v>37</v>
      </c>
      <c r="M825">
        <v>0</v>
      </c>
      <c r="N825">
        <v>1</v>
      </c>
      <c r="O825" s="5">
        <v>50610</v>
      </c>
      <c r="P825" s="5">
        <v>50609</v>
      </c>
      <c r="Q825">
        <f>23-12</f>
        <v>11</v>
      </c>
      <c r="R825" t="s">
        <v>38</v>
      </c>
      <c r="S825" t="s">
        <v>39</v>
      </c>
      <c r="T825">
        <v>17.5</v>
      </c>
      <c r="U825">
        <v>68</v>
      </c>
      <c r="V825">
        <v>14</v>
      </c>
      <c r="W825">
        <v>11.7</v>
      </c>
      <c r="X825">
        <v>25.5</v>
      </c>
      <c r="Z825" t="s">
        <v>39</v>
      </c>
      <c r="AB825" t="s">
        <v>87</v>
      </c>
      <c r="AC825" t="s">
        <v>88</v>
      </c>
    </row>
    <row r="826" spans="1:30" x14ac:dyDescent="0.25">
      <c r="A826" s="4">
        <v>42549</v>
      </c>
      <c r="B826" t="s">
        <v>30</v>
      </c>
      <c r="C826">
        <v>703</v>
      </c>
      <c r="D826">
        <v>10</v>
      </c>
      <c r="E826">
        <v>1</v>
      </c>
      <c r="F826" t="s">
        <v>31</v>
      </c>
      <c r="G826" t="s">
        <v>32</v>
      </c>
      <c r="H826" t="s">
        <v>33</v>
      </c>
      <c r="I826" t="s">
        <v>57</v>
      </c>
      <c r="O826" s="5"/>
      <c r="P826" s="5"/>
      <c r="Z826" t="s">
        <v>39</v>
      </c>
    </row>
    <row r="827" spans="1:30" x14ac:dyDescent="0.25">
      <c r="A827" s="4">
        <v>42549</v>
      </c>
      <c r="B827" t="s">
        <v>30</v>
      </c>
      <c r="C827">
        <v>703</v>
      </c>
      <c r="D827">
        <v>10</v>
      </c>
      <c r="E827">
        <v>2</v>
      </c>
      <c r="F827" t="s">
        <v>31</v>
      </c>
      <c r="G827" t="s">
        <v>32</v>
      </c>
      <c r="H827" t="s">
        <v>33</v>
      </c>
      <c r="I827" t="s">
        <v>34</v>
      </c>
      <c r="J827" t="s">
        <v>42</v>
      </c>
      <c r="K827" t="s">
        <v>89</v>
      </c>
      <c r="L827" t="s">
        <v>37</v>
      </c>
      <c r="M827">
        <v>0</v>
      </c>
      <c r="N827">
        <v>1</v>
      </c>
      <c r="O827" s="5">
        <v>50612</v>
      </c>
      <c r="P827" s="5">
        <v>50611</v>
      </c>
      <c r="Q827">
        <f>22.5-12</f>
        <v>10.5</v>
      </c>
      <c r="R827" t="s">
        <v>38</v>
      </c>
      <c r="S827" t="s">
        <v>39</v>
      </c>
      <c r="T827">
        <v>19</v>
      </c>
      <c r="U827">
        <v>71</v>
      </c>
      <c r="V827">
        <v>13</v>
      </c>
      <c r="W827">
        <v>11.75</v>
      </c>
      <c r="X827">
        <v>24.2</v>
      </c>
      <c r="Z827" t="s">
        <v>39</v>
      </c>
      <c r="AB827" t="s">
        <v>87</v>
      </c>
      <c r="AC827" t="s">
        <v>88</v>
      </c>
    </row>
    <row r="828" spans="1:30" x14ac:dyDescent="0.25">
      <c r="A828" s="4">
        <v>42549</v>
      </c>
      <c r="B828" t="s">
        <v>30</v>
      </c>
      <c r="C828">
        <v>701</v>
      </c>
      <c r="D828">
        <v>1</v>
      </c>
      <c r="E828">
        <v>1</v>
      </c>
      <c r="F828" t="s">
        <v>31</v>
      </c>
      <c r="G828" t="s">
        <v>32</v>
      </c>
      <c r="H828" t="s">
        <v>33</v>
      </c>
      <c r="I828" t="s">
        <v>34</v>
      </c>
      <c r="J828" t="s">
        <v>35</v>
      </c>
      <c r="K828" t="s">
        <v>36</v>
      </c>
      <c r="L828" t="s">
        <v>37</v>
      </c>
      <c r="M828">
        <v>0</v>
      </c>
      <c r="N828">
        <v>0</v>
      </c>
      <c r="O828" s="5">
        <v>50395</v>
      </c>
      <c r="P828" s="5">
        <v>50394</v>
      </c>
      <c r="Q828">
        <f>32-12</f>
        <v>20</v>
      </c>
      <c r="R828" t="s">
        <v>38</v>
      </c>
      <c r="S828" t="s">
        <v>39</v>
      </c>
      <c r="T828">
        <v>17</v>
      </c>
      <c r="U828">
        <v>95</v>
      </c>
      <c r="V828">
        <v>14</v>
      </c>
      <c r="Z828" t="s">
        <v>39</v>
      </c>
      <c r="AB828" t="s">
        <v>87</v>
      </c>
      <c r="AC828" t="s">
        <v>88</v>
      </c>
      <c r="AD828" t="s">
        <v>161</v>
      </c>
    </row>
    <row r="829" spans="1:30" x14ac:dyDescent="0.25">
      <c r="A829" s="4">
        <v>42549</v>
      </c>
      <c r="B829" t="s">
        <v>30</v>
      </c>
      <c r="C829">
        <v>701</v>
      </c>
      <c r="D829">
        <v>1</v>
      </c>
      <c r="E829">
        <v>2</v>
      </c>
      <c r="F829" t="s">
        <v>31</v>
      </c>
      <c r="G829" t="s">
        <v>32</v>
      </c>
      <c r="H829" t="s">
        <v>33</v>
      </c>
      <c r="I829" t="s">
        <v>58</v>
      </c>
      <c r="J829" t="s">
        <v>35</v>
      </c>
      <c r="K829" t="s">
        <v>114</v>
      </c>
      <c r="L829" t="s">
        <v>43</v>
      </c>
      <c r="M829">
        <v>0</v>
      </c>
      <c r="N829">
        <v>0</v>
      </c>
      <c r="O829" s="5"/>
      <c r="P829" s="5">
        <v>50452</v>
      </c>
      <c r="Q829">
        <f>30-12</f>
        <v>18</v>
      </c>
      <c r="R829" t="s">
        <v>65</v>
      </c>
      <c r="S829" t="s">
        <v>39</v>
      </c>
      <c r="T829">
        <v>18</v>
      </c>
      <c r="W829">
        <v>12.8</v>
      </c>
      <c r="X829">
        <v>25.6</v>
      </c>
      <c r="Z829" t="s">
        <v>39</v>
      </c>
      <c r="AB829" t="s">
        <v>87</v>
      </c>
      <c r="AC829" t="s">
        <v>88</v>
      </c>
    </row>
    <row r="830" spans="1:30" x14ac:dyDescent="0.25">
      <c r="A830" s="4">
        <v>42549</v>
      </c>
      <c r="B830" t="s">
        <v>30</v>
      </c>
      <c r="C830">
        <v>701</v>
      </c>
      <c r="D830">
        <v>2</v>
      </c>
      <c r="E830">
        <v>1</v>
      </c>
      <c r="F830" t="s">
        <v>31</v>
      </c>
      <c r="G830" t="s">
        <v>32</v>
      </c>
      <c r="H830" t="s">
        <v>33</v>
      </c>
      <c r="I830" t="s">
        <v>73</v>
      </c>
      <c r="J830" t="s">
        <v>35</v>
      </c>
      <c r="K830" t="s">
        <v>36</v>
      </c>
      <c r="L830" t="s">
        <v>37</v>
      </c>
      <c r="M830">
        <v>0</v>
      </c>
      <c r="N830">
        <v>0</v>
      </c>
      <c r="O830" s="5"/>
      <c r="P830" s="5" t="s">
        <v>94</v>
      </c>
      <c r="Q830">
        <v>90</v>
      </c>
      <c r="R830" t="s">
        <v>38</v>
      </c>
      <c r="S830" t="s">
        <v>39</v>
      </c>
      <c r="T830">
        <v>32</v>
      </c>
      <c r="W830">
        <v>22.2</v>
      </c>
      <c r="X830">
        <v>42.9</v>
      </c>
      <c r="Z830" t="s">
        <v>39</v>
      </c>
      <c r="AB830" t="s">
        <v>87</v>
      </c>
      <c r="AC830" t="s">
        <v>88</v>
      </c>
    </row>
    <row r="831" spans="1:30" x14ac:dyDescent="0.25">
      <c r="A831" s="4">
        <v>42549</v>
      </c>
      <c r="B831" t="s">
        <v>30</v>
      </c>
      <c r="C831">
        <v>701</v>
      </c>
      <c r="D831">
        <v>3</v>
      </c>
      <c r="E831">
        <v>1</v>
      </c>
      <c r="F831" t="s">
        <v>31</v>
      </c>
      <c r="G831" t="s">
        <v>32</v>
      </c>
      <c r="H831" t="s">
        <v>33</v>
      </c>
      <c r="I831" t="s">
        <v>91</v>
      </c>
      <c r="J831" t="s">
        <v>51</v>
      </c>
      <c r="K831" t="s">
        <v>36</v>
      </c>
      <c r="L831" t="s">
        <v>37</v>
      </c>
      <c r="M831">
        <v>0</v>
      </c>
      <c r="N831">
        <v>0</v>
      </c>
      <c r="O831" s="5"/>
      <c r="P831" s="5">
        <v>50481</v>
      </c>
      <c r="Q831">
        <f>36.5-11.5</f>
        <v>25</v>
      </c>
      <c r="R831" t="s">
        <v>74</v>
      </c>
      <c r="S831" t="s">
        <v>97</v>
      </c>
      <c r="T831">
        <v>27</v>
      </c>
      <c r="Z831" t="s">
        <v>39</v>
      </c>
      <c r="AB831" t="s">
        <v>87</v>
      </c>
      <c r="AC831" t="s">
        <v>88</v>
      </c>
      <c r="AD831" t="s">
        <v>161</v>
      </c>
    </row>
    <row r="832" spans="1:30" x14ac:dyDescent="0.25">
      <c r="A832" s="4">
        <v>42549</v>
      </c>
      <c r="B832" t="s">
        <v>30</v>
      </c>
      <c r="C832">
        <v>701</v>
      </c>
      <c r="D832">
        <v>4</v>
      </c>
      <c r="E832">
        <v>1</v>
      </c>
      <c r="F832" t="s">
        <v>31</v>
      </c>
      <c r="G832" t="s">
        <v>32</v>
      </c>
      <c r="H832" t="s">
        <v>33</v>
      </c>
      <c r="I832" t="s">
        <v>162</v>
      </c>
      <c r="O832" s="5"/>
      <c r="P832" s="5"/>
      <c r="Z832" t="s">
        <v>39</v>
      </c>
      <c r="AD832" t="s">
        <v>163</v>
      </c>
    </row>
    <row r="833" spans="1:30" x14ac:dyDescent="0.25">
      <c r="A833" s="4">
        <v>42549</v>
      </c>
      <c r="B833" t="s">
        <v>30</v>
      </c>
      <c r="C833">
        <v>701</v>
      </c>
      <c r="D833">
        <v>4</v>
      </c>
      <c r="E833">
        <v>2</v>
      </c>
      <c r="F833" t="s">
        <v>31</v>
      </c>
      <c r="G833" t="s">
        <v>32</v>
      </c>
      <c r="H833" t="s">
        <v>33</v>
      </c>
      <c r="I833" t="s">
        <v>34</v>
      </c>
      <c r="J833" t="s">
        <v>35</v>
      </c>
      <c r="K833" t="s">
        <v>36</v>
      </c>
      <c r="L833" t="s">
        <v>37</v>
      </c>
      <c r="M833">
        <v>0</v>
      </c>
      <c r="N833">
        <v>0</v>
      </c>
      <c r="O833" s="5">
        <v>50459</v>
      </c>
      <c r="P833" s="5">
        <v>50458</v>
      </c>
      <c r="Q833">
        <f>33.5-12</f>
        <v>21.5</v>
      </c>
      <c r="R833" t="s">
        <v>74</v>
      </c>
      <c r="S833" t="s">
        <v>97</v>
      </c>
      <c r="T833">
        <v>19.5</v>
      </c>
      <c r="U833">
        <v>81</v>
      </c>
      <c r="V833">
        <v>17</v>
      </c>
      <c r="W833">
        <v>11.5</v>
      </c>
      <c r="X833">
        <v>28.5</v>
      </c>
      <c r="Z833" t="s">
        <v>39</v>
      </c>
      <c r="AB833" t="s">
        <v>102</v>
      </c>
      <c r="AC833" t="s">
        <v>88</v>
      </c>
    </row>
    <row r="834" spans="1:30" x14ac:dyDescent="0.25">
      <c r="A834" s="4">
        <v>42549</v>
      </c>
      <c r="B834" t="s">
        <v>30</v>
      </c>
      <c r="C834">
        <v>701</v>
      </c>
      <c r="D834">
        <v>6</v>
      </c>
      <c r="E834">
        <v>2</v>
      </c>
      <c r="F834" t="s">
        <v>31</v>
      </c>
      <c r="G834" t="s">
        <v>32</v>
      </c>
      <c r="H834" t="s">
        <v>33</v>
      </c>
      <c r="I834" t="s">
        <v>34</v>
      </c>
      <c r="J834" t="s">
        <v>35</v>
      </c>
      <c r="K834" t="s">
        <v>36</v>
      </c>
      <c r="L834" t="s">
        <v>43</v>
      </c>
      <c r="M834">
        <v>0</v>
      </c>
      <c r="N834">
        <v>0</v>
      </c>
      <c r="O834" s="5">
        <v>50370</v>
      </c>
      <c r="P834" s="5">
        <v>50369</v>
      </c>
      <c r="Q834">
        <f>34.5-14</f>
        <v>20.5</v>
      </c>
      <c r="R834" t="s">
        <v>47</v>
      </c>
      <c r="T834">
        <v>20</v>
      </c>
      <c r="U834">
        <v>73</v>
      </c>
      <c r="V834">
        <v>16</v>
      </c>
      <c r="Z834" t="s">
        <v>39</v>
      </c>
      <c r="AB834" t="s">
        <v>87</v>
      </c>
      <c r="AC834" t="s">
        <v>88</v>
      </c>
      <c r="AD834" t="s">
        <v>161</v>
      </c>
    </row>
    <row r="835" spans="1:30" x14ac:dyDescent="0.25">
      <c r="A835" s="4">
        <v>42549</v>
      </c>
      <c r="B835" t="s">
        <v>30</v>
      </c>
      <c r="C835">
        <v>701</v>
      </c>
      <c r="D835">
        <v>6</v>
      </c>
      <c r="E835">
        <v>1</v>
      </c>
      <c r="F835" t="s">
        <v>31</v>
      </c>
      <c r="G835" t="s">
        <v>32</v>
      </c>
      <c r="H835" t="s">
        <v>33</v>
      </c>
      <c r="I835" t="s">
        <v>57</v>
      </c>
      <c r="O835" s="5"/>
      <c r="P835" s="5"/>
      <c r="Z835" t="s">
        <v>39</v>
      </c>
    </row>
    <row r="836" spans="1:30" x14ac:dyDescent="0.25">
      <c r="A836" s="4">
        <v>42549</v>
      </c>
      <c r="B836" t="s">
        <v>30</v>
      </c>
      <c r="C836">
        <v>701</v>
      </c>
      <c r="D836">
        <v>7</v>
      </c>
      <c r="E836">
        <v>1</v>
      </c>
      <c r="F836" t="s">
        <v>31</v>
      </c>
      <c r="G836" t="s">
        <v>32</v>
      </c>
      <c r="H836" t="s">
        <v>33</v>
      </c>
      <c r="I836" t="s">
        <v>34</v>
      </c>
      <c r="J836" t="s">
        <v>35</v>
      </c>
      <c r="K836" t="s">
        <v>36</v>
      </c>
      <c r="L836" t="s">
        <v>37</v>
      </c>
      <c r="M836">
        <v>0</v>
      </c>
      <c r="N836">
        <v>0</v>
      </c>
      <c r="O836" s="5">
        <v>50395</v>
      </c>
      <c r="P836" s="5">
        <v>50394</v>
      </c>
      <c r="Q836">
        <f>33.5-14</f>
        <v>19.5</v>
      </c>
      <c r="R836" t="s">
        <v>164</v>
      </c>
      <c r="S836" t="s">
        <v>97</v>
      </c>
      <c r="T836">
        <v>19</v>
      </c>
      <c r="U836">
        <v>90.5</v>
      </c>
      <c r="V836">
        <v>16</v>
      </c>
      <c r="Z836" t="s">
        <v>39</v>
      </c>
      <c r="AB836" t="s">
        <v>87</v>
      </c>
      <c r="AC836" t="s">
        <v>88</v>
      </c>
      <c r="AD836" t="s">
        <v>161</v>
      </c>
    </row>
    <row r="837" spans="1:30" x14ac:dyDescent="0.25">
      <c r="A837" s="4">
        <v>42549</v>
      </c>
      <c r="B837" t="s">
        <v>30</v>
      </c>
      <c r="C837">
        <v>701</v>
      </c>
      <c r="D837">
        <v>8</v>
      </c>
      <c r="E837">
        <v>1</v>
      </c>
      <c r="F837" t="s">
        <v>31</v>
      </c>
      <c r="G837" t="s">
        <v>32</v>
      </c>
      <c r="H837" t="s">
        <v>33</v>
      </c>
      <c r="I837" t="s">
        <v>57</v>
      </c>
      <c r="O837" s="5"/>
      <c r="P837" s="5"/>
      <c r="Z837" t="s">
        <v>39</v>
      </c>
    </row>
    <row r="838" spans="1:30" x14ac:dyDescent="0.25">
      <c r="A838" s="4">
        <v>42549</v>
      </c>
      <c r="B838" t="s">
        <v>30</v>
      </c>
      <c r="C838">
        <v>801</v>
      </c>
      <c r="D838">
        <v>1</v>
      </c>
      <c r="E838">
        <v>1</v>
      </c>
      <c r="F838" t="s">
        <v>31</v>
      </c>
      <c r="G838" t="s">
        <v>32</v>
      </c>
      <c r="H838" t="s">
        <v>33</v>
      </c>
      <c r="I838" t="s">
        <v>73</v>
      </c>
      <c r="J838" t="s">
        <v>35</v>
      </c>
      <c r="K838" t="s">
        <v>36</v>
      </c>
      <c r="L838" t="s">
        <v>43</v>
      </c>
      <c r="M838">
        <v>0</v>
      </c>
      <c r="N838">
        <v>0</v>
      </c>
      <c r="O838" s="5"/>
      <c r="P838" s="5">
        <v>50392</v>
      </c>
      <c r="Q838">
        <v>107</v>
      </c>
      <c r="R838" t="s">
        <v>47</v>
      </c>
      <c r="S838" t="s">
        <v>39</v>
      </c>
      <c r="T838">
        <v>34</v>
      </c>
      <c r="W838">
        <v>22.3</v>
      </c>
      <c r="X838">
        <v>48</v>
      </c>
      <c r="Z838" t="s">
        <v>39</v>
      </c>
      <c r="AB838" t="s">
        <v>87</v>
      </c>
      <c r="AC838" t="s">
        <v>88</v>
      </c>
    </row>
    <row r="839" spans="1:30" x14ac:dyDescent="0.25">
      <c r="A839" s="4">
        <v>42549</v>
      </c>
      <c r="B839" t="s">
        <v>30</v>
      </c>
      <c r="C839">
        <v>801</v>
      </c>
      <c r="D839">
        <v>1</v>
      </c>
      <c r="E839">
        <v>2</v>
      </c>
      <c r="F839" t="s">
        <v>31</v>
      </c>
      <c r="G839" t="s">
        <v>32</v>
      </c>
      <c r="H839" t="s">
        <v>33</v>
      </c>
      <c r="I839" t="s">
        <v>53</v>
      </c>
      <c r="J839" t="s">
        <v>62</v>
      </c>
      <c r="O839" s="5"/>
      <c r="P839" s="5"/>
      <c r="Z839" t="s">
        <v>39</v>
      </c>
    </row>
    <row r="840" spans="1:30" x14ac:dyDescent="0.25">
      <c r="A840" s="4">
        <v>42549</v>
      </c>
      <c r="B840" t="s">
        <v>30</v>
      </c>
      <c r="C840">
        <v>801</v>
      </c>
      <c r="D840">
        <v>5</v>
      </c>
      <c r="E840">
        <v>1</v>
      </c>
      <c r="F840" t="s">
        <v>31</v>
      </c>
      <c r="G840" t="s">
        <v>32</v>
      </c>
      <c r="H840" t="s">
        <v>33</v>
      </c>
      <c r="I840" t="s">
        <v>73</v>
      </c>
      <c r="J840" t="s">
        <v>42</v>
      </c>
      <c r="K840" t="s">
        <v>89</v>
      </c>
      <c r="L840" t="s">
        <v>37</v>
      </c>
      <c r="M840">
        <v>0</v>
      </c>
      <c r="N840">
        <v>1</v>
      </c>
      <c r="O840" s="5">
        <v>50625</v>
      </c>
      <c r="P840" s="5"/>
      <c r="Q840">
        <f>160-90</f>
        <v>70</v>
      </c>
      <c r="R840" t="s">
        <v>38</v>
      </c>
      <c r="S840" t="s">
        <v>39</v>
      </c>
      <c r="T840">
        <v>32</v>
      </c>
      <c r="W840">
        <v>20</v>
      </c>
      <c r="X840">
        <v>38.5</v>
      </c>
      <c r="Z840" t="s">
        <v>39</v>
      </c>
      <c r="AB840" t="s">
        <v>87</v>
      </c>
      <c r="AC840" t="s">
        <v>88</v>
      </c>
    </row>
    <row r="841" spans="1:30" x14ac:dyDescent="0.25">
      <c r="A841" s="4">
        <v>42549</v>
      </c>
      <c r="B841" t="s">
        <v>30</v>
      </c>
      <c r="C841">
        <v>801</v>
      </c>
      <c r="D841">
        <v>2</v>
      </c>
      <c r="E841">
        <v>2</v>
      </c>
      <c r="F841" t="s">
        <v>31</v>
      </c>
      <c r="G841" t="s">
        <v>32</v>
      </c>
      <c r="H841" t="s">
        <v>33</v>
      </c>
      <c r="I841" t="s">
        <v>53</v>
      </c>
      <c r="J841" t="s">
        <v>123</v>
      </c>
      <c r="O841" s="5"/>
      <c r="P841" s="5"/>
      <c r="Z841" t="s">
        <v>39</v>
      </c>
    </row>
    <row r="842" spans="1:30" x14ac:dyDescent="0.25">
      <c r="A842" s="4">
        <v>42549</v>
      </c>
      <c r="B842" t="s">
        <v>30</v>
      </c>
      <c r="C842">
        <v>801</v>
      </c>
      <c r="D842">
        <v>2</v>
      </c>
      <c r="E842">
        <v>1</v>
      </c>
      <c r="F842" t="s">
        <v>31</v>
      </c>
      <c r="G842" t="s">
        <v>32</v>
      </c>
      <c r="H842" t="s">
        <v>33</v>
      </c>
      <c r="I842" t="s">
        <v>57</v>
      </c>
      <c r="O842" s="5"/>
      <c r="P842" s="5"/>
      <c r="Z842" t="s">
        <v>39</v>
      </c>
    </row>
    <row r="843" spans="1:30" x14ac:dyDescent="0.25">
      <c r="A843" s="4">
        <v>42549</v>
      </c>
      <c r="B843" t="s">
        <v>30</v>
      </c>
      <c r="C843">
        <v>801</v>
      </c>
      <c r="D843">
        <v>6</v>
      </c>
      <c r="E843">
        <v>1</v>
      </c>
      <c r="F843" t="s">
        <v>31</v>
      </c>
      <c r="G843" t="s">
        <v>32</v>
      </c>
      <c r="H843" t="s">
        <v>33</v>
      </c>
      <c r="I843" t="s">
        <v>34</v>
      </c>
      <c r="J843" t="s">
        <v>42</v>
      </c>
      <c r="K843" t="s">
        <v>89</v>
      </c>
      <c r="L843" t="s">
        <v>37</v>
      </c>
      <c r="M843">
        <v>0</v>
      </c>
      <c r="N843">
        <v>1</v>
      </c>
      <c r="O843" s="5">
        <v>50614</v>
      </c>
      <c r="P843" s="5">
        <v>50613</v>
      </c>
      <c r="Q843">
        <f>26-12</f>
        <v>14</v>
      </c>
      <c r="R843" t="s">
        <v>38</v>
      </c>
      <c r="S843" t="s">
        <v>39</v>
      </c>
      <c r="T843">
        <v>18</v>
      </c>
      <c r="U843">
        <v>81.5</v>
      </c>
      <c r="V843">
        <v>14.5</v>
      </c>
      <c r="W843">
        <v>12.6</v>
      </c>
      <c r="X843">
        <v>28.6</v>
      </c>
      <c r="Z843" t="s">
        <v>39</v>
      </c>
      <c r="AB843" t="s">
        <v>87</v>
      </c>
      <c r="AC843" t="s">
        <v>88</v>
      </c>
    </row>
    <row r="844" spans="1:30" x14ac:dyDescent="0.25">
      <c r="A844" s="4">
        <v>42549</v>
      </c>
      <c r="B844" t="s">
        <v>30</v>
      </c>
      <c r="C844">
        <v>801</v>
      </c>
      <c r="D844">
        <v>7</v>
      </c>
      <c r="E844">
        <v>1</v>
      </c>
      <c r="F844" t="s">
        <v>31</v>
      </c>
      <c r="G844" t="s">
        <v>32</v>
      </c>
      <c r="H844" t="s">
        <v>33</v>
      </c>
      <c r="I844" t="s">
        <v>57</v>
      </c>
      <c r="O844" s="5"/>
      <c r="P844" s="5"/>
      <c r="Z844" t="s">
        <v>39</v>
      </c>
    </row>
    <row r="845" spans="1:30" x14ac:dyDescent="0.25">
      <c r="A845" s="4">
        <v>42549</v>
      </c>
      <c r="B845" t="s">
        <v>30</v>
      </c>
      <c r="C845">
        <v>801</v>
      </c>
      <c r="D845">
        <v>9</v>
      </c>
      <c r="E845">
        <v>1</v>
      </c>
      <c r="F845" t="s">
        <v>31</v>
      </c>
      <c r="G845" t="s">
        <v>32</v>
      </c>
      <c r="H845" t="s">
        <v>33</v>
      </c>
      <c r="I845" t="s">
        <v>53</v>
      </c>
      <c r="J845" t="s">
        <v>62</v>
      </c>
      <c r="O845" s="5"/>
      <c r="P845" s="5"/>
      <c r="Z845" t="s">
        <v>39</v>
      </c>
    </row>
    <row r="846" spans="1:30" x14ac:dyDescent="0.25">
      <c r="A846" s="4">
        <v>42549</v>
      </c>
      <c r="B846" t="s">
        <v>30</v>
      </c>
      <c r="C846">
        <v>803</v>
      </c>
      <c r="D846">
        <v>8</v>
      </c>
      <c r="E846">
        <v>1</v>
      </c>
      <c r="F846" t="s">
        <v>31</v>
      </c>
      <c r="G846" t="s">
        <v>32</v>
      </c>
      <c r="H846" t="s">
        <v>33</v>
      </c>
      <c r="I846" t="s">
        <v>57</v>
      </c>
      <c r="O846" s="5"/>
      <c r="P846" s="5"/>
      <c r="Z846" t="s">
        <v>39</v>
      </c>
    </row>
    <row r="847" spans="1:30" x14ac:dyDescent="0.25">
      <c r="A847" s="4">
        <v>42549</v>
      </c>
      <c r="B847" t="s">
        <v>30</v>
      </c>
      <c r="C847">
        <v>803</v>
      </c>
      <c r="D847">
        <v>8</v>
      </c>
      <c r="E847">
        <v>2</v>
      </c>
      <c r="F847" t="s">
        <v>31</v>
      </c>
      <c r="G847" t="s">
        <v>32</v>
      </c>
      <c r="H847" t="s">
        <v>33</v>
      </c>
      <c r="I847" t="s">
        <v>73</v>
      </c>
      <c r="J847" t="s">
        <v>35</v>
      </c>
      <c r="K847" t="s">
        <v>36</v>
      </c>
      <c r="L847" t="s">
        <v>43</v>
      </c>
      <c r="M847">
        <v>0</v>
      </c>
      <c r="N847">
        <v>0</v>
      </c>
      <c r="O847" s="5">
        <v>50463</v>
      </c>
      <c r="P847" s="5"/>
      <c r="Q847">
        <f>173-90</f>
        <v>83</v>
      </c>
      <c r="R847" t="s">
        <v>47</v>
      </c>
      <c r="S847" t="s">
        <v>39</v>
      </c>
      <c r="T847">
        <v>33</v>
      </c>
      <c r="W847">
        <v>20.8</v>
      </c>
      <c r="X847">
        <v>45</v>
      </c>
      <c r="Z847" t="s">
        <v>39</v>
      </c>
      <c r="AB847" t="s">
        <v>87</v>
      </c>
      <c r="AC847" t="s">
        <v>88</v>
      </c>
    </row>
    <row r="848" spans="1:30" x14ac:dyDescent="0.25">
      <c r="A848" s="4">
        <v>42549</v>
      </c>
      <c r="B848" t="s">
        <v>30</v>
      </c>
      <c r="C848">
        <v>803</v>
      </c>
      <c r="D848">
        <v>7</v>
      </c>
      <c r="E848">
        <v>1</v>
      </c>
      <c r="F848" t="s">
        <v>31</v>
      </c>
      <c r="G848" t="s">
        <v>32</v>
      </c>
      <c r="H848" t="s">
        <v>33</v>
      </c>
      <c r="I848" t="s">
        <v>34</v>
      </c>
      <c r="J848" t="s">
        <v>35</v>
      </c>
      <c r="K848" t="s">
        <v>36</v>
      </c>
      <c r="L848" t="s">
        <v>43</v>
      </c>
      <c r="M848">
        <v>0</v>
      </c>
      <c r="N848">
        <v>0</v>
      </c>
      <c r="O848" s="5">
        <v>50455</v>
      </c>
      <c r="P848" s="5">
        <v>50454</v>
      </c>
      <c r="Q848">
        <f>35.5-13</f>
        <v>22.5</v>
      </c>
      <c r="R848" t="s">
        <v>47</v>
      </c>
      <c r="S848" t="s">
        <v>39</v>
      </c>
      <c r="T848">
        <v>18.5</v>
      </c>
      <c r="U848">
        <v>89.5</v>
      </c>
      <c r="V848">
        <v>15</v>
      </c>
      <c r="W848">
        <v>13.6</v>
      </c>
      <c r="X848">
        <v>29.4</v>
      </c>
      <c r="Z848" t="s">
        <v>39</v>
      </c>
      <c r="AB848" t="s">
        <v>87</v>
      </c>
      <c r="AC848" t="s">
        <v>88</v>
      </c>
    </row>
    <row r="849" spans="1:29" x14ac:dyDescent="0.25">
      <c r="A849" s="4">
        <v>42549</v>
      </c>
      <c r="B849" t="s">
        <v>30</v>
      </c>
      <c r="C849">
        <v>803</v>
      </c>
      <c r="D849">
        <v>6</v>
      </c>
      <c r="E849">
        <v>1</v>
      </c>
      <c r="F849" t="s">
        <v>31</v>
      </c>
      <c r="G849" t="s">
        <v>32</v>
      </c>
      <c r="H849" t="s">
        <v>33</v>
      </c>
      <c r="I849" t="s">
        <v>73</v>
      </c>
      <c r="J849" t="s">
        <v>35</v>
      </c>
      <c r="K849" t="s">
        <v>36</v>
      </c>
      <c r="L849" t="s">
        <v>43</v>
      </c>
      <c r="M849">
        <v>0</v>
      </c>
      <c r="N849">
        <v>0</v>
      </c>
      <c r="O849" s="5">
        <v>50391</v>
      </c>
      <c r="P849" s="5"/>
      <c r="Q849">
        <v>90</v>
      </c>
      <c r="R849" t="s">
        <v>47</v>
      </c>
      <c r="S849" t="s">
        <v>39</v>
      </c>
      <c r="Z849" t="s">
        <v>39</v>
      </c>
      <c r="AB849" t="s">
        <v>87</v>
      </c>
      <c r="AC849" t="s">
        <v>88</v>
      </c>
    </row>
    <row r="850" spans="1:29" x14ac:dyDescent="0.25">
      <c r="A850" s="4">
        <v>42549</v>
      </c>
      <c r="B850" t="s">
        <v>30</v>
      </c>
      <c r="C850">
        <v>803</v>
      </c>
      <c r="D850">
        <v>3</v>
      </c>
      <c r="E850">
        <v>1</v>
      </c>
      <c r="F850" t="s">
        <v>31</v>
      </c>
      <c r="G850" t="s">
        <v>32</v>
      </c>
      <c r="H850" t="s">
        <v>33</v>
      </c>
      <c r="I850" t="s">
        <v>91</v>
      </c>
      <c r="J850" t="s">
        <v>42</v>
      </c>
      <c r="K850" t="s">
        <v>36</v>
      </c>
      <c r="L850" t="s">
        <v>37</v>
      </c>
      <c r="M850">
        <v>1</v>
      </c>
      <c r="N850">
        <v>0</v>
      </c>
      <c r="O850" s="5" t="s">
        <v>165</v>
      </c>
      <c r="P850" s="5">
        <v>50615</v>
      </c>
      <c r="Q850">
        <f>39-12</f>
        <v>27</v>
      </c>
      <c r="R850" t="s">
        <v>74</v>
      </c>
      <c r="S850" t="s">
        <v>97</v>
      </c>
      <c r="T850">
        <v>26</v>
      </c>
      <c r="W850">
        <v>12.65</v>
      </c>
      <c r="X850">
        <v>28.5</v>
      </c>
      <c r="Z850" t="s">
        <v>39</v>
      </c>
      <c r="AB850" t="s">
        <v>87</v>
      </c>
      <c r="AC850" t="s">
        <v>88</v>
      </c>
    </row>
    <row r="851" spans="1:29" x14ac:dyDescent="0.25">
      <c r="A851" s="4">
        <v>42549</v>
      </c>
      <c r="B851" t="s">
        <v>30</v>
      </c>
      <c r="C851">
        <v>901</v>
      </c>
      <c r="D851">
        <v>1</v>
      </c>
      <c r="E851">
        <v>1</v>
      </c>
      <c r="F851" t="s">
        <v>31</v>
      </c>
      <c r="G851" t="s">
        <v>32</v>
      </c>
      <c r="H851" t="s">
        <v>33</v>
      </c>
      <c r="I851" t="s">
        <v>34</v>
      </c>
      <c r="J851" t="s">
        <v>35</v>
      </c>
      <c r="K851" t="s">
        <v>36</v>
      </c>
      <c r="L851" t="s">
        <v>37</v>
      </c>
      <c r="M851">
        <v>0</v>
      </c>
      <c r="N851">
        <v>0</v>
      </c>
      <c r="O851" s="5" t="s">
        <v>166</v>
      </c>
      <c r="P851" s="5" t="s">
        <v>167</v>
      </c>
      <c r="Q851">
        <f>34-12</f>
        <v>22</v>
      </c>
      <c r="R851" t="s">
        <v>38</v>
      </c>
      <c r="S851" t="s">
        <v>39</v>
      </c>
      <c r="T851">
        <v>19</v>
      </c>
      <c r="U851">
        <v>87</v>
      </c>
      <c r="V851">
        <v>17.5</v>
      </c>
      <c r="W851">
        <v>12.1</v>
      </c>
      <c r="X851">
        <v>28.7</v>
      </c>
      <c r="Z851" t="s">
        <v>39</v>
      </c>
      <c r="AB851" t="s">
        <v>87</v>
      </c>
      <c r="AC851" t="s">
        <v>88</v>
      </c>
    </row>
    <row r="852" spans="1:29" x14ac:dyDescent="0.25">
      <c r="A852" s="4">
        <v>42549</v>
      </c>
      <c r="B852" t="s">
        <v>30</v>
      </c>
      <c r="C852">
        <v>901</v>
      </c>
      <c r="D852">
        <v>5</v>
      </c>
      <c r="E852">
        <v>1</v>
      </c>
      <c r="F852" t="s">
        <v>31</v>
      </c>
      <c r="G852" t="s">
        <v>32</v>
      </c>
      <c r="H852" t="s">
        <v>33</v>
      </c>
      <c r="I852" t="s">
        <v>57</v>
      </c>
      <c r="O852" s="5"/>
      <c r="P852" s="5"/>
      <c r="Z852" t="s">
        <v>39</v>
      </c>
    </row>
    <row r="853" spans="1:29" x14ac:dyDescent="0.25">
      <c r="A853" s="4">
        <v>42549</v>
      </c>
      <c r="B853" t="s">
        <v>30</v>
      </c>
      <c r="C853">
        <v>901</v>
      </c>
      <c r="D853">
        <v>6</v>
      </c>
      <c r="E853">
        <v>1</v>
      </c>
      <c r="F853" t="s">
        <v>31</v>
      </c>
      <c r="G853" t="s">
        <v>32</v>
      </c>
      <c r="H853" t="s">
        <v>33</v>
      </c>
      <c r="I853" t="s">
        <v>34</v>
      </c>
      <c r="J853" t="s">
        <v>42</v>
      </c>
      <c r="K853" t="s">
        <v>114</v>
      </c>
      <c r="L853" t="s">
        <v>37</v>
      </c>
      <c r="M853">
        <v>0</v>
      </c>
      <c r="N853">
        <v>1</v>
      </c>
      <c r="O853" s="5">
        <v>50617</v>
      </c>
      <c r="P853" s="5">
        <v>50616</v>
      </c>
      <c r="Q853">
        <f>33.5-13.5</f>
        <v>20</v>
      </c>
      <c r="R853" t="s">
        <v>38</v>
      </c>
      <c r="S853" t="s">
        <v>39</v>
      </c>
      <c r="T853">
        <v>20</v>
      </c>
      <c r="U853">
        <v>92</v>
      </c>
      <c r="V853">
        <v>14.5</v>
      </c>
      <c r="W853">
        <v>13</v>
      </c>
      <c r="X853">
        <v>25.65</v>
      </c>
      <c r="Z853" t="s">
        <v>39</v>
      </c>
      <c r="AB853" t="s">
        <v>87</v>
      </c>
      <c r="AC853" t="s">
        <v>88</v>
      </c>
    </row>
    <row r="854" spans="1:29" x14ac:dyDescent="0.25">
      <c r="A854" s="4">
        <v>42549</v>
      </c>
      <c r="B854" t="s">
        <v>30</v>
      </c>
      <c r="C854">
        <v>901</v>
      </c>
      <c r="D854">
        <v>9</v>
      </c>
      <c r="E854">
        <v>1</v>
      </c>
      <c r="F854" t="s">
        <v>31</v>
      </c>
      <c r="G854" t="s">
        <v>32</v>
      </c>
      <c r="H854" t="s">
        <v>33</v>
      </c>
      <c r="I854" t="s">
        <v>128</v>
      </c>
      <c r="J854" t="s">
        <v>42</v>
      </c>
      <c r="K854" t="s">
        <v>36</v>
      </c>
      <c r="L854" t="s">
        <v>37</v>
      </c>
      <c r="M854">
        <v>0</v>
      </c>
      <c r="N854">
        <v>1</v>
      </c>
      <c r="O854" s="5">
        <v>50624</v>
      </c>
      <c r="P854" s="5"/>
      <c r="Q854">
        <f>185-90</f>
        <v>95</v>
      </c>
      <c r="R854" t="s">
        <v>38</v>
      </c>
      <c r="S854" t="s">
        <v>39</v>
      </c>
      <c r="T854">
        <v>32</v>
      </c>
      <c r="W854">
        <v>23.1</v>
      </c>
      <c r="X854">
        <v>36.700000000000003</v>
      </c>
      <c r="Z854" t="s">
        <v>39</v>
      </c>
      <c r="AB854" t="s">
        <v>87</v>
      </c>
      <c r="AC854" t="s">
        <v>88</v>
      </c>
    </row>
    <row r="855" spans="1:29" x14ac:dyDescent="0.25">
      <c r="A855" s="4">
        <v>42550</v>
      </c>
      <c r="B855" t="s">
        <v>30</v>
      </c>
      <c r="C855">
        <v>501</v>
      </c>
      <c r="D855">
        <v>1</v>
      </c>
      <c r="E855">
        <v>1</v>
      </c>
      <c r="F855" t="s">
        <v>41</v>
      </c>
      <c r="G855" t="s">
        <v>32</v>
      </c>
      <c r="H855" t="s">
        <v>33</v>
      </c>
      <c r="I855" t="s">
        <v>84</v>
      </c>
      <c r="O855" s="5"/>
      <c r="P855" s="5"/>
      <c r="Z855" t="s">
        <v>39</v>
      </c>
    </row>
    <row r="856" spans="1:29" x14ac:dyDescent="0.25">
      <c r="A856" s="4">
        <v>42550</v>
      </c>
      <c r="B856" t="s">
        <v>30</v>
      </c>
      <c r="C856">
        <v>501</v>
      </c>
      <c r="D856">
        <v>1</v>
      </c>
      <c r="E856">
        <v>2</v>
      </c>
      <c r="F856" t="s">
        <v>41</v>
      </c>
      <c r="G856" t="s">
        <v>32</v>
      </c>
      <c r="H856" t="s">
        <v>33</v>
      </c>
      <c r="I856" t="s">
        <v>57</v>
      </c>
      <c r="O856" s="5"/>
      <c r="P856" s="5"/>
      <c r="Z856" t="s">
        <v>39</v>
      </c>
    </row>
    <row r="857" spans="1:29" x14ac:dyDescent="0.25">
      <c r="A857" s="4">
        <v>42550</v>
      </c>
      <c r="B857" t="s">
        <v>30</v>
      </c>
      <c r="C857">
        <v>501</v>
      </c>
      <c r="D857">
        <v>2</v>
      </c>
      <c r="E857">
        <v>1</v>
      </c>
      <c r="F857" t="s">
        <v>41</v>
      </c>
      <c r="G857" t="s">
        <v>32</v>
      </c>
      <c r="H857" t="s">
        <v>33</v>
      </c>
      <c r="I857" t="s">
        <v>34</v>
      </c>
      <c r="J857" t="s">
        <v>35</v>
      </c>
      <c r="K857" t="s">
        <v>89</v>
      </c>
      <c r="L857" t="s">
        <v>37</v>
      </c>
      <c r="M857">
        <v>0</v>
      </c>
      <c r="N857">
        <v>0</v>
      </c>
      <c r="O857" s="5">
        <v>50448</v>
      </c>
      <c r="P857" s="5">
        <v>50447</v>
      </c>
      <c r="Q857">
        <f>28-12</f>
        <v>16</v>
      </c>
      <c r="R857" t="s">
        <v>38</v>
      </c>
      <c r="S857" t="s">
        <v>39</v>
      </c>
      <c r="T857">
        <v>21</v>
      </c>
      <c r="U857">
        <v>88</v>
      </c>
      <c r="V857">
        <v>14</v>
      </c>
      <c r="W857">
        <v>12.7</v>
      </c>
      <c r="X857">
        <v>27.4</v>
      </c>
      <c r="Z857" t="s">
        <v>39</v>
      </c>
      <c r="AB857" t="s">
        <v>87</v>
      </c>
      <c r="AC857" t="s">
        <v>56</v>
      </c>
    </row>
    <row r="858" spans="1:29" x14ac:dyDescent="0.25">
      <c r="A858" s="4">
        <v>42550</v>
      </c>
      <c r="B858" t="s">
        <v>30</v>
      </c>
      <c r="C858">
        <v>501</v>
      </c>
      <c r="D858">
        <v>3</v>
      </c>
      <c r="E858">
        <v>1</v>
      </c>
      <c r="F858" t="s">
        <v>41</v>
      </c>
      <c r="G858" t="s">
        <v>32</v>
      </c>
      <c r="H858" t="s">
        <v>33</v>
      </c>
      <c r="I858" t="s">
        <v>84</v>
      </c>
      <c r="O858" s="5"/>
      <c r="P858" s="5"/>
      <c r="Z858" t="s">
        <v>39</v>
      </c>
    </row>
    <row r="859" spans="1:29" x14ac:dyDescent="0.25">
      <c r="A859" s="4">
        <v>42550</v>
      </c>
      <c r="B859" t="s">
        <v>30</v>
      </c>
      <c r="C859">
        <v>501</v>
      </c>
      <c r="D859">
        <v>4</v>
      </c>
      <c r="E859">
        <v>1</v>
      </c>
      <c r="F859" t="s">
        <v>41</v>
      </c>
      <c r="G859" t="s">
        <v>32</v>
      </c>
      <c r="H859" t="s">
        <v>33</v>
      </c>
      <c r="I859" t="s">
        <v>53</v>
      </c>
      <c r="J859" t="s">
        <v>62</v>
      </c>
      <c r="O859" s="5"/>
      <c r="P859" s="5"/>
      <c r="Z859" t="s">
        <v>39</v>
      </c>
    </row>
    <row r="860" spans="1:29" x14ac:dyDescent="0.25">
      <c r="A860" s="4">
        <v>42550</v>
      </c>
      <c r="B860" t="s">
        <v>30</v>
      </c>
      <c r="C860">
        <v>501</v>
      </c>
      <c r="D860">
        <v>4</v>
      </c>
      <c r="E860">
        <v>2</v>
      </c>
      <c r="F860" t="s">
        <v>41</v>
      </c>
      <c r="G860" t="s">
        <v>32</v>
      </c>
      <c r="H860" t="s">
        <v>33</v>
      </c>
      <c r="I860" t="s">
        <v>84</v>
      </c>
      <c r="O860" s="5"/>
      <c r="P860" s="5"/>
      <c r="Z860" t="s">
        <v>39</v>
      </c>
    </row>
    <row r="861" spans="1:29" x14ac:dyDescent="0.25">
      <c r="A861" s="4">
        <v>42550</v>
      </c>
      <c r="B861" t="s">
        <v>30</v>
      </c>
      <c r="C861">
        <v>501</v>
      </c>
      <c r="D861">
        <v>5</v>
      </c>
      <c r="E861">
        <v>1</v>
      </c>
      <c r="F861" t="s">
        <v>41</v>
      </c>
      <c r="G861" t="s">
        <v>32</v>
      </c>
      <c r="H861" t="s">
        <v>33</v>
      </c>
      <c r="I861" t="s">
        <v>84</v>
      </c>
      <c r="O861" s="5"/>
      <c r="P861" s="5"/>
      <c r="Z861" t="s">
        <v>39</v>
      </c>
    </row>
    <row r="862" spans="1:29" x14ac:dyDescent="0.25">
      <c r="A862" s="4">
        <v>42550</v>
      </c>
      <c r="B862" t="s">
        <v>30</v>
      </c>
      <c r="C862">
        <v>501</v>
      </c>
      <c r="D862">
        <v>5</v>
      </c>
      <c r="E862">
        <v>2</v>
      </c>
      <c r="F862" t="s">
        <v>41</v>
      </c>
      <c r="G862" t="s">
        <v>32</v>
      </c>
      <c r="H862" t="s">
        <v>33</v>
      </c>
      <c r="I862" t="s">
        <v>91</v>
      </c>
      <c r="J862" t="s">
        <v>122</v>
      </c>
      <c r="O862" s="5"/>
      <c r="P862" s="5"/>
      <c r="Z862" t="s">
        <v>39</v>
      </c>
    </row>
    <row r="863" spans="1:29" x14ac:dyDescent="0.25">
      <c r="A863" s="4">
        <v>42550</v>
      </c>
      <c r="B863" t="s">
        <v>30</v>
      </c>
      <c r="C863">
        <v>501</v>
      </c>
      <c r="D863">
        <v>6</v>
      </c>
      <c r="E863">
        <v>1</v>
      </c>
      <c r="F863" t="s">
        <v>41</v>
      </c>
      <c r="G863" t="s">
        <v>32</v>
      </c>
      <c r="H863" t="s">
        <v>33</v>
      </c>
      <c r="I863" t="s">
        <v>34</v>
      </c>
      <c r="J863" t="s">
        <v>35</v>
      </c>
      <c r="K863" t="s">
        <v>36</v>
      </c>
      <c r="L863" t="s">
        <v>43</v>
      </c>
      <c r="M863">
        <v>0</v>
      </c>
      <c r="N863">
        <v>0</v>
      </c>
      <c r="O863" s="5">
        <v>20604</v>
      </c>
      <c r="P863" s="5">
        <v>20603</v>
      </c>
      <c r="Q863">
        <f>31-12</f>
        <v>19</v>
      </c>
      <c r="R863" t="s">
        <v>47</v>
      </c>
      <c r="T863">
        <v>18</v>
      </c>
      <c r="U863">
        <v>84</v>
      </c>
      <c r="V863">
        <v>14</v>
      </c>
      <c r="W863">
        <v>12.4</v>
      </c>
      <c r="X863">
        <v>27.9</v>
      </c>
      <c r="Z863" t="s">
        <v>39</v>
      </c>
      <c r="AB863" t="s">
        <v>87</v>
      </c>
      <c r="AC863" t="s">
        <v>56</v>
      </c>
    </row>
    <row r="864" spans="1:29" x14ac:dyDescent="0.25">
      <c r="A864" s="4">
        <v>42550</v>
      </c>
      <c r="B864" t="s">
        <v>30</v>
      </c>
      <c r="C864">
        <v>501</v>
      </c>
      <c r="D864">
        <v>6</v>
      </c>
      <c r="E864">
        <v>2</v>
      </c>
      <c r="F864" t="s">
        <v>41</v>
      </c>
      <c r="G864" t="s">
        <v>32</v>
      </c>
      <c r="H864" t="s">
        <v>33</v>
      </c>
      <c r="I864" t="s">
        <v>84</v>
      </c>
      <c r="O864" s="5"/>
      <c r="P864" s="5"/>
      <c r="Z864" t="s">
        <v>39</v>
      </c>
    </row>
    <row r="865" spans="1:29" x14ac:dyDescent="0.25">
      <c r="A865" s="4">
        <v>42550</v>
      </c>
      <c r="B865" t="s">
        <v>30</v>
      </c>
      <c r="C865">
        <v>501</v>
      </c>
      <c r="D865">
        <v>7</v>
      </c>
      <c r="E865">
        <v>1</v>
      </c>
      <c r="F865" t="s">
        <v>41</v>
      </c>
      <c r="G865" t="s">
        <v>32</v>
      </c>
      <c r="H865" t="s">
        <v>33</v>
      </c>
      <c r="I865" t="s">
        <v>84</v>
      </c>
      <c r="O865" s="5"/>
      <c r="P865" s="5"/>
      <c r="Z865" t="s">
        <v>39</v>
      </c>
    </row>
    <row r="866" spans="1:29" x14ac:dyDescent="0.25">
      <c r="A866" s="4">
        <v>42550</v>
      </c>
      <c r="B866" t="s">
        <v>30</v>
      </c>
      <c r="C866">
        <v>501</v>
      </c>
      <c r="D866">
        <v>8</v>
      </c>
      <c r="E866">
        <v>1</v>
      </c>
      <c r="F866" t="s">
        <v>41</v>
      </c>
      <c r="G866" t="s">
        <v>32</v>
      </c>
      <c r="H866" t="s">
        <v>33</v>
      </c>
      <c r="I866" t="s">
        <v>84</v>
      </c>
      <c r="O866" s="5"/>
      <c r="P866" s="5"/>
      <c r="Z866" t="s">
        <v>39</v>
      </c>
    </row>
    <row r="867" spans="1:29" x14ac:dyDescent="0.25">
      <c r="A867" s="4">
        <v>42550</v>
      </c>
      <c r="B867" t="s">
        <v>30</v>
      </c>
      <c r="C867">
        <v>501</v>
      </c>
      <c r="D867">
        <v>8</v>
      </c>
      <c r="E867">
        <v>2</v>
      </c>
      <c r="F867" t="s">
        <v>41</v>
      </c>
      <c r="G867" t="s">
        <v>32</v>
      </c>
      <c r="H867" t="s">
        <v>33</v>
      </c>
      <c r="I867" t="s">
        <v>84</v>
      </c>
      <c r="O867" s="5"/>
      <c r="P867" s="5"/>
      <c r="Z867" t="s">
        <v>39</v>
      </c>
    </row>
    <row r="868" spans="1:29" x14ac:dyDescent="0.25">
      <c r="A868" s="4">
        <v>42550</v>
      </c>
      <c r="B868" t="s">
        <v>30</v>
      </c>
      <c r="C868">
        <v>501</v>
      </c>
      <c r="D868">
        <v>9</v>
      </c>
      <c r="E868">
        <v>1</v>
      </c>
      <c r="F868" t="s">
        <v>41</v>
      </c>
      <c r="G868" t="s">
        <v>32</v>
      </c>
      <c r="H868" t="s">
        <v>33</v>
      </c>
      <c r="I868" t="s">
        <v>84</v>
      </c>
      <c r="O868" s="5"/>
      <c r="P868" s="5"/>
      <c r="Z868" t="s">
        <v>39</v>
      </c>
    </row>
    <row r="869" spans="1:29" x14ac:dyDescent="0.25">
      <c r="A869" s="4">
        <v>42550</v>
      </c>
      <c r="B869" t="s">
        <v>30</v>
      </c>
      <c r="C869">
        <v>501</v>
      </c>
      <c r="D869">
        <v>9</v>
      </c>
      <c r="E869">
        <v>2</v>
      </c>
      <c r="F869" t="s">
        <v>41</v>
      </c>
      <c r="G869" t="s">
        <v>32</v>
      </c>
      <c r="H869" t="s">
        <v>33</v>
      </c>
      <c r="I869" t="s">
        <v>84</v>
      </c>
      <c r="O869" s="5"/>
      <c r="P869" s="5"/>
      <c r="Z869" t="s">
        <v>39</v>
      </c>
    </row>
    <row r="870" spans="1:29" x14ac:dyDescent="0.25">
      <c r="A870" s="4">
        <v>42550</v>
      </c>
      <c r="B870" t="s">
        <v>30</v>
      </c>
      <c r="C870">
        <v>501</v>
      </c>
      <c r="D870">
        <v>10</v>
      </c>
      <c r="E870">
        <v>1</v>
      </c>
      <c r="F870" t="s">
        <v>41</v>
      </c>
      <c r="G870" t="s">
        <v>32</v>
      </c>
      <c r="H870" t="s">
        <v>33</v>
      </c>
      <c r="I870" t="s">
        <v>84</v>
      </c>
      <c r="O870" s="5"/>
      <c r="P870" s="5"/>
      <c r="Z870" t="s">
        <v>39</v>
      </c>
    </row>
    <row r="871" spans="1:29" x14ac:dyDescent="0.25">
      <c r="A871" s="4">
        <v>42550</v>
      </c>
      <c r="B871" t="s">
        <v>30</v>
      </c>
      <c r="C871">
        <v>501</v>
      </c>
      <c r="D871">
        <v>10</v>
      </c>
      <c r="E871">
        <v>2</v>
      </c>
      <c r="F871" t="s">
        <v>41</v>
      </c>
      <c r="G871" t="s">
        <v>32</v>
      </c>
      <c r="H871" t="s">
        <v>33</v>
      </c>
      <c r="I871" t="s">
        <v>84</v>
      </c>
      <c r="O871" s="5"/>
      <c r="P871" s="5"/>
      <c r="Z871" t="s">
        <v>39</v>
      </c>
    </row>
    <row r="872" spans="1:29" x14ac:dyDescent="0.25">
      <c r="A872" s="4">
        <v>42550</v>
      </c>
      <c r="B872" t="s">
        <v>30</v>
      </c>
      <c r="C872">
        <v>503</v>
      </c>
      <c r="D872">
        <v>1</v>
      </c>
      <c r="E872">
        <v>1</v>
      </c>
      <c r="F872" t="s">
        <v>41</v>
      </c>
      <c r="G872" t="s">
        <v>32</v>
      </c>
      <c r="H872" t="s">
        <v>33</v>
      </c>
      <c r="I872" t="s">
        <v>73</v>
      </c>
      <c r="J872" t="s">
        <v>35</v>
      </c>
      <c r="K872" t="s">
        <v>36</v>
      </c>
      <c r="L872" t="s">
        <v>37</v>
      </c>
      <c r="M872">
        <v>0</v>
      </c>
      <c r="N872">
        <v>0</v>
      </c>
      <c r="O872" s="5"/>
      <c r="P872" s="5">
        <v>50578</v>
      </c>
      <c r="Q872">
        <f>144-46</f>
        <v>98</v>
      </c>
      <c r="R872" t="s">
        <v>136</v>
      </c>
      <c r="S872" t="s">
        <v>97</v>
      </c>
      <c r="Z872" t="s">
        <v>39</v>
      </c>
      <c r="AB872" t="s">
        <v>87</v>
      </c>
      <c r="AC872" t="s">
        <v>56</v>
      </c>
    </row>
    <row r="873" spans="1:29" x14ac:dyDescent="0.25">
      <c r="A873" s="4">
        <v>42550</v>
      </c>
      <c r="B873" t="s">
        <v>30</v>
      </c>
      <c r="C873">
        <v>503</v>
      </c>
      <c r="D873">
        <v>1</v>
      </c>
      <c r="E873">
        <v>2</v>
      </c>
      <c r="F873" t="s">
        <v>41</v>
      </c>
      <c r="G873" t="s">
        <v>32</v>
      </c>
      <c r="H873" t="s">
        <v>33</v>
      </c>
      <c r="I873" t="s">
        <v>57</v>
      </c>
      <c r="O873" s="5"/>
      <c r="P873" s="5"/>
      <c r="Z873" t="s">
        <v>39</v>
      </c>
    </row>
    <row r="874" spans="1:29" x14ac:dyDescent="0.25">
      <c r="A874" s="4">
        <v>42550</v>
      </c>
      <c r="B874" t="s">
        <v>30</v>
      </c>
      <c r="C874">
        <v>503</v>
      </c>
      <c r="D874">
        <v>2</v>
      </c>
      <c r="E874">
        <v>2</v>
      </c>
      <c r="F874" t="s">
        <v>41</v>
      </c>
      <c r="G874" t="s">
        <v>32</v>
      </c>
      <c r="H874" t="s">
        <v>33</v>
      </c>
      <c r="I874" t="s">
        <v>57</v>
      </c>
      <c r="O874" s="5"/>
      <c r="P874" s="5"/>
      <c r="Z874" t="s">
        <v>39</v>
      </c>
    </row>
    <row r="875" spans="1:29" x14ac:dyDescent="0.25">
      <c r="A875" s="4">
        <v>42550</v>
      </c>
      <c r="B875" t="s">
        <v>30</v>
      </c>
      <c r="C875">
        <v>503</v>
      </c>
      <c r="D875">
        <v>2</v>
      </c>
      <c r="E875">
        <v>2</v>
      </c>
      <c r="F875" t="s">
        <v>41</v>
      </c>
      <c r="G875" t="s">
        <v>32</v>
      </c>
      <c r="H875" t="s">
        <v>33</v>
      </c>
      <c r="I875" t="s">
        <v>57</v>
      </c>
      <c r="O875" s="5"/>
      <c r="P875" s="5"/>
      <c r="Z875" t="s">
        <v>39</v>
      </c>
    </row>
    <row r="876" spans="1:29" x14ac:dyDescent="0.25">
      <c r="A876" s="4">
        <v>42550</v>
      </c>
      <c r="B876" t="s">
        <v>30</v>
      </c>
      <c r="C876">
        <v>503</v>
      </c>
      <c r="D876">
        <v>4</v>
      </c>
      <c r="E876">
        <v>1</v>
      </c>
      <c r="F876" t="s">
        <v>41</v>
      </c>
      <c r="G876" t="s">
        <v>32</v>
      </c>
      <c r="H876" t="s">
        <v>33</v>
      </c>
      <c r="I876" t="s">
        <v>57</v>
      </c>
      <c r="O876" s="5"/>
      <c r="P876" s="5"/>
      <c r="Z876" t="s">
        <v>39</v>
      </c>
    </row>
    <row r="877" spans="1:29" x14ac:dyDescent="0.25">
      <c r="A877" s="4">
        <v>42550</v>
      </c>
      <c r="B877" t="s">
        <v>30</v>
      </c>
      <c r="C877">
        <v>503</v>
      </c>
      <c r="D877">
        <v>5</v>
      </c>
      <c r="E877">
        <v>1</v>
      </c>
      <c r="F877" t="s">
        <v>41</v>
      </c>
      <c r="G877" t="s">
        <v>32</v>
      </c>
      <c r="H877" t="s">
        <v>33</v>
      </c>
      <c r="I877" t="s">
        <v>91</v>
      </c>
      <c r="J877" t="s">
        <v>42</v>
      </c>
      <c r="K877" t="s">
        <v>36</v>
      </c>
      <c r="L877" t="s">
        <v>37</v>
      </c>
      <c r="M877">
        <v>0</v>
      </c>
      <c r="N877">
        <v>0</v>
      </c>
      <c r="O877" s="5">
        <v>50449</v>
      </c>
      <c r="P877" s="5"/>
      <c r="Q877">
        <f>36-11</f>
        <v>25</v>
      </c>
      <c r="R877" t="s">
        <v>136</v>
      </c>
      <c r="S877" t="s">
        <v>97</v>
      </c>
      <c r="T877">
        <v>30</v>
      </c>
      <c r="W877">
        <v>13</v>
      </c>
      <c r="X877">
        <v>30</v>
      </c>
      <c r="Z877" t="s">
        <v>39</v>
      </c>
      <c r="AB877" t="s">
        <v>102</v>
      </c>
      <c r="AC877" t="s">
        <v>56</v>
      </c>
    </row>
    <row r="878" spans="1:29" x14ac:dyDescent="0.25">
      <c r="A878" s="4">
        <v>42550</v>
      </c>
      <c r="B878" t="s">
        <v>30</v>
      </c>
      <c r="C878">
        <v>503</v>
      </c>
      <c r="D878">
        <v>5</v>
      </c>
      <c r="E878">
        <v>2</v>
      </c>
      <c r="F878" t="s">
        <v>41</v>
      </c>
      <c r="G878" t="s">
        <v>32</v>
      </c>
      <c r="H878" t="s">
        <v>33</v>
      </c>
      <c r="I878" t="s">
        <v>34</v>
      </c>
      <c r="J878" t="s">
        <v>35</v>
      </c>
      <c r="K878" t="s">
        <v>36</v>
      </c>
      <c r="L878" t="s">
        <v>43</v>
      </c>
      <c r="M878">
        <v>0</v>
      </c>
      <c r="N878">
        <v>0</v>
      </c>
      <c r="O878" s="5">
        <v>50436</v>
      </c>
      <c r="P878" s="5">
        <v>50435</v>
      </c>
      <c r="Q878">
        <f>32-13</f>
        <v>19</v>
      </c>
      <c r="R878" t="s">
        <v>47</v>
      </c>
      <c r="T878">
        <v>21</v>
      </c>
      <c r="U878">
        <v>83</v>
      </c>
      <c r="V878">
        <v>15</v>
      </c>
      <c r="W878">
        <v>12.8</v>
      </c>
      <c r="X878">
        <v>28.9</v>
      </c>
      <c r="Z878" t="s">
        <v>39</v>
      </c>
      <c r="AB878" t="s">
        <v>102</v>
      </c>
      <c r="AC878" t="s">
        <v>56</v>
      </c>
    </row>
    <row r="879" spans="1:29" x14ac:dyDescent="0.25">
      <c r="A879" s="4">
        <v>42550</v>
      </c>
      <c r="B879" t="s">
        <v>30</v>
      </c>
      <c r="C879">
        <v>503</v>
      </c>
      <c r="D879">
        <v>6</v>
      </c>
      <c r="E879">
        <v>1</v>
      </c>
      <c r="F879" t="s">
        <v>41</v>
      </c>
      <c r="G879" t="s">
        <v>32</v>
      </c>
      <c r="H879" t="s">
        <v>33</v>
      </c>
      <c r="I879" t="s">
        <v>34</v>
      </c>
      <c r="J879" t="s">
        <v>42</v>
      </c>
      <c r="K879" t="s">
        <v>89</v>
      </c>
      <c r="L879" t="s">
        <v>43</v>
      </c>
      <c r="M879">
        <v>0</v>
      </c>
      <c r="N879">
        <v>1</v>
      </c>
      <c r="O879" s="5">
        <v>50446</v>
      </c>
      <c r="P879" s="5">
        <v>50434</v>
      </c>
      <c r="Q879">
        <f>24-11</f>
        <v>13</v>
      </c>
      <c r="R879" t="s">
        <v>65</v>
      </c>
      <c r="T879">
        <v>19</v>
      </c>
      <c r="U879">
        <v>72</v>
      </c>
      <c r="V879">
        <v>13</v>
      </c>
      <c r="W879">
        <v>12.6</v>
      </c>
      <c r="X879">
        <v>27.7</v>
      </c>
      <c r="Z879" t="s">
        <v>39</v>
      </c>
      <c r="AB879" t="s">
        <v>102</v>
      </c>
      <c r="AC879" t="s">
        <v>56</v>
      </c>
    </row>
    <row r="880" spans="1:29" x14ac:dyDescent="0.25">
      <c r="A880" s="4">
        <v>42550</v>
      </c>
      <c r="B880" t="s">
        <v>30</v>
      </c>
      <c r="C880">
        <v>503</v>
      </c>
      <c r="D880">
        <v>6</v>
      </c>
      <c r="E880">
        <v>2</v>
      </c>
      <c r="F880" t="s">
        <v>41</v>
      </c>
      <c r="G880" t="s">
        <v>32</v>
      </c>
      <c r="H880" t="s">
        <v>33</v>
      </c>
      <c r="I880" t="s">
        <v>57</v>
      </c>
      <c r="O880" s="5"/>
      <c r="P880" s="5"/>
      <c r="Z880" t="s">
        <v>39</v>
      </c>
    </row>
    <row r="881" spans="1:29" x14ac:dyDescent="0.25">
      <c r="A881" s="4">
        <v>42550</v>
      </c>
      <c r="B881" t="s">
        <v>30</v>
      </c>
      <c r="C881">
        <v>503</v>
      </c>
      <c r="D881">
        <v>7</v>
      </c>
      <c r="E881">
        <v>1</v>
      </c>
      <c r="F881" t="s">
        <v>41</v>
      </c>
      <c r="G881" t="s">
        <v>32</v>
      </c>
      <c r="H881" t="s">
        <v>33</v>
      </c>
      <c r="I881" t="s">
        <v>58</v>
      </c>
      <c r="J881" t="s">
        <v>35</v>
      </c>
      <c r="K881" t="s">
        <v>36</v>
      </c>
      <c r="L881" t="s">
        <v>43</v>
      </c>
      <c r="M881">
        <v>0</v>
      </c>
      <c r="N881">
        <v>0</v>
      </c>
      <c r="O881" s="5">
        <v>50579</v>
      </c>
      <c r="P881" s="5"/>
      <c r="Q881">
        <f>40-12</f>
        <v>28</v>
      </c>
      <c r="R881" t="s">
        <v>47</v>
      </c>
      <c r="T881">
        <v>17</v>
      </c>
      <c r="Z881" t="s">
        <v>39</v>
      </c>
      <c r="AB881" t="s">
        <v>87</v>
      </c>
      <c r="AC881" t="s">
        <v>56</v>
      </c>
    </row>
    <row r="882" spans="1:29" x14ac:dyDescent="0.25">
      <c r="A882" s="4">
        <v>42550</v>
      </c>
      <c r="B882" t="s">
        <v>30</v>
      </c>
      <c r="C882">
        <v>503</v>
      </c>
      <c r="D882">
        <v>7</v>
      </c>
      <c r="E882">
        <v>2</v>
      </c>
      <c r="F882" t="s">
        <v>41</v>
      </c>
      <c r="G882" t="s">
        <v>32</v>
      </c>
      <c r="H882" t="s">
        <v>33</v>
      </c>
      <c r="I882" t="s">
        <v>57</v>
      </c>
      <c r="O882" s="5"/>
      <c r="P882" s="5"/>
      <c r="Z882" t="s">
        <v>39</v>
      </c>
    </row>
    <row r="883" spans="1:29" x14ac:dyDescent="0.25">
      <c r="A883" s="4">
        <v>42550</v>
      </c>
      <c r="B883" t="s">
        <v>30</v>
      </c>
      <c r="C883">
        <v>503</v>
      </c>
      <c r="D883">
        <v>8</v>
      </c>
      <c r="E883">
        <v>1</v>
      </c>
      <c r="F883" t="s">
        <v>41</v>
      </c>
      <c r="G883" t="s">
        <v>32</v>
      </c>
      <c r="H883" t="s">
        <v>33</v>
      </c>
      <c r="I883" t="s">
        <v>57</v>
      </c>
      <c r="O883" s="5"/>
      <c r="P883" s="5"/>
      <c r="Z883" t="s">
        <v>39</v>
      </c>
    </row>
    <row r="884" spans="1:29" x14ac:dyDescent="0.25">
      <c r="A884" s="4">
        <v>42550</v>
      </c>
      <c r="B884" t="s">
        <v>30</v>
      </c>
      <c r="C884">
        <v>503</v>
      </c>
      <c r="D884">
        <v>8</v>
      </c>
      <c r="E884">
        <v>2</v>
      </c>
      <c r="F884" t="s">
        <v>41</v>
      </c>
      <c r="G884" t="s">
        <v>32</v>
      </c>
      <c r="H884" t="s">
        <v>33</v>
      </c>
      <c r="I884" t="s">
        <v>34</v>
      </c>
      <c r="J884" t="s">
        <v>42</v>
      </c>
      <c r="K884" t="s">
        <v>89</v>
      </c>
      <c r="L884" t="s">
        <v>37</v>
      </c>
      <c r="M884">
        <v>0</v>
      </c>
      <c r="N884">
        <v>1</v>
      </c>
      <c r="O884" s="5">
        <v>50442</v>
      </c>
      <c r="P884" s="5">
        <v>50441</v>
      </c>
      <c r="Q884">
        <f>26.5-12</f>
        <v>14.5</v>
      </c>
      <c r="R884" t="s">
        <v>38</v>
      </c>
      <c r="S884" t="s">
        <v>39</v>
      </c>
      <c r="T884">
        <v>19</v>
      </c>
      <c r="U884">
        <v>70</v>
      </c>
      <c r="V884">
        <v>13</v>
      </c>
      <c r="W884">
        <v>12.1</v>
      </c>
      <c r="X884">
        <v>26.5</v>
      </c>
      <c r="Z884" t="s">
        <v>39</v>
      </c>
      <c r="AB884" t="s">
        <v>87</v>
      </c>
      <c r="AC884" t="s">
        <v>56</v>
      </c>
    </row>
    <row r="885" spans="1:29" x14ac:dyDescent="0.25">
      <c r="A885" s="4">
        <v>42550</v>
      </c>
      <c r="B885" t="s">
        <v>30</v>
      </c>
      <c r="C885">
        <v>503</v>
      </c>
      <c r="D885">
        <v>10</v>
      </c>
      <c r="E885">
        <v>1</v>
      </c>
      <c r="F885" t="s">
        <v>41</v>
      </c>
      <c r="G885" t="s">
        <v>32</v>
      </c>
      <c r="H885" t="s">
        <v>33</v>
      </c>
      <c r="I885" t="s">
        <v>57</v>
      </c>
      <c r="O885" s="5"/>
      <c r="P885" s="5"/>
      <c r="Z885" t="s">
        <v>39</v>
      </c>
    </row>
    <row r="886" spans="1:29" x14ac:dyDescent="0.25">
      <c r="A886" s="4">
        <v>42550</v>
      </c>
      <c r="B886" t="s">
        <v>30</v>
      </c>
      <c r="C886">
        <v>503</v>
      </c>
      <c r="D886">
        <v>10</v>
      </c>
      <c r="E886">
        <v>2</v>
      </c>
      <c r="F886" t="s">
        <v>41</v>
      </c>
      <c r="G886" t="s">
        <v>32</v>
      </c>
      <c r="H886" t="s">
        <v>33</v>
      </c>
      <c r="I886" t="s">
        <v>57</v>
      </c>
      <c r="O886" s="5"/>
      <c r="P886" s="5"/>
      <c r="Z886" t="s">
        <v>39</v>
      </c>
    </row>
    <row r="887" spans="1:29" x14ac:dyDescent="0.25">
      <c r="A887" s="4">
        <v>42550</v>
      </c>
      <c r="B887" t="s">
        <v>30</v>
      </c>
      <c r="C887">
        <v>303</v>
      </c>
      <c r="D887">
        <v>1</v>
      </c>
      <c r="E887">
        <v>1</v>
      </c>
      <c r="F887" t="s">
        <v>41</v>
      </c>
      <c r="G887" t="s">
        <v>32</v>
      </c>
      <c r="H887" t="s">
        <v>33</v>
      </c>
      <c r="I887" t="s">
        <v>58</v>
      </c>
      <c r="J887" t="s">
        <v>42</v>
      </c>
      <c r="K887" t="s">
        <v>36</v>
      </c>
      <c r="L887" t="s">
        <v>43</v>
      </c>
      <c r="M887">
        <v>0</v>
      </c>
      <c r="N887">
        <v>1</v>
      </c>
      <c r="O887" s="5"/>
      <c r="P887" s="5">
        <v>50439</v>
      </c>
      <c r="Q887">
        <f>32-13</f>
        <v>19</v>
      </c>
      <c r="R887" t="s">
        <v>47</v>
      </c>
      <c r="T887">
        <v>19</v>
      </c>
      <c r="W887">
        <v>13</v>
      </c>
      <c r="X887">
        <v>28.5</v>
      </c>
      <c r="Z887" t="s">
        <v>39</v>
      </c>
      <c r="AB887" t="s">
        <v>87</v>
      </c>
      <c r="AC887" t="s">
        <v>56</v>
      </c>
    </row>
    <row r="888" spans="1:29" x14ac:dyDescent="0.25">
      <c r="A888" s="4">
        <v>42550</v>
      </c>
      <c r="B888" t="s">
        <v>30</v>
      </c>
      <c r="C888">
        <v>303</v>
      </c>
      <c r="D888">
        <v>2</v>
      </c>
      <c r="E888">
        <v>1</v>
      </c>
      <c r="F888" t="s">
        <v>41</v>
      </c>
      <c r="G888" t="s">
        <v>32</v>
      </c>
      <c r="H888" t="s">
        <v>33</v>
      </c>
      <c r="I888" t="s">
        <v>34</v>
      </c>
      <c r="J888" t="s">
        <v>35</v>
      </c>
      <c r="K888" t="s">
        <v>114</v>
      </c>
      <c r="L888" t="s">
        <v>37</v>
      </c>
      <c r="M888">
        <v>0</v>
      </c>
      <c r="N888">
        <v>0</v>
      </c>
      <c r="O888" s="5">
        <v>50582</v>
      </c>
      <c r="P888" s="5">
        <v>50581</v>
      </c>
      <c r="Q888">
        <f>27-12</f>
        <v>15</v>
      </c>
      <c r="R888" t="s">
        <v>38</v>
      </c>
      <c r="S888" t="s">
        <v>39</v>
      </c>
      <c r="T888">
        <v>20</v>
      </c>
      <c r="U888">
        <v>79</v>
      </c>
      <c r="V888">
        <v>13</v>
      </c>
      <c r="Z888" t="s">
        <v>39</v>
      </c>
      <c r="AB888" t="s">
        <v>87</v>
      </c>
      <c r="AC888" t="s">
        <v>56</v>
      </c>
    </row>
    <row r="889" spans="1:29" x14ac:dyDescent="0.25">
      <c r="A889" s="4">
        <v>42550</v>
      </c>
      <c r="B889" t="s">
        <v>30</v>
      </c>
      <c r="C889">
        <v>303</v>
      </c>
      <c r="D889">
        <v>2</v>
      </c>
      <c r="E889">
        <v>2</v>
      </c>
      <c r="F889" t="s">
        <v>41</v>
      </c>
      <c r="G889" t="s">
        <v>32</v>
      </c>
      <c r="H889" t="s">
        <v>33</v>
      </c>
      <c r="I889" t="s">
        <v>58</v>
      </c>
      <c r="J889" t="s">
        <v>42</v>
      </c>
      <c r="K889" t="s">
        <v>36</v>
      </c>
      <c r="L889" t="s">
        <v>43</v>
      </c>
      <c r="M889">
        <v>0</v>
      </c>
      <c r="N889">
        <v>1</v>
      </c>
      <c r="O889" s="5"/>
      <c r="P889" s="5">
        <v>50437</v>
      </c>
      <c r="Q889">
        <f>32-14</f>
        <v>18</v>
      </c>
      <c r="R889" t="s">
        <v>47</v>
      </c>
      <c r="T889">
        <v>17</v>
      </c>
      <c r="W889">
        <v>12.6</v>
      </c>
      <c r="X889">
        <v>27.8</v>
      </c>
      <c r="Z889" t="s">
        <v>39</v>
      </c>
      <c r="AB889" t="s">
        <v>87</v>
      </c>
      <c r="AC889" t="s">
        <v>56</v>
      </c>
    </row>
    <row r="890" spans="1:29" x14ac:dyDescent="0.25">
      <c r="A890" s="4">
        <v>42550</v>
      </c>
      <c r="B890" t="s">
        <v>30</v>
      </c>
      <c r="C890">
        <v>303</v>
      </c>
      <c r="D890">
        <v>3</v>
      </c>
      <c r="E890">
        <v>1</v>
      </c>
      <c r="F890" t="s">
        <v>41</v>
      </c>
      <c r="G890" t="s">
        <v>32</v>
      </c>
      <c r="H890" t="s">
        <v>33</v>
      </c>
      <c r="I890" t="s">
        <v>57</v>
      </c>
      <c r="O890" s="5"/>
      <c r="P890" s="5"/>
      <c r="Z890" t="s">
        <v>39</v>
      </c>
    </row>
    <row r="891" spans="1:29" x14ac:dyDescent="0.25">
      <c r="A891" s="4">
        <v>42550</v>
      </c>
      <c r="B891" t="s">
        <v>30</v>
      </c>
      <c r="C891">
        <v>303</v>
      </c>
      <c r="D891">
        <v>4</v>
      </c>
      <c r="E891">
        <v>1</v>
      </c>
      <c r="F891" t="s">
        <v>41</v>
      </c>
      <c r="G891" t="s">
        <v>32</v>
      </c>
      <c r="H891" t="s">
        <v>33</v>
      </c>
      <c r="I891" t="s">
        <v>91</v>
      </c>
      <c r="J891" t="s">
        <v>35</v>
      </c>
      <c r="K891" t="s">
        <v>36</v>
      </c>
      <c r="L891" t="s">
        <v>37</v>
      </c>
      <c r="M891">
        <v>0</v>
      </c>
      <c r="N891">
        <v>0</v>
      </c>
      <c r="O891" s="5" t="s">
        <v>134</v>
      </c>
      <c r="P891" s="5"/>
      <c r="Q891">
        <f>32-12</f>
        <v>20</v>
      </c>
      <c r="R891" t="s">
        <v>136</v>
      </c>
      <c r="S891" t="s">
        <v>97</v>
      </c>
      <c r="T891">
        <v>27</v>
      </c>
      <c r="W891">
        <v>13.5</v>
      </c>
      <c r="X891">
        <v>28</v>
      </c>
      <c r="Z891" t="s">
        <v>39</v>
      </c>
      <c r="AB891" t="s">
        <v>87</v>
      </c>
      <c r="AC891" t="s">
        <v>56</v>
      </c>
    </row>
    <row r="892" spans="1:29" x14ac:dyDescent="0.25">
      <c r="A892" s="4">
        <v>42550</v>
      </c>
      <c r="B892" t="s">
        <v>30</v>
      </c>
      <c r="C892">
        <v>303</v>
      </c>
      <c r="D892">
        <v>6</v>
      </c>
      <c r="E892">
        <v>1</v>
      </c>
      <c r="F892" t="s">
        <v>41</v>
      </c>
      <c r="G892" t="s">
        <v>32</v>
      </c>
      <c r="H892" t="s">
        <v>33</v>
      </c>
      <c r="I892" t="s">
        <v>57</v>
      </c>
      <c r="O892" s="5"/>
      <c r="P892" s="5"/>
      <c r="Z892" t="s">
        <v>39</v>
      </c>
    </row>
    <row r="893" spans="1:29" x14ac:dyDescent="0.25">
      <c r="A893" s="4">
        <v>42550</v>
      </c>
      <c r="B893" t="s">
        <v>30</v>
      </c>
      <c r="C893">
        <v>303</v>
      </c>
      <c r="D893">
        <v>6</v>
      </c>
      <c r="E893">
        <v>2</v>
      </c>
      <c r="F893" t="s">
        <v>41</v>
      </c>
      <c r="G893" t="s">
        <v>32</v>
      </c>
      <c r="H893" t="s">
        <v>33</v>
      </c>
      <c r="I893" t="s">
        <v>57</v>
      </c>
      <c r="O893" s="5"/>
      <c r="P893" s="5"/>
      <c r="Z893" t="s">
        <v>39</v>
      </c>
    </row>
    <row r="894" spans="1:29" x14ac:dyDescent="0.25">
      <c r="A894" s="4">
        <v>42550</v>
      </c>
      <c r="B894" t="s">
        <v>30</v>
      </c>
      <c r="C894">
        <v>303</v>
      </c>
      <c r="D894">
        <v>7</v>
      </c>
      <c r="E894">
        <v>1</v>
      </c>
      <c r="F894" t="s">
        <v>41</v>
      </c>
      <c r="G894" t="s">
        <v>32</v>
      </c>
      <c r="H894" t="s">
        <v>33</v>
      </c>
      <c r="I894" t="s">
        <v>53</v>
      </c>
      <c r="J894" t="s">
        <v>62</v>
      </c>
      <c r="O894" s="5"/>
      <c r="P894" s="5"/>
      <c r="Z894" t="s">
        <v>39</v>
      </c>
    </row>
    <row r="895" spans="1:29" x14ac:dyDescent="0.25">
      <c r="A895" s="4">
        <v>42550</v>
      </c>
      <c r="B895" t="s">
        <v>30</v>
      </c>
      <c r="C895">
        <v>303</v>
      </c>
      <c r="D895">
        <v>7</v>
      </c>
      <c r="E895">
        <v>2</v>
      </c>
      <c r="F895" t="s">
        <v>41</v>
      </c>
      <c r="G895" t="s">
        <v>32</v>
      </c>
      <c r="H895" t="s">
        <v>33</v>
      </c>
      <c r="I895" t="s">
        <v>57</v>
      </c>
      <c r="O895" s="5"/>
      <c r="P895" s="5"/>
      <c r="Z895" t="s">
        <v>39</v>
      </c>
    </row>
    <row r="896" spans="1:29" x14ac:dyDescent="0.25">
      <c r="A896" s="4">
        <v>42550</v>
      </c>
      <c r="B896" t="s">
        <v>30</v>
      </c>
      <c r="C896">
        <v>303</v>
      </c>
      <c r="D896">
        <v>9</v>
      </c>
      <c r="E896">
        <v>1</v>
      </c>
      <c r="F896" t="s">
        <v>41</v>
      </c>
      <c r="G896" t="s">
        <v>32</v>
      </c>
      <c r="H896" t="s">
        <v>33</v>
      </c>
      <c r="I896" t="s">
        <v>34</v>
      </c>
      <c r="J896" t="s">
        <v>35</v>
      </c>
      <c r="K896" t="s">
        <v>36</v>
      </c>
      <c r="L896" t="s">
        <v>43</v>
      </c>
      <c r="M896">
        <v>0</v>
      </c>
      <c r="N896">
        <v>0</v>
      </c>
      <c r="O896" s="5">
        <v>50321</v>
      </c>
      <c r="P896" s="5">
        <v>50320</v>
      </c>
      <c r="Q896">
        <f>33-12</f>
        <v>21</v>
      </c>
      <c r="R896" t="s">
        <v>47</v>
      </c>
      <c r="T896">
        <v>18</v>
      </c>
      <c r="U896">
        <v>80</v>
      </c>
      <c r="V896">
        <v>13</v>
      </c>
      <c r="W896">
        <v>13.1</v>
      </c>
      <c r="X896">
        <v>28.9</v>
      </c>
      <c r="Z896" t="s">
        <v>39</v>
      </c>
      <c r="AB896" t="s">
        <v>87</v>
      </c>
      <c r="AC896" t="s">
        <v>56</v>
      </c>
    </row>
    <row r="897" spans="1:29" x14ac:dyDescent="0.25">
      <c r="A897" s="4">
        <v>42550</v>
      </c>
      <c r="B897" t="s">
        <v>30</v>
      </c>
      <c r="C897">
        <v>303</v>
      </c>
      <c r="D897">
        <v>9</v>
      </c>
      <c r="E897">
        <v>2</v>
      </c>
      <c r="F897" t="s">
        <v>41</v>
      </c>
      <c r="G897" t="s">
        <v>32</v>
      </c>
      <c r="H897" t="s">
        <v>33</v>
      </c>
      <c r="I897" t="s">
        <v>57</v>
      </c>
      <c r="O897" s="5"/>
      <c r="P897" s="5"/>
      <c r="Z897" t="s">
        <v>39</v>
      </c>
    </row>
    <row r="898" spans="1:29" x14ac:dyDescent="0.25">
      <c r="A898" s="4">
        <v>42550</v>
      </c>
      <c r="B898" t="s">
        <v>30</v>
      </c>
      <c r="C898">
        <v>303</v>
      </c>
      <c r="D898">
        <v>10</v>
      </c>
      <c r="E898">
        <v>1</v>
      </c>
      <c r="F898" t="s">
        <v>41</v>
      </c>
      <c r="G898" t="s">
        <v>32</v>
      </c>
      <c r="H898" t="s">
        <v>33</v>
      </c>
      <c r="I898" t="s">
        <v>58</v>
      </c>
      <c r="J898" t="s">
        <v>42</v>
      </c>
      <c r="K898" t="s">
        <v>36</v>
      </c>
      <c r="L898" t="s">
        <v>43</v>
      </c>
      <c r="M898">
        <v>0</v>
      </c>
      <c r="N898">
        <v>1</v>
      </c>
      <c r="O898" s="5">
        <v>50450</v>
      </c>
      <c r="P898" s="5"/>
      <c r="R898" t="s">
        <v>47</v>
      </c>
      <c r="T898">
        <v>20</v>
      </c>
      <c r="W898">
        <v>12.8</v>
      </c>
      <c r="X898">
        <v>27.5</v>
      </c>
      <c r="Z898" t="s">
        <v>39</v>
      </c>
      <c r="AB898" t="s">
        <v>87</v>
      </c>
      <c r="AC898" t="s">
        <v>56</v>
      </c>
    </row>
    <row r="899" spans="1:29" x14ac:dyDescent="0.25">
      <c r="A899" s="4">
        <v>42550</v>
      </c>
      <c r="B899" t="s">
        <v>30</v>
      </c>
      <c r="C899">
        <v>401</v>
      </c>
      <c r="D899">
        <v>3</v>
      </c>
      <c r="E899">
        <v>1</v>
      </c>
      <c r="F899" t="s">
        <v>41</v>
      </c>
      <c r="G899" t="s">
        <v>32</v>
      </c>
      <c r="H899" t="s">
        <v>33</v>
      </c>
      <c r="I899" t="s">
        <v>34</v>
      </c>
      <c r="J899" t="s">
        <v>35</v>
      </c>
      <c r="K899" t="s">
        <v>36</v>
      </c>
      <c r="L899" t="s">
        <v>43</v>
      </c>
      <c r="M899">
        <v>0</v>
      </c>
      <c r="N899">
        <v>0</v>
      </c>
      <c r="O899" s="5">
        <v>50590</v>
      </c>
      <c r="P899" s="5">
        <v>50589</v>
      </c>
      <c r="Q899">
        <f>33-16</f>
        <v>17</v>
      </c>
      <c r="R899" t="s">
        <v>47</v>
      </c>
      <c r="T899">
        <v>20</v>
      </c>
      <c r="U899">
        <v>76</v>
      </c>
      <c r="V899">
        <v>16</v>
      </c>
      <c r="W899">
        <v>13.5</v>
      </c>
      <c r="X899">
        <v>27.5</v>
      </c>
      <c r="Z899" t="s">
        <v>39</v>
      </c>
      <c r="AB899" t="s">
        <v>87</v>
      </c>
      <c r="AC899" t="s">
        <v>56</v>
      </c>
    </row>
    <row r="900" spans="1:29" x14ac:dyDescent="0.25">
      <c r="A900" s="4">
        <v>42550</v>
      </c>
      <c r="B900" t="s">
        <v>30</v>
      </c>
      <c r="C900">
        <v>401</v>
      </c>
      <c r="D900">
        <v>5</v>
      </c>
      <c r="E900">
        <v>1</v>
      </c>
      <c r="F900" t="s">
        <v>41</v>
      </c>
      <c r="G900" t="s">
        <v>32</v>
      </c>
      <c r="H900" t="s">
        <v>33</v>
      </c>
      <c r="I900" t="s">
        <v>57</v>
      </c>
      <c r="O900" s="5"/>
      <c r="P900" s="5"/>
      <c r="Z900" t="s">
        <v>39</v>
      </c>
    </row>
    <row r="901" spans="1:29" x14ac:dyDescent="0.25">
      <c r="A901" s="4">
        <v>42550</v>
      </c>
      <c r="B901" t="s">
        <v>30</v>
      </c>
      <c r="C901">
        <v>401</v>
      </c>
      <c r="D901">
        <v>5</v>
      </c>
      <c r="E901">
        <v>2</v>
      </c>
      <c r="F901" t="s">
        <v>41</v>
      </c>
      <c r="G901" t="s">
        <v>32</v>
      </c>
      <c r="H901" t="s">
        <v>33</v>
      </c>
      <c r="I901" t="s">
        <v>57</v>
      </c>
      <c r="O901" s="5"/>
      <c r="P901" s="5"/>
      <c r="Z901" t="s">
        <v>39</v>
      </c>
    </row>
    <row r="902" spans="1:29" x14ac:dyDescent="0.25">
      <c r="A902" s="4">
        <v>42550</v>
      </c>
      <c r="B902" t="s">
        <v>30</v>
      </c>
      <c r="C902">
        <v>401</v>
      </c>
      <c r="D902">
        <v>10</v>
      </c>
      <c r="E902">
        <v>1</v>
      </c>
      <c r="F902" t="s">
        <v>41</v>
      </c>
      <c r="G902" t="s">
        <v>32</v>
      </c>
      <c r="H902" t="s">
        <v>33</v>
      </c>
      <c r="I902" t="s">
        <v>57</v>
      </c>
      <c r="O902" s="5"/>
      <c r="P902" s="5"/>
      <c r="Z902" t="s">
        <v>39</v>
      </c>
    </row>
    <row r="903" spans="1:29" x14ac:dyDescent="0.25">
      <c r="A903" s="4">
        <v>42550</v>
      </c>
      <c r="B903" t="s">
        <v>30</v>
      </c>
      <c r="C903">
        <v>703</v>
      </c>
      <c r="D903">
        <v>1</v>
      </c>
      <c r="E903">
        <v>1</v>
      </c>
      <c r="F903" t="s">
        <v>31</v>
      </c>
      <c r="G903" t="s">
        <v>32</v>
      </c>
      <c r="H903" t="s">
        <v>33</v>
      </c>
      <c r="I903" t="s">
        <v>57</v>
      </c>
      <c r="O903" s="5"/>
      <c r="P903" s="5"/>
      <c r="Z903" t="s">
        <v>39</v>
      </c>
    </row>
    <row r="904" spans="1:29" x14ac:dyDescent="0.25">
      <c r="A904" s="4">
        <v>42550</v>
      </c>
      <c r="B904" t="s">
        <v>30</v>
      </c>
      <c r="C904">
        <v>703</v>
      </c>
      <c r="D904">
        <v>1</v>
      </c>
      <c r="E904">
        <v>2</v>
      </c>
      <c r="F904" t="s">
        <v>31</v>
      </c>
      <c r="G904" t="s">
        <v>32</v>
      </c>
      <c r="H904" t="s">
        <v>33</v>
      </c>
      <c r="I904" t="s">
        <v>34</v>
      </c>
      <c r="J904" t="s">
        <v>42</v>
      </c>
      <c r="K904" t="s">
        <v>89</v>
      </c>
      <c r="L904" t="s">
        <v>43</v>
      </c>
      <c r="M904">
        <v>0</v>
      </c>
      <c r="N904">
        <v>1</v>
      </c>
      <c r="O904" s="5">
        <v>50620</v>
      </c>
      <c r="P904" s="5">
        <v>50619</v>
      </c>
      <c r="Q904">
        <f>25-11.5</f>
        <v>13.5</v>
      </c>
      <c r="R904" t="s">
        <v>65</v>
      </c>
      <c r="T904">
        <v>18</v>
      </c>
      <c r="U904">
        <v>83</v>
      </c>
      <c r="V904">
        <v>16</v>
      </c>
      <c r="W904">
        <v>12.1</v>
      </c>
      <c r="X904">
        <v>26.5</v>
      </c>
      <c r="Z904" t="s">
        <v>39</v>
      </c>
      <c r="AB904" t="s">
        <v>59</v>
      </c>
      <c r="AC904" t="s">
        <v>56</v>
      </c>
    </row>
    <row r="905" spans="1:29" x14ac:dyDescent="0.25">
      <c r="A905" s="4">
        <v>42550</v>
      </c>
      <c r="B905" t="s">
        <v>30</v>
      </c>
      <c r="C905">
        <v>703</v>
      </c>
      <c r="D905">
        <v>2</v>
      </c>
      <c r="E905">
        <v>1</v>
      </c>
      <c r="F905" t="s">
        <v>31</v>
      </c>
      <c r="G905" t="s">
        <v>32</v>
      </c>
      <c r="H905" t="s">
        <v>33</v>
      </c>
      <c r="I905" t="s">
        <v>34</v>
      </c>
      <c r="J905" t="s">
        <v>42</v>
      </c>
      <c r="K905" t="s">
        <v>89</v>
      </c>
      <c r="L905" t="s">
        <v>37</v>
      </c>
      <c r="M905">
        <v>0</v>
      </c>
      <c r="N905">
        <v>1</v>
      </c>
      <c r="O905" s="5">
        <v>50623</v>
      </c>
      <c r="P905" s="5">
        <v>50622</v>
      </c>
      <c r="Q905">
        <f>27.5-15.5</f>
        <v>12</v>
      </c>
      <c r="R905" t="s">
        <v>38</v>
      </c>
      <c r="S905" t="s">
        <v>39</v>
      </c>
      <c r="T905">
        <v>18</v>
      </c>
      <c r="U905">
        <v>74.5</v>
      </c>
      <c r="V905">
        <v>14.5</v>
      </c>
      <c r="W905">
        <v>11.5</v>
      </c>
      <c r="X905">
        <v>26.6</v>
      </c>
      <c r="Z905" t="s">
        <v>39</v>
      </c>
      <c r="AB905" t="s">
        <v>59</v>
      </c>
      <c r="AC905" t="s">
        <v>56</v>
      </c>
    </row>
    <row r="906" spans="1:29" x14ac:dyDescent="0.25">
      <c r="A906" s="4">
        <v>42550</v>
      </c>
      <c r="B906" t="s">
        <v>30</v>
      </c>
      <c r="C906">
        <v>703</v>
      </c>
      <c r="D906">
        <v>4</v>
      </c>
      <c r="E906">
        <v>1</v>
      </c>
      <c r="F906" t="s">
        <v>31</v>
      </c>
      <c r="G906" t="s">
        <v>32</v>
      </c>
      <c r="H906" t="s">
        <v>33</v>
      </c>
      <c r="I906" t="s">
        <v>34</v>
      </c>
      <c r="J906" t="s">
        <v>35</v>
      </c>
      <c r="K906" t="s">
        <v>89</v>
      </c>
      <c r="L906" t="s">
        <v>37</v>
      </c>
      <c r="M906">
        <v>0</v>
      </c>
      <c r="N906">
        <v>0</v>
      </c>
      <c r="O906" s="5">
        <v>50480</v>
      </c>
      <c r="P906" s="5">
        <v>50479</v>
      </c>
      <c r="Q906">
        <v>12</v>
      </c>
      <c r="R906" t="s">
        <v>38</v>
      </c>
      <c r="S906" t="s">
        <v>39</v>
      </c>
      <c r="T906">
        <v>18</v>
      </c>
      <c r="U906">
        <v>77</v>
      </c>
      <c r="V906">
        <v>16.5</v>
      </c>
      <c r="W906">
        <v>11.4</v>
      </c>
      <c r="X906">
        <v>25.8</v>
      </c>
      <c r="Z906" t="s">
        <v>39</v>
      </c>
      <c r="AB906" t="s">
        <v>59</v>
      </c>
      <c r="AC906" t="s">
        <v>56</v>
      </c>
    </row>
    <row r="907" spans="1:29" x14ac:dyDescent="0.25">
      <c r="A907" s="4">
        <v>42550</v>
      </c>
      <c r="B907" t="s">
        <v>30</v>
      </c>
      <c r="C907">
        <v>703</v>
      </c>
      <c r="D907">
        <v>5</v>
      </c>
      <c r="E907">
        <v>1</v>
      </c>
      <c r="F907" t="s">
        <v>31</v>
      </c>
      <c r="G907" t="s">
        <v>32</v>
      </c>
      <c r="H907" t="s">
        <v>33</v>
      </c>
      <c r="I907" t="s">
        <v>57</v>
      </c>
      <c r="O907" s="5"/>
      <c r="P907" s="5"/>
      <c r="Z907" t="s">
        <v>39</v>
      </c>
    </row>
    <row r="908" spans="1:29" x14ac:dyDescent="0.25">
      <c r="A908" s="4">
        <v>42550</v>
      </c>
      <c r="B908" t="s">
        <v>30</v>
      </c>
      <c r="C908">
        <v>703</v>
      </c>
      <c r="D908">
        <v>5</v>
      </c>
      <c r="E908">
        <v>2</v>
      </c>
      <c r="F908" t="s">
        <v>31</v>
      </c>
      <c r="G908" t="s">
        <v>32</v>
      </c>
      <c r="H908" t="s">
        <v>33</v>
      </c>
      <c r="I908" t="s">
        <v>53</v>
      </c>
      <c r="J908" t="s">
        <v>62</v>
      </c>
      <c r="O908" s="5"/>
      <c r="P908" s="5"/>
      <c r="Z908" t="s">
        <v>39</v>
      </c>
    </row>
    <row r="909" spans="1:29" x14ac:dyDescent="0.25">
      <c r="A909" s="4">
        <v>42550</v>
      </c>
      <c r="B909" t="s">
        <v>30</v>
      </c>
      <c r="C909">
        <v>703</v>
      </c>
      <c r="D909">
        <v>6</v>
      </c>
      <c r="E909">
        <v>1</v>
      </c>
      <c r="F909" t="s">
        <v>31</v>
      </c>
      <c r="G909" t="s">
        <v>32</v>
      </c>
      <c r="H909" t="s">
        <v>33</v>
      </c>
      <c r="I909" t="s">
        <v>57</v>
      </c>
      <c r="O909" s="5"/>
      <c r="P909" s="5"/>
      <c r="Z909" t="s">
        <v>39</v>
      </c>
    </row>
    <row r="910" spans="1:29" x14ac:dyDescent="0.25">
      <c r="A910" s="4">
        <v>42550</v>
      </c>
      <c r="B910" t="s">
        <v>30</v>
      </c>
      <c r="C910">
        <v>703</v>
      </c>
      <c r="D910">
        <v>6</v>
      </c>
      <c r="E910">
        <v>2</v>
      </c>
      <c r="F910" t="s">
        <v>31</v>
      </c>
      <c r="G910" t="s">
        <v>32</v>
      </c>
      <c r="H910" t="s">
        <v>33</v>
      </c>
      <c r="I910" t="s">
        <v>58</v>
      </c>
      <c r="J910" t="s">
        <v>51</v>
      </c>
      <c r="K910" t="s">
        <v>36</v>
      </c>
      <c r="L910" t="s">
        <v>43</v>
      </c>
      <c r="M910">
        <v>1</v>
      </c>
      <c r="N910">
        <v>0</v>
      </c>
      <c r="O910" s="5"/>
      <c r="P910" s="5">
        <v>50621</v>
      </c>
      <c r="Q910">
        <f>38-13.5</f>
        <v>24.5</v>
      </c>
      <c r="R910" t="s">
        <v>47</v>
      </c>
      <c r="T910">
        <v>16</v>
      </c>
      <c r="W910">
        <v>12.2</v>
      </c>
      <c r="X910">
        <v>25</v>
      </c>
      <c r="Z910" t="s">
        <v>39</v>
      </c>
      <c r="AB910" t="s">
        <v>59</v>
      </c>
      <c r="AC910" t="s">
        <v>68</v>
      </c>
    </row>
    <row r="911" spans="1:29" x14ac:dyDescent="0.25">
      <c r="A911" s="4">
        <v>42550</v>
      </c>
      <c r="B911" t="s">
        <v>30</v>
      </c>
      <c r="C911">
        <v>703</v>
      </c>
      <c r="D911">
        <v>7</v>
      </c>
      <c r="E911">
        <v>1</v>
      </c>
      <c r="F911" t="s">
        <v>31</v>
      </c>
      <c r="G911" t="s">
        <v>32</v>
      </c>
      <c r="H911" t="s">
        <v>33</v>
      </c>
      <c r="I911" t="s">
        <v>57</v>
      </c>
      <c r="O911" s="5"/>
      <c r="P911" s="5"/>
      <c r="Z911" t="s">
        <v>39</v>
      </c>
    </row>
    <row r="912" spans="1:29" x14ac:dyDescent="0.25">
      <c r="A912" s="4">
        <v>42550</v>
      </c>
      <c r="B912" t="s">
        <v>30</v>
      </c>
      <c r="C912">
        <v>703</v>
      </c>
      <c r="D912">
        <v>8</v>
      </c>
      <c r="E912">
        <v>1</v>
      </c>
      <c r="F912" t="s">
        <v>31</v>
      </c>
      <c r="G912" t="s">
        <v>32</v>
      </c>
      <c r="H912" t="s">
        <v>33</v>
      </c>
      <c r="I912" t="s">
        <v>57</v>
      </c>
      <c r="O912" s="5"/>
      <c r="P912" s="5"/>
      <c r="Z912" t="s">
        <v>39</v>
      </c>
    </row>
    <row r="913" spans="1:30" x14ac:dyDescent="0.25">
      <c r="A913" s="4">
        <v>42550</v>
      </c>
      <c r="B913" t="s">
        <v>30</v>
      </c>
      <c r="C913">
        <v>703</v>
      </c>
      <c r="D913">
        <v>8</v>
      </c>
      <c r="E913">
        <v>2</v>
      </c>
      <c r="F913" t="s">
        <v>31</v>
      </c>
      <c r="G913" t="s">
        <v>32</v>
      </c>
      <c r="H913" t="s">
        <v>33</v>
      </c>
      <c r="I913" t="s">
        <v>57</v>
      </c>
      <c r="O913" s="5"/>
      <c r="P913" s="5"/>
      <c r="Z913" t="s">
        <v>39</v>
      </c>
    </row>
    <row r="914" spans="1:30" x14ac:dyDescent="0.25">
      <c r="A914" s="4">
        <v>42550</v>
      </c>
      <c r="B914" t="s">
        <v>30</v>
      </c>
      <c r="C914">
        <v>703</v>
      </c>
      <c r="D914">
        <v>9</v>
      </c>
      <c r="E914">
        <v>1</v>
      </c>
      <c r="F914" t="s">
        <v>31</v>
      </c>
      <c r="G914" t="s">
        <v>32</v>
      </c>
      <c r="H914" t="s">
        <v>33</v>
      </c>
      <c r="I914" t="s">
        <v>57</v>
      </c>
      <c r="O914" s="5"/>
      <c r="P914" s="5"/>
      <c r="Z914" t="s">
        <v>39</v>
      </c>
    </row>
    <row r="915" spans="1:30" x14ac:dyDescent="0.25">
      <c r="A915" s="4">
        <v>42550</v>
      </c>
      <c r="B915" t="s">
        <v>30</v>
      </c>
      <c r="C915">
        <v>703</v>
      </c>
      <c r="D915">
        <v>9</v>
      </c>
      <c r="E915">
        <v>2</v>
      </c>
      <c r="F915" t="s">
        <v>31</v>
      </c>
      <c r="G915" t="s">
        <v>32</v>
      </c>
      <c r="H915" t="s">
        <v>33</v>
      </c>
      <c r="I915" t="s">
        <v>34</v>
      </c>
      <c r="J915" t="s">
        <v>35</v>
      </c>
      <c r="K915" t="s">
        <v>36</v>
      </c>
      <c r="L915" t="s">
        <v>37</v>
      </c>
      <c r="M915">
        <v>0</v>
      </c>
      <c r="N915">
        <v>0</v>
      </c>
      <c r="O915" s="5">
        <v>50395</v>
      </c>
      <c r="P915" s="5">
        <v>50394</v>
      </c>
      <c r="Q915">
        <v>20</v>
      </c>
      <c r="R915" t="s">
        <v>164</v>
      </c>
      <c r="S915" t="s">
        <v>97</v>
      </c>
      <c r="T915">
        <v>19</v>
      </c>
      <c r="U915">
        <v>90</v>
      </c>
      <c r="V915">
        <v>16</v>
      </c>
      <c r="Z915" t="s">
        <v>39</v>
      </c>
      <c r="AB915" t="s">
        <v>59</v>
      </c>
      <c r="AC915" t="s">
        <v>56</v>
      </c>
      <c r="AD915" t="s">
        <v>168</v>
      </c>
    </row>
    <row r="916" spans="1:30" x14ac:dyDescent="0.25">
      <c r="A916" s="4">
        <v>42550</v>
      </c>
      <c r="B916" t="s">
        <v>30</v>
      </c>
      <c r="C916">
        <v>703</v>
      </c>
      <c r="D916">
        <v>10</v>
      </c>
      <c r="E916">
        <v>1</v>
      </c>
      <c r="F916" t="s">
        <v>31</v>
      </c>
      <c r="G916" t="s">
        <v>32</v>
      </c>
      <c r="H916" t="s">
        <v>33</v>
      </c>
      <c r="I916" t="s">
        <v>34</v>
      </c>
      <c r="J916" t="s">
        <v>35</v>
      </c>
      <c r="K916" t="s">
        <v>89</v>
      </c>
      <c r="L916" t="s">
        <v>37</v>
      </c>
      <c r="M916">
        <v>0</v>
      </c>
      <c r="N916">
        <v>0</v>
      </c>
      <c r="O916" s="5">
        <v>50466</v>
      </c>
      <c r="P916" s="5">
        <v>50465</v>
      </c>
      <c r="Q916">
        <f>22.5-12</f>
        <v>10.5</v>
      </c>
      <c r="R916" t="s">
        <v>38</v>
      </c>
      <c r="S916" t="s">
        <v>39</v>
      </c>
      <c r="T916">
        <v>18</v>
      </c>
      <c r="U916">
        <v>71.5</v>
      </c>
      <c r="V916">
        <v>14</v>
      </c>
      <c r="W916">
        <v>10.8</v>
      </c>
      <c r="X916">
        <v>23.1</v>
      </c>
      <c r="Z916" t="s">
        <v>39</v>
      </c>
      <c r="AB916" t="s">
        <v>59</v>
      </c>
      <c r="AC916" t="s">
        <v>56</v>
      </c>
    </row>
    <row r="917" spans="1:30" x14ac:dyDescent="0.25">
      <c r="A917" s="4">
        <v>42550</v>
      </c>
      <c r="B917" t="s">
        <v>30</v>
      </c>
      <c r="C917">
        <v>703</v>
      </c>
      <c r="D917">
        <v>10</v>
      </c>
      <c r="E917">
        <v>2</v>
      </c>
      <c r="F917" t="s">
        <v>31</v>
      </c>
      <c r="G917" t="s">
        <v>32</v>
      </c>
      <c r="H917" t="s">
        <v>33</v>
      </c>
      <c r="I917" t="s">
        <v>34</v>
      </c>
      <c r="J917" t="s">
        <v>35</v>
      </c>
      <c r="K917" t="s">
        <v>89</v>
      </c>
      <c r="L917" t="s">
        <v>37</v>
      </c>
      <c r="M917">
        <v>0</v>
      </c>
      <c r="N917">
        <v>0</v>
      </c>
      <c r="O917" s="5">
        <v>50612</v>
      </c>
      <c r="P917" s="5">
        <v>50611</v>
      </c>
      <c r="Q917">
        <f>23.5-12</f>
        <v>11.5</v>
      </c>
      <c r="R917" t="s">
        <v>38</v>
      </c>
      <c r="S917" t="s">
        <v>39</v>
      </c>
      <c r="T917">
        <v>18</v>
      </c>
      <c r="U917">
        <v>72</v>
      </c>
      <c r="V917">
        <v>13.5</v>
      </c>
      <c r="W917">
        <v>11.5</v>
      </c>
      <c r="X917">
        <v>24.1</v>
      </c>
      <c r="Z917" t="s">
        <v>39</v>
      </c>
      <c r="AB917" t="s">
        <v>59</v>
      </c>
      <c r="AC917" t="s">
        <v>56</v>
      </c>
    </row>
    <row r="918" spans="1:30" x14ac:dyDescent="0.25">
      <c r="A918" s="4">
        <v>42550</v>
      </c>
      <c r="B918" t="s">
        <v>30</v>
      </c>
      <c r="C918">
        <v>701</v>
      </c>
      <c r="D918">
        <v>1</v>
      </c>
      <c r="E918">
        <v>1</v>
      </c>
      <c r="F918" t="s">
        <v>31</v>
      </c>
      <c r="G918" t="s">
        <v>32</v>
      </c>
      <c r="H918" t="s">
        <v>33</v>
      </c>
      <c r="I918" t="s">
        <v>73</v>
      </c>
      <c r="J918" t="s">
        <v>35</v>
      </c>
      <c r="K918" t="s">
        <v>36</v>
      </c>
      <c r="L918" t="s">
        <v>37</v>
      </c>
      <c r="M918">
        <v>0</v>
      </c>
      <c r="N918">
        <v>0</v>
      </c>
      <c r="O918" s="5"/>
      <c r="P918" s="5" t="s">
        <v>94</v>
      </c>
      <c r="Q918">
        <v>90</v>
      </c>
      <c r="R918" t="s">
        <v>38</v>
      </c>
      <c r="S918" t="s">
        <v>39</v>
      </c>
      <c r="T918">
        <v>33</v>
      </c>
      <c r="W918">
        <v>21.5</v>
      </c>
      <c r="X918">
        <v>46.5</v>
      </c>
      <c r="Z918" t="s">
        <v>39</v>
      </c>
      <c r="AB918" t="s">
        <v>59</v>
      </c>
      <c r="AC918" t="s">
        <v>56</v>
      </c>
    </row>
    <row r="919" spans="1:30" x14ac:dyDescent="0.25">
      <c r="A919" s="4">
        <v>42550</v>
      </c>
      <c r="B919" t="s">
        <v>30</v>
      </c>
      <c r="C919">
        <v>701</v>
      </c>
      <c r="D919">
        <v>1</v>
      </c>
      <c r="E919">
        <v>2</v>
      </c>
      <c r="F919" t="s">
        <v>31</v>
      </c>
      <c r="G919" t="s">
        <v>32</v>
      </c>
      <c r="H919" t="s">
        <v>33</v>
      </c>
      <c r="I919" t="s">
        <v>34</v>
      </c>
      <c r="J919" t="s">
        <v>35</v>
      </c>
      <c r="K919" t="s">
        <v>36</v>
      </c>
      <c r="L919" t="s">
        <v>43</v>
      </c>
      <c r="M919">
        <v>0</v>
      </c>
      <c r="N919">
        <v>0</v>
      </c>
      <c r="O919" s="5">
        <v>50370</v>
      </c>
      <c r="P919" s="5">
        <v>50369</v>
      </c>
      <c r="Q919">
        <f>30.5-12</f>
        <v>18.5</v>
      </c>
      <c r="R919" t="s">
        <v>47</v>
      </c>
      <c r="T919">
        <v>20</v>
      </c>
      <c r="U919">
        <v>72.5</v>
      </c>
      <c r="V919">
        <v>16.5</v>
      </c>
      <c r="W919">
        <v>11.65</v>
      </c>
      <c r="X919">
        <v>28.3</v>
      </c>
      <c r="Z919" t="s">
        <v>39</v>
      </c>
      <c r="AB919" t="s">
        <v>59</v>
      </c>
      <c r="AC919" t="s">
        <v>56</v>
      </c>
    </row>
    <row r="920" spans="1:30" x14ac:dyDescent="0.25">
      <c r="A920" s="4">
        <v>42550</v>
      </c>
      <c r="B920" t="s">
        <v>30</v>
      </c>
      <c r="C920">
        <v>701</v>
      </c>
      <c r="D920">
        <v>3</v>
      </c>
      <c r="E920">
        <v>1</v>
      </c>
      <c r="F920" t="s">
        <v>31</v>
      </c>
      <c r="G920" t="s">
        <v>32</v>
      </c>
      <c r="H920" t="s">
        <v>33</v>
      </c>
      <c r="I920" t="s">
        <v>57</v>
      </c>
      <c r="O920" s="5"/>
      <c r="P920" s="5"/>
      <c r="Z920" t="s">
        <v>39</v>
      </c>
    </row>
    <row r="921" spans="1:30" x14ac:dyDescent="0.25">
      <c r="A921" s="4">
        <v>42550</v>
      </c>
      <c r="B921" t="s">
        <v>30</v>
      </c>
      <c r="C921">
        <v>701</v>
      </c>
      <c r="D921">
        <v>3</v>
      </c>
      <c r="E921">
        <v>2</v>
      </c>
      <c r="F921" t="s">
        <v>31</v>
      </c>
      <c r="G921" t="s">
        <v>32</v>
      </c>
      <c r="H921" t="s">
        <v>33</v>
      </c>
      <c r="I921" t="s">
        <v>91</v>
      </c>
      <c r="J921" t="s">
        <v>35</v>
      </c>
      <c r="K921" t="s">
        <v>36</v>
      </c>
      <c r="L921" t="s">
        <v>37</v>
      </c>
      <c r="M921">
        <v>0</v>
      </c>
      <c r="N921">
        <v>0</v>
      </c>
      <c r="O921" s="5"/>
      <c r="P921" s="5">
        <v>50481</v>
      </c>
      <c r="Q921">
        <f>36-12.5</f>
        <v>23.5</v>
      </c>
      <c r="R921" t="s">
        <v>74</v>
      </c>
      <c r="S921" t="s">
        <v>97</v>
      </c>
      <c r="T921">
        <v>28</v>
      </c>
      <c r="W921">
        <v>12.8</v>
      </c>
      <c r="X921">
        <v>25.7</v>
      </c>
      <c r="Z921" t="s">
        <v>39</v>
      </c>
      <c r="AB921" t="s">
        <v>138</v>
      </c>
      <c r="AC921" t="s">
        <v>56</v>
      </c>
    </row>
    <row r="922" spans="1:30" x14ac:dyDescent="0.25">
      <c r="A922" s="4">
        <v>42550</v>
      </c>
      <c r="B922" t="s">
        <v>30</v>
      </c>
      <c r="C922">
        <v>701</v>
      </c>
      <c r="D922">
        <v>4</v>
      </c>
      <c r="E922">
        <v>1</v>
      </c>
      <c r="F922" t="s">
        <v>31</v>
      </c>
      <c r="G922" t="s">
        <v>32</v>
      </c>
      <c r="H922" t="s">
        <v>33</v>
      </c>
      <c r="I922" t="s">
        <v>34</v>
      </c>
      <c r="J922" t="s">
        <v>42</v>
      </c>
      <c r="K922" t="s">
        <v>89</v>
      </c>
      <c r="L922" t="s">
        <v>37</v>
      </c>
      <c r="M922">
        <v>0</v>
      </c>
      <c r="N922">
        <v>1</v>
      </c>
      <c r="O922" s="5">
        <v>50700</v>
      </c>
      <c r="P922" s="5">
        <v>50699</v>
      </c>
      <c r="Q922">
        <f>26-14</f>
        <v>12</v>
      </c>
      <c r="R922" t="s">
        <v>38</v>
      </c>
      <c r="S922" t="s">
        <v>39</v>
      </c>
      <c r="T922">
        <v>18</v>
      </c>
      <c r="U922">
        <v>69</v>
      </c>
      <c r="V922">
        <v>14</v>
      </c>
      <c r="W922">
        <v>11.8</v>
      </c>
      <c r="X922">
        <v>25.5</v>
      </c>
      <c r="Z922" t="s">
        <v>39</v>
      </c>
      <c r="AB922" t="s">
        <v>138</v>
      </c>
      <c r="AC922" t="s">
        <v>56</v>
      </c>
    </row>
    <row r="923" spans="1:30" x14ac:dyDescent="0.25">
      <c r="A923" s="4">
        <v>42550</v>
      </c>
      <c r="B923" t="s">
        <v>30</v>
      </c>
      <c r="C923">
        <v>701</v>
      </c>
      <c r="D923">
        <v>7</v>
      </c>
      <c r="E923">
        <v>1</v>
      </c>
      <c r="F923" t="s">
        <v>31</v>
      </c>
      <c r="G923" t="s">
        <v>32</v>
      </c>
      <c r="H923" t="s">
        <v>33</v>
      </c>
      <c r="I923" t="s">
        <v>58</v>
      </c>
      <c r="J923" t="s">
        <v>42</v>
      </c>
      <c r="K923" t="s">
        <v>36</v>
      </c>
      <c r="L923" t="s">
        <v>43</v>
      </c>
      <c r="M923">
        <v>0</v>
      </c>
      <c r="N923">
        <v>1</v>
      </c>
      <c r="O923" s="5">
        <v>50698</v>
      </c>
      <c r="P923" s="5"/>
      <c r="Q923">
        <f>34-13.5</f>
        <v>20.5</v>
      </c>
      <c r="R923" t="s">
        <v>65</v>
      </c>
      <c r="T923">
        <v>16</v>
      </c>
      <c r="W923">
        <v>12.5</v>
      </c>
      <c r="X923">
        <v>29.5</v>
      </c>
      <c r="Z923" t="s">
        <v>39</v>
      </c>
      <c r="AB923" t="s">
        <v>138</v>
      </c>
      <c r="AC923" t="s">
        <v>56</v>
      </c>
    </row>
    <row r="924" spans="1:30" x14ac:dyDescent="0.25">
      <c r="A924" s="4">
        <v>42550</v>
      </c>
      <c r="B924" t="s">
        <v>30</v>
      </c>
      <c r="C924">
        <v>701</v>
      </c>
      <c r="D924">
        <v>7</v>
      </c>
      <c r="E924">
        <v>2</v>
      </c>
      <c r="F924" t="s">
        <v>31</v>
      </c>
      <c r="G924" t="s">
        <v>32</v>
      </c>
      <c r="H924" t="s">
        <v>33</v>
      </c>
      <c r="I924" t="s">
        <v>58</v>
      </c>
      <c r="J924" t="s">
        <v>35</v>
      </c>
      <c r="K924" t="s">
        <v>89</v>
      </c>
      <c r="L924" t="s">
        <v>43</v>
      </c>
      <c r="M924">
        <v>0</v>
      </c>
      <c r="N924">
        <v>0</v>
      </c>
      <c r="O924" s="5"/>
      <c r="P924" s="5">
        <v>50452</v>
      </c>
      <c r="Q924">
        <f>30.5-13.5</f>
        <v>17</v>
      </c>
      <c r="R924" t="s">
        <v>65</v>
      </c>
      <c r="T924">
        <v>16</v>
      </c>
      <c r="W924">
        <v>12.6</v>
      </c>
      <c r="X924">
        <v>25.5</v>
      </c>
      <c r="Z924" t="s">
        <v>39</v>
      </c>
      <c r="AB924" t="s">
        <v>138</v>
      </c>
      <c r="AC924" t="s">
        <v>56</v>
      </c>
    </row>
    <row r="925" spans="1:30" x14ac:dyDescent="0.25">
      <c r="A925" s="4">
        <v>42550</v>
      </c>
      <c r="B925" t="s">
        <v>30</v>
      </c>
      <c r="C925">
        <v>701</v>
      </c>
      <c r="D925">
        <v>8</v>
      </c>
      <c r="E925">
        <v>1</v>
      </c>
      <c r="F925" t="s">
        <v>31</v>
      </c>
      <c r="G925" t="s">
        <v>32</v>
      </c>
      <c r="H925" t="s">
        <v>33</v>
      </c>
      <c r="I925" t="s">
        <v>34</v>
      </c>
      <c r="J925" t="s">
        <v>35</v>
      </c>
      <c r="K925" t="s">
        <v>89</v>
      </c>
      <c r="L925" t="s">
        <v>43</v>
      </c>
      <c r="M925">
        <v>0</v>
      </c>
      <c r="N925">
        <v>0</v>
      </c>
      <c r="O925" s="5">
        <v>50470</v>
      </c>
      <c r="P925" s="5">
        <v>50469</v>
      </c>
      <c r="Q925">
        <f>27-12.5</f>
        <v>14.5</v>
      </c>
      <c r="R925" t="s">
        <v>65</v>
      </c>
      <c r="T925">
        <v>18.5</v>
      </c>
      <c r="U925">
        <v>74.5</v>
      </c>
      <c r="V925">
        <v>14.5</v>
      </c>
      <c r="W925">
        <v>12.4</v>
      </c>
      <c r="X925">
        <v>25.7</v>
      </c>
      <c r="Z925" t="s">
        <v>39</v>
      </c>
      <c r="AB925" t="s">
        <v>138</v>
      </c>
      <c r="AC925" t="s">
        <v>56</v>
      </c>
    </row>
    <row r="926" spans="1:30" x14ac:dyDescent="0.25">
      <c r="A926" s="4">
        <v>42550</v>
      </c>
      <c r="B926" t="s">
        <v>30</v>
      </c>
      <c r="C926">
        <v>701</v>
      </c>
      <c r="D926">
        <v>8</v>
      </c>
      <c r="E926">
        <v>2</v>
      </c>
      <c r="F926" t="s">
        <v>31</v>
      </c>
      <c r="G926" t="s">
        <v>32</v>
      </c>
      <c r="H926" t="s">
        <v>33</v>
      </c>
      <c r="I926" t="s">
        <v>53</v>
      </c>
      <c r="J926" t="s">
        <v>62</v>
      </c>
      <c r="O926" s="5"/>
      <c r="P926" s="5"/>
      <c r="Z926" t="s">
        <v>39</v>
      </c>
    </row>
    <row r="927" spans="1:30" x14ac:dyDescent="0.25">
      <c r="A927" s="4">
        <v>42550</v>
      </c>
      <c r="B927" t="s">
        <v>30</v>
      </c>
      <c r="C927">
        <v>701</v>
      </c>
      <c r="D927">
        <v>9</v>
      </c>
      <c r="E927">
        <v>1</v>
      </c>
      <c r="F927" t="s">
        <v>31</v>
      </c>
      <c r="G927" t="s">
        <v>32</v>
      </c>
      <c r="H927" t="s">
        <v>33</v>
      </c>
      <c r="I927" t="s">
        <v>57</v>
      </c>
      <c r="O927" s="5"/>
      <c r="P927" s="5"/>
      <c r="Z927" t="s">
        <v>39</v>
      </c>
    </row>
    <row r="928" spans="1:30" x14ac:dyDescent="0.25">
      <c r="A928" s="4">
        <v>42550</v>
      </c>
      <c r="B928" t="s">
        <v>30</v>
      </c>
      <c r="C928">
        <v>701</v>
      </c>
      <c r="D928">
        <v>9</v>
      </c>
      <c r="E928">
        <v>2</v>
      </c>
      <c r="F928" t="s">
        <v>31</v>
      </c>
      <c r="G928" t="s">
        <v>32</v>
      </c>
      <c r="H928" t="s">
        <v>33</v>
      </c>
      <c r="I928" t="s">
        <v>34</v>
      </c>
      <c r="J928" t="s">
        <v>35</v>
      </c>
      <c r="K928" t="s">
        <v>36</v>
      </c>
      <c r="L928" t="s">
        <v>37</v>
      </c>
      <c r="M928">
        <v>0</v>
      </c>
      <c r="N928">
        <v>0</v>
      </c>
      <c r="O928" s="5" t="s">
        <v>71</v>
      </c>
      <c r="P928" s="5" t="s">
        <v>72</v>
      </c>
      <c r="Q928">
        <f>37-14.5</f>
        <v>22.5</v>
      </c>
      <c r="R928" t="s">
        <v>81</v>
      </c>
      <c r="S928" t="s">
        <v>39</v>
      </c>
      <c r="T928">
        <v>19</v>
      </c>
      <c r="U928">
        <v>92</v>
      </c>
      <c r="V928">
        <v>13</v>
      </c>
      <c r="W928">
        <v>12.3</v>
      </c>
      <c r="X928">
        <v>27.5</v>
      </c>
      <c r="Z928" t="s">
        <v>39</v>
      </c>
      <c r="AB928" t="s">
        <v>59</v>
      </c>
      <c r="AC928" t="s">
        <v>56</v>
      </c>
    </row>
    <row r="929" spans="1:29" x14ac:dyDescent="0.25">
      <c r="A929" s="4">
        <v>42550</v>
      </c>
      <c r="B929" t="s">
        <v>30</v>
      </c>
      <c r="C929">
        <v>701</v>
      </c>
      <c r="D929">
        <v>10</v>
      </c>
      <c r="E929">
        <v>1</v>
      </c>
      <c r="F929" t="s">
        <v>31</v>
      </c>
      <c r="G929" t="s">
        <v>32</v>
      </c>
      <c r="H929" t="s">
        <v>33</v>
      </c>
      <c r="I929" t="s">
        <v>57</v>
      </c>
      <c r="O929" s="5"/>
      <c r="P929" s="5"/>
      <c r="Z929" t="s">
        <v>39</v>
      </c>
    </row>
    <row r="930" spans="1:29" x14ac:dyDescent="0.25">
      <c r="A930" s="4">
        <v>42550</v>
      </c>
      <c r="B930" t="s">
        <v>30</v>
      </c>
      <c r="C930">
        <v>801</v>
      </c>
      <c r="D930">
        <v>1</v>
      </c>
      <c r="E930">
        <v>1</v>
      </c>
      <c r="F930" t="s">
        <v>31</v>
      </c>
      <c r="G930" t="s">
        <v>32</v>
      </c>
      <c r="H930" t="s">
        <v>33</v>
      </c>
      <c r="I930" t="s">
        <v>34</v>
      </c>
      <c r="J930" t="s">
        <v>42</v>
      </c>
      <c r="K930" t="s">
        <v>114</v>
      </c>
      <c r="L930" t="s">
        <v>43</v>
      </c>
      <c r="M930">
        <v>0</v>
      </c>
      <c r="N930">
        <v>1</v>
      </c>
      <c r="O930" s="5">
        <v>50697</v>
      </c>
      <c r="P930" s="5">
        <v>50696</v>
      </c>
      <c r="Q930">
        <f>30-14.5</f>
        <v>15.5</v>
      </c>
      <c r="R930" t="s">
        <v>47</v>
      </c>
      <c r="T930">
        <v>18</v>
      </c>
      <c r="U930">
        <v>78</v>
      </c>
      <c r="V930">
        <v>15</v>
      </c>
      <c r="W930">
        <v>12</v>
      </c>
      <c r="X930">
        <v>26.1</v>
      </c>
      <c r="Z930" t="s">
        <v>39</v>
      </c>
      <c r="AB930" t="s">
        <v>59</v>
      </c>
      <c r="AC930" t="s">
        <v>56</v>
      </c>
    </row>
    <row r="931" spans="1:29" x14ac:dyDescent="0.25">
      <c r="A931" s="4">
        <v>42550</v>
      </c>
      <c r="B931" t="s">
        <v>30</v>
      </c>
      <c r="C931">
        <v>801</v>
      </c>
      <c r="D931">
        <v>2</v>
      </c>
      <c r="E931">
        <v>1</v>
      </c>
      <c r="F931" t="s">
        <v>31</v>
      </c>
      <c r="G931" t="s">
        <v>32</v>
      </c>
      <c r="H931" t="s">
        <v>33</v>
      </c>
      <c r="I931" t="s">
        <v>91</v>
      </c>
      <c r="J931" t="s">
        <v>35</v>
      </c>
      <c r="K931" t="s">
        <v>36</v>
      </c>
      <c r="L931" t="s">
        <v>37</v>
      </c>
      <c r="M931">
        <v>0</v>
      </c>
      <c r="N931">
        <v>0</v>
      </c>
      <c r="O931" s="5"/>
      <c r="P931" s="5" t="s">
        <v>169</v>
      </c>
      <c r="Q931">
        <f>36-12</f>
        <v>24</v>
      </c>
      <c r="R931" t="s">
        <v>74</v>
      </c>
      <c r="S931" t="s">
        <v>97</v>
      </c>
      <c r="T931">
        <v>28</v>
      </c>
      <c r="W931">
        <v>12.5</v>
      </c>
      <c r="X931">
        <v>26.7</v>
      </c>
      <c r="Z931" t="s">
        <v>39</v>
      </c>
      <c r="AB931" t="s">
        <v>59</v>
      </c>
      <c r="AC931" t="s">
        <v>56</v>
      </c>
    </row>
    <row r="932" spans="1:29" x14ac:dyDescent="0.25">
      <c r="A932" s="4">
        <v>42550</v>
      </c>
      <c r="B932" t="s">
        <v>30</v>
      </c>
      <c r="C932">
        <v>801</v>
      </c>
      <c r="D932">
        <v>3</v>
      </c>
      <c r="E932">
        <v>1</v>
      </c>
      <c r="F932" t="s">
        <v>31</v>
      </c>
      <c r="G932" t="s">
        <v>32</v>
      </c>
      <c r="H932" t="s">
        <v>33</v>
      </c>
      <c r="I932" t="s">
        <v>73</v>
      </c>
      <c r="J932" t="s">
        <v>35</v>
      </c>
      <c r="K932" t="s">
        <v>36</v>
      </c>
      <c r="L932" t="s">
        <v>43</v>
      </c>
      <c r="M932">
        <v>0</v>
      </c>
      <c r="N932">
        <v>0</v>
      </c>
      <c r="O932" s="5"/>
      <c r="P932" s="5">
        <v>50392</v>
      </c>
      <c r="Q932">
        <f>190-92</f>
        <v>98</v>
      </c>
      <c r="R932" t="s">
        <v>47</v>
      </c>
      <c r="T932">
        <v>34</v>
      </c>
      <c r="W932">
        <v>22</v>
      </c>
      <c r="X932">
        <v>44.5</v>
      </c>
      <c r="Z932" t="s">
        <v>39</v>
      </c>
      <c r="AB932" t="s">
        <v>59</v>
      </c>
      <c r="AC932" t="s">
        <v>56</v>
      </c>
    </row>
    <row r="933" spans="1:29" x14ac:dyDescent="0.25">
      <c r="A933" s="4">
        <v>42550</v>
      </c>
      <c r="B933" t="s">
        <v>30</v>
      </c>
      <c r="C933">
        <v>801</v>
      </c>
      <c r="D933">
        <v>3</v>
      </c>
      <c r="E933">
        <v>2</v>
      </c>
      <c r="F933" t="s">
        <v>31</v>
      </c>
      <c r="G933" t="s">
        <v>32</v>
      </c>
      <c r="H933" t="s">
        <v>33</v>
      </c>
      <c r="I933" t="s">
        <v>57</v>
      </c>
      <c r="O933" s="5"/>
      <c r="P933" s="5"/>
      <c r="Z933" t="s">
        <v>39</v>
      </c>
    </row>
    <row r="934" spans="1:29" x14ac:dyDescent="0.25">
      <c r="A934" s="4">
        <v>42550</v>
      </c>
      <c r="B934" t="s">
        <v>30</v>
      </c>
      <c r="C934">
        <v>801</v>
      </c>
      <c r="D934">
        <v>4</v>
      </c>
      <c r="E934">
        <v>1</v>
      </c>
      <c r="F934" t="s">
        <v>31</v>
      </c>
      <c r="G934" t="s">
        <v>32</v>
      </c>
      <c r="H934" t="s">
        <v>33</v>
      </c>
      <c r="I934" t="s">
        <v>57</v>
      </c>
      <c r="O934" s="5"/>
      <c r="P934" s="5"/>
      <c r="Z934" t="s">
        <v>39</v>
      </c>
    </row>
    <row r="935" spans="1:29" x14ac:dyDescent="0.25">
      <c r="A935" s="4">
        <v>42550</v>
      </c>
      <c r="B935" t="s">
        <v>30</v>
      </c>
      <c r="C935">
        <v>801</v>
      </c>
      <c r="D935">
        <v>5</v>
      </c>
      <c r="E935">
        <v>1</v>
      </c>
      <c r="F935" t="s">
        <v>31</v>
      </c>
      <c r="G935" t="s">
        <v>32</v>
      </c>
      <c r="H935" t="s">
        <v>33</v>
      </c>
      <c r="I935" t="s">
        <v>57</v>
      </c>
      <c r="O935" s="5"/>
      <c r="P935" s="5"/>
      <c r="Z935" t="s">
        <v>39</v>
      </c>
    </row>
    <row r="936" spans="1:29" x14ac:dyDescent="0.25">
      <c r="A936" s="4">
        <v>42550</v>
      </c>
      <c r="B936" t="s">
        <v>30</v>
      </c>
      <c r="C936">
        <v>801</v>
      </c>
      <c r="D936">
        <v>7</v>
      </c>
      <c r="E936">
        <v>1</v>
      </c>
      <c r="F936" t="s">
        <v>31</v>
      </c>
      <c r="G936" t="s">
        <v>32</v>
      </c>
      <c r="H936" t="s">
        <v>33</v>
      </c>
      <c r="I936" t="s">
        <v>73</v>
      </c>
      <c r="J936" t="s">
        <v>35</v>
      </c>
      <c r="K936" t="s">
        <v>89</v>
      </c>
      <c r="L936" t="s">
        <v>37</v>
      </c>
      <c r="M936">
        <v>0</v>
      </c>
      <c r="N936">
        <v>0</v>
      </c>
      <c r="O936" s="5">
        <v>50625</v>
      </c>
      <c r="P936" s="5"/>
      <c r="Q936">
        <f>160-90</f>
        <v>70</v>
      </c>
      <c r="R936" t="s">
        <v>38</v>
      </c>
      <c r="S936" t="s">
        <v>39</v>
      </c>
      <c r="T936">
        <v>32</v>
      </c>
      <c r="W936">
        <v>19.5</v>
      </c>
      <c r="X936">
        <v>40.5</v>
      </c>
      <c r="Z936" t="s">
        <v>39</v>
      </c>
      <c r="AB936" t="s">
        <v>59</v>
      </c>
      <c r="AC936" t="s">
        <v>56</v>
      </c>
    </row>
    <row r="937" spans="1:29" x14ac:dyDescent="0.25">
      <c r="A937" s="4">
        <v>42550</v>
      </c>
      <c r="B937" t="s">
        <v>30</v>
      </c>
      <c r="C937">
        <v>801</v>
      </c>
      <c r="D937">
        <v>8</v>
      </c>
      <c r="E937">
        <v>1</v>
      </c>
      <c r="F937" t="s">
        <v>31</v>
      </c>
      <c r="G937" t="s">
        <v>32</v>
      </c>
      <c r="H937" t="s">
        <v>33</v>
      </c>
      <c r="I937" t="s">
        <v>73</v>
      </c>
      <c r="J937" t="s">
        <v>42</v>
      </c>
      <c r="K937" t="s">
        <v>36</v>
      </c>
      <c r="L937" t="s">
        <v>43</v>
      </c>
      <c r="M937">
        <v>0</v>
      </c>
      <c r="N937">
        <v>1</v>
      </c>
      <c r="O937" s="5">
        <v>50695</v>
      </c>
      <c r="P937" s="5"/>
      <c r="Q937">
        <f>180-90</f>
        <v>90</v>
      </c>
      <c r="R937" t="s">
        <v>65</v>
      </c>
      <c r="T937">
        <v>30</v>
      </c>
      <c r="W937">
        <v>22.5</v>
      </c>
      <c r="X937">
        <v>42.4</v>
      </c>
      <c r="Z937" t="s">
        <v>39</v>
      </c>
      <c r="AB937" t="s">
        <v>59</v>
      </c>
      <c r="AC937" t="s">
        <v>56</v>
      </c>
    </row>
    <row r="938" spans="1:29" x14ac:dyDescent="0.25">
      <c r="A938" s="4">
        <v>42550</v>
      </c>
      <c r="B938" t="s">
        <v>30</v>
      </c>
      <c r="C938">
        <v>801</v>
      </c>
      <c r="D938">
        <v>5</v>
      </c>
      <c r="E938">
        <v>2</v>
      </c>
      <c r="F938" t="s">
        <v>31</v>
      </c>
      <c r="G938" t="s">
        <v>32</v>
      </c>
      <c r="H938" t="s">
        <v>33</v>
      </c>
      <c r="I938" t="s">
        <v>53</v>
      </c>
      <c r="J938" t="s">
        <v>62</v>
      </c>
      <c r="O938" s="5"/>
      <c r="P938" s="5"/>
      <c r="Z938" t="s">
        <v>39</v>
      </c>
    </row>
    <row r="939" spans="1:29" x14ac:dyDescent="0.25">
      <c r="A939" s="4">
        <v>42550</v>
      </c>
      <c r="B939" t="s">
        <v>30</v>
      </c>
      <c r="C939">
        <v>801</v>
      </c>
      <c r="D939">
        <v>9</v>
      </c>
      <c r="E939">
        <v>1</v>
      </c>
      <c r="F939" t="s">
        <v>31</v>
      </c>
      <c r="G939" t="s">
        <v>32</v>
      </c>
      <c r="H939" t="s">
        <v>33</v>
      </c>
      <c r="I939" t="s">
        <v>34</v>
      </c>
      <c r="J939" t="s">
        <v>35</v>
      </c>
      <c r="K939" t="s">
        <v>89</v>
      </c>
      <c r="L939" t="s">
        <v>37</v>
      </c>
      <c r="M939">
        <v>0</v>
      </c>
      <c r="N939">
        <v>0</v>
      </c>
      <c r="O939" s="5">
        <v>50614</v>
      </c>
      <c r="P939" s="5">
        <v>50613</v>
      </c>
      <c r="Q939">
        <f>27.5-12</f>
        <v>15.5</v>
      </c>
      <c r="R939" t="s">
        <v>38</v>
      </c>
      <c r="S939" t="s">
        <v>39</v>
      </c>
      <c r="T939">
        <v>19</v>
      </c>
      <c r="U939">
        <v>80</v>
      </c>
      <c r="V939">
        <v>14</v>
      </c>
      <c r="W939">
        <v>12.75</v>
      </c>
      <c r="X939">
        <v>25.2</v>
      </c>
      <c r="Z939" t="s">
        <v>39</v>
      </c>
      <c r="AB939" t="s">
        <v>59</v>
      </c>
      <c r="AC939" t="s">
        <v>68</v>
      </c>
    </row>
    <row r="940" spans="1:29" x14ac:dyDescent="0.25">
      <c r="A940" s="4">
        <v>42550</v>
      </c>
      <c r="B940" t="s">
        <v>30</v>
      </c>
      <c r="C940">
        <v>801</v>
      </c>
      <c r="D940">
        <v>10</v>
      </c>
      <c r="E940">
        <v>1</v>
      </c>
      <c r="F940" t="s">
        <v>31</v>
      </c>
      <c r="G940" t="s">
        <v>32</v>
      </c>
      <c r="H940" t="s">
        <v>33</v>
      </c>
      <c r="I940" t="s">
        <v>34</v>
      </c>
      <c r="J940" t="s">
        <v>42</v>
      </c>
      <c r="K940" t="s">
        <v>36</v>
      </c>
      <c r="L940" t="s">
        <v>43</v>
      </c>
      <c r="M940">
        <v>0</v>
      </c>
      <c r="N940">
        <v>1</v>
      </c>
      <c r="O940" s="5">
        <v>50677</v>
      </c>
      <c r="P940" s="5">
        <v>50676</v>
      </c>
      <c r="Q940">
        <f>35-12.5</f>
        <v>22.5</v>
      </c>
      <c r="R940" t="s">
        <v>47</v>
      </c>
      <c r="T940">
        <v>19</v>
      </c>
      <c r="U940">
        <v>90</v>
      </c>
      <c r="V940">
        <v>16</v>
      </c>
      <c r="W940">
        <v>13.6</v>
      </c>
      <c r="X940">
        <v>28.8</v>
      </c>
      <c r="Z940" t="s">
        <v>39</v>
      </c>
      <c r="AB940" t="s">
        <v>59</v>
      </c>
      <c r="AC940" t="s">
        <v>68</v>
      </c>
    </row>
    <row r="941" spans="1:29" x14ac:dyDescent="0.25">
      <c r="A941" s="4">
        <v>42550</v>
      </c>
      <c r="B941" t="s">
        <v>30</v>
      </c>
      <c r="C941">
        <v>803</v>
      </c>
      <c r="D941">
        <v>8</v>
      </c>
      <c r="E941">
        <v>1</v>
      </c>
      <c r="F941" t="s">
        <v>31</v>
      </c>
      <c r="G941" t="s">
        <v>32</v>
      </c>
      <c r="H941" t="s">
        <v>33</v>
      </c>
      <c r="I941" t="s">
        <v>57</v>
      </c>
      <c r="O941" s="5"/>
      <c r="P941" s="5"/>
      <c r="Z941" t="s">
        <v>39</v>
      </c>
    </row>
    <row r="942" spans="1:29" x14ac:dyDescent="0.25">
      <c r="A942" s="4">
        <v>42550</v>
      </c>
      <c r="B942" t="s">
        <v>30</v>
      </c>
      <c r="C942">
        <v>803</v>
      </c>
      <c r="D942">
        <v>8</v>
      </c>
      <c r="E942">
        <v>2</v>
      </c>
      <c r="F942" t="s">
        <v>31</v>
      </c>
      <c r="G942" t="s">
        <v>32</v>
      </c>
      <c r="H942" t="s">
        <v>33</v>
      </c>
      <c r="I942" t="s">
        <v>57</v>
      </c>
      <c r="O942" s="5"/>
      <c r="P942" s="5"/>
      <c r="Z942" t="s">
        <v>39</v>
      </c>
    </row>
    <row r="943" spans="1:29" x14ac:dyDescent="0.25">
      <c r="A943" s="4">
        <v>42550</v>
      </c>
      <c r="B943" t="s">
        <v>30</v>
      </c>
      <c r="C943">
        <v>803</v>
      </c>
      <c r="D943">
        <v>7</v>
      </c>
      <c r="E943">
        <v>1</v>
      </c>
      <c r="F943" t="s">
        <v>31</v>
      </c>
      <c r="G943" t="s">
        <v>32</v>
      </c>
      <c r="H943" t="s">
        <v>33</v>
      </c>
      <c r="I943" t="s">
        <v>73</v>
      </c>
      <c r="J943" t="s">
        <v>35</v>
      </c>
      <c r="L943" t="s">
        <v>43</v>
      </c>
      <c r="M943">
        <v>0</v>
      </c>
      <c r="N943">
        <v>0</v>
      </c>
      <c r="O943" s="5">
        <v>50391</v>
      </c>
      <c r="P943" s="5"/>
      <c r="R943" t="s">
        <v>47</v>
      </c>
      <c r="T943">
        <v>33</v>
      </c>
      <c r="W943">
        <v>22</v>
      </c>
      <c r="X943">
        <v>43</v>
      </c>
      <c r="Z943" t="s">
        <v>39</v>
      </c>
      <c r="AB943" t="s">
        <v>59</v>
      </c>
      <c r="AC943" t="s">
        <v>56</v>
      </c>
    </row>
    <row r="944" spans="1:29" x14ac:dyDescent="0.25">
      <c r="A944" s="4">
        <v>42550</v>
      </c>
      <c r="B944" t="s">
        <v>30</v>
      </c>
      <c r="C944">
        <v>803</v>
      </c>
      <c r="D944">
        <v>7</v>
      </c>
      <c r="E944">
        <v>2</v>
      </c>
      <c r="F944" t="s">
        <v>31</v>
      </c>
      <c r="G944" t="s">
        <v>32</v>
      </c>
      <c r="H944" t="s">
        <v>33</v>
      </c>
      <c r="I944" t="s">
        <v>73</v>
      </c>
      <c r="J944" t="s">
        <v>35</v>
      </c>
      <c r="K944" t="s">
        <v>89</v>
      </c>
      <c r="L944" t="s">
        <v>43</v>
      </c>
      <c r="M944">
        <v>0</v>
      </c>
      <c r="N944">
        <v>0</v>
      </c>
      <c r="O944" s="5">
        <v>50463</v>
      </c>
      <c r="P944" s="5"/>
      <c r="R944" t="s">
        <v>65</v>
      </c>
      <c r="T944">
        <v>33</v>
      </c>
      <c r="W944">
        <v>20.7</v>
      </c>
      <c r="X944">
        <v>40.5</v>
      </c>
      <c r="Z944" t="s">
        <v>39</v>
      </c>
      <c r="AB944" t="s">
        <v>59</v>
      </c>
      <c r="AC944" t="s">
        <v>56</v>
      </c>
    </row>
    <row r="945" spans="1:30" x14ac:dyDescent="0.25">
      <c r="A945" s="4">
        <v>42550</v>
      </c>
      <c r="B945" t="s">
        <v>30</v>
      </c>
      <c r="C945">
        <v>803</v>
      </c>
      <c r="D945">
        <v>6</v>
      </c>
      <c r="E945">
        <v>1</v>
      </c>
      <c r="F945" t="s">
        <v>31</v>
      </c>
      <c r="G945" t="s">
        <v>32</v>
      </c>
      <c r="H945" t="s">
        <v>33</v>
      </c>
      <c r="I945" t="s">
        <v>57</v>
      </c>
      <c r="O945" s="5"/>
      <c r="P945" s="5"/>
      <c r="Z945" t="s">
        <v>39</v>
      </c>
    </row>
    <row r="946" spans="1:30" x14ac:dyDescent="0.25">
      <c r="A946" s="4">
        <v>42550</v>
      </c>
      <c r="B946" t="s">
        <v>30</v>
      </c>
      <c r="C946">
        <v>803</v>
      </c>
      <c r="D946">
        <v>6</v>
      </c>
      <c r="E946">
        <v>2</v>
      </c>
      <c r="F946" t="s">
        <v>31</v>
      </c>
      <c r="G946" t="s">
        <v>32</v>
      </c>
      <c r="H946" t="s">
        <v>33</v>
      </c>
      <c r="I946" t="s">
        <v>34</v>
      </c>
      <c r="J946" t="s">
        <v>35</v>
      </c>
      <c r="K946" t="s">
        <v>36</v>
      </c>
      <c r="L946" t="s">
        <v>37</v>
      </c>
      <c r="M946">
        <v>0</v>
      </c>
      <c r="N946">
        <v>0</v>
      </c>
      <c r="O946" s="5">
        <v>50457</v>
      </c>
      <c r="P946" s="5">
        <v>50456</v>
      </c>
      <c r="Q946">
        <f>35.5-13.5</f>
        <v>22</v>
      </c>
      <c r="R946" t="s">
        <v>83</v>
      </c>
      <c r="S946" t="s">
        <v>39</v>
      </c>
      <c r="T946">
        <v>19</v>
      </c>
      <c r="U946">
        <v>88</v>
      </c>
      <c r="V946">
        <v>16</v>
      </c>
      <c r="W946">
        <v>13</v>
      </c>
      <c r="X946">
        <v>26.6</v>
      </c>
      <c r="Z946" t="s">
        <v>39</v>
      </c>
      <c r="AB946" t="s">
        <v>59</v>
      </c>
      <c r="AC946" t="s">
        <v>56</v>
      </c>
    </row>
    <row r="947" spans="1:30" x14ac:dyDescent="0.25">
      <c r="A947" s="4">
        <v>42550</v>
      </c>
      <c r="B947" t="s">
        <v>30</v>
      </c>
      <c r="C947">
        <v>803</v>
      </c>
      <c r="D947">
        <v>5</v>
      </c>
      <c r="E947">
        <v>1</v>
      </c>
      <c r="F947" t="s">
        <v>31</v>
      </c>
      <c r="G947" t="s">
        <v>32</v>
      </c>
      <c r="H947" t="s">
        <v>33</v>
      </c>
      <c r="I947" t="s">
        <v>91</v>
      </c>
      <c r="J947" t="s">
        <v>35</v>
      </c>
      <c r="K947" t="s">
        <v>36</v>
      </c>
      <c r="L947" t="s">
        <v>37</v>
      </c>
      <c r="M947">
        <v>0</v>
      </c>
      <c r="N947">
        <v>0</v>
      </c>
      <c r="O947" s="5"/>
      <c r="P947" s="5">
        <v>50615</v>
      </c>
      <c r="Q947">
        <f>37.5-13</f>
        <v>24.5</v>
      </c>
      <c r="R947" t="s">
        <v>74</v>
      </c>
      <c r="S947" t="s">
        <v>97</v>
      </c>
      <c r="T947">
        <v>28</v>
      </c>
      <c r="W947">
        <v>12.8</v>
      </c>
      <c r="X947">
        <v>28.15</v>
      </c>
      <c r="Z947" t="s">
        <v>39</v>
      </c>
      <c r="AB947" t="s">
        <v>59</v>
      </c>
      <c r="AC947" t="s">
        <v>56</v>
      </c>
    </row>
    <row r="948" spans="1:30" x14ac:dyDescent="0.25">
      <c r="A948" s="4">
        <v>42550</v>
      </c>
      <c r="B948" t="s">
        <v>30</v>
      </c>
      <c r="C948">
        <v>803</v>
      </c>
      <c r="D948">
        <v>2</v>
      </c>
      <c r="E948">
        <v>1</v>
      </c>
      <c r="F948" t="s">
        <v>31</v>
      </c>
      <c r="G948" t="s">
        <v>32</v>
      </c>
      <c r="H948" t="s">
        <v>33</v>
      </c>
      <c r="I948" t="s">
        <v>57</v>
      </c>
      <c r="O948" s="5"/>
      <c r="P948" s="5"/>
      <c r="Z948" t="s">
        <v>39</v>
      </c>
    </row>
    <row r="949" spans="1:30" x14ac:dyDescent="0.25">
      <c r="A949" s="4">
        <v>42550</v>
      </c>
      <c r="B949" t="s">
        <v>30</v>
      </c>
      <c r="C949">
        <v>803</v>
      </c>
      <c r="D949">
        <v>2</v>
      </c>
      <c r="E949">
        <v>2</v>
      </c>
      <c r="F949" t="s">
        <v>31</v>
      </c>
      <c r="G949" t="s">
        <v>32</v>
      </c>
      <c r="H949" t="s">
        <v>33</v>
      </c>
      <c r="I949" t="s">
        <v>57</v>
      </c>
      <c r="O949" s="5"/>
      <c r="P949" s="5"/>
      <c r="Z949" t="s">
        <v>39</v>
      </c>
    </row>
    <row r="950" spans="1:30" x14ac:dyDescent="0.25">
      <c r="A950" s="4">
        <v>42550</v>
      </c>
      <c r="B950" t="s">
        <v>30</v>
      </c>
      <c r="C950">
        <v>901</v>
      </c>
      <c r="D950">
        <v>10</v>
      </c>
      <c r="E950">
        <v>1</v>
      </c>
      <c r="F950" t="s">
        <v>31</v>
      </c>
      <c r="G950" t="s">
        <v>32</v>
      </c>
      <c r="H950" t="s">
        <v>33</v>
      </c>
      <c r="I950" t="s">
        <v>64</v>
      </c>
      <c r="J950" t="s">
        <v>42</v>
      </c>
      <c r="K950" t="s">
        <v>36</v>
      </c>
      <c r="M950">
        <v>0</v>
      </c>
      <c r="N950">
        <v>0</v>
      </c>
      <c r="O950" s="5">
        <v>50694</v>
      </c>
      <c r="P950" s="5"/>
      <c r="T950">
        <v>46</v>
      </c>
      <c r="W950">
        <v>26</v>
      </c>
      <c r="X950">
        <v>49.4</v>
      </c>
      <c r="Z950" t="s">
        <v>39</v>
      </c>
      <c r="AB950" t="s">
        <v>59</v>
      </c>
      <c r="AC950" t="s">
        <v>56</v>
      </c>
    </row>
    <row r="951" spans="1:30" x14ac:dyDescent="0.25">
      <c r="A951" s="4">
        <v>42550</v>
      </c>
      <c r="B951" t="s">
        <v>30</v>
      </c>
      <c r="C951">
        <v>901</v>
      </c>
      <c r="D951">
        <v>5</v>
      </c>
      <c r="E951">
        <v>1</v>
      </c>
      <c r="F951" t="s">
        <v>31</v>
      </c>
      <c r="G951" t="s">
        <v>32</v>
      </c>
      <c r="H951" t="s">
        <v>33</v>
      </c>
      <c r="I951" t="s">
        <v>34</v>
      </c>
      <c r="J951" t="s">
        <v>35</v>
      </c>
      <c r="K951" t="s">
        <v>36</v>
      </c>
      <c r="L951" t="s">
        <v>37</v>
      </c>
      <c r="M951">
        <v>0</v>
      </c>
      <c r="N951">
        <v>0</v>
      </c>
      <c r="O951" s="5">
        <v>50617</v>
      </c>
      <c r="P951" s="5">
        <v>50616</v>
      </c>
      <c r="Q951">
        <f>34.5-12</f>
        <v>22.5</v>
      </c>
      <c r="R951" t="s">
        <v>83</v>
      </c>
      <c r="S951" t="s">
        <v>39</v>
      </c>
      <c r="T951">
        <v>19</v>
      </c>
      <c r="U951">
        <v>90</v>
      </c>
      <c r="V951">
        <v>16</v>
      </c>
      <c r="Z951" t="s">
        <v>39</v>
      </c>
      <c r="AB951" t="s">
        <v>59</v>
      </c>
      <c r="AC951" t="s">
        <v>56</v>
      </c>
      <c r="AD951" t="s">
        <v>170</v>
      </c>
    </row>
    <row r="952" spans="1:30" x14ac:dyDescent="0.25">
      <c r="A952" s="4">
        <v>42550</v>
      </c>
      <c r="B952" t="s">
        <v>30</v>
      </c>
      <c r="C952">
        <v>901</v>
      </c>
      <c r="D952">
        <v>2</v>
      </c>
      <c r="E952">
        <v>1</v>
      </c>
      <c r="F952" t="s">
        <v>31</v>
      </c>
      <c r="G952" t="s">
        <v>32</v>
      </c>
      <c r="H952" t="s">
        <v>33</v>
      </c>
      <c r="I952" t="s">
        <v>34</v>
      </c>
      <c r="J952" t="s">
        <v>35</v>
      </c>
      <c r="K952" t="s">
        <v>36</v>
      </c>
      <c r="L952" t="s">
        <v>37</v>
      </c>
      <c r="M952">
        <v>0</v>
      </c>
      <c r="N952">
        <v>0</v>
      </c>
      <c r="O952" s="5" t="s">
        <v>104</v>
      </c>
      <c r="P952" s="5" t="s">
        <v>171</v>
      </c>
      <c r="Q952">
        <v>22</v>
      </c>
      <c r="R952" t="s">
        <v>38</v>
      </c>
      <c r="S952" t="s">
        <v>39</v>
      </c>
      <c r="T952">
        <v>18</v>
      </c>
      <c r="U952">
        <v>92</v>
      </c>
      <c r="V952">
        <v>17.5</v>
      </c>
      <c r="W952">
        <v>12.5</v>
      </c>
      <c r="X952">
        <v>24.5</v>
      </c>
      <c r="Z952" t="s">
        <v>39</v>
      </c>
      <c r="AB952" t="s">
        <v>59</v>
      </c>
      <c r="AC952" t="s">
        <v>56</v>
      </c>
    </row>
    <row r="953" spans="1:30" x14ac:dyDescent="0.25">
      <c r="A953" s="4">
        <v>42551</v>
      </c>
      <c r="B953" t="s">
        <v>30</v>
      </c>
      <c r="C953">
        <v>501</v>
      </c>
      <c r="D953">
        <v>2</v>
      </c>
      <c r="E953">
        <v>1</v>
      </c>
      <c r="F953" t="s">
        <v>41</v>
      </c>
      <c r="G953" t="s">
        <v>32</v>
      </c>
      <c r="H953" t="s">
        <v>33</v>
      </c>
      <c r="I953" t="s">
        <v>73</v>
      </c>
      <c r="J953" t="s">
        <v>122</v>
      </c>
      <c r="O953" s="5"/>
      <c r="P953" s="5"/>
      <c r="Z953" t="s">
        <v>39</v>
      </c>
    </row>
    <row r="954" spans="1:30" x14ac:dyDescent="0.25">
      <c r="A954" s="4">
        <v>42551</v>
      </c>
      <c r="B954" t="s">
        <v>30</v>
      </c>
      <c r="C954">
        <v>501</v>
      </c>
      <c r="D954">
        <v>4</v>
      </c>
      <c r="E954">
        <v>1</v>
      </c>
      <c r="F954" t="s">
        <v>41</v>
      </c>
      <c r="G954" t="s">
        <v>32</v>
      </c>
      <c r="H954" t="s">
        <v>33</v>
      </c>
      <c r="I954" t="s">
        <v>34</v>
      </c>
      <c r="J954" t="s">
        <v>35</v>
      </c>
      <c r="K954" t="s">
        <v>36</v>
      </c>
      <c r="L954" t="s">
        <v>43</v>
      </c>
      <c r="M954">
        <v>0</v>
      </c>
      <c r="N954">
        <v>0</v>
      </c>
      <c r="O954" s="5">
        <v>20604</v>
      </c>
      <c r="P954" s="5">
        <v>20603</v>
      </c>
      <c r="Q954">
        <f>30-11.5</f>
        <v>18.5</v>
      </c>
      <c r="R954" t="s">
        <v>47</v>
      </c>
      <c r="T954">
        <v>18</v>
      </c>
      <c r="U954">
        <v>84</v>
      </c>
      <c r="V954">
        <v>14</v>
      </c>
      <c r="W954">
        <v>12.4</v>
      </c>
      <c r="X954">
        <v>27.9</v>
      </c>
      <c r="Z954" t="s">
        <v>39</v>
      </c>
      <c r="AB954" t="s">
        <v>40</v>
      </c>
      <c r="AC954" t="s">
        <v>56</v>
      </c>
    </row>
    <row r="955" spans="1:30" x14ac:dyDescent="0.25">
      <c r="A955" s="4">
        <v>42551</v>
      </c>
      <c r="B955" t="s">
        <v>30</v>
      </c>
      <c r="C955">
        <v>501</v>
      </c>
      <c r="D955">
        <v>5</v>
      </c>
      <c r="E955">
        <v>1</v>
      </c>
      <c r="F955" t="s">
        <v>41</v>
      </c>
      <c r="G955" t="s">
        <v>32</v>
      </c>
      <c r="H955" t="s">
        <v>33</v>
      </c>
      <c r="I955" t="s">
        <v>57</v>
      </c>
      <c r="O955" s="5"/>
      <c r="P955" s="5"/>
      <c r="Z955" t="s">
        <v>39</v>
      </c>
    </row>
    <row r="956" spans="1:30" x14ac:dyDescent="0.25">
      <c r="A956" s="4">
        <v>42551</v>
      </c>
      <c r="B956" t="s">
        <v>30</v>
      </c>
      <c r="C956">
        <v>501</v>
      </c>
      <c r="D956">
        <v>6</v>
      </c>
      <c r="E956">
        <v>1</v>
      </c>
      <c r="F956" t="s">
        <v>41</v>
      </c>
      <c r="G956" t="s">
        <v>32</v>
      </c>
      <c r="H956" t="s">
        <v>33</v>
      </c>
      <c r="I956" t="s">
        <v>57</v>
      </c>
      <c r="O956" s="5"/>
      <c r="P956" s="5"/>
      <c r="Z956" t="s">
        <v>39</v>
      </c>
    </row>
    <row r="957" spans="1:30" x14ac:dyDescent="0.25">
      <c r="A957" s="4">
        <v>42551</v>
      </c>
      <c r="B957" t="s">
        <v>30</v>
      </c>
      <c r="C957">
        <v>501</v>
      </c>
      <c r="D957">
        <v>7</v>
      </c>
      <c r="E957">
        <v>1</v>
      </c>
      <c r="F957" t="s">
        <v>41</v>
      </c>
      <c r="G957" t="s">
        <v>32</v>
      </c>
      <c r="H957" t="s">
        <v>33</v>
      </c>
      <c r="I957" t="s">
        <v>34</v>
      </c>
      <c r="J957" t="s">
        <v>35</v>
      </c>
      <c r="K957" t="s">
        <v>89</v>
      </c>
      <c r="L957" t="s">
        <v>37</v>
      </c>
      <c r="M957">
        <v>0</v>
      </c>
      <c r="N957">
        <v>0</v>
      </c>
      <c r="O957" s="5">
        <v>50448</v>
      </c>
      <c r="P957" s="5">
        <v>50447</v>
      </c>
      <c r="Q957">
        <f>28-12</f>
        <v>16</v>
      </c>
      <c r="R957" t="s">
        <v>38</v>
      </c>
      <c r="S957" t="s">
        <v>39</v>
      </c>
      <c r="T957">
        <v>20</v>
      </c>
      <c r="U957">
        <v>87</v>
      </c>
      <c r="V957">
        <v>13</v>
      </c>
      <c r="W957">
        <v>12.8</v>
      </c>
      <c r="X957">
        <v>28.8</v>
      </c>
      <c r="Z957" t="s">
        <v>39</v>
      </c>
      <c r="AB957" t="s">
        <v>40</v>
      </c>
      <c r="AC957" t="s">
        <v>56</v>
      </c>
    </row>
    <row r="958" spans="1:30" x14ac:dyDescent="0.25">
      <c r="A958" s="4">
        <v>42551</v>
      </c>
      <c r="B958" t="s">
        <v>30</v>
      </c>
      <c r="C958">
        <v>501</v>
      </c>
      <c r="D958">
        <v>8</v>
      </c>
      <c r="E958">
        <v>1</v>
      </c>
      <c r="F958" t="s">
        <v>41</v>
      </c>
      <c r="G958" t="s">
        <v>32</v>
      </c>
      <c r="H958" t="s">
        <v>33</v>
      </c>
      <c r="I958" t="s">
        <v>91</v>
      </c>
      <c r="J958" t="s">
        <v>35</v>
      </c>
      <c r="K958" t="s">
        <v>36</v>
      </c>
      <c r="L958" t="s">
        <v>37</v>
      </c>
      <c r="M958">
        <v>0</v>
      </c>
      <c r="N958">
        <v>0</v>
      </c>
      <c r="O958" s="5"/>
      <c r="P958" s="5">
        <v>50585</v>
      </c>
      <c r="Q958">
        <f>38-12</f>
        <v>26</v>
      </c>
      <c r="R958" t="s">
        <v>149</v>
      </c>
      <c r="S958" t="s">
        <v>97</v>
      </c>
      <c r="T958">
        <v>29</v>
      </c>
      <c r="W958">
        <v>13.6</v>
      </c>
      <c r="X958">
        <v>28.8</v>
      </c>
      <c r="Z958" t="s">
        <v>39</v>
      </c>
      <c r="AB958" t="s">
        <v>40</v>
      </c>
      <c r="AC958" t="s">
        <v>56</v>
      </c>
    </row>
    <row r="959" spans="1:30" x14ac:dyDescent="0.25">
      <c r="A959" s="4">
        <v>42551</v>
      </c>
      <c r="B959" t="s">
        <v>30</v>
      </c>
      <c r="C959">
        <v>501</v>
      </c>
      <c r="D959">
        <v>9</v>
      </c>
      <c r="E959">
        <v>1</v>
      </c>
      <c r="F959" t="s">
        <v>41</v>
      </c>
      <c r="G959" t="s">
        <v>32</v>
      </c>
      <c r="H959" t="s">
        <v>33</v>
      </c>
      <c r="I959" t="s">
        <v>57</v>
      </c>
      <c r="O959" s="5"/>
      <c r="P959" s="5"/>
      <c r="Z959" t="s">
        <v>39</v>
      </c>
    </row>
    <row r="960" spans="1:30" x14ac:dyDescent="0.25">
      <c r="A960" s="4">
        <v>42551</v>
      </c>
      <c r="B960" t="s">
        <v>30</v>
      </c>
      <c r="C960">
        <v>501</v>
      </c>
      <c r="D960">
        <v>9</v>
      </c>
      <c r="E960">
        <v>2</v>
      </c>
      <c r="F960" t="s">
        <v>41</v>
      </c>
      <c r="G960" t="s">
        <v>32</v>
      </c>
      <c r="H960" t="s">
        <v>33</v>
      </c>
      <c r="I960" t="s">
        <v>57</v>
      </c>
      <c r="O960" s="5"/>
      <c r="P960" s="5"/>
      <c r="Z960" t="s">
        <v>39</v>
      </c>
    </row>
    <row r="961" spans="1:29" x14ac:dyDescent="0.25">
      <c r="A961" s="4">
        <v>42551</v>
      </c>
      <c r="B961" t="s">
        <v>30</v>
      </c>
      <c r="C961">
        <v>501</v>
      </c>
      <c r="D961">
        <v>10</v>
      </c>
      <c r="E961">
        <v>1</v>
      </c>
      <c r="F961" t="s">
        <v>41</v>
      </c>
      <c r="G961" t="s">
        <v>32</v>
      </c>
      <c r="H961" t="s">
        <v>33</v>
      </c>
      <c r="I961" t="s">
        <v>73</v>
      </c>
      <c r="J961" t="s">
        <v>35</v>
      </c>
      <c r="K961" t="s">
        <v>36</v>
      </c>
      <c r="L961" t="s">
        <v>37</v>
      </c>
      <c r="M961">
        <v>0</v>
      </c>
      <c r="N961">
        <v>0</v>
      </c>
      <c r="O961" s="5"/>
      <c r="P961" s="5">
        <v>50337</v>
      </c>
      <c r="Q961">
        <f>129-50</f>
        <v>79</v>
      </c>
      <c r="R961" t="s">
        <v>164</v>
      </c>
      <c r="S961" t="s">
        <v>97</v>
      </c>
      <c r="Z961" t="s">
        <v>39</v>
      </c>
      <c r="AB961" t="s">
        <v>40</v>
      </c>
      <c r="AC961" t="s">
        <v>56</v>
      </c>
    </row>
    <row r="962" spans="1:29" x14ac:dyDescent="0.25">
      <c r="A962" s="4">
        <v>42551</v>
      </c>
      <c r="B962" t="s">
        <v>30</v>
      </c>
      <c r="C962">
        <v>503</v>
      </c>
      <c r="D962">
        <v>1</v>
      </c>
      <c r="E962">
        <v>1</v>
      </c>
      <c r="F962" t="s">
        <v>41</v>
      </c>
      <c r="G962" t="s">
        <v>32</v>
      </c>
      <c r="H962" t="s">
        <v>33</v>
      </c>
      <c r="I962" t="s">
        <v>53</v>
      </c>
      <c r="J962" t="s">
        <v>62</v>
      </c>
      <c r="O962" s="5"/>
      <c r="P962" s="5"/>
      <c r="Z962" t="s">
        <v>39</v>
      </c>
    </row>
    <row r="963" spans="1:29" x14ac:dyDescent="0.25">
      <c r="A963" s="4">
        <v>42551</v>
      </c>
      <c r="B963" t="s">
        <v>30</v>
      </c>
      <c r="C963">
        <v>503</v>
      </c>
      <c r="D963">
        <v>1</v>
      </c>
      <c r="E963">
        <v>2</v>
      </c>
      <c r="F963" t="s">
        <v>41</v>
      </c>
      <c r="G963" t="s">
        <v>32</v>
      </c>
      <c r="H963" t="s">
        <v>33</v>
      </c>
      <c r="I963" t="s">
        <v>53</v>
      </c>
      <c r="J963" t="s">
        <v>62</v>
      </c>
      <c r="O963" s="5"/>
      <c r="P963" s="5"/>
      <c r="Z963" t="s">
        <v>39</v>
      </c>
    </row>
    <row r="964" spans="1:29" x14ac:dyDescent="0.25">
      <c r="A964" s="4">
        <v>42551</v>
      </c>
      <c r="B964" t="s">
        <v>30</v>
      </c>
      <c r="C964">
        <v>503</v>
      </c>
      <c r="D964">
        <v>2</v>
      </c>
      <c r="E964">
        <v>1</v>
      </c>
      <c r="F964" t="s">
        <v>41</v>
      </c>
      <c r="G964" t="s">
        <v>32</v>
      </c>
      <c r="H964" t="s">
        <v>33</v>
      </c>
      <c r="I964" t="s">
        <v>34</v>
      </c>
      <c r="J964" t="s">
        <v>35</v>
      </c>
      <c r="K964" t="s">
        <v>89</v>
      </c>
      <c r="L964" t="s">
        <v>43</v>
      </c>
      <c r="M964">
        <v>0</v>
      </c>
      <c r="N964">
        <v>0</v>
      </c>
      <c r="O964" s="5">
        <v>50446</v>
      </c>
      <c r="P964" s="5">
        <v>50434</v>
      </c>
      <c r="Q964">
        <f>26-12.5</f>
        <v>13.5</v>
      </c>
      <c r="R964" t="s">
        <v>65</v>
      </c>
      <c r="T964">
        <v>19</v>
      </c>
      <c r="U964">
        <v>73</v>
      </c>
      <c r="V964">
        <v>13</v>
      </c>
      <c r="W964">
        <v>12.4</v>
      </c>
      <c r="X964">
        <v>27.6</v>
      </c>
      <c r="Y964" t="s">
        <v>172</v>
      </c>
      <c r="Z964" t="s">
        <v>39</v>
      </c>
      <c r="AB964" t="s">
        <v>40</v>
      </c>
      <c r="AC964" t="s">
        <v>56</v>
      </c>
    </row>
    <row r="965" spans="1:29" x14ac:dyDescent="0.25">
      <c r="A965" s="4">
        <v>42551</v>
      </c>
      <c r="B965" t="s">
        <v>30</v>
      </c>
      <c r="C965">
        <v>503</v>
      </c>
      <c r="D965">
        <v>2</v>
      </c>
      <c r="E965">
        <v>2</v>
      </c>
      <c r="F965" t="s">
        <v>41</v>
      </c>
      <c r="G965" t="s">
        <v>32</v>
      </c>
      <c r="H965" t="s">
        <v>33</v>
      </c>
      <c r="I965" t="s">
        <v>57</v>
      </c>
      <c r="O965" s="5"/>
      <c r="P965" s="5"/>
      <c r="Z965" t="s">
        <v>39</v>
      </c>
    </row>
    <row r="966" spans="1:29" x14ac:dyDescent="0.25">
      <c r="A966" s="4">
        <v>42551</v>
      </c>
      <c r="B966" t="s">
        <v>30</v>
      </c>
      <c r="C966">
        <v>503</v>
      </c>
      <c r="D966">
        <v>4</v>
      </c>
      <c r="E966">
        <v>1</v>
      </c>
      <c r="F966" t="s">
        <v>41</v>
      </c>
      <c r="G966" t="s">
        <v>32</v>
      </c>
      <c r="H966" t="s">
        <v>33</v>
      </c>
      <c r="I966" t="s">
        <v>57</v>
      </c>
      <c r="O966" s="5"/>
      <c r="P966" s="5"/>
      <c r="Z966" t="s">
        <v>39</v>
      </c>
    </row>
    <row r="967" spans="1:29" x14ac:dyDescent="0.25">
      <c r="A967" s="4">
        <v>42551</v>
      </c>
      <c r="B967" t="s">
        <v>30</v>
      </c>
      <c r="C967">
        <v>503</v>
      </c>
      <c r="D967">
        <v>5</v>
      </c>
      <c r="E967">
        <v>1</v>
      </c>
      <c r="F967" t="s">
        <v>41</v>
      </c>
      <c r="G967" t="s">
        <v>32</v>
      </c>
      <c r="H967" t="s">
        <v>33</v>
      </c>
      <c r="I967" t="s">
        <v>57</v>
      </c>
      <c r="O967" s="5"/>
      <c r="P967" s="5"/>
      <c r="Z967" t="s">
        <v>39</v>
      </c>
    </row>
    <row r="968" spans="1:29" x14ac:dyDescent="0.25">
      <c r="A968" s="4">
        <v>42551</v>
      </c>
      <c r="B968" t="s">
        <v>30</v>
      </c>
      <c r="C968">
        <v>503</v>
      </c>
      <c r="D968">
        <v>5</v>
      </c>
      <c r="E968">
        <v>2</v>
      </c>
      <c r="F968" t="s">
        <v>41</v>
      </c>
      <c r="G968" t="s">
        <v>32</v>
      </c>
      <c r="H968" t="s">
        <v>33</v>
      </c>
      <c r="I968" t="s">
        <v>34</v>
      </c>
      <c r="J968" t="s">
        <v>42</v>
      </c>
      <c r="K968" t="s">
        <v>89</v>
      </c>
      <c r="L968" t="s">
        <v>37</v>
      </c>
      <c r="M968">
        <v>0</v>
      </c>
      <c r="N968">
        <v>1</v>
      </c>
      <c r="O968" s="5">
        <v>50550</v>
      </c>
      <c r="P968" s="5">
        <v>50549</v>
      </c>
      <c r="Q968">
        <f>24-12</f>
        <v>12</v>
      </c>
      <c r="R968" t="s">
        <v>38</v>
      </c>
      <c r="S968" t="s">
        <v>39</v>
      </c>
      <c r="T968">
        <v>18</v>
      </c>
      <c r="U968">
        <v>69</v>
      </c>
      <c r="V968">
        <v>13</v>
      </c>
      <c r="W968">
        <v>12.7</v>
      </c>
      <c r="X968">
        <v>26.9</v>
      </c>
      <c r="Z968" t="s">
        <v>39</v>
      </c>
      <c r="AB968" t="s">
        <v>40</v>
      </c>
      <c r="AC968" t="s">
        <v>56</v>
      </c>
    </row>
    <row r="969" spans="1:29" x14ac:dyDescent="0.25">
      <c r="A969" s="4">
        <v>42551</v>
      </c>
      <c r="B969" t="s">
        <v>30</v>
      </c>
      <c r="C969">
        <v>503</v>
      </c>
      <c r="D969">
        <v>6</v>
      </c>
      <c r="E969">
        <v>1</v>
      </c>
      <c r="F969" t="s">
        <v>41</v>
      </c>
      <c r="G969" t="s">
        <v>32</v>
      </c>
      <c r="H969" t="s">
        <v>33</v>
      </c>
      <c r="I969" t="s">
        <v>70</v>
      </c>
      <c r="J969" t="s">
        <v>123</v>
      </c>
      <c r="O969" s="5"/>
      <c r="P969" s="5"/>
      <c r="Z969" t="s">
        <v>39</v>
      </c>
    </row>
    <row r="970" spans="1:29" x14ac:dyDescent="0.25">
      <c r="A970" s="4">
        <v>42551</v>
      </c>
      <c r="B970" t="s">
        <v>30</v>
      </c>
      <c r="C970">
        <v>503</v>
      </c>
      <c r="D970">
        <v>6</v>
      </c>
      <c r="E970">
        <v>2</v>
      </c>
      <c r="F970" t="s">
        <v>41</v>
      </c>
      <c r="G970" t="s">
        <v>32</v>
      </c>
      <c r="H970" t="s">
        <v>33</v>
      </c>
      <c r="I970" t="s">
        <v>34</v>
      </c>
      <c r="J970" t="s">
        <v>35</v>
      </c>
      <c r="K970" t="s">
        <v>36</v>
      </c>
      <c r="L970" t="s">
        <v>43</v>
      </c>
      <c r="M970">
        <v>0</v>
      </c>
      <c r="N970">
        <v>0</v>
      </c>
      <c r="O970" s="5">
        <v>50436</v>
      </c>
      <c r="P970" s="5">
        <v>50435</v>
      </c>
      <c r="Q970">
        <f>30-12</f>
        <v>18</v>
      </c>
      <c r="R970" t="s">
        <v>47</v>
      </c>
      <c r="T970">
        <v>21</v>
      </c>
      <c r="U970">
        <v>82</v>
      </c>
      <c r="V970">
        <v>14</v>
      </c>
      <c r="W970">
        <v>13.4</v>
      </c>
      <c r="X970">
        <v>29.2</v>
      </c>
      <c r="Z970" t="s">
        <v>39</v>
      </c>
      <c r="AB970" t="s">
        <v>40</v>
      </c>
      <c r="AC970" t="s">
        <v>56</v>
      </c>
    </row>
    <row r="971" spans="1:29" x14ac:dyDescent="0.25">
      <c r="A971" s="4">
        <v>42551</v>
      </c>
      <c r="B971" t="s">
        <v>30</v>
      </c>
      <c r="C971">
        <v>503</v>
      </c>
      <c r="D971">
        <v>7</v>
      </c>
      <c r="E971">
        <v>1</v>
      </c>
      <c r="F971" t="s">
        <v>41</v>
      </c>
      <c r="G971" t="s">
        <v>32</v>
      </c>
      <c r="H971" t="s">
        <v>33</v>
      </c>
      <c r="I971" t="s">
        <v>57</v>
      </c>
      <c r="O971" s="5"/>
      <c r="P971" s="5"/>
      <c r="Z971" t="s">
        <v>39</v>
      </c>
    </row>
    <row r="972" spans="1:29" x14ac:dyDescent="0.25">
      <c r="A972" s="4">
        <v>42551</v>
      </c>
      <c r="B972" t="s">
        <v>30</v>
      </c>
      <c r="C972">
        <v>503</v>
      </c>
      <c r="D972">
        <v>7</v>
      </c>
      <c r="E972">
        <v>2</v>
      </c>
      <c r="F972" t="s">
        <v>41</v>
      </c>
      <c r="G972" t="s">
        <v>32</v>
      </c>
      <c r="H972" t="s">
        <v>33</v>
      </c>
      <c r="I972" t="s">
        <v>34</v>
      </c>
      <c r="J972" t="s">
        <v>35</v>
      </c>
      <c r="K972" t="s">
        <v>89</v>
      </c>
      <c r="L972" t="s">
        <v>37</v>
      </c>
      <c r="M972">
        <v>0</v>
      </c>
      <c r="N972">
        <v>0</v>
      </c>
      <c r="O972" s="5">
        <v>50442</v>
      </c>
      <c r="P972" s="5">
        <v>50441</v>
      </c>
      <c r="Q972">
        <f>25.5-13</f>
        <v>12.5</v>
      </c>
      <c r="R972" t="s">
        <v>38</v>
      </c>
      <c r="S972" t="s">
        <v>39</v>
      </c>
      <c r="T972">
        <v>20</v>
      </c>
      <c r="U972">
        <v>66</v>
      </c>
      <c r="V972">
        <v>16</v>
      </c>
      <c r="W972">
        <v>12.2</v>
      </c>
      <c r="X972">
        <v>26.5</v>
      </c>
      <c r="Z972" t="s">
        <v>39</v>
      </c>
      <c r="AB972" t="s">
        <v>40</v>
      </c>
      <c r="AC972" t="s">
        <v>56</v>
      </c>
    </row>
    <row r="973" spans="1:29" x14ac:dyDescent="0.25">
      <c r="A973" s="4">
        <v>42551</v>
      </c>
      <c r="B973" t="s">
        <v>30</v>
      </c>
      <c r="C973">
        <v>503</v>
      </c>
      <c r="D973">
        <v>8</v>
      </c>
      <c r="E973">
        <v>1</v>
      </c>
      <c r="F973" t="s">
        <v>41</v>
      </c>
      <c r="G973" t="s">
        <v>32</v>
      </c>
      <c r="H973" t="s">
        <v>33</v>
      </c>
      <c r="I973" t="s">
        <v>91</v>
      </c>
      <c r="J973" t="s">
        <v>35</v>
      </c>
      <c r="K973" t="s">
        <v>36</v>
      </c>
      <c r="L973" t="s">
        <v>37</v>
      </c>
      <c r="M973">
        <v>0</v>
      </c>
      <c r="N973">
        <v>0</v>
      </c>
      <c r="O973" s="5">
        <v>50449</v>
      </c>
      <c r="P973" s="5"/>
      <c r="Q973">
        <f>35-12</f>
        <v>23</v>
      </c>
      <c r="R973" t="s">
        <v>136</v>
      </c>
      <c r="S973" t="s">
        <v>97</v>
      </c>
      <c r="T973">
        <v>30</v>
      </c>
      <c r="Z973" t="s">
        <v>39</v>
      </c>
      <c r="AB973" t="s">
        <v>40</v>
      </c>
      <c r="AC973" t="s">
        <v>56</v>
      </c>
    </row>
    <row r="974" spans="1:29" x14ac:dyDescent="0.25">
      <c r="A974" s="4">
        <v>42551</v>
      </c>
      <c r="B974" t="s">
        <v>30</v>
      </c>
      <c r="C974">
        <v>503</v>
      </c>
      <c r="D974">
        <v>8</v>
      </c>
      <c r="E974">
        <v>2</v>
      </c>
      <c r="F974" t="s">
        <v>41</v>
      </c>
      <c r="G974" t="s">
        <v>32</v>
      </c>
      <c r="H974" t="s">
        <v>33</v>
      </c>
      <c r="I974" t="s">
        <v>53</v>
      </c>
      <c r="J974" t="s">
        <v>62</v>
      </c>
      <c r="O974" s="5"/>
      <c r="P974" s="5"/>
      <c r="Z974" t="s">
        <v>39</v>
      </c>
    </row>
    <row r="975" spans="1:29" x14ac:dyDescent="0.25">
      <c r="A975" s="4">
        <v>42551</v>
      </c>
      <c r="B975" t="s">
        <v>30</v>
      </c>
      <c r="C975">
        <v>503</v>
      </c>
      <c r="D975">
        <v>9</v>
      </c>
      <c r="E975">
        <v>1</v>
      </c>
      <c r="F975" t="s">
        <v>41</v>
      </c>
      <c r="G975" t="s">
        <v>32</v>
      </c>
      <c r="H975" t="s">
        <v>33</v>
      </c>
      <c r="I975" t="s">
        <v>57</v>
      </c>
      <c r="O975" s="5"/>
      <c r="P975" s="5"/>
      <c r="Z975" t="s">
        <v>39</v>
      </c>
    </row>
    <row r="976" spans="1:29" x14ac:dyDescent="0.25">
      <c r="A976" s="4">
        <v>42551</v>
      </c>
      <c r="B976" t="s">
        <v>30</v>
      </c>
      <c r="C976">
        <v>503</v>
      </c>
      <c r="D976">
        <v>10</v>
      </c>
      <c r="E976">
        <v>1</v>
      </c>
      <c r="F976" t="s">
        <v>41</v>
      </c>
      <c r="G976" t="s">
        <v>32</v>
      </c>
      <c r="H976" t="s">
        <v>33</v>
      </c>
      <c r="I976" t="s">
        <v>57</v>
      </c>
      <c r="O976" s="5"/>
      <c r="P976" s="5"/>
      <c r="Z976" t="s">
        <v>39</v>
      </c>
    </row>
    <row r="977" spans="1:29" x14ac:dyDescent="0.25">
      <c r="A977" s="4">
        <v>42551</v>
      </c>
      <c r="B977" t="s">
        <v>30</v>
      </c>
      <c r="C977">
        <v>503</v>
      </c>
      <c r="D977">
        <v>10</v>
      </c>
      <c r="E977">
        <v>2</v>
      </c>
      <c r="F977" t="s">
        <v>41</v>
      </c>
      <c r="G977" t="s">
        <v>32</v>
      </c>
      <c r="H977" t="s">
        <v>33</v>
      </c>
      <c r="I977" t="s">
        <v>58</v>
      </c>
      <c r="J977" t="s">
        <v>35</v>
      </c>
      <c r="K977" t="s">
        <v>36</v>
      </c>
      <c r="L977" t="s">
        <v>43</v>
      </c>
      <c r="M977">
        <v>0</v>
      </c>
      <c r="N977">
        <v>0</v>
      </c>
      <c r="O977" s="5">
        <v>50579</v>
      </c>
      <c r="P977" s="5"/>
      <c r="Q977">
        <f>37-12</f>
        <v>25</v>
      </c>
      <c r="R977" t="s">
        <v>47</v>
      </c>
      <c r="T977">
        <v>17</v>
      </c>
      <c r="X977">
        <v>27.2</v>
      </c>
      <c r="Z977" t="s">
        <v>39</v>
      </c>
      <c r="AB977" t="s">
        <v>40</v>
      </c>
      <c r="AC977" t="s">
        <v>56</v>
      </c>
    </row>
    <row r="978" spans="1:29" x14ac:dyDescent="0.25">
      <c r="A978" s="4">
        <v>42551</v>
      </c>
      <c r="B978" t="s">
        <v>30</v>
      </c>
      <c r="C978">
        <v>303</v>
      </c>
      <c r="D978">
        <v>1</v>
      </c>
      <c r="E978">
        <v>1</v>
      </c>
      <c r="F978" t="s">
        <v>41</v>
      </c>
      <c r="G978" t="s">
        <v>32</v>
      </c>
      <c r="H978" t="s">
        <v>33</v>
      </c>
      <c r="I978" t="s">
        <v>34</v>
      </c>
      <c r="J978" t="s">
        <v>35</v>
      </c>
      <c r="K978" t="s">
        <v>114</v>
      </c>
      <c r="L978" t="s">
        <v>37</v>
      </c>
      <c r="M978">
        <v>0</v>
      </c>
      <c r="N978">
        <v>0</v>
      </c>
      <c r="O978" s="5">
        <v>50582</v>
      </c>
      <c r="P978" s="5">
        <v>50581</v>
      </c>
      <c r="Q978">
        <f>26.5-12</f>
        <v>14.5</v>
      </c>
      <c r="R978" t="s">
        <v>63</v>
      </c>
      <c r="S978" t="s">
        <v>39</v>
      </c>
      <c r="T978">
        <v>20</v>
      </c>
      <c r="U978">
        <v>88</v>
      </c>
      <c r="V978">
        <v>14</v>
      </c>
      <c r="W978">
        <v>12.4</v>
      </c>
      <c r="X978">
        <v>27.2</v>
      </c>
      <c r="Z978" t="s">
        <v>39</v>
      </c>
      <c r="AB978" t="s">
        <v>40</v>
      </c>
      <c r="AC978" t="s">
        <v>56</v>
      </c>
    </row>
    <row r="979" spans="1:29" x14ac:dyDescent="0.25">
      <c r="A979" s="4">
        <v>42551</v>
      </c>
      <c r="B979" t="s">
        <v>30</v>
      </c>
      <c r="C979">
        <v>303</v>
      </c>
      <c r="D979">
        <v>1</v>
      </c>
      <c r="E979">
        <v>2</v>
      </c>
      <c r="F979" t="s">
        <v>41</v>
      </c>
      <c r="G979" t="s">
        <v>32</v>
      </c>
      <c r="H979" t="s">
        <v>33</v>
      </c>
      <c r="I979" t="s">
        <v>34</v>
      </c>
      <c r="J979" t="s">
        <v>35</v>
      </c>
      <c r="K979" t="s">
        <v>36</v>
      </c>
      <c r="L979" t="s">
        <v>43</v>
      </c>
      <c r="M979">
        <v>0</v>
      </c>
      <c r="N979">
        <v>0</v>
      </c>
      <c r="O979" s="5">
        <v>50321</v>
      </c>
      <c r="P979" s="5">
        <v>50520</v>
      </c>
      <c r="Q979">
        <f>35-14.5</f>
        <v>20.5</v>
      </c>
      <c r="R979" t="s">
        <v>47</v>
      </c>
      <c r="T979">
        <v>20</v>
      </c>
      <c r="U979">
        <v>78</v>
      </c>
      <c r="V979">
        <v>14</v>
      </c>
      <c r="W979">
        <v>12.8</v>
      </c>
      <c r="X979">
        <v>29.1</v>
      </c>
      <c r="Z979" t="s">
        <v>39</v>
      </c>
      <c r="AB979" t="s">
        <v>40</v>
      </c>
      <c r="AC979" t="s">
        <v>56</v>
      </c>
    </row>
    <row r="980" spans="1:29" x14ac:dyDescent="0.25">
      <c r="A980" s="4">
        <v>42551</v>
      </c>
      <c r="B980" t="s">
        <v>30</v>
      </c>
      <c r="C980">
        <v>303</v>
      </c>
      <c r="D980">
        <v>2</v>
      </c>
      <c r="E980">
        <v>1</v>
      </c>
      <c r="F980" t="s">
        <v>41</v>
      </c>
      <c r="G980" t="s">
        <v>32</v>
      </c>
      <c r="H980" t="s">
        <v>33</v>
      </c>
      <c r="I980" t="s">
        <v>57</v>
      </c>
      <c r="O980" s="5"/>
      <c r="P980" s="5"/>
      <c r="Z980" t="s">
        <v>39</v>
      </c>
    </row>
    <row r="981" spans="1:29" x14ac:dyDescent="0.25">
      <c r="A981" s="4">
        <v>42551</v>
      </c>
      <c r="B981" t="s">
        <v>30</v>
      </c>
      <c r="C981">
        <v>303</v>
      </c>
      <c r="D981">
        <v>2</v>
      </c>
      <c r="E981">
        <v>2</v>
      </c>
      <c r="F981" t="s">
        <v>41</v>
      </c>
      <c r="G981" t="s">
        <v>32</v>
      </c>
      <c r="H981" t="s">
        <v>33</v>
      </c>
      <c r="I981" t="s">
        <v>57</v>
      </c>
      <c r="O981" s="5"/>
      <c r="P981" s="5"/>
      <c r="Z981" t="s">
        <v>39</v>
      </c>
    </row>
    <row r="982" spans="1:29" x14ac:dyDescent="0.25">
      <c r="A982" s="4">
        <v>42551</v>
      </c>
      <c r="B982" t="s">
        <v>30</v>
      </c>
      <c r="C982">
        <v>303</v>
      </c>
      <c r="D982">
        <v>3</v>
      </c>
      <c r="E982">
        <v>1</v>
      </c>
      <c r="F982" t="s">
        <v>41</v>
      </c>
      <c r="G982" t="s">
        <v>32</v>
      </c>
      <c r="H982" t="s">
        <v>33</v>
      </c>
      <c r="I982" t="s">
        <v>57</v>
      </c>
      <c r="O982" s="5"/>
      <c r="P982" s="5"/>
      <c r="Z982" t="s">
        <v>39</v>
      </c>
    </row>
    <row r="983" spans="1:29" x14ac:dyDescent="0.25">
      <c r="A983" s="4">
        <v>42551</v>
      </c>
      <c r="B983" t="s">
        <v>30</v>
      </c>
      <c r="C983">
        <v>303</v>
      </c>
      <c r="D983">
        <v>4</v>
      </c>
      <c r="E983">
        <v>1</v>
      </c>
      <c r="F983" t="s">
        <v>41</v>
      </c>
      <c r="G983" t="s">
        <v>32</v>
      </c>
      <c r="H983" t="s">
        <v>33</v>
      </c>
      <c r="I983" t="s">
        <v>57</v>
      </c>
      <c r="O983" s="5"/>
      <c r="P983" s="5"/>
      <c r="Z983" t="s">
        <v>39</v>
      </c>
    </row>
    <row r="984" spans="1:29" x14ac:dyDescent="0.25">
      <c r="A984" s="4">
        <v>42551</v>
      </c>
      <c r="B984" t="s">
        <v>30</v>
      </c>
      <c r="C984">
        <v>303</v>
      </c>
      <c r="D984">
        <v>5</v>
      </c>
      <c r="E984">
        <v>1</v>
      </c>
      <c r="F984" t="s">
        <v>41</v>
      </c>
      <c r="G984" t="s">
        <v>32</v>
      </c>
      <c r="H984" t="s">
        <v>33</v>
      </c>
      <c r="I984" t="s">
        <v>57</v>
      </c>
      <c r="O984" s="5"/>
      <c r="P984" s="5"/>
      <c r="Z984" t="s">
        <v>39</v>
      </c>
    </row>
    <row r="985" spans="1:29" x14ac:dyDescent="0.25">
      <c r="A985" s="4">
        <v>42551</v>
      </c>
      <c r="B985" t="s">
        <v>30</v>
      </c>
      <c r="C985">
        <v>303</v>
      </c>
      <c r="D985">
        <v>5</v>
      </c>
      <c r="E985">
        <v>2</v>
      </c>
      <c r="F985" t="s">
        <v>41</v>
      </c>
      <c r="G985" t="s">
        <v>32</v>
      </c>
      <c r="H985" t="s">
        <v>33</v>
      </c>
      <c r="I985" t="s">
        <v>58</v>
      </c>
      <c r="J985" t="s">
        <v>42</v>
      </c>
      <c r="K985" t="s">
        <v>36</v>
      </c>
      <c r="L985" t="s">
        <v>43</v>
      </c>
      <c r="M985">
        <v>0</v>
      </c>
      <c r="N985">
        <v>1</v>
      </c>
      <c r="O985" s="5">
        <v>50548</v>
      </c>
      <c r="P985" s="5"/>
      <c r="Q985">
        <f>39-11.5</f>
        <v>27.5</v>
      </c>
      <c r="R985" t="s">
        <v>47</v>
      </c>
      <c r="T985">
        <v>19</v>
      </c>
      <c r="Z985" t="s">
        <v>39</v>
      </c>
      <c r="AB985" t="s">
        <v>40</v>
      </c>
      <c r="AC985" t="s">
        <v>56</v>
      </c>
    </row>
    <row r="986" spans="1:29" x14ac:dyDescent="0.25">
      <c r="A986" s="4">
        <v>42551</v>
      </c>
      <c r="B986" t="s">
        <v>30</v>
      </c>
      <c r="C986">
        <v>303</v>
      </c>
      <c r="D986">
        <v>6</v>
      </c>
      <c r="E986">
        <v>1</v>
      </c>
      <c r="F986" t="s">
        <v>41</v>
      </c>
      <c r="G986" t="s">
        <v>32</v>
      </c>
      <c r="H986" t="s">
        <v>33</v>
      </c>
      <c r="I986" t="s">
        <v>58</v>
      </c>
      <c r="J986" t="s">
        <v>35</v>
      </c>
      <c r="K986" t="s">
        <v>36</v>
      </c>
      <c r="L986" t="s">
        <v>43</v>
      </c>
      <c r="M986">
        <v>0</v>
      </c>
      <c r="N986">
        <v>0</v>
      </c>
      <c r="O986" s="5">
        <v>50450</v>
      </c>
      <c r="P986" s="5"/>
      <c r="Q986">
        <f>29-11.5</f>
        <v>17.5</v>
      </c>
      <c r="R986" t="s">
        <v>47</v>
      </c>
      <c r="T986">
        <v>18</v>
      </c>
      <c r="Z986" t="s">
        <v>39</v>
      </c>
      <c r="AB986" t="s">
        <v>40</v>
      </c>
      <c r="AC986" t="s">
        <v>56</v>
      </c>
    </row>
    <row r="987" spans="1:29" x14ac:dyDescent="0.25">
      <c r="A987" s="4">
        <v>42551</v>
      </c>
      <c r="B987" t="s">
        <v>30</v>
      </c>
      <c r="C987">
        <v>303</v>
      </c>
      <c r="D987">
        <v>6</v>
      </c>
      <c r="E987">
        <v>2</v>
      </c>
      <c r="F987" t="s">
        <v>41</v>
      </c>
      <c r="G987" t="s">
        <v>32</v>
      </c>
      <c r="H987" t="s">
        <v>33</v>
      </c>
      <c r="I987" t="s">
        <v>91</v>
      </c>
      <c r="J987" t="s">
        <v>35</v>
      </c>
      <c r="K987" t="s">
        <v>36</v>
      </c>
      <c r="M987">
        <v>0</v>
      </c>
      <c r="N987">
        <v>0</v>
      </c>
      <c r="O987" s="5" t="s">
        <v>134</v>
      </c>
      <c r="P987" s="5"/>
      <c r="Q987">
        <f>31.5-11.5</f>
        <v>20</v>
      </c>
      <c r="Z987" t="s">
        <v>39</v>
      </c>
      <c r="AB987" t="s">
        <v>40</v>
      </c>
      <c r="AC987" t="s">
        <v>56</v>
      </c>
    </row>
    <row r="988" spans="1:29" x14ac:dyDescent="0.25">
      <c r="A988" s="4">
        <v>42551</v>
      </c>
      <c r="B988" t="s">
        <v>30</v>
      </c>
      <c r="C988">
        <v>303</v>
      </c>
      <c r="D988">
        <v>8</v>
      </c>
      <c r="E988">
        <v>1</v>
      </c>
      <c r="F988" t="s">
        <v>41</v>
      </c>
      <c r="G988" t="s">
        <v>32</v>
      </c>
      <c r="H988" t="s">
        <v>33</v>
      </c>
      <c r="I988" t="s">
        <v>64</v>
      </c>
      <c r="J988" t="s">
        <v>42</v>
      </c>
      <c r="K988" t="s">
        <v>36</v>
      </c>
      <c r="M988">
        <v>0</v>
      </c>
      <c r="N988">
        <v>1</v>
      </c>
      <c r="O988" s="5">
        <v>50547</v>
      </c>
      <c r="P988" s="5"/>
      <c r="Q988">
        <f>158-47</f>
        <v>111</v>
      </c>
      <c r="W988">
        <v>24.9</v>
      </c>
      <c r="X988">
        <v>46.6</v>
      </c>
      <c r="Z988" t="s">
        <v>39</v>
      </c>
      <c r="AB988" t="s">
        <v>40</v>
      </c>
      <c r="AC988" t="s">
        <v>56</v>
      </c>
    </row>
    <row r="989" spans="1:29" x14ac:dyDescent="0.25">
      <c r="A989" s="4">
        <v>42551</v>
      </c>
      <c r="B989" t="s">
        <v>30</v>
      </c>
      <c r="C989">
        <v>303</v>
      </c>
      <c r="D989">
        <v>9</v>
      </c>
      <c r="E989">
        <v>1</v>
      </c>
      <c r="F989" t="s">
        <v>41</v>
      </c>
      <c r="G989" t="s">
        <v>32</v>
      </c>
      <c r="H989" t="s">
        <v>33</v>
      </c>
      <c r="I989" t="s">
        <v>53</v>
      </c>
      <c r="J989" t="s">
        <v>62</v>
      </c>
      <c r="O989" s="5"/>
      <c r="P989" s="5"/>
      <c r="Z989" t="s">
        <v>39</v>
      </c>
    </row>
    <row r="990" spans="1:29" x14ac:dyDescent="0.25">
      <c r="A990" s="4">
        <v>42551</v>
      </c>
      <c r="B990" t="s">
        <v>30</v>
      </c>
      <c r="C990">
        <v>303</v>
      </c>
      <c r="D990">
        <v>10</v>
      </c>
      <c r="E990">
        <v>1</v>
      </c>
      <c r="F990" t="s">
        <v>41</v>
      </c>
      <c r="G990" t="s">
        <v>32</v>
      </c>
      <c r="H990" t="s">
        <v>33</v>
      </c>
      <c r="I990" t="s">
        <v>58</v>
      </c>
      <c r="J990" t="s">
        <v>35</v>
      </c>
      <c r="K990" t="s">
        <v>36</v>
      </c>
      <c r="L990" t="s">
        <v>43</v>
      </c>
      <c r="M990">
        <v>0</v>
      </c>
      <c r="N990">
        <v>0</v>
      </c>
      <c r="O990" s="5">
        <v>50444</v>
      </c>
      <c r="P990" s="5"/>
      <c r="Q990">
        <f>37-15.5</f>
        <v>21.5</v>
      </c>
      <c r="R990" t="s">
        <v>47</v>
      </c>
      <c r="T990">
        <v>18</v>
      </c>
      <c r="Z990" t="s">
        <v>39</v>
      </c>
      <c r="AB990" t="s">
        <v>40</v>
      </c>
      <c r="AC990" t="s">
        <v>56</v>
      </c>
    </row>
    <row r="991" spans="1:29" x14ac:dyDescent="0.25">
      <c r="A991" s="4">
        <v>42551</v>
      </c>
      <c r="B991" t="s">
        <v>30</v>
      </c>
      <c r="C991">
        <v>303</v>
      </c>
      <c r="D991">
        <v>10</v>
      </c>
      <c r="E991">
        <v>2</v>
      </c>
      <c r="F991" t="s">
        <v>41</v>
      </c>
      <c r="G991" t="s">
        <v>32</v>
      </c>
      <c r="H991" t="s">
        <v>33</v>
      </c>
      <c r="I991" t="s">
        <v>64</v>
      </c>
      <c r="J991" t="s">
        <v>35</v>
      </c>
      <c r="K991" t="s">
        <v>36</v>
      </c>
      <c r="L991" t="s">
        <v>43</v>
      </c>
      <c r="M991">
        <v>0</v>
      </c>
      <c r="N991">
        <v>0</v>
      </c>
      <c r="O991" s="5">
        <v>2618</v>
      </c>
      <c r="P991" s="5">
        <v>509</v>
      </c>
      <c r="Q991">
        <f>210-48</f>
        <v>162</v>
      </c>
      <c r="R991" t="s">
        <v>47</v>
      </c>
      <c r="Z991" t="s">
        <v>39</v>
      </c>
      <c r="AB991" t="s">
        <v>40</v>
      </c>
      <c r="AC991" t="s">
        <v>56</v>
      </c>
    </row>
    <row r="992" spans="1:29" x14ac:dyDescent="0.25">
      <c r="A992" s="4">
        <v>42551</v>
      </c>
      <c r="B992" t="s">
        <v>30</v>
      </c>
      <c r="C992">
        <v>401</v>
      </c>
      <c r="D992">
        <v>2</v>
      </c>
      <c r="E992">
        <v>1</v>
      </c>
      <c r="F992" t="s">
        <v>41</v>
      </c>
      <c r="G992" t="s">
        <v>32</v>
      </c>
      <c r="H992" t="s">
        <v>33</v>
      </c>
      <c r="I992" t="s">
        <v>64</v>
      </c>
      <c r="J992" t="s">
        <v>42</v>
      </c>
      <c r="K992" t="s">
        <v>36</v>
      </c>
      <c r="L992" t="s">
        <v>43</v>
      </c>
      <c r="M992">
        <v>0</v>
      </c>
      <c r="N992">
        <v>1</v>
      </c>
      <c r="O992" s="5">
        <v>50546</v>
      </c>
      <c r="P992" s="5"/>
      <c r="Q992">
        <f>204-47</f>
        <v>157</v>
      </c>
      <c r="R992" t="s">
        <v>47</v>
      </c>
      <c r="T992">
        <v>40</v>
      </c>
      <c r="Z992" t="s">
        <v>39</v>
      </c>
      <c r="AB992" t="s">
        <v>40</v>
      </c>
      <c r="AC992" t="s">
        <v>56</v>
      </c>
    </row>
    <row r="993" spans="1:30" x14ac:dyDescent="0.25">
      <c r="A993" s="4">
        <v>42551</v>
      </c>
      <c r="B993" t="s">
        <v>30</v>
      </c>
      <c r="C993">
        <v>401</v>
      </c>
      <c r="D993">
        <v>3</v>
      </c>
      <c r="E993">
        <v>1</v>
      </c>
      <c r="F993" t="s">
        <v>41</v>
      </c>
      <c r="G993" t="s">
        <v>32</v>
      </c>
      <c r="H993" t="s">
        <v>33</v>
      </c>
      <c r="I993" t="s">
        <v>34</v>
      </c>
      <c r="J993" t="s">
        <v>35</v>
      </c>
      <c r="K993" t="s">
        <v>114</v>
      </c>
      <c r="L993" t="s">
        <v>43</v>
      </c>
      <c r="M993">
        <v>0</v>
      </c>
      <c r="N993">
        <v>0</v>
      </c>
      <c r="O993" s="5">
        <v>50590</v>
      </c>
      <c r="P993" s="5">
        <v>50589</v>
      </c>
      <c r="Q993">
        <f>28-12</f>
        <v>16</v>
      </c>
      <c r="R993" t="s">
        <v>47</v>
      </c>
      <c r="T993">
        <v>19</v>
      </c>
      <c r="U993">
        <v>74</v>
      </c>
      <c r="V993">
        <v>14</v>
      </c>
      <c r="W993">
        <v>12.6</v>
      </c>
      <c r="X993">
        <v>27.8</v>
      </c>
      <c r="Z993" t="s">
        <v>39</v>
      </c>
      <c r="AB993" t="s">
        <v>40</v>
      </c>
      <c r="AC993" t="s">
        <v>56</v>
      </c>
    </row>
    <row r="994" spans="1:30" x14ac:dyDescent="0.25">
      <c r="A994" s="4">
        <v>42551</v>
      </c>
      <c r="B994" t="s">
        <v>30</v>
      </c>
      <c r="C994">
        <v>401</v>
      </c>
      <c r="D994">
        <v>4</v>
      </c>
      <c r="E994">
        <v>1</v>
      </c>
      <c r="F994" t="s">
        <v>41</v>
      </c>
      <c r="G994" t="s">
        <v>32</v>
      </c>
      <c r="H994" t="s">
        <v>33</v>
      </c>
      <c r="I994" t="s">
        <v>64</v>
      </c>
      <c r="J994" t="s">
        <v>42</v>
      </c>
      <c r="K994" t="s">
        <v>36</v>
      </c>
      <c r="L994" t="s">
        <v>43</v>
      </c>
      <c r="M994">
        <v>0</v>
      </c>
      <c r="N994">
        <v>1</v>
      </c>
      <c r="O994" s="5">
        <v>50545</v>
      </c>
      <c r="P994" s="5">
        <v>50544</v>
      </c>
      <c r="Q994">
        <f>180-45</f>
        <v>135</v>
      </c>
      <c r="R994" t="s">
        <v>47</v>
      </c>
      <c r="Z994" t="s">
        <v>39</v>
      </c>
      <c r="AB994" t="s">
        <v>40</v>
      </c>
      <c r="AC994" t="s">
        <v>56</v>
      </c>
    </row>
    <row r="995" spans="1:30" x14ac:dyDescent="0.25">
      <c r="A995" s="4">
        <v>42551</v>
      </c>
      <c r="B995" t="s">
        <v>30</v>
      </c>
      <c r="C995">
        <v>401</v>
      </c>
      <c r="D995">
        <v>5</v>
      </c>
      <c r="E995">
        <v>1</v>
      </c>
      <c r="F995" t="s">
        <v>41</v>
      </c>
      <c r="G995" t="s">
        <v>32</v>
      </c>
      <c r="H995" t="s">
        <v>33</v>
      </c>
      <c r="I995" t="s">
        <v>57</v>
      </c>
      <c r="O995" s="5"/>
      <c r="P995" s="5"/>
      <c r="Z995" t="s">
        <v>39</v>
      </c>
    </row>
    <row r="996" spans="1:30" x14ac:dyDescent="0.25">
      <c r="A996" s="4">
        <v>42551</v>
      </c>
      <c r="B996" t="s">
        <v>30</v>
      </c>
      <c r="C996">
        <v>401</v>
      </c>
      <c r="D996">
        <v>6</v>
      </c>
      <c r="E996">
        <v>1</v>
      </c>
      <c r="F996" t="s">
        <v>41</v>
      </c>
      <c r="G996" t="s">
        <v>32</v>
      </c>
      <c r="H996" t="s">
        <v>33</v>
      </c>
      <c r="I996" t="s">
        <v>64</v>
      </c>
      <c r="J996" t="s">
        <v>122</v>
      </c>
      <c r="K996" t="s">
        <v>36</v>
      </c>
      <c r="L996" t="s">
        <v>43</v>
      </c>
      <c r="O996" s="5"/>
      <c r="P996" s="5"/>
      <c r="R996" t="s">
        <v>47</v>
      </c>
      <c r="Z996" t="s">
        <v>39</v>
      </c>
    </row>
    <row r="997" spans="1:30" x14ac:dyDescent="0.25">
      <c r="A997" s="4">
        <v>42551</v>
      </c>
      <c r="B997" t="s">
        <v>30</v>
      </c>
      <c r="C997">
        <v>401</v>
      </c>
      <c r="D997">
        <v>6</v>
      </c>
      <c r="E997">
        <v>2</v>
      </c>
      <c r="F997" t="s">
        <v>41</v>
      </c>
      <c r="G997" t="s">
        <v>32</v>
      </c>
      <c r="H997" t="s">
        <v>33</v>
      </c>
      <c r="I997" t="s">
        <v>57</v>
      </c>
      <c r="O997" s="5"/>
      <c r="P997" s="5"/>
      <c r="Z997" t="s">
        <v>39</v>
      </c>
    </row>
    <row r="998" spans="1:30" x14ac:dyDescent="0.25">
      <c r="A998" s="4">
        <v>42551</v>
      </c>
      <c r="B998" t="s">
        <v>30</v>
      </c>
      <c r="C998">
        <v>401</v>
      </c>
      <c r="D998">
        <v>7</v>
      </c>
      <c r="E998">
        <v>1</v>
      </c>
      <c r="F998" t="s">
        <v>41</v>
      </c>
      <c r="G998" t="s">
        <v>32</v>
      </c>
      <c r="H998" t="s">
        <v>33</v>
      </c>
      <c r="I998" t="s">
        <v>57</v>
      </c>
      <c r="O998" s="5"/>
      <c r="P998" s="5"/>
      <c r="Z998" t="s">
        <v>39</v>
      </c>
    </row>
    <row r="999" spans="1:30" x14ac:dyDescent="0.25">
      <c r="A999" s="4">
        <v>42551</v>
      </c>
      <c r="B999" t="s">
        <v>30</v>
      </c>
      <c r="C999">
        <v>401</v>
      </c>
      <c r="D999">
        <v>7</v>
      </c>
      <c r="E999">
        <v>2</v>
      </c>
      <c r="F999" t="s">
        <v>41</v>
      </c>
      <c r="G999" t="s">
        <v>32</v>
      </c>
      <c r="H999" t="s">
        <v>33</v>
      </c>
      <c r="I999" t="s">
        <v>64</v>
      </c>
      <c r="J999" t="s">
        <v>42</v>
      </c>
      <c r="K999" t="s">
        <v>36</v>
      </c>
      <c r="L999" t="s">
        <v>43</v>
      </c>
      <c r="M999">
        <v>0</v>
      </c>
      <c r="N999">
        <v>1</v>
      </c>
      <c r="O999" s="5">
        <v>50543</v>
      </c>
      <c r="P999" s="5"/>
      <c r="Q999">
        <f>213-46</f>
        <v>167</v>
      </c>
      <c r="R999" t="s">
        <v>47</v>
      </c>
      <c r="T999">
        <v>40</v>
      </c>
      <c r="W999">
        <v>26.5</v>
      </c>
      <c r="X999">
        <v>49.5</v>
      </c>
      <c r="Z999" t="s">
        <v>39</v>
      </c>
      <c r="AB999" t="s">
        <v>40</v>
      </c>
      <c r="AC999" t="s">
        <v>56</v>
      </c>
    </row>
    <row r="1000" spans="1:30" x14ac:dyDescent="0.25">
      <c r="A1000" s="4">
        <v>42551</v>
      </c>
      <c r="B1000" t="s">
        <v>30</v>
      </c>
      <c r="C1000">
        <v>703</v>
      </c>
      <c r="D1000">
        <v>1</v>
      </c>
      <c r="E1000">
        <v>1</v>
      </c>
      <c r="F1000" t="s">
        <v>31</v>
      </c>
      <c r="G1000" t="s">
        <v>32</v>
      </c>
      <c r="H1000" t="s">
        <v>33</v>
      </c>
      <c r="I1000" t="s">
        <v>57</v>
      </c>
      <c r="O1000" s="5"/>
      <c r="P1000" s="5"/>
      <c r="Z1000" t="s">
        <v>39</v>
      </c>
    </row>
    <row r="1001" spans="1:30" x14ac:dyDescent="0.25">
      <c r="A1001" s="4">
        <v>42551</v>
      </c>
      <c r="B1001" t="s">
        <v>30</v>
      </c>
      <c r="C1001">
        <v>703</v>
      </c>
      <c r="D1001">
        <v>1</v>
      </c>
      <c r="E1001">
        <v>2</v>
      </c>
      <c r="F1001" t="s">
        <v>31</v>
      </c>
      <c r="G1001" t="s">
        <v>32</v>
      </c>
      <c r="H1001" t="s">
        <v>33</v>
      </c>
      <c r="I1001" t="s">
        <v>34</v>
      </c>
      <c r="J1001" t="s">
        <v>42</v>
      </c>
      <c r="K1001" t="s">
        <v>89</v>
      </c>
      <c r="L1001" t="s">
        <v>43</v>
      </c>
      <c r="M1001">
        <v>0</v>
      </c>
      <c r="N1001">
        <v>1</v>
      </c>
      <c r="O1001" s="5">
        <v>50692</v>
      </c>
      <c r="P1001" s="5">
        <v>50691</v>
      </c>
      <c r="Q1001">
        <f>24.5-11.5</f>
        <v>13</v>
      </c>
      <c r="R1001" t="s">
        <v>65</v>
      </c>
      <c r="T1001">
        <v>18</v>
      </c>
      <c r="U1001">
        <v>75</v>
      </c>
      <c r="V1001">
        <v>14</v>
      </c>
      <c r="W1001">
        <v>12.8</v>
      </c>
      <c r="X1001">
        <v>25.7</v>
      </c>
      <c r="Y1001" t="s">
        <v>173</v>
      </c>
      <c r="Z1001" t="s">
        <v>39</v>
      </c>
      <c r="AB1001" t="s">
        <v>40</v>
      </c>
      <c r="AC1001" t="s">
        <v>78</v>
      </c>
    </row>
    <row r="1002" spans="1:30" x14ac:dyDescent="0.25">
      <c r="A1002" s="4">
        <v>42551</v>
      </c>
      <c r="B1002" t="s">
        <v>30</v>
      </c>
      <c r="C1002">
        <v>703</v>
      </c>
      <c r="D1002">
        <v>2</v>
      </c>
      <c r="E1002">
        <v>1</v>
      </c>
      <c r="F1002" t="s">
        <v>31</v>
      </c>
      <c r="G1002" t="s">
        <v>32</v>
      </c>
      <c r="H1002" t="s">
        <v>33</v>
      </c>
      <c r="I1002" t="s">
        <v>34</v>
      </c>
      <c r="J1002" t="s">
        <v>35</v>
      </c>
      <c r="K1002" t="s">
        <v>89</v>
      </c>
      <c r="L1002" t="s">
        <v>37</v>
      </c>
      <c r="M1002">
        <v>0</v>
      </c>
      <c r="N1002">
        <v>0</v>
      </c>
      <c r="O1002" s="5">
        <v>50480</v>
      </c>
      <c r="P1002" s="5">
        <v>50479</v>
      </c>
      <c r="Q1002">
        <f>24-12</f>
        <v>12</v>
      </c>
      <c r="R1002" t="s">
        <v>38</v>
      </c>
      <c r="S1002" t="s">
        <v>39</v>
      </c>
      <c r="T1002">
        <v>17</v>
      </c>
      <c r="U1002">
        <v>72.5</v>
      </c>
      <c r="V1002">
        <v>16.3</v>
      </c>
      <c r="W1002">
        <v>12.1</v>
      </c>
      <c r="X1002">
        <v>26.7</v>
      </c>
      <c r="Z1002" t="s">
        <v>39</v>
      </c>
      <c r="AB1002" t="s">
        <v>40</v>
      </c>
      <c r="AC1002" t="s">
        <v>78</v>
      </c>
    </row>
    <row r="1003" spans="1:30" x14ac:dyDescent="0.25">
      <c r="A1003" s="4">
        <v>42551</v>
      </c>
      <c r="B1003" t="s">
        <v>30</v>
      </c>
      <c r="C1003">
        <v>703</v>
      </c>
      <c r="D1003">
        <v>2</v>
      </c>
      <c r="E1003">
        <v>2</v>
      </c>
      <c r="F1003" t="s">
        <v>31</v>
      </c>
      <c r="G1003" t="s">
        <v>32</v>
      </c>
      <c r="H1003" t="s">
        <v>33</v>
      </c>
      <c r="I1003" t="s">
        <v>34</v>
      </c>
      <c r="J1003" t="s">
        <v>35</v>
      </c>
      <c r="K1003" t="s">
        <v>89</v>
      </c>
      <c r="L1003" t="s">
        <v>37</v>
      </c>
      <c r="M1003">
        <v>0</v>
      </c>
      <c r="N1003">
        <v>0</v>
      </c>
      <c r="O1003" s="5">
        <v>50623</v>
      </c>
      <c r="P1003" s="5">
        <v>50622</v>
      </c>
      <c r="Q1003">
        <v>12</v>
      </c>
      <c r="R1003" t="s">
        <v>38</v>
      </c>
      <c r="S1003" t="s">
        <v>39</v>
      </c>
      <c r="T1003">
        <v>19</v>
      </c>
      <c r="U1003">
        <v>76</v>
      </c>
      <c r="V1003">
        <v>15.5</v>
      </c>
      <c r="W1003">
        <v>11.9</v>
      </c>
      <c r="X1003">
        <v>26</v>
      </c>
      <c r="Y1003" t="s">
        <v>174</v>
      </c>
      <c r="Z1003" t="s">
        <v>39</v>
      </c>
      <c r="AB1003" t="s">
        <v>40</v>
      </c>
      <c r="AC1003" t="s">
        <v>78</v>
      </c>
    </row>
    <row r="1004" spans="1:30" x14ac:dyDescent="0.25">
      <c r="A1004" s="4">
        <v>42551</v>
      </c>
      <c r="B1004" t="s">
        <v>30</v>
      </c>
      <c r="C1004">
        <v>703</v>
      </c>
      <c r="D1004">
        <v>3</v>
      </c>
      <c r="E1004">
        <v>1</v>
      </c>
      <c r="F1004" t="s">
        <v>31</v>
      </c>
      <c r="G1004" t="s">
        <v>32</v>
      </c>
      <c r="H1004" t="s">
        <v>33</v>
      </c>
      <c r="I1004" t="s">
        <v>53</v>
      </c>
      <c r="J1004" t="s">
        <v>62</v>
      </c>
      <c r="O1004" s="5"/>
      <c r="P1004" s="5"/>
      <c r="Z1004" t="s">
        <v>39</v>
      </c>
    </row>
    <row r="1005" spans="1:30" x14ac:dyDescent="0.25">
      <c r="A1005" s="4">
        <v>42551</v>
      </c>
      <c r="B1005" t="s">
        <v>30</v>
      </c>
      <c r="C1005">
        <v>703</v>
      </c>
      <c r="D1005">
        <v>4</v>
      </c>
      <c r="E1005">
        <v>1</v>
      </c>
      <c r="F1005" t="s">
        <v>31</v>
      </c>
      <c r="G1005" t="s">
        <v>32</v>
      </c>
      <c r="H1005" t="s">
        <v>33</v>
      </c>
      <c r="I1005" t="s">
        <v>34</v>
      </c>
      <c r="J1005" t="s">
        <v>42</v>
      </c>
      <c r="K1005" t="s">
        <v>89</v>
      </c>
      <c r="L1005" t="s">
        <v>37</v>
      </c>
      <c r="M1005">
        <v>0</v>
      </c>
      <c r="N1005">
        <v>1</v>
      </c>
      <c r="O1005" s="5">
        <v>50690</v>
      </c>
      <c r="P1005" s="5">
        <v>50689</v>
      </c>
      <c r="Q1005">
        <f>23.5-11</f>
        <v>12.5</v>
      </c>
      <c r="R1005" t="s">
        <v>38</v>
      </c>
      <c r="S1005" t="s">
        <v>39</v>
      </c>
      <c r="T1005">
        <v>18</v>
      </c>
      <c r="U1005">
        <v>70</v>
      </c>
      <c r="V1005">
        <v>13</v>
      </c>
      <c r="W1005">
        <v>12.4</v>
      </c>
      <c r="X1005">
        <v>26.4</v>
      </c>
      <c r="Z1005" t="s">
        <v>39</v>
      </c>
      <c r="AB1005" t="s">
        <v>40</v>
      </c>
      <c r="AC1005" t="s">
        <v>78</v>
      </c>
    </row>
    <row r="1006" spans="1:30" x14ac:dyDescent="0.25">
      <c r="A1006" s="4">
        <v>42551</v>
      </c>
      <c r="B1006" t="s">
        <v>30</v>
      </c>
      <c r="C1006">
        <v>703</v>
      </c>
      <c r="D1006">
        <v>6</v>
      </c>
      <c r="E1006">
        <v>1</v>
      </c>
      <c r="F1006" t="s">
        <v>31</v>
      </c>
      <c r="G1006" t="s">
        <v>32</v>
      </c>
      <c r="H1006" t="s">
        <v>33</v>
      </c>
      <c r="I1006" t="s">
        <v>58</v>
      </c>
      <c r="J1006" t="s">
        <v>35</v>
      </c>
      <c r="K1006" t="s">
        <v>36</v>
      </c>
      <c r="L1006" t="s">
        <v>43</v>
      </c>
      <c r="M1006">
        <v>0</v>
      </c>
      <c r="N1006">
        <v>0</v>
      </c>
      <c r="O1006" s="5">
        <v>50618</v>
      </c>
      <c r="P1006" s="5"/>
      <c r="Q1006">
        <f>32.5-12</f>
        <v>20.5</v>
      </c>
      <c r="R1006" t="s">
        <v>47</v>
      </c>
      <c r="T1006">
        <v>16</v>
      </c>
      <c r="W1006">
        <v>12.1</v>
      </c>
      <c r="X1006">
        <v>27.7</v>
      </c>
      <c r="Z1006" t="s">
        <v>39</v>
      </c>
      <c r="AB1006" t="s">
        <v>40</v>
      </c>
      <c r="AC1006" t="s">
        <v>78</v>
      </c>
    </row>
    <row r="1007" spans="1:30" x14ac:dyDescent="0.25">
      <c r="A1007" s="4">
        <v>42551</v>
      </c>
      <c r="B1007" t="s">
        <v>30</v>
      </c>
      <c r="C1007">
        <v>703</v>
      </c>
      <c r="D1007">
        <v>7</v>
      </c>
      <c r="E1007">
        <v>1</v>
      </c>
      <c r="F1007" t="s">
        <v>31</v>
      </c>
      <c r="G1007" t="s">
        <v>32</v>
      </c>
      <c r="H1007" t="s">
        <v>33</v>
      </c>
      <c r="I1007" t="s">
        <v>57</v>
      </c>
      <c r="O1007" s="5"/>
      <c r="P1007" s="5"/>
      <c r="Z1007" t="s">
        <v>39</v>
      </c>
    </row>
    <row r="1008" spans="1:30" x14ac:dyDescent="0.25">
      <c r="A1008" s="4">
        <v>42551</v>
      </c>
      <c r="B1008" t="s">
        <v>30</v>
      </c>
      <c r="C1008">
        <v>703</v>
      </c>
      <c r="D1008">
        <v>7</v>
      </c>
      <c r="E1008">
        <v>2</v>
      </c>
      <c r="F1008" t="s">
        <v>31</v>
      </c>
      <c r="G1008" t="s">
        <v>32</v>
      </c>
      <c r="H1008" t="s">
        <v>33</v>
      </c>
      <c r="I1008" t="s">
        <v>34</v>
      </c>
      <c r="J1008" t="s">
        <v>35</v>
      </c>
      <c r="K1008" t="s">
        <v>36</v>
      </c>
      <c r="L1008" t="s">
        <v>37</v>
      </c>
      <c r="M1008">
        <v>0</v>
      </c>
      <c r="N1008">
        <v>0</v>
      </c>
      <c r="O1008" s="5" t="s">
        <v>71</v>
      </c>
      <c r="P1008" s="5" t="s">
        <v>72</v>
      </c>
      <c r="Q1008">
        <f>31-12</f>
        <v>19</v>
      </c>
      <c r="R1008" t="s">
        <v>81</v>
      </c>
      <c r="S1008" t="s">
        <v>39</v>
      </c>
      <c r="T1008">
        <v>20</v>
      </c>
      <c r="U1008">
        <v>89.5</v>
      </c>
      <c r="V1008">
        <v>14.5</v>
      </c>
      <c r="Z1008" t="s">
        <v>39</v>
      </c>
      <c r="AB1008" t="s">
        <v>40</v>
      </c>
      <c r="AC1008" t="s">
        <v>78</v>
      </c>
      <c r="AD1008" t="s">
        <v>168</v>
      </c>
    </row>
    <row r="1009" spans="1:30" x14ac:dyDescent="0.25">
      <c r="A1009" s="4">
        <v>42551</v>
      </c>
      <c r="B1009" t="s">
        <v>30</v>
      </c>
      <c r="C1009">
        <v>703</v>
      </c>
      <c r="D1009">
        <v>8</v>
      </c>
      <c r="E1009">
        <v>1</v>
      </c>
      <c r="F1009" t="s">
        <v>31</v>
      </c>
      <c r="G1009" t="s">
        <v>32</v>
      </c>
      <c r="H1009" t="s">
        <v>33</v>
      </c>
      <c r="I1009" t="s">
        <v>57</v>
      </c>
      <c r="O1009" s="5"/>
      <c r="P1009" s="5"/>
      <c r="Z1009" t="s">
        <v>39</v>
      </c>
    </row>
    <row r="1010" spans="1:30" x14ac:dyDescent="0.25">
      <c r="A1010" s="4">
        <v>42551</v>
      </c>
      <c r="B1010" t="s">
        <v>30</v>
      </c>
      <c r="C1010">
        <v>703</v>
      </c>
      <c r="D1010">
        <v>8</v>
      </c>
      <c r="E1010">
        <v>2</v>
      </c>
      <c r="F1010" t="s">
        <v>31</v>
      </c>
      <c r="G1010" t="s">
        <v>32</v>
      </c>
      <c r="H1010" t="s">
        <v>33</v>
      </c>
      <c r="I1010" t="s">
        <v>34</v>
      </c>
      <c r="J1010" t="s">
        <v>35</v>
      </c>
      <c r="K1010" t="s">
        <v>89</v>
      </c>
      <c r="L1010" t="s">
        <v>37</v>
      </c>
      <c r="M1010">
        <v>0</v>
      </c>
      <c r="N1010">
        <v>0</v>
      </c>
      <c r="O1010" s="5">
        <v>50466</v>
      </c>
      <c r="P1010" s="5">
        <v>50465</v>
      </c>
      <c r="Q1010">
        <f>21-12</f>
        <v>9</v>
      </c>
      <c r="R1010" t="s">
        <v>38</v>
      </c>
      <c r="S1010" t="s">
        <v>39</v>
      </c>
      <c r="T1010">
        <v>19.5</v>
      </c>
      <c r="U1010">
        <v>71</v>
      </c>
      <c r="V1010">
        <v>14</v>
      </c>
      <c r="W1010">
        <v>11.9</v>
      </c>
      <c r="X1010">
        <v>22.5</v>
      </c>
      <c r="Z1010" t="s">
        <v>39</v>
      </c>
      <c r="AB1010" t="s">
        <v>40</v>
      </c>
      <c r="AC1010" t="s">
        <v>78</v>
      </c>
      <c r="AD1010" t="s">
        <v>175</v>
      </c>
    </row>
    <row r="1011" spans="1:30" x14ac:dyDescent="0.25">
      <c r="A1011" s="4">
        <v>42551</v>
      </c>
      <c r="B1011" t="s">
        <v>30</v>
      </c>
      <c r="C1011">
        <v>703</v>
      </c>
      <c r="D1011">
        <v>9</v>
      </c>
      <c r="E1011">
        <v>1</v>
      </c>
      <c r="F1011" t="s">
        <v>31</v>
      </c>
      <c r="G1011" t="s">
        <v>32</v>
      </c>
      <c r="H1011" t="s">
        <v>33</v>
      </c>
      <c r="I1011" t="s">
        <v>57</v>
      </c>
      <c r="O1011" s="5"/>
      <c r="P1011" s="5"/>
      <c r="Z1011" t="s">
        <v>39</v>
      </c>
    </row>
    <row r="1012" spans="1:30" x14ac:dyDescent="0.25">
      <c r="A1012" s="4">
        <v>42551</v>
      </c>
      <c r="B1012" t="s">
        <v>30</v>
      </c>
      <c r="C1012">
        <v>703</v>
      </c>
      <c r="D1012">
        <v>9</v>
      </c>
      <c r="E1012">
        <v>2</v>
      </c>
      <c r="F1012" t="s">
        <v>31</v>
      </c>
      <c r="G1012" t="s">
        <v>32</v>
      </c>
      <c r="H1012" t="s">
        <v>33</v>
      </c>
      <c r="I1012" t="s">
        <v>57</v>
      </c>
      <c r="O1012" s="5"/>
      <c r="P1012" s="5"/>
      <c r="Z1012" t="s">
        <v>39</v>
      </c>
    </row>
    <row r="1013" spans="1:30" x14ac:dyDescent="0.25">
      <c r="A1013" s="4">
        <v>42551</v>
      </c>
      <c r="B1013" t="s">
        <v>30</v>
      </c>
      <c r="C1013">
        <v>703</v>
      </c>
      <c r="D1013">
        <v>10</v>
      </c>
      <c r="E1013">
        <v>1</v>
      </c>
      <c r="F1013" t="s">
        <v>31</v>
      </c>
      <c r="G1013" t="s">
        <v>32</v>
      </c>
      <c r="H1013" t="s">
        <v>33</v>
      </c>
      <c r="I1013" t="s">
        <v>34</v>
      </c>
      <c r="J1013" t="s">
        <v>35</v>
      </c>
      <c r="K1013" t="s">
        <v>89</v>
      </c>
      <c r="L1013" t="s">
        <v>37</v>
      </c>
      <c r="M1013">
        <v>0</v>
      </c>
      <c r="N1013">
        <v>0</v>
      </c>
      <c r="O1013" s="5">
        <v>50612</v>
      </c>
      <c r="P1013" s="5">
        <v>50611</v>
      </c>
      <c r="Q1013">
        <f>23-12</f>
        <v>11</v>
      </c>
      <c r="R1013" t="s">
        <v>38</v>
      </c>
      <c r="S1013" t="s">
        <v>39</v>
      </c>
      <c r="T1013">
        <v>18</v>
      </c>
      <c r="U1013">
        <v>72.5</v>
      </c>
      <c r="V1013">
        <v>13</v>
      </c>
      <c r="W1013">
        <v>11.5</v>
      </c>
      <c r="X1013">
        <v>24.5</v>
      </c>
      <c r="Z1013" t="s">
        <v>39</v>
      </c>
      <c r="AB1013" t="s">
        <v>55</v>
      </c>
      <c r="AC1013" t="s">
        <v>78</v>
      </c>
    </row>
    <row r="1014" spans="1:30" x14ac:dyDescent="0.25">
      <c r="A1014" s="4">
        <v>42551</v>
      </c>
      <c r="B1014" t="s">
        <v>30</v>
      </c>
      <c r="C1014">
        <v>703</v>
      </c>
      <c r="D1014">
        <v>10</v>
      </c>
      <c r="E1014">
        <v>2</v>
      </c>
      <c r="F1014" t="s">
        <v>31</v>
      </c>
      <c r="G1014" t="s">
        <v>32</v>
      </c>
      <c r="H1014" t="s">
        <v>33</v>
      </c>
      <c r="I1014" t="s">
        <v>34</v>
      </c>
      <c r="J1014" t="s">
        <v>35</v>
      </c>
      <c r="K1014" t="s">
        <v>36</v>
      </c>
      <c r="L1014" t="s">
        <v>37</v>
      </c>
      <c r="M1014">
        <v>0</v>
      </c>
      <c r="N1014">
        <v>0</v>
      </c>
      <c r="O1014" s="5">
        <v>50395</v>
      </c>
      <c r="P1014" s="5">
        <v>50394</v>
      </c>
      <c r="Q1014">
        <f>33-12.5</f>
        <v>20.5</v>
      </c>
      <c r="R1014" t="s">
        <v>74</v>
      </c>
      <c r="S1014" t="s">
        <v>97</v>
      </c>
      <c r="T1014">
        <v>18</v>
      </c>
      <c r="U1014">
        <v>87</v>
      </c>
      <c r="V1014">
        <v>15</v>
      </c>
      <c r="Z1014" t="s">
        <v>39</v>
      </c>
      <c r="AB1014" t="s">
        <v>55</v>
      </c>
      <c r="AC1014" t="s">
        <v>78</v>
      </c>
      <c r="AD1014" t="s">
        <v>168</v>
      </c>
    </row>
    <row r="1015" spans="1:30" x14ac:dyDescent="0.25">
      <c r="A1015" s="4">
        <v>42551</v>
      </c>
      <c r="B1015" t="s">
        <v>30</v>
      </c>
      <c r="C1015">
        <v>701</v>
      </c>
      <c r="D1015">
        <v>1</v>
      </c>
      <c r="E1015">
        <v>1</v>
      </c>
      <c r="F1015" t="s">
        <v>31</v>
      </c>
      <c r="G1015" t="s">
        <v>32</v>
      </c>
      <c r="H1015" t="s">
        <v>33</v>
      </c>
      <c r="I1015" t="s">
        <v>58</v>
      </c>
      <c r="J1015" t="s">
        <v>42</v>
      </c>
      <c r="K1015" t="s">
        <v>36</v>
      </c>
      <c r="L1015" t="s">
        <v>37</v>
      </c>
      <c r="M1015">
        <v>0</v>
      </c>
      <c r="N1015">
        <v>1</v>
      </c>
      <c r="O1015" s="5">
        <v>50688</v>
      </c>
      <c r="P1015" s="5"/>
      <c r="Q1015">
        <f>34-12.5</f>
        <v>21.5</v>
      </c>
      <c r="R1015" t="s">
        <v>83</v>
      </c>
      <c r="S1015" t="s">
        <v>39</v>
      </c>
      <c r="T1015">
        <v>16</v>
      </c>
      <c r="W1015">
        <v>12.7</v>
      </c>
      <c r="X1015">
        <v>26.5</v>
      </c>
      <c r="Z1015" t="s">
        <v>39</v>
      </c>
      <c r="AB1015" t="s">
        <v>55</v>
      </c>
      <c r="AC1015" t="s">
        <v>78</v>
      </c>
    </row>
    <row r="1016" spans="1:30" x14ac:dyDescent="0.25">
      <c r="A1016" s="4">
        <v>42551</v>
      </c>
      <c r="B1016" t="s">
        <v>30</v>
      </c>
      <c r="C1016">
        <v>701</v>
      </c>
      <c r="D1016">
        <v>1</v>
      </c>
      <c r="E1016">
        <v>2</v>
      </c>
      <c r="F1016" t="s">
        <v>31</v>
      </c>
      <c r="G1016" t="s">
        <v>32</v>
      </c>
      <c r="H1016" t="s">
        <v>33</v>
      </c>
      <c r="I1016" t="s">
        <v>34</v>
      </c>
      <c r="J1016" t="s">
        <v>35</v>
      </c>
      <c r="K1016" t="s">
        <v>36</v>
      </c>
      <c r="L1016" t="s">
        <v>43</v>
      </c>
      <c r="M1016">
        <v>0</v>
      </c>
      <c r="N1016">
        <v>0</v>
      </c>
      <c r="O1016" s="5">
        <v>50468</v>
      </c>
      <c r="P1016" s="5">
        <v>50467</v>
      </c>
      <c r="Q1016">
        <f>40-16.5</f>
        <v>23.5</v>
      </c>
      <c r="R1016" t="s">
        <v>47</v>
      </c>
      <c r="T1016">
        <v>20</v>
      </c>
      <c r="U1016">
        <v>92</v>
      </c>
      <c r="V1016">
        <v>17</v>
      </c>
      <c r="W1016">
        <v>14</v>
      </c>
      <c r="X1016">
        <v>29.6</v>
      </c>
      <c r="Z1016" t="s">
        <v>39</v>
      </c>
    </row>
    <row r="1017" spans="1:30" x14ac:dyDescent="0.25">
      <c r="A1017" s="4">
        <v>42551</v>
      </c>
      <c r="B1017" t="s">
        <v>30</v>
      </c>
      <c r="C1017">
        <v>701</v>
      </c>
      <c r="D1017">
        <v>2</v>
      </c>
      <c r="E1017">
        <v>1</v>
      </c>
      <c r="F1017" t="s">
        <v>31</v>
      </c>
      <c r="G1017" t="s">
        <v>32</v>
      </c>
      <c r="H1017" t="s">
        <v>33</v>
      </c>
      <c r="I1017" t="s">
        <v>58</v>
      </c>
      <c r="J1017" t="s">
        <v>35</v>
      </c>
      <c r="K1017" t="s">
        <v>36</v>
      </c>
      <c r="L1017" t="s">
        <v>43</v>
      </c>
      <c r="M1017">
        <v>0</v>
      </c>
      <c r="N1017">
        <v>0</v>
      </c>
      <c r="O1017" s="5">
        <v>50698</v>
      </c>
      <c r="P1017" s="5"/>
      <c r="Q1017">
        <f>35-13</f>
        <v>22</v>
      </c>
      <c r="R1017" t="s">
        <v>65</v>
      </c>
      <c r="T1017">
        <v>18</v>
      </c>
      <c r="W1017">
        <v>12.6</v>
      </c>
      <c r="X1017">
        <v>26.7</v>
      </c>
      <c r="Z1017" t="s">
        <v>39</v>
      </c>
      <c r="AB1017" t="s">
        <v>40</v>
      </c>
      <c r="AC1017" t="s">
        <v>78</v>
      </c>
    </row>
    <row r="1018" spans="1:30" x14ac:dyDescent="0.25">
      <c r="A1018" s="4">
        <v>42551</v>
      </c>
      <c r="B1018" t="s">
        <v>30</v>
      </c>
      <c r="C1018">
        <v>701</v>
      </c>
      <c r="D1018">
        <v>2</v>
      </c>
      <c r="E1018">
        <v>2</v>
      </c>
      <c r="F1018" t="s">
        <v>31</v>
      </c>
      <c r="G1018" t="s">
        <v>32</v>
      </c>
      <c r="H1018" t="s">
        <v>33</v>
      </c>
      <c r="I1018" t="s">
        <v>34</v>
      </c>
      <c r="J1018" t="s">
        <v>35</v>
      </c>
      <c r="K1018" t="s">
        <v>89</v>
      </c>
      <c r="L1018" t="s">
        <v>37</v>
      </c>
      <c r="M1018">
        <v>0</v>
      </c>
      <c r="N1018">
        <v>0</v>
      </c>
      <c r="O1018" s="5">
        <v>50619</v>
      </c>
      <c r="P1018" s="5">
        <v>50620</v>
      </c>
      <c r="Q1018">
        <f>28-14.5</f>
        <v>13.5</v>
      </c>
      <c r="R1018" t="s">
        <v>38</v>
      </c>
      <c r="S1018" t="s">
        <v>39</v>
      </c>
      <c r="T1018">
        <v>18.5</v>
      </c>
      <c r="U1018">
        <v>78.5</v>
      </c>
      <c r="V1018">
        <v>15.5</v>
      </c>
      <c r="W1018">
        <v>12.1</v>
      </c>
      <c r="X1018">
        <v>27.5</v>
      </c>
      <c r="Z1018" t="s">
        <v>39</v>
      </c>
      <c r="AB1018" t="s">
        <v>40</v>
      </c>
      <c r="AC1018" t="s">
        <v>78</v>
      </c>
    </row>
    <row r="1019" spans="1:30" x14ac:dyDescent="0.25">
      <c r="A1019" s="4">
        <v>42551</v>
      </c>
      <c r="B1019" t="s">
        <v>30</v>
      </c>
      <c r="C1019">
        <v>701</v>
      </c>
      <c r="D1019">
        <v>3</v>
      </c>
      <c r="E1019">
        <v>1</v>
      </c>
      <c r="F1019" t="s">
        <v>31</v>
      </c>
      <c r="G1019" t="s">
        <v>32</v>
      </c>
      <c r="H1019" t="s">
        <v>33</v>
      </c>
      <c r="I1019" t="s">
        <v>57</v>
      </c>
      <c r="O1019" s="5"/>
      <c r="P1019" s="5"/>
      <c r="Z1019" t="s">
        <v>39</v>
      </c>
    </row>
    <row r="1020" spans="1:30" x14ac:dyDescent="0.25">
      <c r="A1020" s="4">
        <v>42551</v>
      </c>
      <c r="B1020" t="s">
        <v>30</v>
      </c>
      <c r="C1020">
        <v>701</v>
      </c>
      <c r="D1020">
        <v>3</v>
      </c>
      <c r="E1020">
        <v>2</v>
      </c>
      <c r="F1020" t="s">
        <v>31</v>
      </c>
      <c r="G1020" t="s">
        <v>32</v>
      </c>
      <c r="H1020" t="s">
        <v>33</v>
      </c>
      <c r="I1020" t="s">
        <v>58</v>
      </c>
      <c r="K1020" t="s">
        <v>114</v>
      </c>
      <c r="L1020" t="s">
        <v>43</v>
      </c>
      <c r="M1020">
        <v>0</v>
      </c>
      <c r="N1020">
        <v>0</v>
      </c>
      <c r="O1020" s="5"/>
      <c r="P1020" s="5">
        <v>50452</v>
      </c>
      <c r="Q1020">
        <f>36-17.5</f>
        <v>18.5</v>
      </c>
      <c r="R1020" t="s">
        <v>65</v>
      </c>
      <c r="T1020">
        <v>18</v>
      </c>
      <c r="W1020">
        <v>12</v>
      </c>
      <c r="X1020">
        <v>24.8</v>
      </c>
      <c r="Z1020" t="s">
        <v>39</v>
      </c>
      <c r="AB1020" t="s">
        <v>40</v>
      </c>
      <c r="AC1020" t="s">
        <v>78</v>
      </c>
    </row>
    <row r="1021" spans="1:30" x14ac:dyDescent="0.25">
      <c r="A1021" s="4">
        <v>42551</v>
      </c>
      <c r="B1021" t="s">
        <v>30</v>
      </c>
      <c r="C1021">
        <v>701</v>
      </c>
      <c r="D1021">
        <v>4</v>
      </c>
      <c r="E1021">
        <v>1</v>
      </c>
      <c r="F1021" t="s">
        <v>31</v>
      </c>
      <c r="G1021" t="s">
        <v>32</v>
      </c>
      <c r="H1021" t="s">
        <v>33</v>
      </c>
      <c r="I1021" t="s">
        <v>57</v>
      </c>
      <c r="O1021" s="5"/>
      <c r="P1021" s="5"/>
      <c r="Z1021" t="s">
        <v>39</v>
      </c>
    </row>
    <row r="1022" spans="1:30" x14ac:dyDescent="0.25">
      <c r="A1022" s="4">
        <v>42551</v>
      </c>
      <c r="B1022" t="s">
        <v>30</v>
      </c>
      <c r="C1022">
        <v>701</v>
      </c>
      <c r="D1022">
        <v>4</v>
      </c>
      <c r="E1022">
        <v>2</v>
      </c>
      <c r="F1022" t="s">
        <v>31</v>
      </c>
      <c r="G1022" t="s">
        <v>32</v>
      </c>
      <c r="H1022" t="s">
        <v>33</v>
      </c>
      <c r="I1022" t="s">
        <v>34</v>
      </c>
      <c r="J1022" t="s">
        <v>35</v>
      </c>
      <c r="K1022" t="s">
        <v>89</v>
      </c>
      <c r="L1022" t="s">
        <v>37</v>
      </c>
      <c r="M1022">
        <v>0</v>
      </c>
      <c r="N1022">
        <v>0</v>
      </c>
      <c r="O1022" s="5">
        <v>50700</v>
      </c>
      <c r="P1022" s="5">
        <v>50699</v>
      </c>
      <c r="Q1022">
        <v>12</v>
      </c>
      <c r="R1022" t="s">
        <v>38</v>
      </c>
      <c r="S1022" t="s">
        <v>39</v>
      </c>
      <c r="T1022">
        <v>18</v>
      </c>
      <c r="U1022">
        <v>67.5</v>
      </c>
      <c r="V1022">
        <v>13</v>
      </c>
      <c r="W1022">
        <v>11.85</v>
      </c>
      <c r="X1022">
        <v>24.4</v>
      </c>
      <c r="Z1022" t="s">
        <v>39</v>
      </c>
      <c r="AB1022" t="s">
        <v>55</v>
      </c>
      <c r="AC1022" t="s">
        <v>78</v>
      </c>
    </row>
    <row r="1023" spans="1:30" x14ac:dyDescent="0.25">
      <c r="A1023" s="4">
        <v>42551</v>
      </c>
      <c r="B1023" t="s">
        <v>30</v>
      </c>
      <c r="C1023">
        <v>701</v>
      </c>
      <c r="D1023">
        <v>5</v>
      </c>
      <c r="E1023">
        <v>1</v>
      </c>
      <c r="F1023" t="s">
        <v>31</v>
      </c>
      <c r="G1023" t="s">
        <v>32</v>
      </c>
      <c r="H1023" t="s">
        <v>33</v>
      </c>
      <c r="I1023" t="s">
        <v>57</v>
      </c>
      <c r="O1023" s="5"/>
      <c r="P1023" s="5"/>
      <c r="Z1023" t="s">
        <v>39</v>
      </c>
    </row>
    <row r="1024" spans="1:30" x14ac:dyDescent="0.25">
      <c r="A1024" s="4">
        <v>42551</v>
      </c>
      <c r="B1024" t="s">
        <v>30</v>
      </c>
      <c r="C1024">
        <v>701</v>
      </c>
      <c r="D1024">
        <v>5</v>
      </c>
      <c r="E1024">
        <v>2</v>
      </c>
      <c r="F1024" t="s">
        <v>31</v>
      </c>
      <c r="G1024" t="s">
        <v>32</v>
      </c>
      <c r="H1024" t="s">
        <v>33</v>
      </c>
      <c r="I1024" t="s">
        <v>73</v>
      </c>
      <c r="J1024" t="s">
        <v>35</v>
      </c>
      <c r="K1024" t="s">
        <v>36</v>
      </c>
      <c r="L1024" t="s">
        <v>37</v>
      </c>
      <c r="M1024">
        <v>0</v>
      </c>
      <c r="N1024">
        <v>0</v>
      </c>
      <c r="O1024" s="5"/>
      <c r="P1024" s="5" t="s">
        <v>94</v>
      </c>
      <c r="Q1024">
        <v>90</v>
      </c>
      <c r="R1024" t="s">
        <v>38</v>
      </c>
      <c r="S1024" t="s">
        <v>39</v>
      </c>
      <c r="T1024">
        <v>33.5</v>
      </c>
      <c r="W1024">
        <v>22.75</v>
      </c>
      <c r="X1024">
        <v>42</v>
      </c>
      <c r="Z1024" t="s">
        <v>39</v>
      </c>
      <c r="AB1024" t="s">
        <v>40</v>
      </c>
      <c r="AC1024" t="s">
        <v>78</v>
      </c>
    </row>
    <row r="1025" spans="1:30" x14ac:dyDescent="0.25">
      <c r="A1025" s="4">
        <v>42551</v>
      </c>
      <c r="B1025" t="s">
        <v>30</v>
      </c>
      <c r="C1025">
        <v>701</v>
      </c>
      <c r="D1025">
        <v>6</v>
      </c>
      <c r="E1025">
        <v>1</v>
      </c>
      <c r="F1025" t="s">
        <v>31</v>
      </c>
      <c r="G1025" t="s">
        <v>32</v>
      </c>
      <c r="H1025" t="s">
        <v>33</v>
      </c>
      <c r="I1025" t="s">
        <v>34</v>
      </c>
      <c r="J1025" t="s">
        <v>35</v>
      </c>
      <c r="K1025" t="s">
        <v>36</v>
      </c>
      <c r="L1025" t="s">
        <v>43</v>
      </c>
      <c r="M1025">
        <v>0</v>
      </c>
      <c r="N1025">
        <v>0</v>
      </c>
      <c r="O1025" s="5">
        <v>50384</v>
      </c>
      <c r="P1025" s="5">
        <v>50383</v>
      </c>
      <c r="Q1025">
        <f>31-12</f>
        <v>19</v>
      </c>
      <c r="R1025" t="s">
        <v>47</v>
      </c>
      <c r="T1025">
        <v>18</v>
      </c>
      <c r="U1025">
        <v>87</v>
      </c>
      <c r="V1025">
        <v>17</v>
      </c>
      <c r="W1025">
        <v>12.7</v>
      </c>
      <c r="X1025">
        <v>28.2</v>
      </c>
      <c r="Z1025" t="s">
        <v>39</v>
      </c>
      <c r="AB1025" t="s">
        <v>40</v>
      </c>
      <c r="AC1025" t="s">
        <v>78</v>
      </c>
    </row>
    <row r="1026" spans="1:30" x14ac:dyDescent="0.25">
      <c r="A1026" s="4">
        <v>42551</v>
      </c>
      <c r="B1026" t="s">
        <v>30</v>
      </c>
      <c r="C1026">
        <v>701</v>
      </c>
      <c r="D1026">
        <v>7</v>
      </c>
      <c r="E1026">
        <v>1</v>
      </c>
      <c r="F1026" t="s">
        <v>31</v>
      </c>
      <c r="G1026" t="s">
        <v>32</v>
      </c>
      <c r="H1026" t="s">
        <v>33</v>
      </c>
      <c r="I1026" t="s">
        <v>34</v>
      </c>
      <c r="J1026" t="s">
        <v>35</v>
      </c>
      <c r="K1026" t="s">
        <v>36</v>
      </c>
      <c r="L1026" t="s">
        <v>43</v>
      </c>
      <c r="M1026">
        <v>0</v>
      </c>
      <c r="N1026">
        <v>0</v>
      </c>
      <c r="O1026" s="5">
        <v>50370</v>
      </c>
      <c r="P1026" s="5">
        <v>50369</v>
      </c>
      <c r="Q1026">
        <f>34-16</f>
        <v>18</v>
      </c>
      <c r="R1026" t="s">
        <v>65</v>
      </c>
      <c r="T1026">
        <v>19.5</v>
      </c>
      <c r="U1026">
        <v>76</v>
      </c>
      <c r="V1026">
        <v>16.5</v>
      </c>
      <c r="Z1026" t="s">
        <v>39</v>
      </c>
      <c r="AB1026" t="s">
        <v>40</v>
      </c>
      <c r="AC1026" t="s">
        <v>78</v>
      </c>
      <c r="AD1026" t="s">
        <v>168</v>
      </c>
    </row>
    <row r="1027" spans="1:30" x14ac:dyDescent="0.25">
      <c r="A1027" s="4">
        <v>42551</v>
      </c>
      <c r="B1027" t="s">
        <v>30</v>
      </c>
      <c r="C1027">
        <v>701</v>
      </c>
      <c r="D1027">
        <v>8</v>
      </c>
      <c r="E1027">
        <v>1</v>
      </c>
      <c r="F1027" t="s">
        <v>31</v>
      </c>
      <c r="G1027" t="s">
        <v>32</v>
      </c>
      <c r="H1027" t="s">
        <v>33</v>
      </c>
      <c r="I1027" t="s">
        <v>34</v>
      </c>
      <c r="J1027" t="s">
        <v>35</v>
      </c>
      <c r="K1027" t="s">
        <v>89</v>
      </c>
      <c r="L1027" t="s">
        <v>43</v>
      </c>
      <c r="M1027">
        <v>0</v>
      </c>
      <c r="N1027">
        <v>0</v>
      </c>
      <c r="O1027" s="5">
        <v>50470</v>
      </c>
      <c r="P1027" s="5">
        <v>50469</v>
      </c>
      <c r="Q1027">
        <f>27-13.5</f>
        <v>13.5</v>
      </c>
      <c r="R1027" t="s">
        <v>65</v>
      </c>
      <c r="T1027">
        <v>18</v>
      </c>
      <c r="U1027">
        <v>74</v>
      </c>
      <c r="V1027">
        <v>13</v>
      </c>
      <c r="W1027">
        <v>12.4</v>
      </c>
      <c r="X1027">
        <v>25.8</v>
      </c>
      <c r="Z1027" t="s">
        <v>39</v>
      </c>
      <c r="AB1027" t="s">
        <v>40</v>
      </c>
      <c r="AC1027" t="s">
        <v>78</v>
      </c>
    </row>
    <row r="1028" spans="1:30" x14ac:dyDescent="0.25">
      <c r="A1028" s="4">
        <v>42551</v>
      </c>
      <c r="B1028" t="s">
        <v>30</v>
      </c>
      <c r="C1028">
        <v>701</v>
      </c>
      <c r="D1028">
        <v>9</v>
      </c>
      <c r="E1028">
        <v>1</v>
      </c>
      <c r="F1028" t="s">
        <v>31</v>
      </c>
      <c r="G1028" t="s">
        <v>32</v>
      </c>
      <c r="H1028" t="s">
        <v>33</v>
      </c>
      <c r="I1028" t="s">
        <v>57</v>
      </c>
      <c r="O1028" s="5"/>
      <c r="P1028" s="5"/>
      <c r="Z1028" t="s">
        <v>39</v>
      </c>
    </row>
    <row r="1029" spans="1:30" x14ac:dyDescent="0.25">
      <c r="A1029" s="4">
        <v>42551</v>
      </c>
      <c r="B1029" t="s">
        <v>30</v>
      </c>
      <c r="C1029">
        <v>701</v>
      </c>
      <c r="D1029">
        <v>10</v>
      </c>
      <c r="E1029">
        <v>1</v>
      </c>
      <c r="F1029" t="s">
        <v>31</v>
      </c>
      <c r="G1029" t="s">
        <v>32</v>
      </c>
      <c r="H1029" t="s">
        <v>33</v>
      </c>
      <c r="I1029" t="s">
        <v>58</v>
      </c>
      <c r="J1029" t="s">
        <v>42</v>
      </c>
      <c r="K1029" t="s">
        <v>114</v>
      </c>
      <c r="L1029" t="s">
        <v>43</v>
      </c>
      <c r="M1029">
        <v>0</v>
      </c>
      <c r="N1029">
        <v>1</v>
      </c>
      <c r="O1029" s="5">
        <v>50687</v>
      </c>
      <c r="P1029" s="5"/>
      <c r="Q1029">
        <f>31-13</f>
        <v>18</v>
      </c>
      <c r="R1029" t="s">
        <v>65</v>
      </c>
      <c r="T1029">
        <v>18</v>
      </c>
      <c r="W1029">
        <v>12.05</v>
      </c>
      <c r="X1029">
        <v>25.7</v>
      </c>
      <c r="Z1029" t="s">
        <v>39</v>
      </c>
      <c r="AB1029" t="s">
        <v>40</v>
      </c>
      <c r="AC1029" t="s">
        <v>78</v>
      </c>
    </row>
    <row r="1030" spans="1:30" x14ac:dyDescent="0.25">
      <c r="A1030" s="4">
        <v>42551</v>
      </c>
      <c r="B1030" t="s">
        <v>30</v>
      </c>
      <c r="C1030">
        <v>701</v>
      </c>
      <c r="D1030">
        <v>10</v>
      </c>
      <c r="E1030">
        <v>2</v>
      </c>
      <c r="F1030" t="s">
        <v>31</v>
      </c>
      <c r="G1030" t="s">
        <v>32</v>
      </c>
      <c r="H1030" t="s">
        <v>33</v>
      </c>
      <c r="I1030" t="s">
        <v>34</v>
      </c>
      <c r="J1030" t="s">
        <v>35</v>
      </c>
      <c r="K1030" t="s">
        <v>89</v>
      </c>
      <c r="L1030" t="s">
        <v>37</v>
      </c>
      <c r="M1030">
        <v>0</v>
      </c>
      <c r="N1030">
        <v>0</v>
      </c>
      <c r="O1030" s="5">
        <v>50610</v>
      </c>
      <c r="P1030" s="5">
        <v>50609</v>
      </c>
      <c r="Q1030">
        <f>26.5-14</f>
        <v>12.5</v>
      </c>
      <c r="R1030" t="s">
        <v>38</v>
      </c>
      <c r="S1030" t="s">
        <v>39</v>
      </c>
      <c r="T1030">
        <v>18</v>
      </c>
      <c r="U1030">
        <v>65</v>
      </c>
      <c r="V1030">
        <v>15</v>
      </c>
      <c r="W1030">
        <v>12.2</v>
      </c>
      <c r="X1030">
        <v>25.9</v>
      </c>
      <c r="Z1030" t="s">
        <v>39</v>
      </c>
      <c r="AB1030" t="s">
        <v>40</v>
      </c>
      <c r="AC1030" t="s">
        <v>78</v>
      </c>
    </row>
    <row r="1031" spans="1:30" x14ac:dyDescent="0.25">
      <c r="A1031" s="4">
        <v>42551</v>
      </c>
      <c r="B1031" t="s">
        <v>30</v>
      </c>
      <c r="C1031">
        <v>801</v>
      </c>
      <c r="D1031">
        <v>1</v>
      </c>
      <c r="E1031">
        <v>1</v>
      </c>
      <c r="F1031" t="s">
        <v>31</v>
      </c>
      <c r="G1031" t="s">
        <v>32</v>
      </c>
      <c r="H1031" t="s">
        <v>33</v>
      </c>
      <c r="I1031" t="s">
        <v>73</v>
      </c>
      <c r="J1031" t="s">
        <v>122</v>
      </c>
      <c r="O1031" s="5"/>
      <c r="P1031" s="5"/>
      <c r="Z1031" t="s">
        <v>39</v>
      </c>
    </row>
    <row r="1032" spans="1:30" x14ac:dyDescent="0.25">
      <c r="A1032" s="4">
        <v>42551</v>
      </c>
      <c r="B1032" t="s">
        <v>30</v>
      </c>
      <c r="C1032">
        <v>801</v>
      </c>
      <c r="D1032">
        <v>4</v>
      </c>
      <c r="E1032">
        <v>1</v>
      </c>
      <c r="F1032" t="s">
        <v>31</v>
      </c>
      <c r="G1032" t="s">
        <v>32</v>
      </c>
      <c r="H1032" t="s">
        <v>33</v>
      </c>
      <c r="I1032" t="s">
        <v>53</v>
      </c>
      <c r="J1032" t="s">
        <v>62</v>
      </c>
      <c r="O1032" s="5"/>
      <c r="P1032" s="5"/>
      <c r="Z1032" t="s">
        <v>39</v>
      </c>
    </row>
    <row r="1033" spans="1:30" x14ac:dyDescent="0.25">
      <c r="A1033" s="4">
        <v>42551</v>
      </c>
      <c r="B1033" t="s">
        <v>30</v>
      </c>
      <c r="C1033">
        <v>801</v>
      </c>
      <c r="D1033">
        <v>5</v>
      </c>
      <c r="E1033">
        <v>1</v>
      </c>
      <c r="F1033" t="s">
        <v>31</v>
      </c>
      <c r="G1033" t="s">
        <v>32</v>
      </c>
      <c r="H1033" t="s">
        <v>33</v>
      </c>
      <c r="I1033" t="s">
        <v>91</v>
      </c>
      <c r="J1033" t="s">
        <v>176</v>
      </c>
      <c r="K1033" t="s">
        <v>36</v>
      </c>
      <c r="L1033" t="s">
        <v>37</v>
      </c>
      <c r="M1033">
        <v>0</v>
      </c>
      <c r="N1033">
        <v>0</v>
      </c>
      <c r="O1033" s="5" t="s">
        <v>165</v>
      </c>
      <c r="P1033" s="5" t="s">
        <v>165</v>
      </c>
      <c r="Q1033">
        <f>38.5-12</f>
        <v>26.5</v>
      </c>
      <c r="R1033" t="s">
        <v>74</v>
      </c>
      <c r="S1033" t="s">
        <v>97</v>
      </c>
      <c r="T1033">
        <v>28</v>
      </c>
      <c r="W1033">
        <v>11.85</v>
      </c>
      <c r="X1033">
        <v>29.8</v>
      </c>
      <c r="Z1033" t="s">
        <v>39</v>
      </c>
      <c r="AB1033" t="s">
        <v>40</v>
      </c>
      <c r="AC1033" t="s">
        <v>78</v>
      </c>
    </row>
    <row r="1034" spans="1:30" x14ac:dyDescent="0.25">
      <c r="A1034" s="4">
        <v>42551</v>
      </c>
      <c r="B1034" t="s">
        <v>30</v>
      </c>
      <c r="C1034">
        <v>801</v>
      </c>
      <c r="D1034">
        <v>6</v>
      </c>
      <c r="E1034">
        <v>1</v>
      </c>
      <c r="F1034" t="s">
        <v>31</v>
      </c>
      <c r="G1034" t="s">
        <v>32</v>
      </c>
      <c r="H1034" t="s">
        <v>33</v>
      </c>
      <c r="I1034" t="s">
        <v>34</v>
      </c>
      <c r="J1034" t="s">
        <v>35</v>
      </c>
      <c r="K1034" t="s">
        <v>89</v>
      </c>
      <c r="L1034" t="s">
        <v>37</v>
      </c>
      <c r="M1034">
        <v>0</v>
      </c>
      <c r="N1034">
        <v>0</v>
      </c>
      <c r="O1034" s="5">
        <v>50614</v>
      </c>
      <c r="P1034" s="5">
        <v>50613</v>
      </c>
      <c r="Q1034">
        <f>26.5-12</f>
        <v>14.5</v>
      </c>
      <c r="R1034" t="s">
        <v>38</v>
      </c>
      <c r="S1034" t="s">
        <v>39</v>
      </c>
      <c r="T1034">
        <v>19</v>
      </c>
      <c r="U1034">
        <v>80.5</v>
      </c>
      <c r="V1034">
        <v>14</v>
      </c>
      <c r="Z1034" t="s">
        <v>39</v>
      </c>
      <c r="AB1034" t="s">
        <v>40</v>
      </c>
      <c r="AC1034" t="s">
        <v>78</v>
      </c>
      <c r="AD1034" t="s">
        <v>168</v>
      </c>
    </row>
    <row r="1035" spans="1:30" x14ac:dyDescent="0.25">
      <c r="A1035" s="4">
        <v>42551</v>
      </c>
      <c r="B1035" t="s">
        <v>30</v>
      </c>
      <c r="C1035">
        <v>801</v>
      </c>
      <c r="D1035">
        <v>6</v>
      </c>
      <c r="E1035">
        <v>2</v>
      </c>
      <c r="F1035" t="s">
        <v>31</v>
      </c>
      <c r="G1035" t="s">
        <v>32</v>
      </c>
      <c r="H1035" t="s">
        <v>33</v>
      </c>
      <c r="I1035" t="s">
        <v>34</v>
      </c>
      <c r="J1035" t="s">
        <v>35</v>
      </c>
      <c r="K1035" t="s">
        <v>36</v>
      </c>
      <c r="L1035" t="s">
        <v>43</v>
      </c>
      <c r="M1035">
        <v>0</v>
      </c>
      <c r="N1035">
        <v>0</v>
      </c>
      <c r="O1035" s="5">
        <v>50677</v>
      </c>
      <c r="P1035" s="5">
        <v>50676</v>
      </c>
      <c r="Q1035">
        <f>35-12.5</f>
        <v>22.5</v>
      </c>
      <c r="R1035" t="s">
        <v>47</v>
      </c>
      <c r="T1035">
        <v>18</v>
      </c>
      <c r="U1035">
        <v>88</v>
      </c>
      <c r="V1035">
        <v>17</v>
      </c>
      <c r="W1035">
        <v>12.8</v>
      </c>
      <c r="X1035">
        <v>28.6</v>
      </c>
      <c r="Z1035" t="s">
        <v>39</v>
      </c>
      <c r="AB1035" t="s">
        <v>40</v>
      </c>
      <c r="AC1035" t="s">
        <v>78</v>
      </c>
    </row>
    <row r="1036" spans="1:30" x14ac:dyDescent="0.25">
      <c r="A1036" s="4">
        <v>42551</v>
      </c>
      <c r="B1036" t="s">
        <v>30</v>
      </c>
      <c r="C1036">
        <v>801</v>
      </c>
      <c r="D1036">
        <v>7</v>
      </c>
      <c r="E1036">
        <v>1</v>
      </c>
      <c r="F1036" t="s">
        <v>31</v>
      </c>
      <c r="G1036" t="s">
        <v>32</v>
      </c>
      <c r="H1036" t="s">
        <v>33</v>
      </c>
      <c r="I1036" t="s">
        <v>73</v>
      </c>
      <c r="J1036" t="s">
        <v>122</v>
      </c>
      <c r="O1036" s="5"/>
      <c r="P1036" s="5"/>
      <c r="Z1036" t="s">
        <v>39</v>
      </c>
    </row>
    <row r="1037" spans="1:30" x14ac:dyDescent="0.25">
      <c r="A1037" s="4">
        <v>42551</v>
      </c>
      <c r="B1037" t="s">
        <v>30</v>
      </c>
      <c r="C1037">
        <v>801</v>
      </c>
      <c r="D1037">
        <v>8</v>
      </c>
      <c r="E1037">
        <v>1</v>
      </c>
      <c r="F1037" t="s">
        <v>31</v>
      </c>
      <c r="G1037" t="s">
        <v>32</v>
      </c>
      <c r="H1037" t="s">
        <v>33</v>
      </c>
      <c r="I1037" t="s">
        <v>73</v>
      </c>
      <c r="J1037" t="s">
        <v>35</v>
      </c>
      <c r="K1037" t="s">
        <v>89</v>
      </c>
      <c r="L1037" t="s">
        <v>37</v>
      </c>
      <c r="M1037">
        <v>0</v>
      </c>
      <c r="N1037">
        <v>0</v>
      </c>
      <c r="O1037" s="5">
        <v>50625</v>
      </c>
      <c r="P1037" s="5"/>
      <c r="Q1037">
        <f>160-90</f>
        <v>70</v>
      </c>
      <c r="R1037" t="s">
        <v>38</v>
      </c>
      <c r="S1037" t="s">
        <v>39</v>
      </c>
      <c r="T1037">
        <v>34</v>
      </c>
      <c r="W1037">
        <v>19.8</v>
      </c>
      <c r="X1037">
        <v>41</v>
      </c>
      <c r="Z1037" t="s">
        <v>39</v>
      </c>
      <c r="AB1037" t="s">
        <v>40</v>
      </c>
      <c r="AC1037" t="s">
        <v>78</v>
      </c>
      <c r="AD1037" t="s">
        <v>177</v>
      </c>
    </row>
    <row r="1038" spans="1:30" x14ac:dyDescent="0.25">
      <c r="A1038" s="4">
        <v>42551</v>
      </c>
      <c r="B1038" t="s">
        <v>30</v>
      </c>
      <c r="C1038">
        <v>801</v>
      </c>
      <c r="D1038">
        <v>9</v>
      </c>
      <c r="E1038">
        <v>1</v>
      </c>
      <c r="F1038" t="s">
        <v>31</v>
      </c>
      <c r="G1038" t="s">
        <v>32</v>
      </c>
      <c r="H1038" t="s">
        <v>33</v>
      </c>
      <c r="I1038" t="s">
        <v>70</v>
      </c>
      <c r="J1038" t="s">
        <v>62</v>
      </c>
      <c r="O1038" s="5"/>
      <c r="P1038" s="5"/>
      <c r="Z1038" t="s">
        <v>39</v>
      </c>
    </row>
    <row r="1039" spans="1:30" x14ac:dyDescent="0.25">
      <c r="A1039" s="4">
        <v>42551</v>
      </c>
      <c r="B1039" t="s">
        <v>30</v>
      </c>
      <c r="C1039">
        <v>801</v>
      </c>
      <c r="D1039">
        <v>10</v>
      </c>
      <c r="E1039">
        <v>1</v>
      </c>
      <c r="F1039" t="s">
        <v>31</v>
      </c>
      <c r="G1039" t="s">
        <v>32</v>
      </c>
      <c r="H1039" t="s">
        <v>33</v>
      </c>
      <c r="I1039" t="s">
        <v>73</v>
      </c>
      <c r="J1039" t="s">
        <v>35</v>
      </c>
      <c r="K1039" t="s">
        <v>36</v>
      </c>
      <c r="L1039" t="s">
        <v>43</v>
      </c>
      <c r="M1039">
        <v>0</v>
      </c>
      <c r="N1039">
        <v>0</v>
      </c>
      <c r="O1039" s="5"/>
      <c r="P1039" s="5">
        <v>50392</v>
      </c>
      <c r="Q1039">
        <f>185-90</f>
        <v>95</v>
      </c>
      <c r="R1039" t="s">
        <v>47</v>
      </c>
      <c r="T1039">
        <v>32</v>
      </c>
      <c r="W1039">
        <v>21.4</v>
      </c>
      <c r="X1039">
        <v>44.1</v>
      </c>
      <c r="Z1039" t="s">
        <v>39</v>
      </c>
      <c r="AB1039" t="s">
        <v>40</v>
      </c>
      <c r="AC1039" t="s">
        <v>78</v>
      </c>
      <c r="AD1039" t="s">
        <v>178</v>
      </c>
    </row>
    <row r="1040" spans="1:30" x14ac:dyDescent="0.25">
      <c r="A1040" s="4">
        <v>42551</v>
      </c>
      <c r="B1040" t="s">
        <v>30</v>
      </c>
      <c r="C1040">
        <v>803</v>
      </c>
      <c r="D1040">
        <v>10</v>
      </c>
      <c r="E1040">
        <v>1</v>
      </c>
      <c r="F1040" t="s">
        <v>31</v>
      </c>
      <c r="G1040" t="s">
        <v>32</v>
      </c>
      <c r="H1040" t="s">
        <v>33</v>
      </c>
      <c r="I1040" t="s">
        <v>57</v>
      </c>
      <c r="O1040" s="5"/>
      <c r="P1040" s="5"/>
      <c r="Z1040" t="s">
        <v>39</v>
      </c>
    </row>
    <row r="1041" spans="1:29" x14ac:dyDescent="0.25">
      <c r="A1041" s="4">
        <v>42551</v>
      </c>
      <c r="B1041" t="s">
        <v>30</v>
      </c>
      <c r="C1041">
        <v>803</v>
      </c>
      <c r="D1041">
        <v>10</v>
      </c>
      <c r="E1041">
        <v>2</v>
      </c>
      <c r="F1041" t="s">
        <v>31</v>
      </c>
      <c r="G1041" t="s">
        <v>32</v>
      </c>
      <c r="H1041" t="s">
        <v>33</v>
      </c>
      <c r="I1041" t="s">
        <v>73</v>
      </c>
      <c r="J1041" t="s">
        <v>35</v>
      </c>
      <c r="K1041" t="s">
        <v>36</v>
      </c>
      <c r="L1041" t="s">
        <v>43</v>
      </c>
      <c r="M1041">
        <v>0</v>
      </c>
      <c r="N1041">
        <v>0</v>
      </c>
      <c r="O1041" s="5">
        <v>50391</v>
      </c>
      <c r="P1041" s="5"/>
      <c r="Q1041">
        <f>183-90</f>
        <v>93</v>
      </c>
      <c r="R1041" t="s">
        <v>65</v>
      </c>
      <c r="T1041">
        <v>29</v>
      </c>
      <c r="W1041">
        <v>22</v>
      </c>
      <c r="X1041">
        <v>42</v>
      </c>
      <c r="Z1041" t="s">
        <v>39</v>
      </c>
      <c r="AB1041" t="s">
        <v>40</v>
      </c>
      <c r="AC1041" t="s">
        <v>78</v>
      </c>
    </row>
    <row r="1042" spans="1:29" x14ac:dyDescent="0.25">
      <c r="A1042" s="4">
        <v>42551</v>
      </c>
      <c r="B1042" t="s">
        <v>30</v>
      </c>
      <c r="C1042">
        <v>803</v>
      </c>
      <c r="D1042">
        <v>9</v>
      </c>
      <c r="E1042">
        <v>1</v>
      </c>
      <c r="F1042" t="s">
        <v>31</v>
      </c>
      <c r="G1042" t="s">
        <v>32</v>
      </c>
      <c r="H1042" t="s">
        <v>33</v>
      </c>
      <c r="I1042" t="s">
        <v>73</v>
      </c>
      <c r="J1042" t="s">
        <v>35</v>
      </c>
      <c r="K1042" t="s">
        <v>89</v>
      </c>
      <c r="L1042" t="s">
        <v>43</v>
      </c>
      <c r="M1042">
        <v>0</v>
      </c>
      <c r="N1042">
        <v>0</v>
      </c>
      <c r="O1042" s="5">
        <v>50463</v>
      </c>
      <c r="P1042" s="5"/>
      <c r="Q1042">
        <f>165-90</f>
        <v>75</v>
      </c>
      <c r="R1042" t="s">
        <v>65</v>
      </c>
      <c r="T1042">
        <v>32</v>
      </c>
      <c r="W1042">
        <v>20.3</v>
      </c>
      <c r="X1042">
        <v>41.75</v>
      </c>
      <c r="Z1042" t="s">
        <v>39</v>
      </c>
      <c r="AB1042" t="s">
        <v>40</v>
      </c>
      <c r="AC1042" t="s">
        <v>78</v>
      </c>
    </row>
    <row r="1043" spans="1:29" x14ac:dyDescent="0.25">
      <c r="A1043" s="4">
        <v>42551</v>
      </c>
      <c r="B1043" t="s">
        <v>30</v>
      </c>
      <c r="C1043">
        <v>803</v>
      </c>
      <c r="D1043">
        <v>8</v>
      </c>
      <c r="E1043">
        <v>1</v>
      </c>
      <c r="F1043" t="s">
        <v>31</v>
      </c>
      <c r="G1043" t="s">
        <v>32</v>
      </c>
      <c r="H1043" t="s">
        <v>33</v>
      </c>
      <c r="I1043" t="s">
        <v>34</v>
      </c>
      <c r="J1043" t="s">
        <v>35</v>
      </c>
      <c r="K1043" t="s">
        <v>36</v>
      </c>
      <c r="L1043" t="s">
        <v>43</v>
      </c>
      <c r="M1043">
        <v>0</v>
      </c>
      <c r="N1043">
        <v>0</v>
      </c>
      <c r="O1043" s="5">
        <v>50454</v>
      </c>
      <c r="P1043" s="5">
        <v>50455</v>
      </c>
      <c r="Q1043">
        <f>36.5-14</f>
        <v>22.5</v>
      </c>
      <c r="R1043" t="s">
        <v>47</v>
      </c>
      <c r="T1043">
        <v>18</v>
      </c>
      <c r="U1043">
        <v>89.5</v>
      </c>
      <c r="V1043">
        <v>14.5</v>
      </c>
      <c r="W1043">
        <v>13.8</v>
      </c>
      <c r="X1043">
        <v>29.5</v>
      </c>
      <c r="Z1043" t="s">
        <v>39</v>
      </c>
      <c r="AB1043" t="s">
        <v>40</v>
      </c>
      <c r="AC1043" t="s">
        <v>78</v>
      </c>
    </row>
    <row r="1044" spans="1:29" x14ac:dyDescent="0.25">
      <c r="A1044" s="4">
        <v>42551</v>
      </c>
      <c r="B1044" t="s">
        <v>30</v>
      </c>
      <c r="C1044">
        <v>803</v>
      </c>
      <c r="D1044">
        <v>8</v>
      </c>
      <c r="E1044">
        <v>2</v>
      </c>
      <c r="F1044" t="s">
        <v>31</v>
      </c>
      <c r="G1044" t="s">
        <v>32</v>
      </c>
      <c r="H1044" t="s">
        <v>33</v>
      </c>
      <c r="I1044" t="s">
        <v>91</v>
      </c>
      <c r="J1044" t="s">
        <v>35</v>
      </c>
      <c r="K1044" t="s">
        <v>36</v>
      </c>
      <c r="L1044" t="s">
        <v>43</v>
      </c>
      <c r="M1044">
        <v>0</v>
      </c>
      <c r="N1044">
        <v>0</v>
      </c>
      <c r="O1044" s="5">
        <v>50684</v>
      </c>
      <c r="P1044" s="5"/>
      <c r="Q1044">
        <f>31.5-12</f>
        <v>19.5</v>
      </c>
      <c r="R1044" t="s">
        <v>47</v>
      </c>
      <c r="T1044">
        <v>28</v>
      </c>
      <c r="W1044">
        <v>12.5</v>
      </c>
      <c r="X1044">
        <v>26.7</v>
      </c>
      <c r="Z1044" t="s">
        <v>39</v>
      </c>
      <c r="AB1044" t="s">
        <v>40</v>
      </c>
      <c r="AC1044" t="s">
        <v>78</v>
      </c>
    </row>
    <row r="1045" spans="1:29" x14ac:dyDescent="0.25">
      <c r="A1045" s="4">
        <v>42551</v>
      </c>
      <c r="B1045" t="s">
        <v>30</v>
      </c>
      <c r="C1045">
        <v>803</v>
      </c>
      <c r="D1045">
        <v>7</v>
      </c>
      <c r="E1045">
        <v>1</v>
      </c>
      <c r="F1045" t="s">
        <v>31</v>
      </c>
      <c r="G1045" t="s">
        <v>32</v>
      </c>
      <c r="H1045" t="s">
        <v>33</v>
      </c>
      <c r="I1045" t="s">
        <v>57</v>
      </c>
      <c r="O1045" s="5"/>
      <c r="P1045" s="5"/>
      <c r="Z1045" t="s">
        <v>39</v>
      </c>
    </row>
    <row r="1046" spans="1:29" x14ac:dyDescent="0.25">
      <c r="A1046" s="4">
        <v>42551</v>
      </c>
      <c r="B1046" t="s">
        <v>30</v>
      </c>
      <c r="C1046">
        <v>803</v>
      </c>
      <c r="D1046">
        <v>7</v>
      </c>
      <c r="E1046">
        <v>2</v>
      </c>
      <c r="F1046" t="s">
        <v>31</v>
      </c>
      <c r="G1046" t="s">
        <v>32</v>
      </c>
      <c r="H1046" t="s">
        <v>33</v>
      </c>
      <c r="I1046" t="s">
        <v>57</v>
      </c>
      <c r="O1046" s="5"/>
      <c r="P1046" s="5"/>
      <c r="Z1046" t="s">
        <v>39</v>
      </c>
    </row>
    <row r="1047" spans="1:29" x14ac:dyDescent="0.25">
      <c r="A1047" s="4">
        <v>42551</v>
      </c>
      <c r="B1047" t="s">
        <v>30</v>
      </c>
      <c r="C1047">
        <v>803</v>
      </c>
      <c r="D1047">
        <v>6</v>
      </c>
      <c r="E1047">
        <v>1</v>
      </c>
      <c r="F1047" t="s">
        <v>31</v>
      </c>
      <c r="G1047" t="s">
        <v>32</v>
      </c>
      <c r="H1047" t="s">
        <v>33</v>
      </c>
      <c r="I1047" t="s">
        <v>34</v>
      </c>
      <c r="J1047" t="s">
        <v>35</v>
      </c>
      <c r="K1047" t="s">
        <v>114</v>
      </c>
      <c r="L1047" t="s">
        <v>37</v>
      </c>
      <c r="M1047">
        <v>0</v>
      </c>
      <c r="N1047">
        <v>0</v>
      </c>
      <c r="O1047" s="5">
        <v>50457</v>
      </c>
      <c r="P1047" s="5">
        <v>50456</v>
      </c>
      <c r="Q1047">
        <f>36-15</f>
        <v>21</v>
      </c>
      <c r="R1047" t="s">
        <v>38</v>
      </c>
      <c r="S1047" t="s">
        <v>39</v>
      </c>
      <c r="T1047">
        <v>18</v>
      </c>
      <c r="U1047">
        <v>88.5</v>
      </c>
      <c r="V1047">
        <v>15.5</v>
      </c>
      <c r="W1047">
        <v>12.4</v>
      </c>
      <c r="X1047">
        <v>25.8</v>
      </c>
      <c r="Z1047" t="s">
        <v>39</v>
      </c>
      <c r="AB1047" t="s">
        <v>40</v>
      </c>
      <c r="AC1047" t="s">
        <v>78</v>
      </c>
    </row>
    <row r="1048" spans="1:29" x14ac:dyDescent="0.25">
      <c r="A1048" s="4">
        <v>42551</v>
      </c>
      <c r="B1048" t="s">
        <v>30</v>
      </c>
      <c r="C1048">
        <v>803</v>
      </c>
      <c r="D1048">
        <v>5</v>
      </c>
      <c r="E1048">
        <v>1</v>
      </c>
      <c r="F1048" t="s">
        <v>31</v>
      </c>
      <c r="G1048" t="s">
        <v>32</v>
      </c>
      <c r="H1048" t="s">
        <v>33</v>
      </c>
      <c r="I1048" t="s">
        <v>57</v>
      </c>
      <c r="O1048" s="5"/>
      <c r="P1048" s="5"/>
      <c r="Z1048" t="s">
        <v>39</v>
      </c>
    </row>
    <row r="1049" spans="1:29" x14ac:dyDescent="0.25">
      <c r="A1049" s="4">
        <v>42551</v>
      </c>
      <c r="B1049" t="s">
        <v>30</v>
      </c>
      <c r="C1049">
        <v>803</v>
      </c>
      <c r="D1049">
        <v>4</v>
      </c>
      <c r="E1049">
        <v>1</v>
      </c>
      <c r="F1049" t="s">
        <v>31</v>
      </c>
      <c r="G1049" t="s">
        <v>32</v>
      </c>
      <c r="H1049" t="s">
        <v>33</v>
      </c>
      <c r="I1049" t="s">
        <v>57</v>
      </c>
      <c r="O1049" s="5"/>
      <c r="P1049" s="5"/>
      <c r="Z1049" t="s">
        <v>39</v>
      </c>
    </row>
    <row r="1050" spans="1:29" x14ac:dyDescent="0.25">
      <c r="A1050" s="4">
        <v>42551</v>
      </c>
      <c r="B1050" t="s">
        <v>30</v>
      </c>
      <c r="C1050">
        <v>803</v>
      </c>
      <c r="D1050">
        <v>3</v>
      </c>
      <c r="E1050">
        <v>1</v>
      </c>
      <c r="F1050" t="s">
        <v>31</v>
      </c>
      <c r="G1050" t="s">
        <v>32</v>
      </c>
      <c r="H1050" t="s">
        <v>33</v>
      </c>
      <c r="I1050" t="s">
        <v>57</v>
      </c>
      <c r="O1050" s="5"/>
      <c r="P1050" s="5"/>
      <c r="Z1050" t="s">
        <v>39</v>
      </c>
    </row>
    <row r="1051" spans="1:29" x14ac:dyDescent="0.25">
      <c r="A1051" s="4">
        <v>42551</v>
      </c>
      <c r="B1051" t="s">
        <v>30</v>
      </c>
      <c r="C1051">
        <v>803</v>
      </c>
      <c r="D1051">
        <v>2</v>
      </c>
      <c r="E1051">
        <v>1</v>
      </c>
      <c r="F1051" t="s">
        <v>31</v>
      </c>
      <c r="G1051" t="s">
        <v>32</v>
      </c>
      <c r="H1051" t="s">
        <v>33</v>
      </c>
      <c r="I1051" t="s">
        <v>57</v>
      </c>
      <c r="O1051" s="5"/>
      <c r="P1051" s="5"/>
      <c r="Z1051" t="s">
        <v>39</v>
      </c>
    </row>
    <row r="1052" spans="1:29" x14ac:dyDescent="0.25">
      <c r="A1052" s="4">
        <v>42551</v>
      </c>
      <c r="B1052" t="s">
        <v>30</v>
      </c>
      <c r="C1052">
        <v>803</v>
      </c>
      <c r="D1052">
        <v>2</v>
      </c>
      <c r="E1052">
        <v>2</v>
      </c>
      <c r="F1052" t="s">
        <v>31</v>
      </c>
      <c r="G1052" t="s">
        <v>32</v>
      </c>
      <c r="H1052" t="s">
        <v>33</v>
      </c>
      <c r="I1052" t="s">
        <v>57</v>
      </c>
      <c r="O1052" s="5"/>
      <c r="P1052" s="5"/>
      <c r="Z1052" t="s">
        <v>39</v>
      </c>
    </row>
    <row r="1053" spans="1:29" x14ac:dyDescent="0.25">
      <c r="A1053" s="4">
        <v>42551</v>
      </c>
      <c r="B1053" t="s">
        <v>30</v>
      </c>
      <c r="C1053">
        <v>803</v>
      </c>
      <c r="D1053">
        <v>1</v>
      </c>
      <c r="E1053">
        <v>1</v>
      </c>
      <c r="F1053" t="s">
        <v>31</v>
      </c>
      <c r="G1053" t="s">
        <v>32</v>
      </c>
      <c r="H1053" t="s">
        <v>33</v>
      </c>
      <c r="I1053" t="s">
        <v>57</v>
      </c>
      <c r="O1053" s="5"/>
      <c r="P1053" s="5"/>
      <c r="Z1053" t="s">
        <v>39</v>
      </c>
    </row>
    <row r="1054" spans="1:29" x14ac:dyDescent="0.25">
      <c r="A1054" s="4">
        <v>42551</v>
      </c>
      <c r="B1054" t="s">
        <v>30</v>
      </c>
      <c r="C1054">
        <v>803</v>
      </c>
      <c r="D1054">
        <v>1</v>
      </c>
      <c r="E1054">
        <v>2</v>
      </c>
      <c r="F1054" t="s">
        <v>31</v>
      </c>
      <c r="G1054" t="s">
        <v>32</v>
      </c>
      <c r="H1054" t="s">
        <v>33</v>
      </c>
      <c r="I1054" t="s">
        <v>57</v>
      </c>
      <c r="O1054" s="5"/>
      <c r="P1054" s="5"/>
      <c r="Z1054" t="s">
        <v>39</v>
      </c>
    </row>
    <row r="1055" spans="1:29" x14ac:dyDescent="0.25">
      <c r="A1055" s="4">
        <v>42551</v>
      </c>
      <c r="B1055" t="s">
        <v>30</v>
      </c>
      <c r="C1055">
        <v>901</v>
      </c>
      <c r="D1055">
        <v>2</v>
      </c>
      <c r="E1055">
        <v>1</v>
      </c>
      <c r="F1055" t="s">
        <v>31</v>
      </c>
      <c r="G1055" t="s">
        <v>32</v>
      </c>
      <c r="H1055" t="s">
        <v>33</v>
      </c>
      <c r="I1055" t="s">
        <v>34</v>
      </c>
      <c r="J1055" t="s">
        <v>35</v>
      </c>
      <c r="K1055" t="s">
        <v>36</v>
      </c>
      <c r="L1055" t="s">
        <v>37</v>
      </c>
      <c r="M1055">
        <v>0</v>
      </c>
      <c r="N1055">
        <v>0</v>
      </c>
      <c r="O1055" s="5" t="s">
        <v>104</v>
      </c>
      <c r="P1055" s="5" t="s">
        <v>171</v>
      </c>
      <c r="Q1055">
        <f>34.5-12</f>
        <v>22.5</v>
      </c>
      <c r="R1055" t="s">
        <v>38</v>
      </c>
      <c r="S1055" t="s">
        <v>39</v>
      </c>
      <c r="T1055">
        <v>17</v>
      </c>
      <c r="U1055">
        <v>88</v>
      </c>
      <c r="V1055">
        <v>15</v>
      </c>
      <c r="W1055">
        <v>12.8</v>
      </c>
      <c r="X1055">
        <v>27.3</v>
      </c>
      <c r="Z1055" t="s">
        <v>39</v>
      </c>
      <c r="AB1055" t="s">
        <v>40</v>
      </c>
      <c r="AC1055" t="s">
        <v>78</v>
      </c>
    </row>
    <row r="1056" spans="1:29" x14ac:dyDescent="0.25">
      <c r="A1056" s="4">
        <v>42551</v>
      </c>
      <c r="B1056" t="s">
        <v>30</v>
      </c>
      <c r="C1056">
        <v>901</v>
      </c>
      <c r="D1056">
        <v>3</v>
      </c>
      <c r="E1056">
        <v>1</v>
      </c>
      <c r="F1056" t="s">
        <v>31</v>
      </c>
      <c r="G1056" t="s">
        <v>32</v>
      </c>
      <c r="H1056" t="s">
        <v>33</v>
      </c>
      <c r="I1056" t="s">
        <v>57</v>
      </c>
      <c r="O1056" s="5"/>
      <c r="P1056" s="5"/>
      <c r="Z1056" t="s">
        <v>39</v>
      </c>
    </row>
    <row r="1057" spans="1:30" x14ac:dyDescent="0.25">
      <c r="A1057" s="4">
        <v>42551</v>
      </c>
      <c r="B1057" t="s">
        <v>30</v>
      </c>
      <c r="C1057">
        <v>901</v>
      </c>
      <c r="D1057">
        <v>5</v>
      </c>
      <c r="E1057">
        <v>1</v>
      </c>
      <c r="F1057" t="s">
        <v>31</v>
      </c>
      <c r="G1057" t="s">
        <v>32</v>
      </c>
      <c r="H1057" t="s">
        <v>33</v>
      </c>
      <c r="I1057" t="s">
        <v>34</v>
      </c>
      <c r="J1057" t="s">
        <v>35</v>
      </c>
      <c r="K1057" t="s">
        <v>36</v>
      </c>
      <c r="L1057" t="s">
        <v>37</v>
      </c>
      <c r="M1057">
        <v>0</v>
      </c>
      <c r="N1057">
        <v>0</v>
      </c>
      <c r="O1057" s="5">
        <v>50617</v>
      </c>
      <c r="P1057" s="5">
        <v>50616</v>
      </c>
      <c r="Q1057">
        <f>33-12</f>
        <v>21</v>
      </c>
      <c r="R1057" t="s">
        <v>81</v>
      </c>
      <c r="S1057" t="s">
        <v>39</v>
      </c>
      <c r="T1057">
        <v>19</v>
      </c>
      <c r="U1057">
        <v>89</v>
      </c>
      <c r="V1057">
        <v>12</v>
      </c>
      <c r="Z1057" t="s">
        <v>39</v>
      </c>
      <c r="AB1057" t="s">
        <v>40</v>
      </c>
      <c r="AC1057" t="s">
        <v>78</v>
      </c>
    </row>
    <row r="1058" spans="1:30" x14ac:dyDescent="0.25">
      <c r="A1058" s="4">
        <v>42556</v>
      </c>
      <c r="B1058" t="s">
        <v>30</v>
      </c>
      <c r="C1058">
        <v>111</v>
      </c>
      <c r="D1058">
        <v>2</v>
      </c>
      <c r="E1058">
        <v>1</v>
      </c>
      <c r="F1058" t="s">
        <v>41</v>
      </c>
      <c r="G1058" t="s">
        <v>32</v>
      </c>
      <c r="H1058" t="s">
        <v>33</v>
      </c>
      <c r="I1058" t="s">
        <v>57</v>
      </c>
      <c r="O1058" s="5"/>
      <c r="P1058" s="5"/>
      <c r="Z1058" t="s">
        <v>39</v>
      </c>
    </row>
    <row r="1059" spans="1:30" x14ac:dyDescent="0.25">
      <c r="A1059" s="4">
        <v>42556</v>
      </c>
      <c r="B1059" t="s">
        <v>30</v>
      </c>
      <c r="C1059">
        <v>111</v>
      </c>
      <c r="D1059">
        <v>3</v>
      </c>
      <c r="E1059">
        <v>1</v>
      </c>
      <c r="F1059" t="s">
        <v>41</v>
      </c>
      <c r="G1059" t="s">
        <v>32</v>
      </c>
      <c r="H1059" t="s">
        <v>33</v>
      </c>
      <c r="I1059" t="s">
        <v>34</v>
      </c>
      <c r="J1059" t="s">
        <v>35</v>
      </c>
      <c r="K1059" t="s">
        <v>36</v>
      </c>
      <c r="L1059" t="s">
        <v>37</v>
      </c>
      <c r="M1059">
        <v>0</v>
      </c>
      <c r="N1059">
        <v>0</v>
      </c>
      <c r="O1059" s="5">
        <v>50348</v>
      </c>
      <c r="P1059" s="5">
        <v>50347</v>
      </c>
      <c r="Q1059">
        <f>24</f>
        <v>24</v>
      </c>
      <c r="R1059" t="s">
        <v>164</v>
      </c>
      <c r="S1059" t="s">
        <v>97</v>
      </c>
      <c r="T1059">
        <v>19</v>
      </c>
      <c r="U1059">
        <v>81</v>
      </c>
      <c r="V1059">
        <v>10</v>
      </c>
      <c r="W1059">
        <v>13.1</v>
      </c>
      <c r="X1059">
        <v>26.9</v>
      </c>
      <c r="Z1059" t="s">
        <v>39</v>
      </c>
      <c r="AB1059" t="s">
        <v>59</v>
      </c>
      <c r="AC1059" t="s">
        <v>56</v>
      </c>
    </row>
    <row r="1060" spans="1:30" x14ac:dyDescent="0.25">
      <c r="A1060" s="4">
        <v>42556</v>
      </c>
      <c r="B1060" t="s">
        <v>30</v>
      </c>
      <c r="C1060">
        <v>111</v>
      </c>
      <c r="D1060">
        <v>8</v>
      </c>
      <c r="E1060">
        <v>1</v>
      </c>
      <c r="F1060" t="s">
        <v>41</v>
      </c>
      <c r="G1060" t="s">
        <v>32</v>
      </c>
      <c r="H1060" t="s">
        <v>33</v>
      </c>
      <c r="I1060" t="s">
        <v>34</v>
      </c>
      <c r="J1060" t="s">
        <v>42</v>
      </c>
      <c r="K1060" t="s">
        <v>89</v>
      </c>
      <c r="L1060" t="s">
        <v>43</v>
      </c>
      <c r="M1060">
        <v>0</v>
      </c>
      <c r="N1060">
        <v>1</v>
      </c>
      <c r="O1060" s="5">
        <v>50530</v>
      </c>
      <c r="P1060" s="5">
        <v>50529</v>
      </c>
      <c r="Q1060">
        <f>27-11</f>
        <v>16</v>
      </c>
      <c r="R1060" t="s">
        <v>65</v>
      </c>
      <c r="T1060">
        <v>19</v>
      </c>
      <c r="U1060">
        <v>78</v>
      </c>
      <c r="V1060">
        <v>15.5</v>
      </c>
      <c r="W1060">
        <v>13</v>
      </c>
      <c r="X1060">
        <v>27.8</v>
      </c>
      <c r="Z1060" t="s">
        <v>39</v>
      </c>
      <c r="AB1060" t="s">
        <v>59</v>
      </c>
      <c r="AC1060" t="s">
        <v>56</v>
      </c>
    </row>
    <row r="1061" spans="1:30" x14ac:dyDescent="0.25">
      <c r="A1061" s="4">
        <v>42556</v>
      </c>
      <c r="B1061" t="s">
        <v>30</v>
      </c>
      <c r="C1061">
        <v>111</v>
      </c>
      <c r="D1061">
        <v>9</v>
      </c>
      <c r="E1061">
        <v>1</v>
      </c>
      <c r="F1061" t="s">
        <v>41</v>
      </c>
      <c r="G1061" t="s">
        <v>32</v>
      </c>
      <c r="H1061" t="s">
        <v>33</v>
      </c>
      <c r="I1061" t="s">
        <v>57</v>
      </c>
      <c r="O1061" s="5"/>
      <c r="P1061" s="5"/>
      <c r="Z1061" t="s">
        <v>39</v>
      </c>
    </row>
    <row r="1062" spans="1:30" x14ac:dyDescent="0.25">
      <c r="A1062" s="4">
        <v>42556</v>
      </c>
      <c r="B1062" t="s">
        <v>30</v>
      </c>
      <c r="C1062">
        <v>112</v>
      </c>
      <c r="D1062">
        <v>2</v>
      </c>
      <c r="E1062">
        <v>1</v>
      </c>
      <c r="F1062" t="s">
        <v>41</v>
      </c>
      <c r="G1062" t="s">
        <v>32</v>
      </c>
      <c r="H1062" t="s">
        <v>33</v>
      </c>
      <c r="I1062" t="s">
        <v>34</v>
      </c>
      <c r="J1062" t="s">
        <v>35</v>
      </c>
      <c r="K1062" t="s">
        <v>36</v>
      </c>
      <c r="L1062" t="s">
        <v>37</v>
      </c>
      <c r="M1062">
        <v>0</v>
      </c>
      <c r="N1062">
        <v>0</v>
      </c>
      <c r="O1062" s="5">
        <v>50350</v>
      </c>
      <c r="P1062" s="5">
        <v>50349</v>
      </c>
      <c r="Q1062">
        <f>35-10.5</f>
        <v>24.5</v>
      </c>
      <c r="R1062" t="s">
        <v>149</v>
      </c>
      <c r="S1062" t="s">
        <v>97</v>
      </c>
      <c r="T1062">
        <v>19</v>
      </c>
      <c r="U1062">
        <v>90</v>
      </c>
      <c r="V1062">
        <v>17</v>
      </c>
      <c r="W1062">
        <v>13.2</v>
      </c>
      <c r="X1062">
        <v>29.6</v>
      </c>
      <c r="Z1062" t="s">
        <v>39</v>
      </c>
      <c r="AB1062" t="s">
        <v>59</v>
      </c>
      <c r="AC1062" t="s">
        <v>56</v>
      </c>
    </row>
    <row r="1063" spans="1:30" x14ac:dyDescent="0.25">
      <c r="A1063" s="4">
        <v>42556</v>
      </c>
      <c r="B1063" t="s">
        <v>30</v>
      </c>
      <c r="C1063">
        <v>112</v>
      </c>
      <c r="D1063">
        <v>4</v>
      </c>
      <c r="E1063">
        <v>1</v>
      </c>
      <c r="F1063" t="s">
        <v>41</v>
      </c>
      <c r="G1063" t="s">
        <v>32</v>
      </c>
      <c r="H1063" t="s">
        <v>33</v>
      </c>
      <c r="I1063" t="s">
        <v>57</v>
      </c>
      <c r="O1063" s="5"/>
      <c r="P1063" s="5"/>
      <c r="Z1063" t="s">
        <v>39</v>
      </c>
    </row>
    <row r="1064" spans="1:30" x14ac:dyDescent="0.25">
      <c r="A1064" s="4">
        <v>42556</v>
      </c>
      <c r="B1064" t="s">
        <v>30</v>
      </c>
      <c r="C1064">
        <v>112</v>
      </c>
      <c r="D1064">
        <v>4</v>
      </c>
      <c r="E1064">
        <v>2</v>
      </c>
      <c r="F1064" t="s">
        <v>41</v>
      </c>
      <c r="G1064" t="s">
        <v>32</v>
      </c>
      <c r="H1064" t="s">
        <v>33</v>
      </c>
      <c r="I1064" t="s">
        <v>34</v>
      </c>
      <c r="J1064" t="s">
        <v>35</v>
      </c>
      <c r="K1064" t="s">
        <v>36</v>
      </c>
      <c r="L1064" t="s">
        <v>43</v>
      </c>
      <c r="M1064">
        <v>0</v>
      </c>
      <c r="N1064">
        <v>0</v>
      </c>
      <c r="O1064" s="5">
        <v>50595</v>
      </c>
      <c r="P1064" s="5">
        <v>50594</v>
      </c>
      <c r="Q1064">
        <v>20</v>
      </c>
      <c r="R1064" t="s">
        <v>47</v>
      </c>
      <c r="T1064">
        <v>20</v>
      </c>
      <c r="U1064">
        <v>80</v>
      </c>
      <c r="V1064">
        <v>12</v>
      </c>
      <c r="Z1064" t="s">
        <v>39</v>
      </c>
      <c r="AB1064" t="s">
        <v>59</v>
      </c>
      <c r="AC1064" t="s">
        <v>56</v>
      </c>
    </row>
    <row r="1065" spans="1:30" x14ac:dyDescent="0.25">
      <c r="A1065" s="4">
        <v>42556</v>
      </c>
      <c r="B1065" t="s">
        <v>30</v>
      </c>
      <c r="C1065">
        <v>112</v>
      </c>
      <c r="D1065">
        <v>5</v>
      </c>
      <c r="E1065">
        <v>1</v>
      </c>
      <c r="F1065" t="s">
        <v>41</v>
      </c>
      <c r="G1065" t="s">
        <v>32</v>
      </c>
      <c r="H1065" t="s">
        <v>33</v>
      </c>
      <c r="I1065" t="s">
        <v>57</v>
      </c>
      <c r="O1065" s="5"/>
      <c r="P1065" s="5"/>
      <c r="Z1065" t="s">
        <v>39</v>
      </c>
    </row>
    <row r="1066" spans="1:30" x14ac:dyDescent="0.25">
      <c r="A1066" s="4">
        <v>42556</v>
      </c>
      <c r="B1066" t="s">
        <v>30</v>
      </c>
      <c r="C1066">
        <v>112</v>
      </c>
      <c r="D1066">
        <v>5</v>
      </c>
      <c r="E1066">
        <v>2</v>
      </c>
      <c r="F1066" t="s">
        <v>41</v>
      </c>
      <c r="G1066" t="s">
        <v>32</v>
      </c>
      <c r="H1066" t="s">
        <v>33</v>
      </c>
      <c r="I1066" t="s">
        <v>34</v>
      </c>
      <c r="J1066" t="s">
        <v>42</v>
      </c>
      <c r="K1066" t="s">
        <v>114</v>
      </c>
      <c r="L1066" t="s">
        <v>37</v>
      </c>
      <c r="M1066">
        <v>0</v>
      </c>
      <c r="N1066">
        <v>1</v>
      </c>
      <c r="O1066" s="5">
        <v>50528</v>
      </c>
      <c r="P1066" s="5">
        <v>50527</v>
      </c>
      <c r="Q1066">
        <f>30-12</f>
        <v>18</v>
      </c>
      <c r="R1066" t="s">
        <v>120</v>
      </c>
      <c r="S1066" t="s">
        <v>39</v>
      </c>
      <c r="T1066">
        <v>19</v>
      </c>
      <c r="U1066">
        <v>77</v>
      </c>
      <c r="V1066">
        <v>13</v>
      </c>
      <c r="W1066">
        <v>12.5</v>
      </c>
      <c r="X1066">
        <v>26.1</v>
      </c>
      <c r="Y1066" t="s">
        <v>179</v>
      </c>
      <c r="Z1066" t="s">
        <v>39</v>
      </c>
      <c r="AB1066" t="s">
        <v>59</v>
      </c>
      <c r="AC1066" t="s">
        <v>56</v>
      </c>
    </row>
    <row r="1067" spans="1:30" x14ac:dyDescent="0.25">
      <c r="A1067" s="4">
        <v>42556</v>
      </c>
      <c r="B1067" t="s">
        <v>30</v>
      </c>
      <c r="C1067">
        <v>112</v>
      </c>
      <c r="D1067">
        <v>6</v>
      </c>
      <c r="E1067">
        <v>1</v>
      </c>
      <c r="F1067" t="s">
        <v>41</v>
      </c>
      <c r="G1067" t="s">
        <v>32</v>
      </c>
      <c r="H1067" t="s">
        <v>33</v>
      </c>
      <c r="I1067" t="s">
        <v>91</v>
      </c>
      <c r="J1067" t="s">
        <v>35</v>
      </c>
      <c r="K1067" t="s">
        <v>36</v>
      </c>
      <c r="L1067" t="s">
        <v>43</v>
      </c>
      <c r="M1067">
        <v>0</v>
      </c>
      <c r="N1067">
        <v>0</v>
      </c>
      <c r="O1067" s="5">
        <v>50495</v>
      </c>
      <c r="P1067" s="5"/>
      <c r="Q1067">
        <f>28-9</f>
        <v>19</v>
      </c>
      <c r="R1067" t="s">
        <v>47</v>
      </c>
      <c r="T1067">
        <v>30</v>
      </c>
      <c r="Z1067" t="s">
        <v>39</v>
      </c>
      <c r="AB1067" t="s">
        <v>59</v>
      </c>
      <c r="AC1067" t="s">
        <v>56</v>
      </c>
      <c r="AD1067" t="s">
        <v>147</v>
      </c>
    </row>
    <row r="1068" spans="1:30" x14ac:dyDescent="0.25">
      <c r="A1068" s="4">
        <v>42556</v>
      </c>
      <c r="B1068" t="s">
        <v>30</v>
      </c>
      <c r="C1068">
        <v>112</v>
      </c>
      <c r="D1068">
        <v>7</v>
      </c>
      <c r="E1068">
        <v>1</v>
      </c>
      <c r="F1068" t="s">
        <v>41</v>
      </c>
      <c r="G1068" t="s">
        <v>32</v>
      </c>
      <c r="H1068" t="s">
        <v>33</v>
      </c>
      <c r="I1068" t="s">
        <v>34</v>
      </c>
      <c r="J1068" t="s">
        <v>35</v>
      </c>
      <c r="K1068" t="s">
        <v>114</v>
      </c>
      <c r="L1068" t="s">
        <v>43</v>
      </c>
      <c r="M1068">
        <v>0</v>
      </c>
      <c r="N1068">
        <v>0</v>
      </c>
      <c r="O1068" s="5">
        <v>50497</v>
      </c>
      <c r="P1068" s="5">
        <v>50496</v>
      </c>
      <c r="Q1068">
        <v>17</v>
      </c>
      <c r="R1068" t="s">
        <v>47</v>
      </c>
      <c r="T1068">
        <v>20</v>
      </c>
      <c r="U1068">
        <v>71</v>
      </c>
      <c r="V1068">
        <v>15</v>
      </c>
      <c r="W1068">
        <v>12</v>
      </c>
      <c r="X1068">
        <v>26.6</v>
      </c>
      <c r="Z1068" t="s">
        <v>39</v>
      </c>
      <c r="AB1068" t="s">
        <v>59</v>
      </c>
      <c r="AC1068" t="s">
        <v>56</v>
      </c>
    </row>
    <row r="1069" spans="1:30" x14ac:dyDescent="0.25">
      <c r="A1069" s="4">
        <v>42556</v>
      </c>
      <c r="B1069" t="s">
        <v>30</v>
      </c>
      <c r="C1069">
        <v>112</v>
      </c>
      <c r="D1069">
        <v>9</v>
      </c>
      <c r="E1069">
        <v>1</v>
      </c>
      <c r="F1069" t="s">
        <v>41</v>
      </c>
      <c r="G1069" t="s">
        <v>32</v>
      </c>
      <c r="H1069" t="s">
        <v>33</v>
      </c>
      <c r="I1069" t="s">
        <v>57</v>
      </c>
      <c r="O1069" s="5"/>
      <c r="P1069" s="5"/>
      <c r="Z1069" t="s">
        <v>39</v>
      </c>
    </row>
    <row r="1070" spans="1:30" x14ac:dyDescent="0.25">
      <c r="A1070" s="4">
        <v>42556</v>
      </c>
      <c r="B1070" t="s">
        <v>30</v>
      </c>
      <c r="C1070">
        <v>112</v>
      </c>
      <c r="D1070">
        <v>10</v>
      </c>
      <c r="E1070">
        <v>1</v>
      </c>
      <c r="F1070" t="s">
        <v>41</v>
      </c>
      <c r="G1070" t="s">
        <v>32</v>
      </c>
      <c r="H1070" t="s">
        <v>33</v>
      </c>
      <c r="I1070" t="s">
        <v>34</v>
      </c>
      <c r="J1070" t="s">
        <v>35</v>
      </c>
      <c r="K1070" t="s">
        <v>36</v>
      </c>
      <c r="L1070" t="s">
        <v>43</v>
      </c>
      <c r="M1070">
        <v>0</v>
      </c>
      <c r="N1070">
        <v>0</v>
      </c>
      <c r="O1070" s="5">
        <v>50597</v>
      </c>
      <c r="P1070" s="5">
        <v>50596</v>
      </c>
      <c r="Q1070">
        <v>20</v>
      </c>
      <c r="R1070" t="s">
        <v>47</v>
      </c>
      <c r="T1070">
        <v>20</v>
      </c>
      <c r="U1070">
        <v>81</v>
      </c>
      <c r="V1070">
        <v>15</v>
      </c>
      <c r="W1070">
        <v>12.5</v>
      </c>
      <c r="X1070">
        <v>27</v>
      </c>
      <c r="Z1070" t="s">
        <v>39</v>
      </c>
      <c r="AB1070" t="s">
        <v>59</v>
      </c>
      <c r="AC1070" t="s">
        <v>56</v>
      </c>
      <c r="AD1070" t="s">
        <v>180</v>
      </c>
    </row>
    <row r="1071" spans="1:30" x14ac:dyDescent="0.25">
      <c r="A1071" s="4">
        <v>42556</v>
      </c>
      <c r="B1071" t="s">
        <v>30</v>
      </c>
      <c r="C1071">
        <v>112</v>
      </c>
      <c r="D1071">
        <v>10</v>
      </c>
      <c r="E1071">
        <v>2</v>
      </c>
      <c r="F1071" t="s">
        <v>41</v>
      </c>
      <c r="G1071" t="s">
        <v>32</v>
      </c>
      <c r="H1071" t="s">
        <v>33</v>
      </c>
      <c r="I1071" t="s">
        <v>57</v>
      </c>
      <c r="O1071" s="5"/>
      <c r="P1071" s="5"/>
      <c r="Z1071" t="s">
        <v>39</v>
      </c>
    </row>
    <row r="1072" spans="1:30" x14ac:dyDescent="0.25">
      <c r="A1072" s="4">
        <v>42556</v>
      </c>
      <c r="B1072" t="s">
        <v>30</v>
      </c>
      <c r="C1072">
        <v>113</v>
      </c>
      <c r="D1072">
        <v>7</v>
      </c>
      <c r="E1072">
        <v>1</v>
      </c>
      <c r="F1072" t="s">
        <v>41</v>
      </c>
      <c r="G1072" t="s">
        <v>32</v>
      </c>
      <c r="H1072" t="s">
        <v>33</v>
      </c>
      <c r="I1072" t="s">
        <v>34</v>
      </c>
      <c r="J1072" t="s">
        <v>35</v>
      </c>
      <c r="K1072" t="s">
        <v>114</v>
      </c>
      <c r="L1072" t="s">
        <v>37</v>
      </c>
      <c r="M1072">
        <v>0</v>
      </c>
      <c r="N1072">
        <v>0</v>
      </c>
      <c r="O1072" s="5">
        <v>50474</v>
      </c>
      <c r="P1072" s="5">
        <v>50473</v>
      </c>
      <c r="Q1072">
        <f>26-9</f>
        <v>17</v>
      </c>
      <c r="R1072" t="s">
        <v>164</v>
      </c>
      <c r="S1072" t="s">
        <v>97</v>
      </c>
      <c r="T1072">
        <v>17</v>
      </c>
      <c r="V1072">
        <v>15</v>
      </c>
      <c r="W1072">
        <v>12.6</v>
      </c>
      <c r="X1072">
        <v>24.9</v>
      </c>
      <c r="Z1072" t="s">
        <v>39</v>
      </c>
      <c r="AB1072" t="s">
        <v>59</v>
      </c>
      <c r="AC1072" t="s">
        <v>56</v>
      </c>
      <c r="AD1072" t="s">
        <v>181</v>
      </c>
    </row>
    <row r="1073" spans="1:30" x14ac:dyDescent="0.25">
      <c r="A1073" s="4">
        <v>42556</v>
      </c>
      <c r="B1073" t="s">
        <v>30</v>
      </c>
      <c r="C1073">
        <v>113</v>
      </c>
      <c r="D1073">
        <v>7</v>
      </c>
      <c r="E1073">
        <v>2</v>
      </c>
      <c r="F1073" t="s">
        <v>41</v>
      </c>
      <c r="G1073" t="s">
        <v>32</v>
      </c>
      <c r="H1073" t="s">
        <v>33</v>
      </c>
      <c r="I1073" t="s">
        <v>57</v>
      </c>
      <c r="O1073" s="5"/>
      <c r="P1073" s="5"/>
      <c r="Z1073" t="s">
        <v>39</v>
      </c>
    </row>
    <row r="1074" spans="1:30" x14ac:dyDescent="0.25">
      <c r="A1074" s="4">
        <v>42556</v>
      </c>
      <c r="B1074" t="s">
        <v>30</v>
      </c>
      <c r="C1074">
        <v>113</v>
      </c>
      <c r="D1074">
        <v>8</v>
      </c>
      <c r="E1074">
        <v>1</v>
      </c>
      <c r="F1074" t="s">
        <v>41</v>
      </c>
      <c r="G1074" t="s">
        <v>32</v>
      </c>
      <c r="H1074" t="s">
        <v>33</v>
      </c>
      <c r="I1074" t="s">
        <v>73</v>
      </c>
      <c r="J1074" t="s">
        <v>35</v>
      </c>
      <c r="K1074" t="s">
        <v>114</v>
      </c>
      <c r="L1074" t="s">
        <v>43</v>
      </c>
      <c r="M1074">
        <v>0</v>
      </c>
      <c r="N1074">
        <v>0</v>
      </c>
      <c r="O1074" s="5">
        <v>50482</v>
      </c>
      <c r="P1074" s="5"/>
      <c r="Q1074">
        <f>128-48</f>
        <v>80</v>
      </c>
      <c r="R1074" t="s">
        <v>47</v>
      </c>
      <c r="T1074">
        <v>28</v>
      </c>
      <c r="W1074">
        <v>21.1</v>
      </c>
      <c r="Z1074" t="s">
        <v>39</v>
      </c>
      <c r="AB1074" t="s">
        <v>59</v>
      </c>
      <c r="AC1074" t="s">
        <v>56</v>
      </c>
    </row>
    <row r="1075" spans="1:30" x14ac:dyDescent="0.25">
      <c r="A1075" s="4">
        <v>42556</v>
      </c>
      <c r="B1075" t="s">
        <v>30</v>
      </c>
      <c r="C1075">
        <v>113</v>
      </c>
      <c r="D1075">
        <v>9</v>
      </c>
      <c r="E1075">
        <v>1</v>
      </c>
      <c r="F1075" t="s">
        <v>41</v>
      </c>
      <c r="G1075" t="s">
        <v>32</v>
      </c>
      <c r="H1075" t="s">
        <v>33</v>
      </c>
      <c r="I1075" t="s">
        <v>57</v>
      </c>
      <c r="O1075" s="5"/>
      <c r="P1075" s="5"/>
      <c r="Z1075" t="s">
        <v>39</v>
      </c>
    </row>
    <row r="1076" spans="1:30" x14ac:dyDescent="0.25">
      <c r="A1076" s="4">
        <v>42556</v>
      </c>
      <c r="B1076" t="s">
        <v>30</v>
      </c>
      <c r="C1076">
        <v>113</v>
      </c>
      <c r="D1076">
        <v>9</v>
      </c>
      <c r="E1076">
        <v>2</v>
      </c>
      <c r="F1076" t="s">
        <v>41</v>
      </c>
      <c r="G1076" t="s">
        <v>32</v>
      </c>
      <c r="H1076" t="s">
        <v>33</v>
      </c>
      <c r="I1076" t="s">
        <v>57</v>
      </c>
      <c r="O1076" s="5"/>
      <c r="P1076" s="5"/>
      <c r="Z1076" t="s">
        <v>39</v>
      </c>
    </row>
    <row r="1077" spans="1:30" x14ac:dyDescent="0.25">
      <c r="A1077" s="4">
        <v>42556</v>
      </c>
      <c r="B1077" t="s">
        <v>30</v>
      </c>
      <c r="C1077">
        <v>402</v>
      </c>
      <c r="D1077">
        <v>1</v>
      </c>
      <c r="E1077">
        <v>1</v>
      </c>
      <c r="F1077" t="s">
        <v>41</v>
      </c>
      <c r="G1077" t="s">
        <v>32</v>
      </c>
      <c r="H1077" t="s">
        <v>33</v>
      </c>
      <c r="I1077" t="s">
        <v>58</v>
      </c>
      <c r="J1077" t="s">
        <v>42</v>
      </c>
      <c r="K1077" t="s">
        <v>36</v>
      </c>
      <c r="L1077" t="s">
        <v>37</v>
      </c>
      <c r="M1077">
        <v>0</v>
      </c>
      <c r="N1077">
        <v>1</v>
      </c>
      <c r="O1077" s="5">
        <v>50526</v>
      </c>
      <c r="P1077" s="5"/>
      <c r="Q1077">
        <f>40-9</f>
        <v>31</v>
      </c>
      <c r="R1077" t="s">
        <v>120</v>
      </c>
      <c r="S1077" t="s">
        <v>39</v>
      </c>
      <c r="Z1077" t="s">
        <v>39</v>
      </c>
      <c r="AB1077" t="s">
        <v>59</v>
      </c>
      <c r="AC1077" t="s">
        <v>56</v>
      </c>
    </row>
    <row r="1078" spans="1:30" x14ac:dyDescent="0.25">
      <c r="A1078" s="4">
        <v>42556</v>
      </c>
      <c r="B1078" t="s">
        <v>30</v>
      </c>
      <c r="C1078">
        <v>402</v>
      </c>
      <c r="D1078">
        <v>2</v>
      </c>
      <c r="E1078">
        <v>1</v>
      </c>
      <c r="F1078" t="s">
        <v>41</v>
      </c>
      <c r="G1078" t="s">
        <v>32</v>
      </c>
      <c r="H1078" t="s">
        <v>33</v>
      </c>
      <c r="I1078" t="s">
        <v>73</v>
      </c>
      <c r="J1078" t="s">
        <v>42</v>
      </c>
      <c r="K1078" t="s">
        <v>89</v>
      </c>
      <c r="L1078" t="s">
        <v>37</v>
      </c>
      <c r="M1078">
        <v>0</v>
      </c>
      <c r="N1078">
        <v>1</v>
      </c>
      <c r="O1078" s="5">
        <v>50551</v>
      </c>
      <c r="P1078" s="5"/>
      <c r="Q1078">
        <f>100-44</f>
        <v>56</v>
      </c>
      <c r="R1078" t="s">
        <v>38</v>
      </c>
      <c r="S1078" t="s">
        <v>39</v>
      </c>
      <c r="Z1078" t="s">
        <v>39</v>
      </c>
      <c r="AB1078" t="s">
        <v>59</v>
      </c>
      <c r="AC1078" t="s">
        <v>56</v>
      </c>
      <c r="AD1078" t="s">
        <v>147</v>
      </c>
    </row>
    <row r="1079" spans="1:30" x14ac:dyDescent="0.25">
      <c r="A1079" s="4">
        <v>42556</v>
      </c>
      <c r="B1079" t="s">
        <v>30</v>
      </c>
      <c r="C1079">
        <v>402</v>
      </c>
      <c r="D1079">
        <v>7</v>
      </c>
      <c r="E1079">
        <v>1</v>
      </c>
      <c r="F1079" t="s">
        <v>41</v>
      </c>
      <c r="G1079" t="s">
        <v>32</v>
      </c>
      <c r="H1079" t="s">
        <v>33</v>
      </c>
      <c r="I1079" t="s">
        <v>57</v>
      </c>
      <c r="O1079" s="5"/>
      <c r="P1079" s="5"/>
      <c r="Z1079" t="s">
        <v>39</v>
      </c>
    </row>
    <row r="1080" spans="1:30" x14ac:dyDescent="0.25">
      <c r="A1080" s="4">
        <v>42556</v>
      </c>
      <c r="B1080" t="s">
        <v>30</v>
      </c>
      <c r="C1080">
        <v>402</v>
      </c>
      <c r="D1080">
        <v>7</v>
      </c>
      <c r="E1080">
        <v>2</v>
      </c>
      <c r="F1080" t="s">
        <v>41</v>
      </c>
      <c r="G1080" t="s">
        <v>32</v>
      </c>
      <c r="H1080" t="s">
        <v>33</v>
      </c>
      <c r="I1080" t="s">
        <v>34</v>
      </c>
      <c r="J1080" t="s">
        <v>42</v>
      </c>
      <c r="K1080" t="s">
        <v>89</v>
      </c>
      <c r="L1080" t="s">
        <v>43</v>
      </c>
      <c r="M1080">
        <v>0</v>
      </c>
      <c r="N1080">
        <v>1</v>
      </c>
      <c r="O1080" s="5">
        <v>50553</v>
      </c>
      <c r="P1080" s="5">
        <v>50551</v>
      </c>
      <c r="Q1080">
        <f>25-11</f>
        <v>14</v>
      </c>
      <c r="R1080" t="s">
        <v>65</v>
      </c>
      <c r="T1080">
        <v>19</v>
      </c>
      <c r="U1080">
        <v>74</v>
      </c>
      <c r="V1080">
        <v>12</v>
      </c>
      <c r="W1080">
        <v>12.8</v>
      </c>
      <c r="X1080">
        <v>24.8</v>
      </c>
      <c r="Y1080" t="s">
        <v>182</v>
      </c>
      <c r="Z1080" t="s">
        <v>39</v>
      </c>
      <c r="AB1080" t="s">
        <v>59</v>
      </c>
      <c r="AC1080" t="s">
        <v>56</v>
      </c>
    </row>
    <row r="1081" spans="1:30" x14ac:dyDescent="0.25">
      <c r="A1081" s="4">
        <v>42556</v>
      </c>
      <c r="B1081" t="s">
        <v>30</v>
      </c>
      <c r="C1081">
        <v>402</v>
      </c>
      <c r="D1081">
        <v>8</v>
      </c>
      <c r="E1081">
        <v>1</v>
      </c>
      <c r="F1081" t="s">
        <v>41</v>
      </c>
      <c r="G1081" t="s">
        <v>32</v>
      </c>
      <c r="H1081" t="s">
        <v>33</v>
      </c>
      <c r="I1081" t="s">
        <v>57</v>
      </c>
      <c r="O1081" s="5"/>
      <c r="P1081" s="5"/>
      <c r="Z1081" t="s">
        <v>39</v>
      </c>
    </row>
    <row r="1082" spans="1:30" x14ac:dyDescent="0.25">
      <c r="A1082" s="4">
        <v>42556</v>
      </c>
      <c r="B1082" t="s">
        <v>30</v>
      </c>
      <c r="C1082">
        <v>402</v>
      </c>
      <c r="D1082">
        <v>8</v>
      </c>
      <c r="E1082">
        <v>2</v>
      </c>
      <c r="F1082" t="s">
        <v>41</v>
      </c>
      <c r="G1082" t="s">
        <v>32</v>
      </c>
      <c r="H1082" t="s">
        <v>33</v>
      </c>
      <c r="I1082" t="s">
        <v>91</v>
      </c>
      <c r="J1082" t="s">
        <v>42</v>
      </c>
      <c r="K1082" t="s">
        <v>36</v>
      </c>
      <c r="L1082" t="s">
        <v>37</v>
      </c>
      <c r="M1082">
        <v>0</v>
      </c>
      <c r="N1082">
        <v>1</v>
      </c>
      <c r="O1082" s="5"/>
      <c r="P1082" s="5">
        <v>50554</v>
      </c>
      <c r="Q1082">
        <f>34.5-11.5</f>
        <v>23</v>
      </c>
      <c r="R1082" t="s">
        <v>143</v>
      </c>
      <c r="S1082" t="s">
        <v>97</v>
      </c>
      <c r="T1082">
        <v>30.5</v>
      </c>
      <c r="Z1082" t="s">
        <v>39</v>
      </c>
      <c r="AB1082" t="s">
        <v>59</v>
      </c>
      <c r="AC1082" t="s">
        <v>56</v>
      </c>
    </row>
    <row r="1083" spans="1:30" x14ac:dyDescent="0.25">
      <c r="A1083" s="4">
        <v>42556</v>
      </c>
      <c r="B1083" t="s">
        <v>30</v>
      </c>
      <c r="C1083">
        <v>304</v>
      </c>
      <c r="D1083">
        <v>9</v>
      </c>
      <c r="E1083">
        <v>1</v>
      </c>
      <c r="F1083" t="s">
        <v>41</v>
      </c>
      <c r="G1083" t="s">
        <v>32</v>
      </c>
      <c r="H1083" t="s">
        <v>33</v>
      </c>
      <c r="I1083" t="s">
        <v>57</v>
      </c>
      <c r="O1083" s="5"/>
      <c r="P1083" s="5"/>
      <c r="Z1083" t="s">
        <v>39</v>
      </c>
    </row>
    <row r="1084" spans="1:30" x14ac:dyDescent="0.25">
      <c r="A1084" s="4">
        <v>42556</v>
      </c>
      <c r="B1084" t="s">
        <v>30</v>
      </c>
      <c r="C1084">
        <v>304</v>
      </c>
      <c r="D1084">
        <v>9</v>
      </c>
      <c r="E1084">
        <v>2</v>
      </c>
      <c r="F1084" t="s">
        <v>41</v>
      </c>
      <c r="G1084" t="s">
        <v>32</v>
      </c>
      <c r="H1084" t="s">
        <v>33</v>
      </c>
      <c r="I1084" t="s">
        <v>53</v>
      </c>
      <c r="J1084" t="s">
        <v>123</v>
      </c>
      <c r="O1084" s="5"/>
      <c r="P1084" s="5"/>
      <c r="Z1084" t="s">
        <v>39</v>
      </c>
    </row>
    <row r="1085" spans="1:30" x14ac:dyDescent="0.25">
      <c r="A1085" s="4">
        <v>42556</v>
      </c>
      <c r="B1085" t="s">
        <v>30</v>
      </c>
      <c r="C1085">
        <v>201</v>
      </c>
      <c r="D1085">
        <v>1</v>
      </c>
      <c r="E1085">
        <v>1</v>
      </c>
      <c r="F1085" t="s">
        <v>31</v>
      </c>
      <c r="G1085" t="s">
        <v>32</v>
      </c>
      <c r="H1085" t="s">
        <v>33</v>
      </c>
      <c r="I1085" t="s">
        <v>34</v>
      </c>
      <c r="J1085" t="s">
        <v>42</v>
      </c>
      <c r="K1085" t="s">
        <v>114</v>
      </c>
      <c r="L1085" t="s">
        <v>37</v>
      </c>
      <c r="M1085">
        <v>0</v>
      </c>
      <c r="N1085">
        <v>1</v>
      </c>
      <c r="O1085" s="5">
        <v>50627</v>
      </c>
      <c r="P1085" s="5">
        <v>50626</v>
      </c>
      <c r="Q1085">
        <f>30-12</f>
        <v>18</v>
      </c>
      <c r="R1085" t="s">
        <v>38</v>
      </c>
      <c r="S1085" t="s">
        <v>39</v>
      </c>
      <c r="T1085">
        <v>19.5</v>
      </c>
      <c r="U1085">
        <v>87</v>
      </c>
      <c r="V1085">
        <v>16</v>
      </c>
      <c r="W1085">
        <v>12.6</v>
      </c>
      <c r="X1085">
        <v>28.3</v>
      </c>
      <c r="Z1085" t="s">
        <v>39</v>
      </c>
      <c r="AB1085" t="s">
        <v>40</v>
      </c>
      <c r="AC1085" t="s">
        <v>56</v>
      </c>
      <c r="AD1085" t="s">
        <v>183</v>
      </c>
    </row>
    <row r="1086" spans="1:30" x14ac:dyDescent="0.25">
      <c r="A1086" s="4">
        <v>42556</v>
      </c>
      <c r="B1086" t="s">
        <v>30</v>
      </c>
      <c r="C1086">
        <v>201</v>
      </c>
      <c r="D1086">
        <v>4</v>
      </c>
      <c r="E1086">
        <v>1</v>
      </c>
      <c r="F1086" t="s">
        <v>31</v>
      </c>
      <c r="G1086" t="s">
        <v>32</v>
      </c>
      <c r="H1086" t="s">
        <v>33</v>
      </c>
      <c r="I1086" t="s">
        <v>34</v>
      </c>
      <c r="J1086" t="s">
        <v>35</v>
      </c>
      <c r="K1086" t="s">
        <v>114</v>
      </c>
      <c r="L1086" t="s">
        <v>43</v>
      </c>
      <c r="M1086">
        <v>0</v>
      </c>
      <c r="N1086">
        <v>0</v>
      </c>
      <c r="O1086" s="5">
        <v>50409</v>
      </c>
      <c r="P1086" s="5">
        <v>50408</v>
      </c>
      <c r="Q1086">
        <f>30-9.5</f>
        <v>20.5</v>
      </c>
      <c r="R1086" t="s">
        <v>47</v>
      </c>
      <c r="T1086">
        <v>19</v>
      </c>
      <c r="U1086">
        <v>87.5</v>
      </c>
      <c r="V1086">
        <v>17</v>
      </c>
      <c r="W1086">
        <v>13.1</v>
      </c>
      <c r="X1086">
        <v>26.4</v>
      </c>
      <c r="Z1086" t="s">
        <v>39</v>
      </c>
      <c r="AB1086" t="s">
        <v>40</v>
      </c>
      <c r="AC1086" t="s">
        <v>56</v>
      </c>
    </row>
    <row r="1087" spans="1:30" x14ac:dyDescent="0.25">
      <c r="A1087" s="4">
        <v>42556</v>
      </c>
      <c r="B1087" t="s">
        <v>30</v>
      </c>
      <c r="C1087">
        <v>201</v>
      </c>
      <c r="D1087">
        <v>6</v>
      </c>
      <c r="E1087">
        <v>1</v>
      </c>
      <c r="F1087" t="s">
        <v>31</v>
      </c>
      <c r="G1087" t="s">
        <v>32</v>
      </c>
      <c r="H1087" t="s">
        <v>33</v>
      </c>
      <c r="I1087" t="s">
        <v>58</v>
      </c>
      <c r="J1087" t="s">
        <v>42</v>
      </c>
      <c r="K1087" t="s">
        <v>36</v>
      </c>
      <c r="L1087" t="s">
        <v>43</v>
      </c>
      <c r="M1087">
        <v>0</v>
      </c>
      <c r="N1087">
        <v>1</v>
      </c>
      <c r="O1087" s="5">
        <v>50629</v>
      </c>
      <c r="P1087" s="5"/>
      <c r="Q1087">
        <v>33</v>
      </c>
      <c r="R1087" t="s">
        <v>47</v>
      </c>
      <c r="T1087">
        <v>17</v>
      </c>
      <c r="W1087">
        <v>13.3</v>
      </c>
      <c r="X1087">
        <v>27.75</v>
      </c>
      <c r="Z1087" t="s">
        <v>39</v>
      </c>
      <c r="AB1087" t="s">
        <v>40</v>
      </c>
      <c r="AC1087" t="s">
        <v>56</v>
      </c>
    </row>
    <row r="1088" spans="1:30" x14ac:dyDescent="0.25">
      <c r="A1088" s="4">
        <v>42556</v>
      </c>
      <c r="B1088" t="s">
        <v>30</v>
      </c>
      <c r="C1088">
        <v>201</v>
      </c>
      <c r="D1088">
        <v>7</v>
      </c>
      <c r="E1088">
        <v>1</v>
      </c>
      <c r="F1088" t="s">
        <v>31</v>
      </c>
      <c r="G1088" t="s">
        <v>32</v>
      </c>
      <c r="H1088" t="s">
        <v>33</v>
      </c>
      <c r="I1088" t="s">
        <v>57</v>
      </c>
      <c r="O1088" s="5"/>
      <c r="P1088" s="5"/>
      <c r="Z1088" t="s">
        <v>39</v>
      </c>
    </row>
    <row r="1089" spans="1:29" x14ac:dyDescent="0.25">
      <c r="A1089" s="4">
        <v>42556</v>
      </c>
      <c r="B1089" t="s">
        <v>30</v>
      </c>
      <c r="C1089">
        <v>201</v>
      </c>
      <c r="D1089">
        <v>7</v>
      </c>
      <c r="E1089">
        <v>2</v>
      </c>
      <c r="F1089" t="s">
        <v>31</v>
      </c>
      <c r="G1089" t="s">
        <v>32</v>
      </c>
      <c r="H1089" t="s">
        <v>33</v>
      </c>
      <c r="I1089" t="s">
        <v>57</v>
      </c>
      <c r="O1089" s="5"/>
      <c r="P1089" s="5"/>
      <c r="Z1089" t="s">
        <v>39</v>
      </c>
    </row>
    <row r="1090" spans="1:29" x14ac:dyDescent="0.25">
      <c r="A1090" s="4">
        <v>42556</v>
      </c>
      <c r="B1090" t="s">
        <v>30</v>
      </c>
      <c r="C1090">
        <v>201</v>
      </c>
      <c r="D1090">
        <v>8</v>
      </c>
      <c r="E1090">
        <v>1</v>
      </c>
      <c r="F1090" t="s">
        <v>31</v>
      </c>
      <c r="G1090" t="s">
        <v>32</v>
      </c>
      <c r="H1090" t="s">
        <v>33</v>
      </c>
      <c r="I1090" t="s">
        <v>34</v>
      </c>
      <c r="J1090" t="s">
        <v>42</v>
      </c>
      <c r="K1090" t="s">
        <v>114</v>
      </c>
      <c r="L1090" t="s">
        <v>43</v>
      </c>
      <c r="M1090">
        <v>0</v>
      </c>
      <c r="N1090">
        <v>1</v>
      </c>
      <c r="O1090" s="5">
        <v>50630</v>
      </c>
      <c r="P1090" s="5">
        <v>50628</v>
      </c>
      <c r="Q1090">
        <v>19.5</v>
      </c>
      <c r="R1090" t="s">
        <v>47</v>
      </c>
      <c r="T1090">
        <v>19</v>
      </c>
      <c r="U1090">
        <v>85</v>
      </c>
      <c r="V1090">
        <v>17.5</v>
      </c>
      <c r="W1090">
        <v>12.4</v>
      </c>
      <c r="X1090">
        <v>27.3</v>
      </c>
      <c r="Z1090" t="s">
        <v>39</v>
      </c>
      <c r="AB1090" t="s">
        <v>40</v>
      </c>
      <c r="AC1090" t="s">
        <v>56</v>
      </c>
    </row>
    <row r="1091" spans="1:29" x14ac:dyDescent="0.25">
      <c r="A1091" s="4">
        <v>42556</v>
      </c>
      <c r="B1091" t="s">
        <v>30</v>
      </c>
      <c r="C1091">
        <v>203</v>
      </c>
      <c r="D1091">
        <v>1</v>
      </c>
      <c r="E1091">
        <v>1</v>
      </c>
      <c r="F1091" t="s">
        <v>31</v>
      </c>
      <c r="G1091" t="s">
        <v>32</v>
      </c>
      <c r="H1091" t="s">
        <v>33</v>
      </c>
      <c r="I1091" t="s">
        <v>53</v>
      </c>
      <c r="J1091" t="s">
        <v>62</v>
      </c>
      <c r="O1091" s="5"/>
      <c r="P1091" s="5"/>
      <c r="Z1091" t="s">
        <v>39</v>
      </c>
    </row>
    <row r="1092" spans="1:29" x14ac:dyDescent="0.25">
      <c r="A1092" s="4">
        <v>42556</v>
      </c>
      <c r="B1092" t="s">
        <v>30</v>
      </c>
      <c r="C1092">
        <v>203</v>
      </c>
      <c r="D1092">
        <v>2</v>
      </c>
      <c r="E1092">
        <v>1</v>
      </c>
      <c r="F1092" t="s">
        <v>31</v>
      </c>
      <c r="G1092" t="s">
        <v>32</v>
      </c>
      <c r="H1092" t="s">
        <v>33</v>
      </c>
      <c r="I1092" t="s">
        <v>57</v>
      </c>
      <c r="O1092" s="5"/>
      <c r="P1092" s="5"/>
      <c r="Z1092" t="s">
        <v>39</v>
      </c>
    </row>
    <row r="1093" spans="1:29" x14ac:dyDescent="0.25">
      <c r="A1093" s="4">
        <v>42556</v>
      </c>
      <c r="B1093" t="s">
        <v>30</v>
      </c>
      <c r="C1093">
        <v>203</v>
      </c>
      <c r="D1093">
        <v>3</v>
      </c>
      <c r="E1093">
        <v>1</v>
      </c>
      <c r="F1093" t="s">
        <v>31</v>
      </c>
      <c r="G1093" t="s">
        <v>32</v>
      </c>
      <c r="H1093" t="s">
        <v>33</v>
      </c>
      <c r="I1093" t="s">
        <v>57</v>
      </c>
      <c r="O1093" s="5"/>
      <c r="P1093" s="5"/>
      <c r="Z1093" t="s">
        <v>39</v>
      </c>
    </row>
    <row r="1094" spans="1:29" x14ac:dyDescent="0.25">
      <c r="A1094" s="4">
        <v>42556</v>
      </c>
      <c r="B1094" t="s">
        <v>30</v>
      </c>
      <c r="C1094">
        <v>203</v>
      </c>
      <c r="D1094">
        <v>3</v>
      </c>
      <c r="E1094">
        <v>2</v>
      </c>
      <c r="F1094" t="s">
        <v>31</v>
      </c>
      <c r="G1094" t="s">
        <v>32</v>
      </c>
      <c r="H1094" t="s">
        <v>33</v>
      </c>
      <c r="I1094" t="s">
        <v>57</v>
      </c>
      <c r="O1094" s="5"/>
      <c r="P1094" s="5"/>
      <c r="Z1094" t="s">
        <v>39</v>
      </c>
    </row>
    <row r="1095" spans="1:29" x14ac:dyDescent="0.25">
      <c r="A1095" s="4">
        <v>42556</v>
      </c>
      <c r="B1095" t="s">
        <v>30</v>
      </c>
      <c r="C1095">
        <v>203</v>
      </c>
      <c r="D1095">
        <v>4</v>
      </c>
      <c r="E1095">
        <v>1</v>
      </c>
      <c r="F1095" t="s">
        <v>31</v>
      </c>
      <c r="G1095" t="s">
        <v>32</v>
      </c>
      <c r="H1095" t="s">
        <v>33</v>
      </c>
      <c r="I1095" t="s">
        <v>57</v>
      </c>
      <c r="O1095" s="5"/>
      <c r="P1095" s="5"/>
      <c r="Z1095" t="s">
        <v>39</v>
      </c>
    </row>
    <row r="1096" spans="1:29" x14ac:dyDescent="0.25">
      <c r="A1096" s="4">
        <v>42556</v>
      </c>
      <c r="B1096" t="s">
        <v>30</v>
      </c>
      <c r="C1096">
        <v>203</v>
      </c>
      <c r="D1096">
        <v>4</v>
      </c>
      <c r="E1096">
        <v>2</v>
      </c>
      <c r="F1096" t="s">
        <v>31</v>
      </c>
      <c r="G1096" t="s">
        <v>32</v>
      </c>
      <c r="H1096" t="s">
        <v>33</v>
      </c>
      <c r="I1096" t="s">
        <v>91</v>
      </c>
      <c r="J1096" t="s">
        <v>42</v>
      </c>
      <c r="K1096" t="s">
        <v>36</v>
      </c>
      <c r="L1096" t="s">
        <v>37</v>
      </c>
      <c r="M1096">
        <v>0</v>
      </c>
      <c r="N1096">
        <v>1</v>
      </c>
      <c r="O1096" s="5">
        <v>50631</v>
      </c>
      <c r="P1096" s="5"/>
      <c r="Q1096">
        <v>21.5</v>
      </c>
      <c r="R1096" t="s">
        <v>74</v>
      </c>
      <c r="S1096" t="s">
        <v>97</v>
      </c>
      <c r="T1096">
        <v>28</v>
      </c>
      <c r="W1096">
        <v>12</v>
      </c>
      <c r="X1096">
        <v>27.5</v>
      </c>
      <c r="Z1096" t="s">
        <v>39</v>
      </c>
      <c r="AB1096" t="s">
        <v>40</v>
      </c>
      <c r="AC1096" t="s">
        <v>56</v>
      </c>
    </row>
    <row r="1097" spans="1:29" x14ac:dyDescent="0.25">
      <c r="A1097" s="4">
        <v>42556</v>
      </c>
      <c r="B1097" t="s">
        <v>30</v>
      </c>
      <c r="C1097">
        <v>203</v>
      </c>
      <c r="D1097">
        <v>5</v>
      </c>
      <c r="E1097">
        <v>1</v>
      </c>
      <c r="F1097" t="s">
        <v>31</v>
      </c>
      <c r="G1097" t="s">
        <v>32</v>
      </c>
      <c r="H1097" t="s">
        <v>33</v>
      </c>
      <c r="I1097" t="s">
        <v>34</v>
      </c>
      <c r="J1097" t="s">
        <v>35</v>
      </c>
      <c r="K1097" t="s">
        <v>36</v>
      </c>
      <c r="L1097" t="s">
        <v>43</v>
      </c>
      <c r="M1097">
        <v>0</v>
      </c>
      <c r="N1097">
        <v>0</v>
      </c>
      <c r="O1097" s="5">
        <v>50491</v>
      </c>
      <c r="P1097" s="5">
        <v>50357</v>
      </c>
      <c r="Q1097">
        <v>21</v>
      </c>
      <c r="R1097" t="s">
        <v>47</v>
      </c>
      <c r="T1097">
        <v>20</v>
      </c>
      <c r="U1097">
        <v>98</v>
      </c>
      <c r="V1097">
        <v>16.5</v>
      </c>
      <c r="W1097">
        <v>12.5</v>
      </c>
      <c r="X1097">
        <v>27.7</v>
      </c>
      <c r="Z1097" t="s">
        <v>39</v>
      </c>
      <c r="AB1097" t="s">
        <v>40</v>
      </c>
      <c r="AC1097" t="s">
        <v>56</v>
      </c>
    </row>
    <row r="1098" spans="1:29" x14ac:dyDescent="0.25">
      <c r="A1098" s="4">
        <v>42556</v>
      </c>
      <c r="B1098" t="s">
        <v>30</v>
      </c>
      <c r="C1098">
        <v>203</v>
      </c>
      <c r="D1098">
        <v>7</v>
      </c>
      <c r="E1098">
        <v>1</v>
      </c>
      <c r="F1098" t="s">
        <v>31</v>
      </c>
      <c r="G1098" t="s">
        <v>32</v>
      </c>
      <c r="H1098" t="s">
        <v>33</v>
      </c>
      <c r="I1098" t="s">
        <v>57</v>
      </c>
      <c r="O1098" s="5"/>
      <c r="P1098" s="5"/>
      <c r="Z1098" t="s">
        <v>39</v>
      </c>
    </row>
    <row r="1099" spans="1:29" x14ac:dyDescent="0.25">
      <c r="A1099" s="4">
        <v>42556</v>
      </c>
      <c r="B1099" t="s">
        <v>30</v>
      </c>
      <c r="C1099">
        <v>203</v>
      </c>
      <c r="D1099">
        <v>7</v>
      </c>
      <c r="E1099">
        <v>2</v>
      </c>
      <c r="F1099" t="s">
        <v>31</v>
      </c>
      <c r="G1099" t="s">
        <v>32</v>
      </c>
      <c r="H1099" t="s">
        <v>33</v>
      </c>
      <c r="I1099" t="s">
        <v>57</v>
      </c>
      <c r="O1099" s="5"/>
      <c r="P1099" s="5"/>
      <c r="Z1099" t="s">
        <v>39</v>
      </c>
    </row>
    <row r="1100" spans="1:29" x14ac:dyDescent="0.25">
      <c r="A1100" s="4">
        <v>42556</v>
      </c>
      <c r="B1100" t="s">
        <v>30</v>
      </c>
      <c r="C1100">
        <v>203</v>
      </c>
      <c r="D1100">
        <v>8</v>
      </c>
      <c r="E1100">
        <v>1</v>
      </c>
      <c r="F1100" t="s">
        <v>31</v>
      </c>
      <c r="G1100" t="s">
        <v>32</v>
      </c>
      <c r="H1100" t="s">
        <v>33</v>
      </c>
      <c r="I1100" t="s">
        <v>34</v>
      </c>
      <c r="J1100" t="s">
        <v>42</v>
      </c>
      <c r="K1100" t="s">
        <v>114</v>
      </c>
      <c r="L1100" t="s">
        <v>37</v>
      </c>
      <c r="M1100">
        <v>0</v>
      </c>
      <c r="N1100">
        <v>1</v>
      </c>
      <c r="O1100" s="5">
        <v>50633</v>
      </c>
      <c r="P1100" s="5">
        <v>50634</v>
      </c>
      <c r="Q1100">
        <f>34-10.5</f>
        <v>23.5</v>
      </c>
      <c r="R1100" t="s">
        <v>81</v>
      </c>
      <c r="S1100" t="s">
        <v>39</v>
      </c>
      <c r="T1100">
        <v>19</v>
      </c>
      <c r="U1100">
        <v>79</v>
      </c>
      <c r="V1100">
        <v>16</v>
      </c>
      <c r="W1100">
        <v>13.5</v>
      </c>
      <c r="X1100">
        <v>27.7</v>
      </c>
      <c r="Z1100" t="s">
        <v>39</v>
      </c>
      <c r="AB1100" t="s">
        <v>40</v>
      </c>
      <c r="AC1100" t="s">
        <v>56</v>
      </c>
    </row>
    <row r="1101" spans="1:29" x14ac:dyDescent="0.25">
      <c r="A1101" s="4">
        <v>42556</v>
      </c>
      <c r="B1101" t="s">
        <v>30</v>
      </c>
      <c r="C1101">
        <v>203</v>
      </c>
      <c r="D1101">
        <v>8</v>
      </c>
      <c r="E1101">
        <v>2</v>
      </c>
      <c r="F1101" t="s">
        <v>31</v>
      </c>
      <c r="G1101" t="s">
        <v>32</v>
      </c>
      <c r="H1101" t="s">
        <v>33</v>
      </c>
      <c r="I1101" t="s">
        <v>91</v>
      </c>
      <c r="J1101" t="s">
        <v>42</v>
      </c>
      <c r="K1101" t="s">
        <v>36</v>
      </c>
      <c r="M1101">
        <v>0</v>
      </c>
      <c r="N1101">
        <v>1</v>
      </c>
      <c r="O1101" s="5">
        <v>50635</v>
      </c>
      <c r="P1101" s="5"/>
      <c r="Q1101">
        <f>31-9.5</f>
        <v>21.5</v>
      </c>
      <c r="Z1101" t="s">
        <v>39</v>
      </c>
      <c r="AB1101" t="s">
        <v>40</v>
      </c>
      <c r="AC1101" t="s">
        <v>56</v>
      </c>
    </row>
    <row r="1102" spans="1:29" x14ac:dyDescent="0.25">
      <c r="A1102" s="4">
        <v>42556</v>
      </c>
      <c r="B1102" t="s">
        <v>30</v>
      </c>
      <c r="C1102">
        <v>203</v>
      </c>
      <c r="D1102">
        <v>9</v>
      </c>
      <c r="E1102">
        <v>1</v>
      </c>
      <c r="F1102" t="s">
        <v>31</v>
      </c>
      <c r="G1102" t="s">
        <v>32</v>
      </c>
      <c r="H1102" t="s">
        <v>33</v>
      </c>
      <c r="I1102" t="s">
        <v>34</v>
      </c>
      <c r="J1102" t="s">
        <v>35</v>
      </c>
      <c r="K1102" t="s">
        <v>36</v>
      </c>
      <c r="L1102" t="s">
        <v>43</v>
      </c>
      <c r="M1102">
        <v>0</v>
      </c>
      <c r="N1102">
        <v>0</v>
      </c>
      <c r="O1102" s="5" t="s">
        <v>155</v>
      </c>
      <c r="P1102" s="5" t="s">
        <v>156</v>
      </c>
      <c r="Q1102">
        <v>20.5</v>
      </c>
      <c r="R1102" t="s">
        <v>65</v>
      </c>
      <c r="T1102">
        <v>19</v>
      </c>
      <c r="U1102">
        <v>93</v>
      </c>
      <c r="V1102">
        <v>16</v>
      </c>
      <c r="W1102">
        <v>12.9</v>
      </c>
      <c r="X1102">
        <v>28.3</v>
      </c>
      <c r="Z1102" t="s">
        <v>39</v>
      </c>
      <c r="AB1102" t="s">
        <v>40</v>
      </c>
      <c r="AC1102" t="s">
        <v>56</v>
      </c>
    </row>
    <row r="1103" spans="1:29" x14ac:dyDescent="0.25">
      <c r="A1103" s="4">
        <v>42556</v>
      </c>
      <c r="B1103" t="s">
        <v>30</v>
      </c>
      <c r="C1103">
        <v>203</v>
      </c>
      <c r="D1103">
        <v>9</v>
      </c>
      <c r="E1103">
        <v>2</v>
      </c>
      <c r="F1103" t="s">
        <v>31</v>
      </c>
      <c r="G1103" t="s">
        <v>32</v>
      </c>
      <c r="H1103" t="s">
        <v>33</v>
      </c>
      <c r="I1103" t="s">
        <v>64</v>
      </c>
      <c r="J1103" t="s">
        <v>42</v>
      </c>
      <c r="K1103" t="s">
        <v>36</v>
      </c>
      <c r="L1103" t="s">
        <v>43</v>
      </c>
      <c r="M1103">
        <v>0</v>
      </c>
      <c r="N1103">
        <v>1</v>
      </c>
      <c r="O1103" s="5">
        <v>50636</v>
      </c>
      <c r="P1103" s="5"/>
      <c r="Q1103">
        <f>225-90</f>
        <v>135</v>
      </c>
      <c r="R1103" t="s">
        <v>39</v>
      </c>
      <c r="T1103">
        <v>46</v>
      </c>
      <c r="W1103">
        <v>25.5</v>
      </c>
      <c r="X1103">
        <v>46.1</v>
      </c>
      <c r="Z1103" t="s">
        <v>39</v>
      </c>
      <c r="AB1103" t="s">
        <v>40</v>
      </c>
      <c r="AC1103" t="s">
        <v>56</v>
      </c>
    </row>
    <row r="1104" spans="1:29" x14ac:dyDescent="0.25">
      <c r="A1104" s="4">
        <v>42556</v>
      </c>
      <c r="B1104" t="s">
        <v>30</v>
      </c>
      <c r="C1104">
        <v>202</v>
      </c>
      <c r="D1104">
        <v>1</v>
      </c>
      <c r="E1104">
        <v>1</v>
      </c>
      <c r="F1104" t="s">
        <v>31</v>
      </c>
      <c r="G1104" t="s">
        <v>32</v>
      </c>
      <c r="H1104" t="s">
        <v>33</v>
      </c>
      <c r="I1104" t="s">
        <v>34</v>
      </c>
      <c r="J1104" t="s">
        <v>42</v>
      </c>
      <c r="K1104" t="s">
        <v>114</v>
      </c>
      <c r="L1104" t="s">
        <v>43</v>
      </c>
      <c r="M1104">
        <v>0</v>
      </c>
      <c r="N1104">
        <v>1</v>
      </c>
      <c r="O1104" s="5">
        <v>50637</v>
      </c>
      <c r="P1104" s="5">
        <v>50638</v>
      </c>
      <c r="Q1104">
        <f>24-10</f>
        <v>14</v>
      </c>
      <c r="R1104" t="s">
        <v>65</v>
      </c>
      <c r="T1104">
        <v>18</v>
      </c>
      <c r="U1104">
        <v>85</v>
      </c>
      <c r="V1104">
        <v>16</v>
      </c>
      <c r="W1104">
        <v>12.6</v>
      </c>
      <c r="X1104">
        <v>27.5</v>
      </c>
      <c r="Z1104" t="s">
        <v>39</v>
      </c>
      <c r="AB1104" t="s">
        <v>40</v>
      </c>
      <c r="AC1104" t="s">
        <v>56</v>
      </c>
    </row>
    <row r="1105" spans="1:29" x14ac:dyDescent="0.25">
      <c r="A1105" s="4">
        <v>42556</v>
      </c>
      <c r="B1105" t="s">
        <v>30</v>
      </c>
      <c r="C1105">
        <v>202</v>
      </c>
      <c r="D1105">
        <v>2</v>
      </c>
      <c r="E1105">
        <v>1</v>
      </c>
      <c r="F1105" t="s">
        <v>31</v>
      </c>
      <c r="G1105" t="s">
        <v>32</v>
      </c>
      <c r="H1105" t="s">
        <v>33</v>
      </c>
      <c r="I1105" t="s">
        <v>57</v>
      </c>
      <c r="O1105" s="5"/>
      <c r="P1105" s="5"/>
      <c r="Z1105" t="s">
        <v>39</v>
      </c>
    </row>
    <row r="1106" spans="1:29" x14ac:dyDescent="0.25">
      <c r="A1106" s="4">
        <v>42556</v>
      </c>
      <c r="B1106" t="s">
        <v>30</v>
      </c>
      <c r="C1106">
        <v>202</v>
      </c>
      <c r="D1106">
        <v>3</v>
      </c>
      <c r="E1106">
        <v>1</v>
      </c>
      <c r="F1106" t="s">
        <v>31</v>
      </c>
      <c r="G1106" t="s">
        <v>32</v>
      </c>
      <c r="H1106" t="s">
        <v>33</v>
      </c>
      <c r="I1106" t="s">
        <v>57</v>
      </c>
      <c r="O1106" s="5"/>
      <c r="P1106" s="5"/>
      <c r="Z1106" t="s">
        <v>39</v>
      </c>
    </row>
    <row r="1107" spans="1:29" x14ac:dyDescent="0.25">
      <c r="A1107" s="4">
        <v>42556</v>
      </c>
      <c r="B1107" t="s">
        <v>30</v>
      </c>
      <c r="C1107">
        <v>202</v>
      </c>
      <c r="D1107">
        <v>3</v>
      </c>
      <c r="E1107">
        <v>2</v>
      </c>
      <c r="F1107" t="s">
        <v>31</v>
      </c>
      <c r="G1107" t="s">
        <v>32</v>
      </c>
      <c r="H1107" t="s">
        <v>33</v>
      </c>
      <c r="I1107" t="s">
        <v>57</v>
      </c>
      <c r="O1107" s="5"/>
      <c r="P1107" s="5"/>
      <c r="Z1107" t="s">
        <v>39</v>
      </c>
    </row>
    <row r="1108" spans="1:29" x14ac:dyDescent="0.25">
      <c r="A1108" s="4">
        <v>42556</v>
      </c>
      <c r="B1108" t="s">
        <v>30</v>
      </c>
      <c r="C1108">
        <v>202</v>
      </c>
      <c r="D1108">
        <v>4</v>
      </c>
      <c r="E1108">
        <v>1</v>
      </c>
      <c r="F1108" t="s">
        <v>31</v>
      </c>
      <c r="G1108" t="s">
        <v>32</v>
      </c>
      <c r="H1108" t="s">
        <v>33</v>
      </c>
      <c r="I1108" t="s">
        <v>57</v>
      </c>
      <c r="O1108" s="5"/>
      <c r="P1108" s="5"/>
      <c r="Z1108" t="s">
        <v>39</v>
      </c>
    </row>
    <row r="1109" spans="1:29" x14ac:dyDescent="0.25">
      <c r="A1109" s="4">
        <v>42556</v>
      </c>
      <c r="B1109" t="s">
        <v>30</v>
      </c>
      <c r="C1109">
        <v>202</v>
      </c>
      <c r="D1109">
        <v>4</v>
      </c>
      <c r="E1109">
        <v>2</v>
      </c>
      <c r="F1109" t="s">
        <v>31</v>
      </c>
      <c r="G1109" t="s">
        <v>32</v>
      </c>
      <c r="H1109" t="s">
        <v>33</v>
      </c>
      <c r="I1109" t="s">
        <v>34</v>
      </c>
      <c r="J1109" t="s">
        <v>42</v>
      </c>
      <c r="K1109" t="s">
        <v>114</v>
      </c>
      <c r="L1109" t="s">
        <v>43</v>
      </c>
      <c r="M1109">
        <v>0</v>
      </c>
      <c r="N1109">
        <v>1</v>
      </c>
      <c r="O1109" s="5">
        <v>50640</v>
      </c>
      <c r="P1109" s="5">
        <v>50639</v>
      </c>
      <c r="Q1109">
        <f>28.5-9.5</f>
        <v>19</v>
      </c>
      <c r="R1109" t="s">
        <v>65</v>
      </c>
      <c r="T1109">
        <v>19</v>
      </c>
      <c r="U1109">
        <v>87</v>
      </c>
      <c r="V1109">
        <v>17</v>
      </c>
      <c r="W1109">
        <v>13.3</v>
      </c>
      <c r="X1109">
        <v>30.1</v>
      </c>
      <c r="Z1109" t="s">
        <v>39</v>
      </c>
      <c r="AB1109" t="s">
        <v>40</v>
      </c>
      <c r="AC1109" t="s">
        <v>56</v>
      </c>
    </row>
    <row r="1110" spans="1:29" x14ac:dyDescent="0.25">
      <c r="A1110" s="4">
        <v>42556</v>
      </c>
      <c r="B1110" t="s">
        <v>30</v>
      </c>
      <c r="C1110">
        <v>202</v>
      </c>
      <c r="D1110">
        <v>5</v>
      </c>
      <c r="E1110">
        <v>1</v>
      </c>
      <c r="F1110" t="s">
        <v>31</v>
      </c>
      <c r="G1110" t="s">
        <v>32</v>
      </c>
      <c r="H1110" t="s">
        <v>33</v>
      </c>
      <c r="I1110" t="s">
        <v>34</v>
      </c>
      <c r="J1110" t="s">
        <v>42</v>
      </c>
      <c r="K1110" t="s">
        <v>89</v>
      </c>
      <c r="L1110" t="s">
        <v>43</v>
      </c>
      <c r="M1110">
        <v>0</v>
      </c>
      <c r="N1110">
        <v>1</v>
      </c>
      <c r="O1110" s="5">
        <v>50642</v>
      </c>
      <c r="P1110" s="5">
        <v>50641</v>
      </c>
      <c r="Q1110">
        <f>23-9.5</f>
        <v>13.5</v>
      </c>
      <c r="R1110" t="s">
        <v>65</v>
      </c>
      <c r="T1110">
        <v>19</v>
      </c>
      <c r="U1110">
        <v>82</v>
      </c>
      <c r="V1110">
        <v>15</v>
      </c>
      <c r="W1110">
        <v>12.4</v>
      </c>
      <c r="X1110">
        <v>27.8</v>
      </c>
      <c r="Z1110" t="s">
        <v>39</v>
      </c>
      <c r="AB1110" t="s">
        <v>40</v>
      </c>
      <c r="AC1110" t="s">
        <v>56</v>
      </c>
    </row>
    <row r="1111" spans="1:29" x14ac:dyDescent="0.25">
      <c r="A1111" s="4">
        <v>42556</v>
      </c>
      <c r="B1111" t="s">
        <v>30</v>
      </c>
      <c r="C1111">
        <v>202</v>
      </c>
      <c r="D1111">
        <v>5</v>
      </c>
      <c r="E1111">
        <v>2</v>
      </c>
      <c r="F1111" t="s">
        <v>31</v>
      </c>
      <c r="G1111" t="s">
        <v>32</v>
      </c>
      <c r="H1111" t="s">
        <v>33</v>
      </c>
      <c r="I1111" t="s">
        <v>34</v>
      </c>
      <c r="J1111" t="s">
        <v>35</v>
      </c>
      <c r="K1111" t="s">
        <v>36</v>
      </c>
      <c r="L1111" t="s">
        <v>43</v>
      </c>
      <c r="M1111">
        <v>0</v>
      </c>
      <c r="N1111">
        <v>0</v>
      </c>
      <c r="O1111" s="5">
        <v>50410</v>
      </c>
      <c r="P1111" s="5">
        <v>50412</v>
      </c>
      <c r="Q1111">
        <f>31.5-9.5</f>
        <v>22</v>
      </c>
      <c r="R1111" t="s">
        <v>65</v>
      </c>
      <c r="T1111">
        <v>19.5</v>
      </c>
      <c r="U1111">
        <v>94</v>
      </c>
      <c r="V1111">
        <v>16</v>
      </c>
      <c r="W1111">
        <v>13.6</v>
      </c>
      <c r="X1111">
        <v>29.5</v>
      </c>
      <c r="Z1111" t="s">
        <v>39</v>
      </c>
      <c r="AB1111" t="s">
        <v>40</v>
      </c>
      <c r="AC1111" t="s">
        <v>56</v>
      </c>
    </row>
    <row r="1112" spans="1:29" x14ac:dyDescent="0.25">
      <c r="A1112" s="4">
        <v>42556</v>
      </c>
      <c r="B1112" t="s">
        <v>30</v>
      </c>
      <c r="C1112">
        <v>202</v>
      </c>
      <c r="D1112">
        <v>6</v>
      </c>
      <c r="E1112">
        <v>1</v>
      </c>
      <c r="F1112" t="s">
        <v>31</v>
      </c>
      <c r="G1112" t="s">
        <v>32</v>
      </c>
      <c r="H1112" t="s">
        <v>33</v>
      </c>
      <c r="I1112" t="s">
        <v>57</v>
      </c>
      <c r="O1112" s="5"/>
      <c r="P1112" s="5"/>
      <c r="Z1112" t="s">
        <v>39</v>
      </c>
    </row>
    <row r="1113" spans="1:29" x14ac:dyDescent="0.25">
      <c r="A1113" s="4">
        <v>42556</v>
      </c>
      <c r="B1113" t="s">
        <v>30</v>
      </c>
      <c r="C1113">
        <v>202</v>
      </c>
      <c r="D1113">
        <v>6</v>
      </c>
      <c r="E1113">
        <v>2</v>
      </c>
      <c r="F1113" t="s">
        <v>31</v>
      </c>
      <c r="G1113" t="s">
        <v>32</v>
      </c>
      <c r="H1113" t="s">
        <v>33</v>
      </c>
      <c r="I1113" t="s">
        <v>34</v>
      </c>
      <c r="J1113" t="s">
        <v>42</v>
      </c>
      <c r="K1113" t="s">
        <v>114</v>
      </c>
      <c r="L1113" t="s">
        <v>43</v>
      </c>
      <c r="M1113">
        <v>0</v>
      </c>
      <c r="N1113">
        <v>1</v>
      </c>
      <c r="O1113" s="5">
        <v>50644</v>
      </c>
      <c r="P1113" s="5">
        <v>50643</v>
      </c>
      <c r="Q1113">
        <v>15</v>
      </c>
      <c r="R1113" t="s">
        <v>65</v>
      </c>
      <c r="T1113">
        <v>18</v>
      </c>
      <c r="U1113">
        <v>88</v>
      </c>
      <c r="V1113">
        <v>13.5</v>
      </c>
      <c r="W1113">
        <v>12.5</v>
      </c>
      <c r="X1113">
        <v>28.6</v>
      </c>
      <c r="Y1113" t="s">
        <v>184</v>
      </c>
      <c r="Z1113" t="s">
        <v>39</v>
      </c>
      <c r="AB1113" t="s">
        <v>40</v>
      </c>
      <c r="AC1113" t="s">
        <v>56</v>
      </c>
    </row>
    <row r="1114" spans="1:29" x14ac:dyDescent="0.25">
      <c r="A1114" s="4">
        <v>42556</v>
      </c>
      <c r="B1114" t="s">
        <v>30</v>
      </c>
      <c r="C1114">
        <v>202</v>
      </c>
      <c r="D1114">
        <v>7</v>
      </c>
      <c r="E1114">
        <v>1</v>
      </c>
      <c r="F1114" t="s">
        <v>31</v>
      </c>
      <c r="G1114" t="s">
        <v>32</v>
      </c>
      <c r="H1114" t="s">
        <v>33</v>
      </c>
      <c r="I1114" t="s">
        <v>34</v>
      </c>
      <c r="J1114" t="s">
        <v>42</v>
      </c>
      <c r="K1114" t="s">
        <v>36</v>
      </c>
      <c r="L1114" t="s">
        <v>37</v>
      </c>
      <c r="M1114">
        <v>0</v>
      </c>
      <c r="N1114">
        <v>1</v>
      </c>
      <c r="O1114" s="5">
        <v>50645</v>
      </c>
      <c r="P1114" s="5"/>
      <c r="Q1114">
        <f>34-12.5</f>
        <v>21.5</v>
      </c>
      <c r="R1114" t="s">
        <v>81</v>
      </c>
      <c r="S1114" t="s">
        <v>39</v>
      </c>
      <c r="T1114">
        <v>17</v>
      </c>
      <c r="U1114">
        <v>90</v>
      </c>
      <c r="V1114">
        <v>17</v>
      </c>
      <c r="W1114">
        <v>12.7</v>
      </c>
      <c r="X1114">
        <v>27.7</v>
      </c>
      <c r="Z1114" t="s">
        <v>39</v>
      </c>
      <c r="AB1114" t="s">
        <v>40</v>
      </c>
      <c r="AC1114" t="s">
        <v>56</v>
      </c>
    </row>
    <row r="1115" spans="1:29" x14ac:dyDescent="0.25">
      <c r="A1115" s="4">
        <v>42556</v>
      </c>
      <c r="B1115" t="s">
        <v>30</v>
      </c>
      <c r="C1115">
        <v>202</v>
      </c>
      <c r="D1115">
        <v>8</v>
      </c>
      <c r="E1115">
        <v>1</v>
      </c>
      <c r="F1115" t="s">
        <v>31</v>
      </c>
      <c r="G1115" t="s">
        <v>32</v>
      </c>
      <c r="H1115" t="s">
        <v>33</v>
      </c>
      <c r="I1115" t="s">
        <v>53</v>
      </c>
      <c r="J1115" t="s">
        <v>62</v>
      </c>
      <c r="O1115" s="5"/>
      <c r="P1115" s="5"/>
      <c r="Z1115" t="s">
        <v>39</v>
      </c>
    </row>
    <row r="1116" spans="1:29" x14ac:dyDescent="0.25">
      <c r="A1116" s="4">
        <v>42556</v>
      </c>
      <c r="B1116" t="s">
        <v>30</v>
      </c>
      <c r="C1116">
        <v>304</v>
      </c>
      <c r="D1116">
        <v>1</v>
      </c>
      <c r="E1116">
        <v>1</v>
      </c>
      <c r="F1116" t="s">
        <v>31</v>
      </c>
      <c r="G1116" t="s">
        <v>32</v>
      </c>
      <c r="H1116" t="s">
        <v>33</v>
      </c>
      <c r="I1116" t="s">
        <v>34</v>
      </c>
      <c r="J1116" t="s">
        <v>42</v>
      </c>
      <c r="K1116" t="s">
        <v>89</v>
      </c>
      <c r="L1116" t="s">
        <v>43</v>
      </c>
      <c r="M1116">
        <v>0</v>
      </c>
      <c r="N1116">
        <v>1</v>
      </c>
      <c r="O1116" s="5">
        <v>50646</v>
      </c>
      <c r="P1116" s="5"/>
      <c r="Q1116">
        <v>12</v>
      </c>
      <c r="R1116" t="s">
        <v>65</v>
      </c>
      <c r="T1116">
        <v>20</v>
      </c>
      <c r="U1116">
        <v>79</v>
      </c>
      <c r="V1116">
        <v>13.5</v>
      </c>
      <c r="W1116">
        <v>12.1</v>
      </c>
      <c r="X1116">
        <v>26.9</v>
      </c>
      <c r="Z1116" t="s">
        <v>39</v>
      </c>
      <c r="AB1116" t="s">
        <v>40</v>
      </c>
      <c r="AC1116" t="s">
        <v>68</v>
      </c>
    </row>
    <row r="1117" spans="1:29" x14ac:dyDescent="0.25">
      <c r="A1117" s="4">
        <v>42556</v>
      </c>
      <c r="B1117" t="s">
        <v>30</v>
      </c>
      <c r="C1117">
        <v>304</v>
      </c>
      <c r="D1117">
        <v>1</v>
      </c>
      <c r="E1117">
        <v>2</v>
      </c>
      <c r="F1117" t="s">
        <v>31</v>
      </c>
      <c r="G1117" t="s">
        <v>32</v>
      </c>
      <c r="H1117" t="s">
        <v>33</v>
      </c>
      <c r="I1117" t="s">
        <v>57</v>
      </c>
      <c r="O1117" s="5"/>
      <c r="P1117" s="5"/>
      <c r="Z1117" t="s">
        <v>39</v>
      </c>
    </row>
    <row r="1118" spans="1:29" x14ac:dyDescent="0.25">
      <c r="A1118" s="4">
        <v>42556</v>
      </c>
      <c r="B1118" t="s">
        <v>30</v>
      </c>
      <c r="C1118">
        <v>304</v>
      </c>
      <c r="D1118">
        <v>3</v>
      </c>
      <c r="E1118">
        <v>1</v>
      </c>
      <c r="F1118" t="s">
        <v>31</v>
      </c>
      <c r="G1118" t="s">
        <v>32</v>
      </c>
      <c r="H1118" t="s">
        <v>33</v>
      </c>
      <c r="I1118" t="s">
        <v>34</v>
      </c>
      <c r="J1118" t="s">
        <v>42</v>
      </c>
      <c r="K1118" t="s">
        <v>114</v>
      </c>
      <c r="L1118" t="s">
        <v>43</v>
      </c>
      <c r="M1118">
        <v>0</v>
      </c>
      <c r="N1118">
        <v>1</v>
      </c>
      <c r="O1118" s="5">
        <v>50647</v>
      </c>
      <c r="P1118" s="5"/>
      <c r="Q1118">
        <f>26-10.5</f>
        <v>15.5</v>
      </c>
      <c r="R1118" t="s">
        <v>65</v>
      </c>
      <c r="T1118">
        <f>26-10.5</f>
        <v>15.5</v>
      </c>
      <c r="U1118">
        <v>98</v>
      </c>
      <c r="V1118">
        <v>16</v>
      </c>
      <c r="W1118">
        <v>12.5</v>
      </c>
      <c r="X1118">
        <v>26.9</v>
      </c>
      <c r="Z1118" t="s">
        <v>39</v>
      </c>
      <c r="AB1118" t="s">
        <v>40</v>
      </c>
      <c r="AC1118" t="s">
        <v>56</v>
      </c>
    </row>
    <row r="1119" spans="1:29" x14ac:dyDescent="0.25">
      <c r="A1119" s="4">
        <v>42556</v>
      </c>
      <c r="B1119" t="s">
        <v>30</v>
      </c>
      <c r="C1119">
        <v>304</v>
      </c>
      <c r="D1119">
        <v>4</v>
      </c>
      <c r="E1119">
        <v>1</v>
      </c>
      <c r="F1119" t="s">
        <v>31</v>
      </c>
      <c r="G1119" t="s">
        <v>32</v>
      </c>
      <c r="H1119" t="s">
        <v>33</v>
      </c>
      <c r="I1119" t="s">
        <v>57</v>
      </c>
      <c r="O1119" s="5"/>
      <c r="P1119" s="5"/>
      <c r="Z1119" t="s">
        <v>39</v>
      </c>
    </row>
    <row r="1120" spans="1:29" x14ac:dyDescent="0.25">
      <c r="A1120" s="4">
        <v>42556</v>
      </c>
      <c r="B1120" t="s">
        <v>30</v>
      </c>
      <c r="C1120">
        <v>304</v>
      </c>
      <c r="D1120">
        <v>5</v>
      </c>
      <c r="E1120">
        <v>1</v>
      </c>
      <c r="F1120" t="s">
        <v>31</v>
      </c>
      <c r="G1120" t="s">
        <v>32</v>
      </c>
      <c r="H1120" t="s">
        <v>33</v>
      </c>
      <c r="I1120" t="s">
        <v>34</v>
      </c>
      <c r="J1120" t="s">
        <v>42</v>
      </c>
      <c r="K1120" t="s">
        <v>114</v>
      </c>
      <c r="L1120" t="s">
        <v>43</v>
      </c>
      <c r="M1120">
        <v>0</v>
      </c>
      <c r="N1120">
        <v>1</v>
      </c>
      <c r="O1120" s="5">
        <v>50648</v>
      </c>
      <c r="P1120" s="5"/>
      <c r="Q1120">
        <v>16</v>
      </c>
      <c r="R1120" t="s">
        <v>65</v>
      </c>
      <c r="T1120">
        <v>16</v>
      </c>
      <c r="U1120">
        <v>91</v>
      </c>
      <c r="V1120">
        <v>18</v>
      </c>
      <c r="W1120">
        <v>12.5</v>
      </c>
      <c r="X1120">
        <v>27.7</v>
      </c>
      <c r="Z1120" t="s">
        <v>39</v>
      </c>
      <c r="AB1120" t="s">
        <v>40</v>
      </c>
      <c r="AC1120" t="s">
        <v>56</v>
      </c>
    </row>
    <row r="1121" spans="1:29" x14ac:dyDescent="0.25">
      <c r="A1121" s="4">
        <v>42556</v>
      </c>
      <c r="B1121" t="s">
        <v>30</v>
      </c>
      <c r="C1121">
        <v>304</v>
      </c>
      <c r="D1121">
        <v>7</v>
      </c>
      <c r="E1121">
        <v>1</v>
      </c>
      <c r="F1121" t="s">
        <v>31</v>
      </c>
      <c r="G1121" t="s">
        <v>32</v>
      </c>
      <c r="H1121" t="s">
        <v>33</v>
      </c>
      <c r="I1121" t="s">
        <v>34</v>
      </c>
      <c r="J1121" t="s">
        <v>42</v>
      </c>
      <c r="K1121" t="s">
        <v>114</v>
      </c>
      <c r="L1121" t="s">
        <v>43</v>
      </c>
      <c r="M1121">
        <v>0</v>
      </c>
      <c r="N1121">
        <v>1</v>
      </c>
      <c r="O1121" s="5">
        <v>50650</v>
      </c>
      <c r="P1121" s="5">
        <v>50649</v>
      </c>
      <c r="Q1121">
        <f>25-10.5</f>
        <v>14.5</v>
      </c>
      <c r="R1121" t="s">
        <v>65</v>
      </c>
      <c r="T1121">
        <v>19</v>
      </c>
      <c r="U1121">
        <v>85</v>
      </c>
      <c r="V1121">
        <v>16</v>
      </c>
      <c r="W1121">
        <v>12</v>
      </c>
      <c r="X1121">
        <v>24.5</v>
      </c>
      <c r="Z1121" t="s">
        <v>39</v>
      </c>
      <c r="AB1121" t="s">
        <v>40</v>
      </c>
      <c r="AC1121" t="s">
        <v>56</v>
      </c>
    </row>
    <row r="1122" spans="1:29" x14ac:dyDescent="0.25">
      <c r="A1122" s="4">
        <v>42557</v>
      </c>
      <c r="B1122" t="s">
        <v>30</v>
      </c>
      <c r="C1122">
        <v>111</v>
      </c>
      <c r="D1122">
        <v>3</v>
      </c>
      <c r="E1122">
        <v>1</v>
      </c>
      <c r="F1122" t="s">
        <v>41</v>
      </c>
      <c r="G1122" t="s">
        <v>32</v>
      </c>
      <c r="H1122" t="s">
        <v>33</v>
      </c>
      <c r="I1122" t="s">
        <v>34</v>
      </c>
      <c r="J1122" t="s">
        <v>35</v>
      </c>
      <c r="K1122" t="s">
        <v>36</v>
      </c>
      <c r="L1122" t="s">
        <v>43</v>
      </c>
      <c r="M1122">
        <v>0</v>
      </c>
      <c r="N1122">
        <v>0</v>
      </c>
      <c r="O1122" s="5">
        <v>50602</v>
      </c>
      <c r="P1122" s="5">
        <v>50601</v>
      </c>
      <c r="Q1122">
        <v>23</v>
      </c>
      <c r="R1122" t="s">
        <v>47</v>
      </c>
      <c r="T1122">
        <v>19</v>
      </c>
      <c r="U1122">
        <v>79</v>
      </c>
      <c r="V1122">
        <v>15</v>
      </c>
      <c r="W1122">
        <v>12.8</v>
      </c>
      <c r="X1122">
        <v>26.2</v>
      </c>
      <c r="Z1122" t="s">
        <v>39</v>
      </c>
      <c r="AB1122" t="s">
        <v>40</v>
      </c>
      <c r="AC1122" t="s">
        <v>88</v>
      </c>
    </row>
    <row r="1123" spans="1:29" x14ac:dyDescent="0.25">
      <c r="A1123" s="4">
        <v>42557</v>
      </c>
      <c r="B1123" t="s">
        <v>30</v>
      </c>
      <c r="C1123">
        <v>111</v>
      </c>
      <c r="D1123">
        <v>4</v>
      </c>
      <c r="E1123">
        <v>1</v>
      </c>
      <c r="F1123" t="s">
        <v>41</v>
      </c>
      <c r="G1123" t="s">
        <v>32</v>
      </c>
      <c r="H1123" t="s">
        <v>33</v>
      </c>
      <c r="I1123" t="s">
        <v>34</v>
      </c>
      <c r="J1123" t="s">
        <v>35</v>
      </c>
      <c r="K1123" t="s">
        <v>89</v>
      </c>
      <c r="L1123" t="s">
        <v>43</v>
      </c>
      <c r="M1123">
        <v>0</v>
      </c>
      <c r="N1123">
        <v>0</v>
      </c>
      <c r="O1123" s="5">
        <v>50530</v>
      </c>
      <c r="P1123" s="5">
        <v>50529</v>
      </c>
      <c r="R1123" t="s">
        <v>65</v>
      </c>
      <c r="T1123">
        <v>19</v>
      </c>
      <c r="U1123">
        <v>78</v>
      </c>
      <c r="V1123">
        <v>14</v>
      </c>
      <c r="W1123">
        <v>12.3</v>
      </c>
      <c r="X1123">
        <v>26.2</v>
      </c>
      <c r="Z1123" t="s">
        <v>39</v>
      </c>
      <c r="AB1123" t="s">
        <v>40</v>
      </c>
      <c r="AC1123" t="s">
        <v>88</v>
      </c>
    </row>
    <row r="1124" spans="1:29" x14ac:dyDescent="0.25">
      <c r="A1124" s="4">
        <v>42557</v>
      </c>
      <c r="B1124" t="s">
        <v>30</v>
      </c>
      <c r="C1124">
        <v>111</v>
      </c>
      <c r="D1124">
        <v>5</v>
      </c>
      <c r="E1124">
        <v>1</v>
      </c>
      <c r="F1124" t="s">
        <v>41</v>
      </c>
      <c r="G1124" t="s">
        <v>32</v>
      </c>
      <c r="H1124" t="s">
        <v>33</v>
      </c>
      <c r="I1124" t="s">
        <v>57</v>
      </c>
      <c r="O1124" s="5"/>
      <c r="P1124" s="5"/>
    </row>
    <row r="1125" spans="1:29" x14ac:dyDescent="0.25">
      <c r="A1125" s="4">
        <v>42557</v>
      </c>
      <c r="B1125" t="s">
        <v>30</v>
      </c>
      <c r="C1125">
        <v>111</v>
      </c>
      <c r="D1125">
        <v>5</v>
      </c>
      <c r="E1125">
        <v>2</v>
      </c>
      <c r="F1125" t="s">
        <v>41</v>
      </c>
      <c r="G1125" t="s">
        <v>32</v>
      </c>
      <c r="H1125" t="s">
        <v>33</v>
      </c>
      <c r="I1125" t="s">
        <v>91</v>
      </c>
      <c r="J1125" t="s">
        <v>42</v>
      </c>
      <c r="K1125" t="s">
        <v>36</v>
      </c>
      <c r="L1125" t="s">
        <v>37</v>
      </c>
      <c r="M1125">
        <v>0</v>
      </c>
      <c r="N1125">
        <v>1</v>
      </c>
      <c r="O1125" s="5">
        <v>50555</v>
      </c>
      <c r="P1125" s="5"/>
      <c r="Q1125">
        <v>23</v>
      </c>
      <c r="R1125" t="s">
        <v>136</v>
      </c>
      <c r="S1125" t="s">
        <v>97</v>
      </c>
      <c r="T1125">
        <v>20</v>
      </c>
      <c r="W1125">
        <v>12.9</v>
      </c>
      <c r="X1125">
        <v>26.5</v>
      </c>
      <c r="Z1125" t="s">
        <v>39</v>
      </c>
      <c r="AB1125" t="s">
        <v>40</v>
      </c>
      <c r="AC1125" t="s">
        <v>88</v>
      </c>
    </row>
    <row r="1126" spans="1:29" x14ac:dyDescent="0.25">
      <c r="A1126" s="4">
        <v>42557</v>
      </c>
      <c r="B1126" t="s">
        <v>30</v>
      </c>
      <c r="C1126">
        <v>111</v>
      </c>
      <c r="D1126">
        <v>8</v>
      </c>
      <c r="E1126">
        <v>1</v>
      </c>
      <c r="F1126" t="s">
        <v>41</v>
      </c>
      <c r="G1126" t="s">
        <v>32</v>
      </c>
      <c r="H1126" t="s">
        <v>33</v>
      </c>
      <c r="I1126" t="s">
        <v>34</v>
      </c>
      <c r="J1126" t="s">
        <v>35</v>
      </c>
      <c r="K1126" t="s">
        <v>36</v>
      </c>
      <c r="L1126" t="s">
        <v>37</v>
      </c>
      <c r="M1126">
        <v>0</v>
      </c>
      <c r="N1126">
        <v>0</v>
      </c>
      <c r="O1126" s="5">
        <v>50348</v>
      </c>
      <c r="P1126" s="5">
        <v>50347</v>
      </c>
      <c r="Q1126">
        <f>32-11</f>
        <v>21</v>
      </c>
      <c r="R1126" t="s">
        <v>164</v>
      </c>
      <c r="S1126" t="s">
        <v>97</v>
      </c>
      <c r="T1126">
        <v>19</v>
      </c>
      <c r="U1126">
        <v>82</v>
      </c>
      <c r="V1126">
        <v>15</v>
      </c>
      <c r="W1126">
        <v>12.5</v>
      </c>
      <c r="X1126">
        <v>26.3</v>
      </c>
      <c r="Z1126" t="s">
        <v>39</v>
      </c>
      <c r="AB1126" t="s">
        <v>40</v>
      </c>
      <c r="AC1126" t="s">
        <v>88</v>
      </c>
    </row>
    <row r="1127" spans="1:29" x14ac:dyDescent="0.25">
      <c r="A1127" s="4">
        <v>42557</v>
      </c>
      <c r="B1127" t="s">
        <v>30</v>
      </c>
      <c r="C1127">
        <v>111</v>
      </c>
      <c r="D1127">
        <v>9</v>
      </c>
      <c r="E1127">
        <v>1</v>
      </c>
      <c r="F1127" t="s">
        <v>41</v>
      </c>
      <c r="G1127" t="s">
        <v>32</v>
      </c>
      <c r="H1127" t="s">
        <v>33</v>
      </c>
      <c r="I1127" t="s">
        <v>34</v>
      </c>
      <c r="J1127" t="s">
        <v>42</v>
      </c>
      <c r="K1127" t="s">
        <v>89</v>
      </c>
      <c r="L1127" t="s">
        <v>43</v>
      </c>
      <c r="M1127">
        <v>0</v>
      </c>
      <c r="N1127">
        <v>1</v>
      </c>
      <c r="O1127" s="5">
        <v>50557</v>
      </c>
      <c r="P1127" s="5">
        <v>50556</v>
      </c>
      <c r="Q1127">
        <v>13.5</v>
      </c>
      <c r="R1127" t="s">
        <v>65</v>
      </c>
      <c r="T1127">
        <v>19</v>
      </c>
      <c r="U1127">
        <v>70</v>
      </c>
      <c r="V1127">
        <v>13</v>
      </c>
      <c r="W1127">
        <v>12.7</v>
      </c>
      <c r="X1127">
        <v>24.5</v>
      </c>
      <c r="Z1127" t="s">
        <v>39</v>
      </c>
      <c r="AB1127" t="s">
        <v>40</v>
      </c>
      <c r="AC1127" t="s">
        <v>88</v>
      </c>
    </row>
    <row r="1128" spans="1:29" x14ac:dyDescent="0.25">
      <c r="A1128" s="4">
        <v>42557</v>
      </c>
      <c r="B1128" t="s">
        <v>30</v>
      </c>
      <c r="C1128">
        <v>112</v>
      </c>
      <c r="D1128">
        <v>1</v>
      </c>
      <c r="E1128">
        <v>1</v>
      </c>
      <c r="F1128" t="s">
        <v>41</v>
      </c>
      <c r="G1128" t="s">
        <v>32</v>
      </c>
      <c r="H1128" t="s">
        <v>33</v>
      </c>
      <c r="I1128" t="s">
        <v>84</v>
      </c>
      <c r="O1128" s="5"/>
      <c r="P1128" s="5"/>
    </row>
    <row r="1129" spans="1:29" x14ac:dyDescent="0.25">
      <c r="A1129" s="4">
        <v>42557</v>
      </c>
      <c r="B1129" t="s">
        <v>30</v>
      </c>
      <c r="C1129">
        <v>112</v>
      </c>
      <c r="D1129">
        <v>1</v>
      </c>
      <c r="E1129">
        <v>2</v>
      </c>
      <c r="F1129" t="s">
        <v>41</v>
      </c>
      <c r="G1129" t="s">
        <v>32</v>
      </c>
      <c r="H1129" t="s">
        <v>33</v>
      </c>
      <c r="I1129" t="s">
        <v>84</v>
      </c>
      <c r="O1129" s="5"/>
      <c r="P1129" s="5"/>
    </row>
    <row r="1130" spans="1:29" x14ac:dyDescent="0.25">
      <c r="A1130" s="4">
        <v>42557</v>
      </c>
      <c r="B1130" t="s">
        <v>30</v>
      </c>
      <c r="C1130">
        <v>112</v>
      </c>
      <c r="D1130">
        <v>2</v>
      </c>
      <c r="E1130">
        <v>1</v>
      </c>
      <c r="F1130" t="s">
        <v>41</v>
      </c>
      <c r="G1130" t="s">
        <v>32</v>
      </c>
      <c r="H1130" t="s">
        <v>33</v>
      </c>
      <c r="I1130" t="s">
        <v>84</v>
      </c>
      <c r="O1130" s="5"/>
      <c r="P1130" s="5"/>
    </row>
    <row r="1131" spans="1:29" x14ac:dyDescent="0.25">
      <c r="A1131" s="4">
        <v>42557</v>
      </c>
      <c r="B1131" t="s">
        <v>30</v>
      </c>
      <c r="C1131">
        <v>112</v>
      </c>
      <c r="D1131">
        <v>2</v>
      </c>
      <c r="E1131">
        <v>2</v>
      </c>
      <c r="F1131" t="s">
        <v>41</v>
      </c>
      <c r="G1131" t="s">
        <v>32</v>
      </c>
      <c r="H1131" t="s">
        <v>33</v>
      </c>
      <c r="I1131" t="s">
        <v>84</v>
      </c>
      <c r="O1131" s="5"/>
      <c r="P1131" s="5"/>
    </row>
    <row r="1132" spans="1:29" x14ac:dyDescent="0.25">
      <c r="A1132" s="4">
        <v>42557</v>
      </c>
      <c r="B1132" t="s">
        <v>30</v>
      </c>
      <c r="C1132">
        <v>112</v>
      </c>
      <c r="D1132">
        <v>3</v>
      </c>
      <c r="E1132">
        <v>1</v>
      </c>
      <c r="F1132" t="s">
        <v>41</v>
      </c>
      <c r="G1132" t="s">
        <v>32</v>
      </c>
      <c r="H1132" t="s">
        <v>33</v>
      </c>
      <c r="I1132" t="s">
        <v>84</v>
      </c>
      <c r="O1132" s="5"/>
      <c r="P1132" s="5"/>
    </row>
    <row r="1133" spans="1:29" x14ac:dyDescent="0.25">
      <c r="A1133" s="4">
        <v>42557</v>
      </c>
      <c r="B1133" t="s">
        <v>30</v>
      </c>
      <c r="C1133">
        <v>112</v>
      </c>
      <c r="D1133">
        <v>3</v>
      </c>
      <c r="E1133">
        <v>2</v>
      </c>
      <c r="F1133" t="s">
        <v>41</v>
      </c>
      <c r="G1133" t="s">
        <v>32</v>
      </c>
      <c r="H1133" t="s">
        <v>33</v>
      </c>
      <c r="I1133" t="s">
        <v>84</v>
      </c>
      <c r="O1133" s="5"/>
      <c r="P1133" s="5"/>
    </row>
    <row r="1134" spans="1:29" x14ac:dyDescent="0.25">
      <c r="A1134" s="4">
        <v>42557</v>
      </c>
      <c r="B1134" t="s">
        <v>30</v>
      </c>
      <c r="C1134">
        <v>112</v>
      </c>
      <c r="D1134">
        <v>4</v>
      </c>
      <c r="E1134">
        <v>1</v>
      </c>
      <c r="F1134" t="s">
        <v>41</v>
      </c>
      <c r="G1134" t="s">
        <v>32</v>
      </c>
      <c r="H1134" t="s">
        <v>33</v>
      </c>
      <c r="I1134" t="s">
        <v>84</v>
      </c>
      <c r="O1134" s="5"/>
      <c r="P1134" s="5"/>
    </row>
    <row r="1135" spans="1:29" x14ac:dyDescent="0.25">
      <c r="A1135" s="4">
        <v>42557</v>
      </c>
      <c r="B1135" t="s">
        <v>30</v>
      </c>
      <c r="C1135">
        <v>112</v>
      </c>
      <c r="D1135">
        <v>4</v>
      </c>
      <c r="E1135">
        <v>2</v>
      </c>
      <c r="F1135" t="s">
        <v>41</v>
      </c>
      <c r="G1135" t="s">
        <v>32</v>
      </c>
      <c r="H1135" t="s">
        <v>33</v>
      </c>
      <c r="I1135" t="s">
        <v>84</v>
      </c>
      <c r="O1135" s="5"/>
      <c r="P1135" s="5"/>
    </row>
    <row r="1136" spans="1:29" x14ac:dyDescent="0.25">
      <c r="A1136" s="4">
        <v>42557</v>
      </c>
      <c r="B1136" t="s">
        <v>30</v>
      </c>
      <c r="C1136">
        <v>112</v>
      </c>
      <c r="D1136">
        <v>5</v>
      </c>
      <c r="E1136">
        <v>1</v>
      </c>
      <c r="F1136" t="s">
        <v>41</v>
      </c>
      <c r="G1136" t="s">
        <v>32</v>
      </c>
      <c r="H1136" t="s">
        <v>33</v>
      </c>
      <c r="I1136" t="s">
        <v>57</v>
      </c>
      <c r="O1136" s="5"/>
      <c r="P1136" s="5"/>
    </row>
    <row r="1137" spans="1:30" x14ac:dyDescent="0.25">
      <c r="A1137" s="4">
        <v>42557</v>
      </c>
      <c r="B1137" t="s">
        <v>30</v>
      </c>
      <c r="C1137">
        <v>112</v>
      </c>
      <c r="D1137">
        <v>5</v>
      </c>
      <c r="E1137">
        <v>2</v>
      </c>
      <c r="F1137" t="s">
        <v>41</v>
      </c>
      <c r="G1137" t="s">
        <v>32</v>
      </c>
      <c r="H1137" t="s">
        <v>33</v>
      </c>
      <c r="I1137" t="s">
        <v>57</v>
      </c>
      <c r="O1137" s="5"/>
      <c r="P1137" s="5"/>
    </row>
    <row r="1138" spans="1:30" x14ac:dyDescent="0.25">
      <c r="A1138" s="4">
        <v>42557</v>
      </c>
      <c r="B1138" t="s">
        <v>30</v>
      </c>
      <c r="C1138">
        <v>112</v>
      </c>
      <c r="D1138">
        <v>6</v>
      </c>
      <c r="E1138">
        <v>1</v>
      </c>
      <c r="F1138" t="s">
        <v>41</v>
      </c>
      <c r="G1138" t="s">
        <v>32</v>
      </c>
      <c r="H1138" t="s">
        <v>33</v>
      </c>
      <c r="I1138" t="s">
        <v>57</v>
      </c>
      <c r="O1138" s="5"/>
      <c r="P1138" s="5"/>
    </row>
    <row r="1139" spans="1:30" x14ac:dyDescent="0.25">
      <c r="A1139" s="4">
        <v>42557</v>
      </c>
      <c r="B1139" t="s">
        <v>30</v>
      </c>
      <c r="C1139">
        <v>112</v>
      </c>
      <c r="D1139">
        <v>6</v>
      </c>
      <c r="E1139">
        <v>2</v>
      </c>
      <c r="F1139" t="s">
        <v>41</v>
      </c>
      <c r="G1139" t="s">
        <v>32</v>
      </c>
      <c r="H1139" t="s">
        <v>33</v>
      </c>
      <c r="I1139" t="s">
        <v>57</v>
      </c>
      <c r="O1139" s="5"/>
      <c r="P1139" s="5"/>
    </row>
    <row r="1140" spans="1:30" x14ac:dyDescent="0.25">
      <c r="A1140" s="4">
        <v>42557</v>
      </c>
      <c r="B1140" t="s">
        <v>30</v>
      </c>
      <c r="C1140">
        <v>112</v>
      </c>
      <c r="D1140">
        <v>7</v>
      </c>
      <c r="E1140">
        <v>1</v>
      </c>
      <c r="F1140" t="s">
        <v>41</v>
      </c>
      <c r="G1140" t="s">
        <v>32</v>
      </c>
      <c r="H1140" t="s">
        <v>33</v>
      </c>
      <c r="I1140" t="s">
        <v>84</v>
      </c>
      <c r="O1140" s="5"/>
      <c r="P1140" s="5"/>
    </row>
    <row r="1141" spans="1:30" x14ac:dyDescent="0.25">
      <c r="A1141" s="4">
        <v>42557</v>
      </c>
      <c r="B1141" t="s">
        <v>30</v>
      </c>
      <c r="C1141">
        <v>112</v>
      </c>
      <c r="D1141">
        <v>7</v>
      </c>
      <c r="E1141">
        <v>2</v>
      </c>
      <c r="F1141" t="s">
        <v>41</v>
      </c>
      <c r="G1141" t="s">
        <v>32</v>
      </c>
      <c r="H1141" t="s">
        <v>33</v>
      </c>
      <c r="I1141" t="s">
        <v>84</v>
      </c>
      <c r="O1141" s="5"/>
      <c r="P1141" s="5"/>
    </row>
    <row r="1142" spans="1:30" x14ac:dyDescent="0.25">
      <c r="A1142" s="4">
        <v>42557</v>
      </c>
      <c r="B1142" t="s">
        <v>30</v>
      </c>
      <c r="C1142">
        <v>112</v>
      </c>
      <c r="D1142">
        <v>8</v>
      </c>
      <c r="E1142">
        <v>1</v>
      </c>
      <c r="F1142" t="s">
        <v>41</v>
      </c>
      <c r="G1142" t="s">
        <v>32</v>
      </c>
      <c r="H1142" t="s">
        <v>33</v>
      </c>
      <c r="I1142" t="s">
        <v>84</v>
      </c>
      <c r="O1142" s="5"/>
      <c r="P1142" s="5"/>
    </row>
    <row r="1143" spans="1:30" x14ac:dyDescent="0.25">
      <c r="A1143" s="4">
        <v>42557</v>
      </c>
      <c r="B1143" t="s">
        <v>30</v>
      </c>
      <c r="C1143">
        <v>112</v>
      </c>
      <c r="D1143">
        <v>8</v>
      </c>
      <c r="E1143">
        <v>2</v>
      </c>
      <c r="F1143" t="s">
        <v>41</v>
      </c>
      <c r="G1143" t="s">
        <v>32</v>
      </c>
      <c r="H1143" t="s">
        <v>33</v>
      </c>
      <c r="I1143" t="s">
        <v>84</v>
      </c>
      <c r="O1143" s="5"/>
      <c r="P1143" s="5"/>
    </row>
    <row r="1144" spans="1:30" x14ac:dyDescent="0.25">
      <c r="A1144" s="4">
        <v>42557</v>
      </c>
      <c r="B1144" t="s">
        <v>30</v>
      </c>
      <c r="C1144">
        <v>112</v>
      </c>
      <c r="D1144">
        <v>9</v>
      </c>
      <c r="E1144">
        <v>1</v>
      </c>
      <c r="F1144" t="s">
        <v>41</v>
      </c>
      <c r="G1144" t="s">
        <v>32</v>
      </c>
      <c r="H1144" t="s">
        <v>33</v>
      </c>
      <c r="I1144" t="s">
        <v>84</v>
      </c>
      <c r="O1144" s="5"/>
      <c r="P1144" s="5"/>
    </row>
    <row r="1145" spans="1:30" x14ac:dyDescent="0.25">
      <c r="A1145" s="4">
        <v>42557</v>
      </c>
      <c r="B1145" t="s">
        <v>30</v>
      </c>
      <c r="C1145">
        <v>112</v>
      </c>
      <c r="D1145">
        <v>9</v>
      </c>
      <c r="E1145">
        <v>2</v>
      </c>
      <c r="F1145" t="s">
        <v>41</v>
      </c>
      <c r="G1145" t="s">
        <v>32</v>
      </c>
      <c r="H1145" t="s">
        <v>33</v>
      </c>
      <c r="I1145" t="s">
        <v>84</v>
      </c>
      <c r="O1145" s="5"/>
      <c r="P1145" s="5"/>
    </row>
    <row r="1146" spans="1:30" x14ac:dyDescent="0.25">
      <c r="A1146" s="4">
        <v>42557</v>
      </c>
      <c r="B1146" t="s">
        <v>30</v>
      </c>
      <c r="C1146">
        <v>112</v>
      </c>
      <c r="D1146">
        <v>10</v>
      </c>
      <c r="E1146">
        <v>1</v>
      </c>
      <c r="F1146" t="s">
        <v>41</v>
      </c>
      <c r="G1146" t="s">
        <v>32</v>
      </c>
      <c r="H1146" t="s">
        <v>33</v>
      </c>
      <c r="I1146" t="s">
        <v>84</v>
      </c>
      <c r="O1146" s="5"/>
      <c r="P1146" s="5"/>
    </row>
    <row r="1147" spans="1:30" x14ac:dyDescent="0.25">
      <c r="A1147" s="4">
        <v>42557</v>
      </c>
      <c r="B1147" t="s">
        <v>30</v>
      </c>
      <c r="C1147">
        <v>112</v>
      </c>
      <c r="D1147">
        <v>10</v>
      </c>
      <c r="E1147">
        <v>2</v>
      </c>
      <c r="F1147" t="s">
        <v>41</v>
      </c>
      <c r="G1147" t="s">
        <v>32</v>
      </c>
      <c r="H1147" t="s">
        <v>33</v>
      </c>
      <c r="I1147" t="s">
        <v>84</v>
      </c>
      <c r="O1147" s="5"/>
      <c r="P1147" s="5"/>
    </row>
    <row r="1148" spans="1:30" x14ac:dyDescent="0.25">
      <c r="A1148" s="4">
        <v>42557</v>
      </c>
      <c r="B1148" t="s">
        <v>30</v>
      </c>
      <c r="C1148">
        <v>113</v>
      </c>
      <c r="D1148">
        <v>8</v>
      </c>
      <c r="E1148">
        <v>1</v>
      </c>
      <c r="F1148" t="s">
        <v>41</v>
      </c>
      <c r="G1148" t="s">
        <v>32</v>
      </c>
      <c r="H1148" t="s">
        <v>33</v>
      </c>
      <c r="I1148" t="s">
        <v>57</v>
      </c>
      <c r="O1148" s="5"/>
      <c r="P1148" s="5"/>
    </row>
    <row r="1149" spans="1:30" x14ac:dyDescent="0.25">
      <c r="A1149" s="4">
        <v>42557</v>
      </c>
      <c r="B1149" t="s">
        <v>30</v>
      </c>
      <c r="C1149">
        <v>113</v>
      </c>
      <c r="D1149">
        <v>8</v>
      </c>
      <c r="E1149">
        <v>2</v>
      </c>
      <c r="F1149" t="s">
        <v>41</v>
      </c>
      <c r="G1149" t="s">
        <v>32</v>
      </c>
      <c r="H1149" t="s">
        <v>33</v>
      </c>
      <c r="I1149" t="s">
        <v>73</v>
      </c>
      <c r="J1149" t="s">
        <v>35</v>
      </c>
      <c r="K1149" t="s">
        <v>114</v>
      </c>
      <c r="L1149" t="s">
        <v>43</v>
      </c>
      <c r="M1149">
        <v>0</v>
      </c>
      <c r="N1149">
        <v>0</v>
      </c>
      <c r="O1149" s="5">
        <v>50482</v>
      </c>
      <c r="P1149" s="5"/>
      <c r="Q1149">
        <f>129-48</f>
        <v>81</v>
      </c>
      <c r="R1149" t="s">
        <v>47</v>
      </c>
      <c r="T1149">
        <v>29</v>
      </c>
      <c r="W1149">
        <v>21.6</v>
      </c>
      <c r="X1149">
        <v>40.200000000000003</v>
      </c>
      <c r="Z1149" t="s">
        <v>39</v>
      </c>
      <c r="AB1149" t="s">
        <v>40</v>
      </c>
      <c r="AC1149" t="s">
        <v>88</v>
      </c>
    </row>
    <row r="1150" spans="1:30" x14ac:dyDescent="0.25">
      <c r="A1150" s="4">
        <v>42557</v>
      </c>
      <c r="B1150" t="s">
        <v>30</v>
      </c>
      <c r="C1150">
        <v>113</v>
      </c>
      <c r="D1150">
        <v>9</v>
      </c>
      <c r="E1150">
        <v>1</v>
      </c>
      <c r="F1150" t="s">
        <v>41</v>
      </c>
      <c r="G1150" t="s">
        <v>32</v>
      </c>
      <c r="H1150" t="s">
        <v>33</v>
      </c>
      <c r="I1150" t="s">
        <v>34</v>
      </c>
      <c r="J1150" t="s">
        <v>35</v>
      </c>
      <c r="K1150" t="s">
        <v>114</v>
      </c>
      <c r="L1150" t="s">
        <v>37</v>
      </c>
      <c r="M1150">
        <v>0</v>
      </c>
      <c r="N1150">
        <v>0</v>
      </c>
      <c r="O1150" s="5">
        <v>50474</v>
      </c>
      <c r="P1150" s="5">
        <v>50473</v>
      </c>
      <c r="Q1150">
        <v>17</v>
      </c>
      <c r="R1150" t="s">
        <v>164</v>
      </c>
      <c r="S1150" t="s">
        <v>97</v>
      </c>
      <c r="T1150">
        <v>18</v>
      </c>
      <c r="U1150">
        <v>78</v>
      </c>
      <c r="V1150">
        <v>14</v>
      </c>
      <c r="W1150">
        <v>12.5</v>
      </c>
      <c r="X1150">
        <v>25.9</v>
      </c>
      <c r="Z1150" t="s">
        <v>39</v>
      </c>
      <c r="AB1150" t="s">
        <v>40</v>
      </c>
      <c r="AC1150" t="s">
        <v>88</v>
      </c>
      <c r="AD1150" t="s">
        <v>185</v>
      </c>
    </row>
    <row r="1151" spans="1:30" x14ac:dyDescent="0.25">
      <c r="A1151" s="4">
        <v>42557</v>
      </c>
      <c r="B1151" t="s">
        <v>30</v>
      </c>
      <c r="C1151">
        <v>113</v>
      </c>
      <c r="D1151">
        <v>10</v>
      </c>
      <c r="E1151">
        <v>1</v>
      </c>
      <c r="F1151" t="s">
        <v>41</v>
      </c>
      <c r="G1151" t="s">
        <v>32</v>
      </c>
      <c r="H1151" t="s">
        <v>33</v>
      </c>
      <c r="I1151" t="s">
        <v>34</v>
      </c>
      <c r="J1151" t="s">
        <v>42</v>
      </c>
      <c r="K1151" t="s">
        <v>36</v>
      </c>
      <c r="L1151" t="s">
        <v>43</v>
      </c>
      <c r="M1151">
        <v>0</v>
      </c>
      <c r="N1151">
        <v>1</v>
      </c>
      <c r="O1151" s="5">
        <v>50559</v>
      </c>
      <c r="P1151" s="5">
        <v>50558</v>
      </c>
      <c r="Q1151">
        <f>31-10</f>
        <v>21</v>
      </c>
      <c r="R1151" t="s">
        <v>47</v>
      </c>
      <c r="T1151">
        <v>21</v>
      </c>
      <c r="U1151">
        <v>79</v>
      </c>
      <c r="V1151">
        <v>16</v>
      </c>
      <c r="W1151">
        <v>13.1</v>
      </c>
      <c r="X1151">
        <v>28.4</v>
      </c>
      <c r="Y1151" t="s">
        <v>186</v>
      </c>
      <c r="Z1151" t="s">
        <v>39</v>
      </c>
      <c r="AB1151" t="s">
        <v>40</v>
      </c>
      <c r="AC1151" t="s">
        <v>88</v>
      </c>
      <c r="AD1151" t="s">
        <v>187</v>
      </c>
    </row>
    <row r="1152" spans="1:30" x14ac:dyDescent="0.25">
      <c r="A1152" s="4">
        <v>42557</v>
      </c>
      <c r="B1152" t="s">
        <v>30</v>
      </c>
      <c r="C1152">
        <v>402</v>
      </c>
      <c r="D1152">
        <v>1</v>
      </c>
      <c r="E1152">
        <v>1</v>
      </c>
      <c r="F1152" t="s">
        <v>41</v>
      </c>
      <c r="G1152" t="s">
        <v>32</v>
      </c>
      <c r="H1152" t="s">
        <v>33</v>
      </c>
      <c r="I1152" t="s">
        <v>91</v>
      </c>
      <c r="J1152" t="s">
        <v>42</v>
      </c>
      <c r="K1152" t="s">
        <v>36</v>
      </c>
      <c r="L1152" t="s">
        <v>37</v>
      </c>
      <c r="M1152">
        <v>0</v>
      </c>
      <c r="N1152">
        <v>1</v>
      </c>
      <c r="O1152" s="5">
        <v>50560</v>
      </c>
      <c r="P1152" s="5"/>
      <c r="Q1152">
        <f>34-9</f>
        <v>25</v>
      </c>
      <c r="R1152" t="s">
        <v>164</v>
      </c>
      <c r="S1152" t="s">
        <v>97</v>
      </c>
      <c r="T1152">
        <v>29</v>
      </c>
      <c r="W1152">
        <v>12.1</v>
      </c>
      <c r="X1152">
        <v>25.8</v>
      </c>
      <c r="Z1152" t="s">
        <v>39</v>
      </c>
      <c r="AB1152" t="s">
        <v>40</v>
      </c>
      <c r="AC1152" t="s">
        <v>88</v>
      </c>
    </row>
    <row r="1153" spans="1:30" x14ac:dyDescent="0.25">
      <c r="A1153" s="4">
        <v>42557</v>
      </c>
      <c r="B1153" t="s">
        <v>30</v>
      </c>
      <c r="C1153">
        <v>402</v>
      </c>
      <c r="D1153">
        <v>1</v>
      </c>
      <c r="E1153">
        <v>2</v>
      </c>
      <c r="F1153" t="s">
        <v>41</v>
      </c>
      <c r="G1153" t="s">
        <v>32</v>
      </c>
      <c r="H1153" t="s">
        <v>33</v>
      </c>
      <c r="I1153" t="s">
        <v>73</v>
      </c>
      <c r="J1153" t="s">
        <v>35</v>
      </c>
      <c r="K1153" t="s">
        <v>89</v>
      </c>
      <c r="L1153" t="s">
        <v>37</v>
      </c>
      <c r="M1153">
        <v>0</v>
      </c>
      <c r="N1153">
        <v>0</v>
      </c>
      <c r="O1153" s="5">
        <v>50551</v>
      </c>
      <c r="P1153" s="5"/>
      <c r="Q1153">
        <f>107-48</f>
        <v>59</v>
      </c>
      <c r="R1153" t="s">
        <v>38</v>
      </c>
      <c r="S1153" t="s">
        <v>39</v>
      </c>
      <c r="T1153">
        <v>29</v>
      </c>
      <c r="Z1153" t="s">
        <v>39</v>
      </c>
      <c r="AB1153" t="s">
        <v>40</v>
      </c>
      <c r="AC1153" t="s">
        <v>88</v>
      </c>
    </row>
    <row r="1154" spans="1:30" x14ac:dyDescent="0.25">
      <c r="A1154" s="4">
        <v>42557</v>
      </c>
      <c r="B1154" t="s">
        <v>30</v>
      </c>
      <c r="C1154">
        <v>402</v>
      </c>
      <c r="D1154">
        <v>2</v>
      </c>
      <c r="E1154">
        <v>1</v>
      </c>
      <c r="F1154" t="s">
        <v>41</v>
      </c>
      <c r="G1154" t="s">
        <v>32</v>
      </c>
      <c r="H1154" t="s">
        <v>33</v>
      </c>
      <c r="I1154" t="s">
        <v>58</v>
      </c>
      <c r="J1154" t="s">
        <v>35</v>
      </c>
      <c r="K1154" t="s">
        <v>36</v>
      </c>
      <c r="L1154" t="s">
        <v>37</v>
      </c>
      <c r="M1154">
        <v>0</v>
      </c>
      <c r="N1154">
        <v>0</v>
      </c>
      <c r="O1154" s="5">
        <v>50528</v>
      </c>
      <c r="P1154" s="5"/>
      <c r="Q1154">
        <v>29</v>
      </c>
      <c r="R1154" t="s">
        <v>120</v>
      </c>
      <c r="S1154" t="s">
        <v>39</v>
      </c>
      <c r="T1154">
        <v>18</v>
      </c>
      <c r="W1154">
        <v>12.6</v>
      </c>
      <c r="X1154">
        <v>29.1</v>
      </c>
      <c r="Z1154" t="s">
        <v>39</v>
      </c>
      <c r="AB1154" t="s">
        <v>40</v>
      </c>
      <c r="AC1154" t="s">
        <v>88</v>
      </c>
    </row>
    <row r="1155" spans="1:30" x14ac:dyDescent="0.25">
      <c r="A1155" s="4">
        <v>42557</v>
      </c>
      <c r="B1155" t="s">
        <v>30</v>
      </c>
      <c r="C1155">
        <v>402</v>
      </c>
      <c r="D1155">
        <v>4</v>
      </c>
      <c r="E1155">
        <v>1</v>
      </c>
      <c r="F1155" t="s">
        <v>41</v>
      </c>
      <c r="G1155" t="s">
        <v>32</v>
      </c>
      <c r="H1155" t="s">
        <v>33</v>
      </c>
      <c r="I1155" t="s">
        <v>57</v>
      </c>
      <c r="O1155" s="5"/>
      <c r="P1155" s="5"/>
    </row>
    <row r="1156" spans="1:30" x14ac:dyDescent="0.25">
      <c r="A1156" s="4">
        <v>42557</v>
      </c>
      <c r="B1156" t="s">
        <v>30</v>
      </c>
      <c r="C1156">
        <v>402</v>
      </c>
      <c r="D1156">
        <v>7</v>
      </c>
      <c r="E1156">
        <v>1</v>
      </c>
      <c r="F1156" t="s">
        <v>41</v>
      </c>
      <c r="G1156" t="s">
        <v>32</v>
      </c>
      <c r="H1156" t="s">
        <v>33</v>
      </c>
      <c r="I1156" t="s">
        <v>57</v>
      </c>
      <c r="O1156" s="5"/>
      <c r="P1156" s="5"/>
    </row>
    <row r="1157" spans="1:30" x14ac:dyDescent="0.25">
      <c r="A1157" s="4">
        <v>42557</v>
      </c>
      <c r="B1157" t="s">
        <v>30</v>
      </c>
      <c r="C1157">
        <v>402</v>
      </c>
      <c r="D1157">
        <v>7</v>
      </c>
      <c r="E1157">
        <v>2</v>
      </c>
      <c r="F1157" t="s">
        <v>41</v>
      </c>
      <c r="G1157" t="s">
        <v>32</v>
      </c>
      <c r="H1157" t="s">
        <v>33</v>
      </c>
      <c r="I1157" t="s">
        <v>34</v>
      </c>
      <c r="J1157" t="s">
        <v>35</v>
      </c>
      <c r="K1157" t="s">
        <v>89</v>
      </c>
      <c r="L1157" t="s">
        <v>43</v>
      </c>
      <c r="M1157">
        <v>0</v>
      </c>
      <c r="N1157">
        <v>0</v>
      </c>
      <c r="O1157" s="5">
        <v>50553</v>
      </c>
      <c r="P1157" s="5">
        <v>50552</v>
      </c>
      <c r="Q1157">
        <f>26-11.5</f>
        <v>14.5</v>
      </c>
      <c r="R1157" t="s">
        <v>65</v>
      </c>
      <c r="T1157">
        <v>19</v>
      </c>
      <c r="U1157">
        <v>73</v>
      </c>
      <c r="V1157">
        <v>10</v>
      </c>
      <c r="W1157">
        <v>12.3</v>
      </c>
      <c r="X1157">
        <v>25.9</v>
      </c>
      <c r="Y1157" t="s">
        <v>188</v>
      </c>
      <c r="Z1157" t="s">
        <v>39</v>
      </c>
      <c r="AB1157" t="s">
        <v>40</v>
      </c>
      <c r="AC1157" t="s">
        <v>88</v>
      </c>
    </row>
    <row r="1158" spans="1:30" x14ac:dyDescent="0.25">
      <c r="A1158" s="4">
        <v>42557</v>
      </c>
      <c r="B1158" t="s">
        <v>30</v>
      </c>
      <c r="C1158">
        <v>402</v>
      </c>
      <c r="D1158">
        <v>8</v>
      </c>
      <c r="E1158">
        <v>1</v>
      </c>
      <c r="F1158" t="s">
        <v>41</v>
      </c>
      <c r="G1158" t="s">
        <v>32</v>
      </c>
      <c r="H1158" t="s">
        <v>33</v>
      </c>
      <c r="I1158" t="s">
        <v>57</v>
      </c>
      <c r="O1158" s="5"/>
      <c r="P1158" s="5"/>
    </row>
    <row r="1159" spans="1:30" x14ac:dyDescent="0.25">
      <c r="A1159" s="4">
        <v>42557</v>
      </c>
      <c r="B1159" t="s">
        <v>30</v>
      </c>
      <c r="C1159">
        <v>402</v>
      </c>
      <c r="D1159">
        <v>9</v>
      </c>
      <c r="E1159">
        <v>1</v>
      </c>
      <c r="F1159" t="s">
        <v>41</v>
      </c>
      <c r="G1159" t="s">
        <v>32</v>
      </c>
      <c r="H1159" t="s">
        <v>33</v>
      </c>
      <c r="I1159" t="s">
        <v>91</v>
      </c>
      <c r="J1159" t="s">
        <v>35</v>
      </c>
      <c r="K1159" t="s">
        <v>36</v>
      </c>
      <c r="L1159" t="s">
        <v>37</v>
      </c>
      <c r="M1159">
        <v>0</v>
      </c>
      <c r="N1159">
        <v>0</v>
      </c>
      <c r="O1159" s="5"/>
      <c r="P1159" s="5">
        <v>50554</v>
      </c>
      <c r="Q1159">
        <f>32-9</f>
        <v>23</v>
      </c>
      <c r="R1159" t="s">
        <v>143</v>
      </c>
      <c r="S1159" t="s">
        <v>97</v>
      </c>
      <c r="T1159">
        <v>30</v>
      </c>
      <c r="W1159">
        <v>12.3</v>
      </c>
      <c r="X1159">
        <v>26.8</v>
      </c>
      <c r="Z1159" t="s">
        <v>39</v>
      </c>
      <c r="AB1159" t="s">
        <v>40</v>
      </c>
      <c r="AC1159" t="s">
        <v>88</v>
      </c>
    </row>
    <row r="1160" spans="1:30" x14ac:dyDescent="0.25">
      <c r="A1160" s="4">
        <v>42557</v>
      </c>
      <c r="B1160" t="s">
        <v>30</v>
      </c>
      <c r="C1160">
        <v>402</v>
      </c>
      <c r="D1160">
        <v>9</v>
      </c>
      <c r="E1160">
        <v>2</v>
      </c>
      <c r="F1160" t="s">
        <v>41</v>
      </c>
      <c r="G1160" t="s">
        <v>32</v>
      </c>
      <c r="H1160" t="s">
        <v>33</v>
      </c>
      <c r="I1160" t="s">
        <v>91</v>
      </c>
      <c r="J1160" t="s">
        <v>122</v>
      </c>
      <c r="O1160" s="5"/>
      <c r="P1160" s="5"/>
    </row>
    <row r="1161" spans="1:30" x14ac:dyDescent="0.25">
      <c r="A1161" s="4">
        <v>42557</v>
      </c>
      <c r="B1161" t="s">
        <v>30</v>
      </c>
      <c r="C1161">
        <v>304</v>
      </c>
      <c r="D1161">
        <v>10</v>
      </c>
      <c r="E1161">
        <v>1</v>
      </c>
      <c r="F1161" t="s">
        <v>41</v>
      </c>
      <c r="G1161" t="s">
        <v>32</v>
      </c>
      <c r="H1161" t="s">
        <v>33</v>
      </c>
      <c r="I1161" t="s">
        <v>34</v>
      </c>
      <c r="J1161" t="s">
        <v>42</v>
      </c>
      <c r="K1161" t="s">
        <v>89</v>
      </c>
      <c r="L1161" t="s">
        <v>37</v>
      </c>
      <c r="M1161">
        <v>0</v>
      </c>
      <c r="N1161">
        <v>1</v>
      </c>
      <c r="O1161" s="5">
        <v>50562</v>
      </c>
      <c r="P1161" s="5">
        <v>50561</v>
      </c>
      <c r="Q1161">
        <f>28-14</f>
        <v>14</v>
      </c>
      <c r="R1161" t="s">
        <v>38</v>
      </c>
      <c r="S1161" t="s">
        <v>39</v>
      </c>
      <c r="T1161">
        <v>18</v>
      </c>
      <c r="U1161">
        <v>80</v>
      </c>
      <c r="V1161">
        <v>14</v>
      </c>
      <c r="W1161">
        <v>12.6</v>
      </c>
      <c r="X1161">
        <v>26</v>
      </c>
      <c r="Z1161" t="s">
        <v>39</v>
      </c>
      <c r="AB1161" t="s">
        <v>40</v>
      </c>
      <c r="AC1161" t="s">
        <v>88</v>
      </c>
    </row>
    <row r="1162" spans="1:30" x14ac:dyDescent="0.25">
      <c r="A1162" s="4">
        <v>42557</v>
      </c>
      <c r="B1162" t="s">
        <v>30</v>
      </c>
      <c r="C1162">
        <v>304</v>
      </c>
      <c r="D1162">
        <v>9</v>
      </c>
      <c r="E1162">
        <v>1</v>
      </c>
      <c r="F1162" t="s">
        <v>41</v>
      </c>
      <c r="G1162" t="s">
        <v>32</v>
      </c>
      <c r="H1162" t="s">
        <v>33</v>
      </c>
      <c r="I1162" t="s">
        <v>84</v>
      </c>
      <c r="O1162" s="5"/>
      <c r="P1162" s="5"/>
    </row>
    <row r="1163" spans="1:30" x14ac:dyDescent="0.25">
      <c r="A1163" s="4">
        <v>42557</v>
      </c>
      <c r="B1163" t="s">
        <v>30</v>
      </c>
      <c r="C1163">
        <v>304</v>
      </c>
      <c r="D1163">
        <v>9</v>
      </c>
      <c r="E1163">
        <v>2</v>
      </c>
      <c r="F1163" t="s">
        <v>41</v>
      </c>
      <c r="G1163" t="s">
        <v>32</v>
      </c>
      <c r="H1163" t="s">
        <v>33</v>
      </c>
      <c r="I1163" t="s">
        <v>34</v>
      </c>
      <c r="J1163" t="s">
        <v>35</v>
      </c>
      <c r="K1163" t="s">
        <v>89</v>
      </c>
      <c r="L1163" t="s">
        <v>37</v>
      </c>
      <c r="M1163">
        <v>0</v>
      </c>
      <c r="N1163">
        <v>0</v>
      </c>
      <c r="O1163" s="5">
        <v>50650</v>
      </c>
      <c r="P1163" s="5">
        <v>50649</v>
      </c>
      <c r="Q1163">
        <f>24.5-10.5</f>
        <v>14</v>
      </c>
      <c r="R1163" t="s">
        <v>38</v>
      </c>
      <c r="S1163" t="s">
        <v>39</v>
      </c>
      <c r="T1163">
        <v>21</v>
      </c>
      <c r="U1163">
        <v>72</v>
      </c>
      <c r="V1163">
        <v>14</v>
      </c>
      <c r="W1163">
        <v>12.4</v>
      </c>
      <c r="X1163">
        <v>25.8</v>
      </c>
      <c r="Z1163" t="s">
        <v>39</v>
      </c>
      <c r="AB1163" t="s">
        <v>40</v>
      </c>
      <c r="AC1163" t="s">
        <v>88</v>
      </c>
    </row>
    <row r="1164" spans="1:30" x14ac:dyDescent="0.25">
      <c r="A1164" s="4">
        <v>42557</v>
      </c>
      <c r="B1164" t="s">
        <v>30</v>
      </c>
      <c r="C1164">
        <v>304</v>
      </c>
      <c r="D1164">
        <v>8</v>
      </c>
      <c r="E1164">
        <v>1</v>
      </c>
      <c r="F1164" t="s">
        <v>41</v>
      </c>
      <c r="G1164" t="s">
        <v>32</v>
      </c>
      <c r="H1164" t="s">
        <v>33</v>
      </c>
      <c r="I1164" t="s">
        <v>57</v>
      </c>
      <c r="O1164" s="5"/>
      <c r="P1164" s="5"/>
    </row>
    <row r="1165" spans="1:30" x14ac:dyDescent="0.25">
      <c r="A1165" s="4">
        <v>42557</v>
      </c>
      <c r="B1165" t="s">
        <v>30</v>
      </c>
      <c r="C1165">
        <v>304</v>
      </c>
      <c r="D1165">
        <v>8</v>
      </c>
      <c r="E1165">
        <v>2</v>
      </c>
      <c r="F1165" t="s">
        <v>41</v>
      </c>
      <c r="G1165" t="s">
        <v>32</v>
      </c>
      <c r="H1165" t="s">
        <v>33</v>
      </c>
      <c r="I1165" t="s">
        <v>91</v>
      </c>
      <c r="J1165" t="s">
        <v>42</v>
      </c>
      <c r="K1165" t="s">
        <v>36</v>
      </c>
      <c r="M1165">
        <v>0</v>
      </c>
      <c r="N1165">
        <v>1</v>
      </c>
      <c r="O1165" s="5"/>
      <c r="P1165" s="5">
        <v>50563</v>
      </c>
      <c r="AB1165" t="s">
        <v>40</v>
      </c>
      <c r="AC1165" t="s">
        <v>88</v>
      </c>
      <c r="AD1165" t="s">
        <v>189</v>
      </c>
    </row>
    <row r="1166" spans="1:30" x14ac:dyDescent="0.25">
      <c r="A1166" s="4">
        <v>42557</v>
      </c>
      <c r="B1166" t="s">
        <v>30</v>
      </c>
      <c r="C1166">
        <v>304</v>
      </c>
      <c r="D1166">
        <v>7</v>
      </c>
      <c r="E1166">
        <v>1</v>
      </c>
      <c r="F1166" t="s">
        <v>41</v>
      </c>
      <c r="G1166" t="s">
        <v>32</v>
      </c>
      <c r="H1166" t="s">
        <v>33</v>
      </c>
      <c r="I1166" t="s">
        <v>84</v>
      </c>
      <c r="O1166" s="5"/>
      <c r="P1166" s="5"/>
    </row>
    <row r="1167" spans="1:30" x14ac:dyDescent="0.25">
      <c r="A1167" s="4">
        <v>42557</v>
      </c>
      <c r="B1167" t="s">
        <v>30</v>
      </c>
      <c r="C1167">
        <v>304</v>
      </c>
      <c r="D1167">
        <v>6</v>
      </c>
      <c r="E1167">
        <v>1</v>
      </c>
      <c r="F1167" t="s">
        <v>41</v>
      </c>
      <c r="G1167" t="s">
        <v>32</v>
      </c>
      <c r="H1167" t="s">
        <v>33</v>
      </c>
      <c r="I1167" t="s">
        <v>57</v>
      </c>
      <c r="O1167" s="5"/>
      <c r="P1167" s="5"/>
    </row>
    <row r="1168" spans="1:30" x14ac:dyDescent="0.25">
      <c r="A1168" s="4">
        <v>42557</v>
      </c>
      <c r="B1168" t="s">
        <v>30</v>
      </c>
      <c r="C1168">
        <v>304</v>
      </c>
      <c r="D1168">
        <v>6</v>
      </c>
      <c r="E1168">
        <v>2</v>
      </c>
      <c r="F1168" t="s">
        <v>41</v>
      </c>
      <c r="G1168" t="s">
        <v>32</v>
      </c>
      <c r="H1168" t="s">
        <v>33</v>
      </c>
      <c r="I1168" t="s">
        <v>34</v>
      </c>
      <c r="J1168" t="s">
        <v>51</v>
      </c>
      <c r="K1168" t="s">
        <v>89</v>
      </c>
      <c r="L1168" t="s">
        <v>43</v>
      </c>
      <c r="M1168">
        <v>1</v>
      </c>
      <c r="N1168">
        <v>0</v>
      </c>
      <c r="O1168" s="5">
        <v>50648</v>
      </c>
      <c r="P1168" s="5">
        <v>50564</v>
      </c>
      <c r="Q1168">
        <v>15</v>
      </c>
      <c r="R1168" t="s">
        <v>65</v>
      </c>
      <c r="T1168">
        <v>21</v>
      </c>
      <c r="U1168">
        <v>81</v>
      </c>
      <c r="V1168">
        <v>15</v>
      </c>
      <c r="W1168">
        <v>12.5</v>
      </c>
      <c r="X1168">
        <v>27.3</v>
      </c>
      <c r="Z1168" t="s">
        <v>39</v>
      </c>
      <c r="AB1168" t="s">
        <v>40</v>
      </c>
      <c r="AC1168" t="s">
        <v>88</v>
      </c>
      <c r="AD1168" t="s">
        <v>190</v>
      </c>
    </row>
    <row r="1169" spans="1:30" x14ac:dyDescent="0.25">
      <c r="A1169" s="4">
        <v>42557</v>
      </c>
      <c r="B1169" t="s">
        <v>30</v>
      </c>
      <c r="C1169">
        <v>304</v>
      </c>
      <c r="D1169">
        <v>5</v>
      </c>
      <c r="E1169">
        <v>1</v>
      </c>
      <c r="F1169" t="s">
        <v>41</v>
      </c>
      <c r="G1169" t="s">
        <v>32</v>
      </c>
      <c r="H1169" t="s">
        <v>33</v>
      </c>
      <c r="I1169" t="s">
        <v>34</v>
      </c>
      <c r="J1169" t="s">
        <v>42</v>
      </c>
      <c r="K1169" t="s">
        <v>89</v>
      </c>
      <c r="L1169" t="s">
        <v>37</v>
      </c>
      <c r="M1169">
        <v>0</v>
      </c>
      <c r="N1169">
        <v>1</v>
      </c>
      <c r="O1169" s="5">
        <v>50566</v>
      </c>
      <c r="P1169" s="5">
        <v>50565</v>
      </c>
      <c r="Q1169">
        <f>23-12</f>
        <v>11</v>
      </c>
      <c r="R1169" t="s">
        <v>38</v>
      </c>
      <c r="S1169" t="s">
        <v>39</v>
      </c>
      <c r="T1169">
        <v>19</v>
      </c>
      <c r="U1169">
        <v>70</v>
      </c>
      <c r="V1169">
        <v>14</v>
      </c>
      <c r="W1169">
        <v>12.1</v>
      </c>
      <c r="X1169">
        <v>25.8</v>
      </c>
      <c r="Z1169" t="s">
        <v>39</v>
      </c>
      <c r="AB1169" t="s">
        <v>40</v>
      </c>
      <c r="AC1169" t="s">
        <v>88</v>
      </c>
    </row>
    <row r="1170" spans="1:30" x14ac:dyDescent="0.25">
      <c r="A1170" s="4">
        <v>42557</v>
      </c>
      <c r="B1170" t="s">
        <v>30</v>
      </c>
      <c r="C1170">
        <v>304</v>
      </c>
      <c r="D1170">
        <v>5</v>
      </c>
      <c r="E1170">
        <v>2</v>
      </c>
      <c r="F1170" t="s">
        <v>41</v>
      </c>
      <c r="G1170" t="s">
        <v>32</v>
      </c>
      <c r="H1170" t="s">
        <v>33</v>
      </c>
      <c r="I1170" t="s">
        <v>53</v>
      </c>
      <c r="J1170" t="s">
        <v>62</v>
      </c>
      <c r="O1170" s="5"/>
      <c r="P1170" s="5"/>
    </row>
    <row r="1171" spans="1:30" x14ac:dyDescent="0.25">
      <c r="A1171" s="4">
        <v>42557</v>
      </c>
      <c r="B1171" t="s">
        <v>30</v>
      </c>
      <c r="C1171">
        <v>304</v>
      </c>
      <c r="D1171">
        <v>4</v>
      </c>
      <c r="E1171">
        <v>1</v>
      </c>
      <c r="F1171" t="s">
        <v>41</v>
      </c>
      <c r="G1171" t="s">
        <v>32</v>
      </c>
      <c r="H1171" t="s">
        <v>33</v>
      </c>
      <c r="I1171" t="s">
        <v>57</v>
      </c>
      <c r="O1171" s="5"/>
      <c r="P1171" s="5"/>
    </row>
    <row r="1172" spans="1:30" x14ac:dyDescent="0.25">
      <c r="A1172" s="4">
        <v>42557</v>
      </c>
      <c r="B1172" t="s">
        <v>30</v>
      </c>
      <c r="C1172">
        <v>304</v>
      </c>
      <c r="D1172">
        <v>4</v>
      </c>
      <c r="E1172">
        <v>2</v>
      </c>
      <c r="F1172" t="s">
        <v>41</v>
      </c>
      <c r="G1172" t="s">
        <v>32</v>
      </c>
      <c r="H1172" t="s">
        <v>33</v>
      </c>
      <c r="I1172" t="s">
        <v>34</v>
      </c>
      <c r="J1172" t="s">
        <v>42</v>
      </c>
      <c r="K1172" t="s">
        <v>89</v>
      </c>
      <c r="L1172" t="s">
        <v>37</v>
      </c>
      <c r="M1172">
        <v>0</v>
      </c>
      <c r="N1172">
        <v>1</v>
      </c>
      <c r="O1172" s="5">
        <v>50568</v>
      </c>
      <c r="P1172" s="5">
        <v>50567</v>
      </c>
      <c r="Q1172">
        <f>23-9</f>
        <v>14</v>
      </c>
      <c r="R1172" t="s">
        <v>38</v>
      </c>
      <c r="S1172" t="s">
        <v>39</v>
      </c>
      <c r="T1172">
        <v>21</v>
      </c>
      <c r="U1172">
        <v>79</v>
      </c>
      <c r="V1172">
        <v>15</v>
      </c>
      <c r="W1172">
        <v>12.4</v>
      </c>
      <c r="X1172">
        <v>26.9</v>
      </c>
      <c r="Z1172" t="s">
        <v>39</v>
      </c>
      <c r="AB1172" t="s">
        <v>40</v>
      </c>
      <c r="AC1172" t="s">
        <v>88</v>
      </c>
    </row>
    <row r="1173" spans="1:30" x14ac:dyDescent="0.25">
      <c r="A1173" s="4">
        <v>42557</v>
      </c>
      <c r="B1173" t="s">
        <v>30</v>
      </c>
      <c r="C1173">
        <v>304</v>
      </c>
      <c r="D1173">
        <v>2</v>
      </c>
      <c r="E1173">
        <v>1</v>
      </c>
      <c r="F1173" t="s">
        <v>41</v>
      </c>
      <c r="G1173" t="s">
        <v>32</v>
      </c>
      <c r="H1173" t="s">
        <v>33</v>
      </c>
      <c r="I1173" t="s">
        <v>34</v>
      </c>
      <c r="J1173" t="s">
        <v>35</v>
      </c>
      <c r="K1173" t="s">
        <v>36</v>
      </c>
      <c r="L1173" t="s">
        <v>37</v>
      </c>
      <c r="M1173">
        <v>0</v>
      </c>
      <c r="N1173">
        <v>0</v>
      </c>
      <c r="O1173" s="5">
        <v>50428</v>
      </c>
      <c r="P1173" s="5">
        <v>50427</v>
      </c>
      <c r="Q1173">
        <f>30-11.5</f>
        <v>18.5</v>
      </c>
      <c r="R1173" t="s">
        <v>164</v>
      </c>
      <c r="S1173" t="s">
        <v>97</v>
      </c>
      <c r="T1173">
        <v>19</v>
      </c>
      <c r="U1173">
        <v>95</v>
      </c>
      <c r="V1173">
        <v>16</v>
      </c>
      <c r="W1173">
        <v>12.6</v>
      </c>
      <c r="X1173">
        <v>28.6</v>
      </c>
      <c r="Z1173" t="s">
        <v>39</v>
      </c>
      <c r="AB1173" t="s">
        <v>40</v>
      </c>
      <c r="AC1173" t="s">
        <v>88</v>
      </c>
    </row>
    <row r="1174" spans="1:30" x14ac:dyDescent="0.25">
      <c r="A1174" s="4">
        <v>42557</v>
      </c>
      <c r="B1174" t="s">
        <v>30</v>
      </c>
      <c r="C1174">
        <v>304</v>
      </c>
      <c r="D1174">
        <v>1</v>
      </c>
      <c r="E1174">
        <v>1</v>
      </c>
      <c r="F1174" t="s">
        <v>41</v>
      </c>
      <c r="G1174" t="s">
        <v>32</v>
      </c>
      <c r="H1174" t="s">
        <v>33</v>
      </c>
      <c r="I1174" t="s">
        <v>34</v>
      </c>
      <c r="J1174" t="s">
        <v>42</v>
      </c>
      <c r="K1174" t="s">
        <v>36</v>
      </c>
      <c r="L1174" t="s">
        <v>43</v>
      </c>
      <c r="M1174">
        <v>0</v>
      </c>
      <c r="N1174">
        <v>1</v>
      </c>
      <c r="O1174" s="5">
        <v>50570</v>
      </c>
      <c r="P1174" s="5">
        <v>50569</v>
      </c>
      <c r="R1174" t="s">
        <v>47</v>
      </c>
      <c r="T1174">
        <v>20.5</v>
      </c>
      <c r="U1174">
        <v>87</v>
      </c>
      <c r="V1174">
        <v>16</v>
      </c>
      <c r="W1174">
        <v>12.6</v>
      </c>
      <c r="X1174">
        <v>29.8</v>
      </c>
      <c r="Z1174" t="s">
        <v>39</v>
      </c>
      <c r="AB1174" t="s">
        <v>40</v>
      </c>
      <c r="AC1174" t="s">
        <v>88</v>
      </c>
    </row>
    <row r="1175" spans="1:30" x14ac:dyDescent="0.25">
      <c r="A1175" s="4">
        <v>42557</v>
      </c>
      <c r="B1175" t="s">
        <v>30</v>
      </c>
      <c r="C1175">
        <v>201</v>
      </c>
      <c r="D1175">
        <v>1</v>
      </c>
      <c r="E1175">
        <v>1</v>
      </c>
      <c r="F1175" t="s">
        <v>31</v>
      </c>
      <c r="G1175" t="s">
        <v>32</v>
      </c>
      <c r="H1175" t="s">
        <v>33</v>
      </c>
      <c r="I1175" t="s">
        <v>34</v>
      </c>
      <c r="J1175" t="s">
        <v>35</v>
      </c>
      <c r="K1175" t="s">
        <v>36</v>
      </c>
      <c r="L1175" t="s">
        <v>43</v>
      </c>
      <c r="M1175">
        <v>0</v>
      </c>
      <c r="N1175">
        <v>0</v>
      </c>
      <c r="O1175" s="5">
        <v>50335</v>
      </c>
      <c r="P1175" s="5">
        <v>50334</v>
      </c>
      <c r="Q1175">
        <v>21</v>
      </c>
      <c r="R1175" t="s">
        <v>47</v>
      </c>
      <c r="T1175">
        <v>19</v>
      </c>
      <c r="U1175">
        <v>87</v>
      </c>
      <c r="V1175">
        <v>16</v>
      </c>
      <c r="W1175">
        <v>13.5</v>
      </c>
      <c r="X1175">
        <v>27.6</v>
      </c>
      <c r="Z1175" t="s">
        <v>39</v>
      </c>
      <c r="AB1175" t="s">
        <v>40</v>
      </c>
      <c r="AC1175" t="s">
        <v>88</v>
      </c>
    </row>
    <row r="1176" spans="1:30" x14ac:dyDescent="0.25">
      <c r="A1176" s="4">
        <v>42557</v>
      </c>
      <c r="B1176" t="s">
        <v>30</v>
      </c>
      <c r="C1176">
        <v>201</v>
      </c>
      <c r="D1176">
        <v>1</v>
      </c>
      <c r="E1176">
        <v>2</v>
      </c>
      <c r="F1176" t="s">
        <v>31</v>
      </c>
      <c r="G1176" t="s">
        <v>32</v>
      </c>
      <c r="H1176" t="s">
        <v>33</v>
      </c>
      <c r="I1176" t="s">
        <v>34</v>
      </c>
      <c r="J1176" t="s">
        <v>35</v>
      </c>
      <c r="K1176" t="s">
        <v>114</v>
      </c>
      <c r="L1176" t="s">
        <v>37</v>
      </c>
      <c r="M1176">
        <v>0</v>
      </c>
      <c r="N1176">
        <v>0</v>
      </c>
      <c r="O1176" s="5">
        <v>50417</v>
      </c>
      <c r="P1176" s="5">
        <v>50416</v>
      </c>
      <c r="Q1176">
        <v>20</v>
      </c>
      <c r="R1176" t="s">
        <v>83</v>
      </c>
      <c r="S1176" t="s">
        <v>39</v>
      </c>
      <c r="T1176">
        <v>18</v>
      </c>
      <c r="U1176">
        <v>81</v>
      </c>
      <c r="V1176">
        <v>15</v>
      </c>
      <c r="W1176">
        <v>12.7</v>
      </c>
      <c r="X1176">
        <v>27.7</v>
      </c>
      <c r="Z1176" t="s">
        <v>39</v>
      </c>
      <c r="AB1176" t="s">
        <v>40</v>
      </c>
      <c r="AC1176" t="s">
        <v>88</v>
      </c>
    </row>
    <row r="1177" spans="1:30" x14ac:dyDescent="0.25">
      <c r="A1177" s="4">
        <v>42557</v>
      </c>
      <c r="B1177" t="s">
        <v>30</v>
      </c>
      <c r="C1177">
        <v>201</v>
      </c>
      <c r="D1177">
        <v>2</v>
      </c>
      <c r="E1177">
        <v>1</v>
      </c>
      <c r="F1177" t="s">
        <v>31</v>
      </c>
      <c r="G1177" t="s">
        <v>32</v>
      </c>
      <c r="H1177" t="s">
        <v>33</v>
      </c>
      <c r="I1177" t="s">
        <v>57</v>
      </c>
      <c r="O1177" s="5"/>
      <c r="P1177" s="5"/>
    </row>
    <row r="1178" spans="1:30" x14ac:dyDescent="0.25">
      <c r="A1178" s="4">
        <v>42557</v>
      </c>
      <c r="B1178" t="s">
        <v>30</v>
      </c>
      <c r="C1178">
        <v>201</v>
      </c>
      <c r="D1178">
        <v>3</v>
      </c>
      <c r="E1178">
        <v>1</v>
      </c>
      <c r="F1178" t="s">
        <v>31</v>
      </c>
      <c r="G1178" t="s">
        <v>32</v>
      </c>
      <c r="H1178" t="s">
        <v>33</v>
      </c>
      <c r="I1178" t="s">
        <v>34</v>
      </c>
      <c r="J1178" t="s">
        <v>42</v>
      </c>
      <c r="K1178" t="s">
        <v>36</v>
      </c>
      <c r="L1178" t="s">
        <v>43</v>
      </c>
      <c r="M1178">
        <v>0</v>
      </c>
      <c r="N1178">
        <v>1</v>
      </c>
      <c r="O1178" s="5">
        <v>50675</v>
      </c>
      <c r="P1178" s="5">
        <v>50674</v>
      </c>
      <c r="Q1178">
        <f>31-9</f>
        <v>22</v>
      </c>
      <c r="R1178" t="s">
        <v>47</v>
      </c>
      <c r="T1178">
        <v>19.5</v>
      </c>
      <c r="U1178">
        <v>82</v>
      </c>
      <c r="V1178">
        <v>16</v>
      </c>
      <c r="W1178">
        <v>12.7</v>
      </c>
      <c r="X1178">
        <v>31</v>
      </c>
      <c r="Z1178" t="s">
        <v>39</v>
      </c>
      <c r="AB1178" t="s">
        <v>40</v>
      </c>
      <c r="AC1178" t="s">
        <v>88</v>
      </c>
      <c r="AD1178" t="s">
        <v>191</v>
      </c>
    </row>
    <row r="1179" spans="1:30" x14ac:dyDescent="0.25">
      <c r="A1179" s="4">
        <v>42557</v>
      </c>
      <c r="B1179" t="s">
        <v>30</v>
      </c>
      <c r="C1179">
        <v>201</v>
      </c>
      <c r="D1179">
        <v>4</v>
      </c>
      <c r="E1179">
        <v>1</v>
      </c>
      <c r="F1179" t="s">
        <v>31</v>
      </c>
      <c r="G1179" t="s">
        <v>32</v>
      </c>
      <c r="H1179" t="s">
        <v>33</v>
      </c>
      <c r="I1179" t="s">
        <v>53</v>
      </c>
      <c r="J1179" t="s">
        <v>62</v>
      </c>
      <c r="O1179" s="5"/>
      <c r="P1179" s="5"/>
    </row>
    <row r="1180" spans="1:30" x14ac:dyDescent="0.25">
      <c r="A1180" s="4">
        <v>42557</v>
      </c>
      <c r="B1180" t="s">
        <v>30</v>
      </c>
      <c r="C1180">
        <v>201</v>
      </c>
      <c r="D1180">
        <v>4</v>
      </c>
      <c r="E1180">
        <v>2</v>
      </c>
      <c r="F1180" t="s">
        <v>31</v>
      </c>
      <c r="G1180" t="s">
        <v>32</v>
      </c>
      <c r="H1180" t="s">
        <v>33</v>
      </c>
      <c r="I1180" t="s">
        <v>91</v>
      </c>
      <c r="J1180" t="s">
        <v>35</v>
      </c>
      <c r="K1180" t="s">
        <v>36</v>
      </c>
      <c r="L1180" t="s">
        <v>37</v>
      </c>
      <c r="M1180">
        <v>0</v>
      </c>
      <c r="N1180">
        <v>0</v>
      </c>
      <c r="O1180" s="5" t="s">
        <v>192</v>
      </c>
      <c r="P1180" s="5"/>
      <c r="Q1180">
        <f>33.5-9</f>
        <v>24.5</v>
      </c>
      <c r="R1180" t="s">
        <v>74</v>
      </c>
      <c r="S1180" t="s">
        <v>97</v>
      </c>
      <c r="T1180">
        <v>28</v>
      </c>
      <c r="W1180">
        <v>12.9</v>
      </c>
      <c r="X1180">
        <v>27.55</v>
      </c>
      <c r="Z1180" t="s">
        <v>39</v>
      </c>
      <c r="AB1180" t="s">
        <v>40</v>
      </c>
      <c r="AC1180" t="s">
        <v>88</v>
      </c>
    </row>
    <row r="1181" spans="1:30" x14ac:dyDescent="0.25">
      <c r="A1181" s="4">
        <v>42557</v>
      </c>
      <c r="B1181" t="s">
        <v>30</v>
      </c>
      <c r="C1181">
        <v>201</v>
      </c>
      <c r="D1181">
        <v>5</v>
      </c>
      <c r="E1181">
        <v>1</v>
      </c>
      <c r="F1181" t="s">
        <v>31</v>
      </c>
      <c r="G1181" t="s">
        <v>32</v>
      </c>
      <c r="H1181" t="s">
        <v>33</v>
      </c>
      <c r="I1181" t="s">
        <v>34</v>
      </c>
      <c r="J1181" t="s">
        <v>35</v>
      </c>
      <c r="K1181" t="s">
        <v>114</v>
      </c>
      <c r="L1181" t="s">
        <v>37</v>
      </c>
      <c r="M1181">
        <v>0</v>
      </c>
      <c r="N1181">
        <v>0</v>
      </c>
      <c r="O1181" s="5">
        <v>50627</v>
      </c>
      <c r="P1181" s="5">
        <v>50626</v>
      </c>
      <c r="Q1181">
        <f>28.5-10.5</f>
        <v>18</v>
      </c>
      <c r="R1181" t="s">
        <v>38</v>
      </c>
      <c r="S1181" t="s">
        <v>39</v>
      </c>
      <c r="T1181">
        <v>19</v>
      </c>
      <c r="U1181">
        <v>90</v>
      </c>
      <c r="V1181">
        <v>15</v>
      </c>
      <c r="W1181">
        <v>12.5</v>
      </c>
      <c r="X1181">
        <v>27.8</v>
      </c>
      <c r="Z1181" t="s">
        <v>39</v>
      </c>
      <c r="AB1181" t="s">
        <v>40</v>
      </c>
      <c r="AC1181" t="s">
        <v>88</v>
      </c>
      <c r="AD1181" t="s">
        <v>193</v>
      </c>
    </row>
    <row r="1182" spans="1:30" x14ac:dyDescent="0.25">
      <c r="A1182" s="4">
        <v>42557</v>
      </c>
      <c r="B1182" t="s">
        <v>30</v>
      </c>
      <c r="C1182">
        <v>201</v>
      </c>
      <c r="D1182">
        <v>6</v>
      </c>
      <c r="E1182">
        <v>1</v>
      </c>
      <c r="F1182" t="s">
        <v>31</v>
      </c>
      <c r="G1182" t="s">
        <v>32</v>
      </c>
      <c r="H1182" t="s">
        <v>33</v>
      </c>
      <c r="I1182" t="s">
        <v>58</v>
      </c>
      <c r="J1182" t="s">
        <v>42</v>
      </c>
      <c r="K1182" t="s">
        <v>36</v>
      </c>
      <c r="L1182" t="s">
        <v>37</v>
      </c>
      <c r="M1182">
        <v>0</v>
      </c>
      <c r="N1182">
        <v>1</v>
      </c>
      <c r="O1182" s="5">
        <v>50673</v>
      </c>
      <c r="P1182" s="5"/>
      <c r="Q1182">
        <v>23</v>
      </c>
      <c r="R1182" t="s">
        <v>83</v>
      </c>
      <c r="S1182" t="s">
        <v>39</v>
      </c>
      <c r="T1182">
        <v>17</v>
      </c>
      <c r="W1182">
        <v>13.2</v>
      </c>
      <c r="X1182">
        <v>26.3</v>
      </c>
      <c r="Z1182" t="s">
        <v>39</v>
      </c>
      <c r="AB1182" t="s">
        <v>40</v>
      </c>
      <c r="AC1182" t="s">
        <v>88</v>
      </c>
    </row>
    <row r="1183" spans="1:30" x14ac:dyDescent="0.25">
      <c r="A1183" s="4">
        <v>42557</v>
      </c>
      <c r="B1183" t="s">
        <v>30</v>
      </c>
      <c r="C1183">
        <v>201</v>
      </c>
      <c r="D1183">
        <v>7</v>
      </c>
      <c r="E1183">
        <v>1</v>
      </c>
      <c r="F1183" t="s">
        <v>31</v>
      </c>
      <c r="G1183" t="s">
        <v>32</v>
      </c>
      <c r="H1183" t="s">
        <v>33</v>
      </c>
      <c r="I1183" t="s">
        <v>34</v>
      </c>
      <c r="J1183" t="s">
        <v>35</v>
      </c>
      <c r="K1183" t="s">
        <v>114</v>
      </c>
      <c r="L1183" t="s">
        <v>43</v>
      </c>
      <c r="M1183">
        <v>0</v>
      </c>
      <c r="N1183">
        <v>0</v>
      </c>
      <c r="O1183" s="5">
        <v>50409</v>
      </c>
      <c r="P1183" s="5">
        <v>50408</v>
      </c>
      <c r="Q1183">
        <f>30-11</f>
        <v>19</v>
      </c>
      <c r="R1183" t="s">
        <v>47</v>
      </c>
      <c r="T1183">
        <v>20</v>
      </c>
      <c r="U1183">
        <v>89</v>
      </c>
      <c r="V1183">
        <v>17</v>
      </c>
      <c r="Z1183" t="s">
        <v>39</v>
      </c>
      <c r="AB1183" t="s">
        <v>40</v>
      </c>
      <c r="AC1183" t="s">
        <v>88</v>
      </c>
      <c r="AD1183" t="s">
        <v>194</v>
      </c>
    </row>
    <row r="1184" spans="1:30" x14ac:dyDescent="0.25">
      <c r="A1184" s="4">
        <v>42557</v>
      </c>
      <c r="B1184" t="s">
        <v>30</v>
      </c>
      <c r="C1184">
        <v>201</v>
      </c>
      <c r="D1184">
        <v>7</v>
      </c>
      <c r="E1184">
        <v>2</v>
      </c>
      <c r="F1184" t="s">
        <v>31</v>
      </c>
      <c r="G1184" t="s">
        <v>32</v>
      </c>
      <c r="H1184" t="s">
        <v>33</v>
      </c>
      <c r="I1184" t="s">
        <v>58</v>
      </c>
      <c r="J1184" t="s">
        <v>42</v>
      </c>
      <c r="K1184" t="s">
        <v>36</v>
      </c>
      <c r="L1184" t="s">
        <v>43</v>
      </c>
      <c r="M1184">
        <v>0</v>
      </c>
      <c r="N1184">
        <v>1</v>
      </c>
      <c r="O1184" s="5">
        <v>50672</v>
      </c>
      <c r="P1184" s="5"/>
      <c r="Q1184">
        <f>34-13</f>
        <v>21</v>
      </c>
      <c r="R1184" t="s">
        <v>47</v>
      </c>
      <c r="T1184">
        <v>17</v>
      </c>
      <c r="W1184">
        <v>12.7</v>
      </c>
      <c r="X1184">
        <v>25.9</v>
      </c>
      <c r="Z1184" t="s">
        <v>39</v>
      </c>
      <c r="AB1184" t="s">
        <v>40</v>
      </c>
      <c r="AC1184" t="s">
        <v>88</v>
      </c>
    </row>
    <row r="1185" spans="1:29" x14ac:dyDescent="0.25">
      <c r="A1185" s="4">
        <v>42557</v>
      </c>
      <c r="B1185" t="s">
        <v>30</v>
      </c>
      <c r="C1185">
        <v>201</v>
      </c>
      <c r="D1185">
        <v>8</v>
      </c>
      <c r="E1185">
        <v>1</v>
      </c>
      <c r="F1185" t="s">
        <v>31</v>
      </c>
      <c r="G1185" t="s">
        <v>32</v>
      </c>
      <c r="H1185" t="s">
        <v>33</v>
      </c>
      <c r="I1185" t="s">
        <v>34</v>
      </c>
      <c r="J1185" t="s">
        <v>35</v>
      </c>
      <c r="K1185" t="s">
        <v>114</v>
      </c>
      <c r="L1185" t="s">
        <v>43</v>
      </c>
      <c r="M1185">
        <v>0</v>
      </c>
      <c r="N1185">
        <v>0</v>
      </c>
      <c r="O1185" s="5">
        <v>50671</v>
      </c>
      <c r="P1185" s="5">
        <v>50670</v>
      </c>
      <c r="Q1185">
        <f>30.5-12.5</f>
        <v>18</v>
      </c>
      <c r="R1185" t="s">
        <v>65</v>
      </c>
      <c r="T1185">
        <v>19</v>
      </c>
      <c r="U1185">
        <v>89</v>
      </c>
      <c r="V1185">
        <v>18</v>
      </c>
      <c r="W1185">
        <v>12.5</v>
      </c>
      <c r="X1185">
        <v>27.4</v>
      </c>
      <c r="Z1185" t="s">
        <v>39</v>
      </c>
      <c r="AB1185" t="s">
        <v>40</v>
      </c>
      <c r="AC1185" t="s">
        <v>88</v>
      </c>
    </row>
    <row r="1186" spans="1:29" x14ac:dyDescent="0.25">
      <c r="A1186" s="4">
        <v>42557</v>
      </c>
      <c r="B1186" t="s">
        <v>30</v>
      </c>
      <c r="C1186">
        <v>201</v>
      </c>
      <c r="D1186">
        <v>9</v>
      </c>
      <c r="E1186">
        <v>1</v>
      </c>
      <c r="F1186" t="s">
        <v>31</v>
      </c>
      <c r="G1186" t="s">
        <v>32</v>
      </c>
      <c r="H1186" t="s">
        <v>33</v>
      </c>
      <c r="I1186" t="s">
        <v>34</v>
      </c>
      <c r="J1186" t="s">
        <v>42</v>
      </c>
      <c r="K1186" t="s">
        <v>114</v>
      </c>
      <c r="L1186" t="s">
        <v>43</v>
      </c>
      <c r="M1186">
        <v>0</v>
      </c>
      <c r="N1186">
        <v>1</v>
      </c>
      <c r="O1186" s="5">
        <v>50671</v>
      </c>
      <c r="P1186" s="5">
        <v>50670</v>
      </c>
      <c r="Q1186">
        <v>16.5</v>
      </c>
      <c r="R1186" t="s">
        <v>47</v>
      </c>
      <c r="T1186">
        <v>18</v>
      </c>
      <c r="U1186">
        <v>91</v>
      </c>
      <c r="V1186">
        <v>15.5</v>
      </c>
      <c r="W1186">
        <v>12.2</v>
      </c>
      <c r="X1186">
        <v>27.7</v>
      </c>
      <c r="Z1186" t="s">
        <v>39</v>
      </c>
      <c r="AB1186" t="s">
        <v>40</v>
      </c>
      <c r="AC1186" t="s">
        <v>88</v>
      </c>
    </row>
    <row r="1187" spans="1:29" x14ac:dyDescent="0.25">
      <c r="A1187" s="4">
        <v>42557</v>
      </c>
      <c r="B1187" t="s">
        <v>30</v>
      </c>
      <c r="C1187">
        <v>203</v>
      </c>
      <c r="D1187">
        <v>1</v>
      </c>
      <c r="E1187">
        <v>1</v>
      </c>
      <c r="F1187" t="s">
        <v>31</v>
      </c>
      <c r="G1187" t="s">
        <v>32</v>
      </c>
      <c r="H1187" t="s">
        <v>33</v>
      </c>
      <c r="I1187" t="s">
        <v>57</v>
      </c>
      <c r="O1187" s="5"/>
      <c r="P1187" s="5"/>
    </row>
    <row r="1188" spans="1:29" x14ac:dyDescent="0.25">
      <c r="A1188" s="4">
        <v>42557</v>
      </c>
      <c r="B1188" t="s">
        <v>30</v>
      </c>
      <c r="C1188">
        <v>203</v>
      </c>
      <c r="D1188">
        <v>1</v>
      </c>
      <c r="E1188">
        <v>2</v>
      </c>
      <c r="F1188" t="s">
        <v>31</v>
      </c>
      <c r="G1188" t="s">
        <v>32</v>
      </c>
      <c r="H1188" t="s">
        <v>33</v>
      </c>
      <c r="I1188" t="s">
        <v>57</v>
      </c>
      <c r="O1188" s="5"/>
      <c r="P1188" s="5"/>
    </row>
    <row r="1189" spans="1:29" x14ac:dyDescent="0.25">
      <c r="A1189" s="4">
        <v>42557</v>
      </c>
      <c r="B1189" t="s">
        <v>30</v>
      </c>
      <c r="C1189">
        <v>203</v>
      </c>
      <c r="D1189">
        <v>2</v>
      </c>
      <c r="E1189">
        <v>1</v>
      </c>
      <c r="F1189" t="s">
        <v>31</v>
      </c>
      <c r="G1189" t="s">
        <v>32</v>
      </c>
      <c r="H1189" t="s">
        <v>33</v>
      </c>
      <c r="I1189" t="s">
        <v>57</v>
      </c>
      <c r="O1189" s="5"/>
      <c r="P1189" s="5"/>
    </row>
    <row r="1190" spans="1:29" x14ac:dyDescent="0.25">
      <c r="A1190" s="4">
        <v>42557</v>
      </c>
      <c r="B1190" t="s">
        <v>30</v>
      </c>
      <c r="C1190">
        <v>203</v>
      </c>
      <c r="D1190">
        <v>2</v>
      </c>
      <c r="E1190">
        <v>2</v>
      </c>
      <c r="F1190" t="s">
        <v>31</v>
      </c>
      <c r="G1190" t="s">
        <v>32</v>
      </c>
      <c r="H1190" t="s">
        <v>33</v>
      </c>
      <c r="I1190" t="s">
        <v>64</v>
      </c>
      <c r="J1190" t="s">
        <v>42</v>
      </c>
      <c r="K1190" t="s">
        <v>89</v>
      </c>
      <c r="L1190" t="s">
        <v>37</v>
      </c>
      <c r="M1190">
        <v>0</v>
      </c>
      <c r="N1190">
        <v>1</v>
      </c>
      <c r="O1190" s="5">
        <v>50669</v>
      </c>
      <c r="P1190" s="5"/>
      <c r="Q1190">
        <f>205-90</f>
        <v>115</v>
      </c>
      <c r="R1190" t="s">
        <v>38</v>
      </c>
      <c r="S1190" t="s">
        <v>39</v>
      </c>
      <c r="T1190">
        <v>42</v>
      </c>
      <c r="W1190">
        <v>24.2</v>
      </c>
      <c r="X1190">
        <v>45.4</v>
      </c>
      <c r="Z1190" t="s">
        <v>39</v>
      </c>
      <c r="AB1190" t="s">
        <v>40</v>
      </c>
      <c r="AC1190" t="s">
        <v>88</v>
      </c>
    </row>
    <row r="1191" spans="1:29" x14ac:dyDescent="0.25">
      <c r="A1191" s="4">
        <v>42557</v>
      </c>
      <c r="B1191" t="s">
        <v>30</v>
      </c>
      <c r="C1191">
        <v>203</v>
      </c>
      <c r="D1191">
        <v>3</v>
      </c>
      <c r="E1191">
        <v>1</v>
      </c>
      <c r="F1191" t="s">
        <v>31</v>
      </c>
      <c r="G1191" t="s">
        <v>32</v>
      </c>
      <c r="H1191" t="s">
        <v>33</v>
      </c>
      <c r="I1191" t="s">
        <v>34</v>
      </c>
      <c r="J1191" t="s">
        <v>42</v>
      </c>
      <c r="K1191" t="s">
        <v>36</v>
      </c>
      <c r="L1191" t="s">
        <v>37</v>
      </c>
      <c r="M1191">
        <v>0</v>
      </c>
      <c r="N1191">
        <v>1</v>
      </c>
      <c r="O1191" s="5">
        <v>50668</v>
      </c>
      <c r="P1191" s="5">
        <v>50667</v>
      </c>
      <c r="Q1191">
        <f>36-9.5</f>
        <v>26.5</v>
      </c>
      <c r="R1191" t="s">
        <v>143</v>
      </c>
      <c r="S1191" t="s">
        <v>97</v>
      </c>
      <c r="T1191">
        <v>19.5</v>
      </c>
      <c r="U1191">
        <v>104</v>
      </c>
      <c r="V1191">
        <v>17</v>
      </c>
      <c r="W1191">
        <v>13</v>
      </c>
      <c r="X1191">
        <v>26.7</v>
      </c>
      <c r="Z1191" t="s">
        <v>39</v>
      </c>
      <c r="AB1191" t="s">
        <v>40</v>
      </c>
      <c r="AC1191" t="s">
        <v>88</v>
      </c>
    </row>
    <row r="1192" spans="1:29" x14ac:dyDescent="0.25">
      <c r="A1192" s="4">
        <v>42557</v>
      </c>
      <c r="B1192" t="s">
        <v>30</v>
      </c>
      <c r="C1192">
        <v>203</v>
      </c>
      <c r="D1192">
        <v>3</v>
      </c>
      <c r="E1192">
        <v>2</v>
      </c>
      <c r="F1192" t="s">
        <v>31</v>
      </c>
      <c r="G1192" t="s">
        <v>32</v>
      </c>
      <c r="H1192" t="s">
        <v>33</v>
      </c>
      <c r="I1192" t="s">
        <v>64</v>
      </c>
      <c r="J1192" t="s">
        <v>42</v>
      </c>
      <c r="K1192" t="s">
        <v>36</v>
      </c>
      <c r="L1192" t="s">
        <v>43</v>
      </c>
      <c r="M1192">
        <v>0</v>
      </c>
      <c r="N1192">
        <v>1</v>
      </c>
      <c r="O1192" s="5">
        <v>50666</v>
      </c>
      <c r="P1192" s="5"/>
      <c r="Q1192">
        <f>230-90</f>
        <v>140</v>
      </c>
      <c r="R1192" t="s">
        <v>65</v>
      </c>
      <c r="T1192">
        <v>45</v>
      </c>
      <c r="W1192">
        <v>25.5</v>
      </c>
      <c r="X1192">
        <v>46.8</v>
      </c>
      <c r="Z1192" t="s">
        <v>39</v>
      </c>
      <c r="AB1192" t="s">
        <v>40</v>
      </c>
      <c r="AC1192" t="s">
        <v>88</v>
      </c>
    </row>
    <row r="1193" spans="1:29" x14ac:dyDescent="0.25">
      <c r="A1193" s="4">
        <v>42557</v>
      </c>
      <c r="B1193" t="s">
        <v>30</v>
      </c>
      <c r="C1193">
        <v>203</v>
      </c>
      <c r="D1193">
        <v>4</v>
      </c>
      <c r="E1193">
        <v>1</v>
      </c>
      <c r="F1193" t="s">
        <v>31</v>
      </c>
      <c r="G1193" t="s">
        <v>32</v>
      </c>
      <c r="H1193" t="s">
        <v>33</v>
      </c>
      <c r="I1193" t="s">
        <v>57</v>
      </c>
      <c r="O1193" s="5"/>
      <c r="P1193" s="5"/>
    </row>
    <row r="1194" spans="1:29" x14ac:dyDescent="0.25">
      <c r="A1194" s="4">
        <v>42557</v>
      </c>
      <c r="B1194" t="s">
        <v>30</v>
      </c>
      <c r="C1194">
        <v>203</v>
      </c>
      <c r="D1194">
        <v>4</v>
      </c>
      <c r="E1194">
        <v>2</v>
      </c>
      <c r="F1194" t="s">
        <v>31</v>
      </c>
      <c r="G1194" t="s">
        <v>32</v>
      </c>
      <c r="H1194" t="s">
        <v>33</v>
      </c>
      <c r="I1194" t="s">
        <v>57</v>
      </c>
      <c r="O1194" s="5"/>
      <c r="P1194" s="5"/>
    </row>
    <row r="1195" spans="1:29" x14ac:dyDescent="0.25">
      <c r="A1195" s="4">
        <v>42557</v>
      </c>
      <c r="B1195" t="s">
        <v>30</v>
      </c>
      <c r="C1195">
        <v>203</v>
      </c>
      <c r="D1195">
        <v>5</v>
      </c>
      <c r="E1195">
        <v>1</v>
      </c>
      <c r="F1195" t="s">
        <v>31</v>
      </c>
      <c r="G1195" t="s">
        <v>32</v>
      </c>
      <c r="H1195" t="s">
        <v>33</v>
      </c>
      <c r="I1195" t="s">
        <v>57</v>
      </c>
      <c r="O1195" s="5"/>
      <c r="P1195" s="5"/>
    </row>
    <row r="1196" spans="1:29" x14ac:dyDescent="0.25">
      <c r="A1196" s="4">
        <v>42557</v>
      </c>
      <c r="B1196" t="s">
        <v>30</v>
      </c>
      <c r="C1196">
        <v>203</v>
      </c>
      <c r="D1196">
        <v>5</v>
      </c>
      <c r="E1196">
        <v>2</v>
      </c>
      <c r="F1196" t="s">
        <v>31</v>
      </c>
      <c r="G1196" t="s">
        <v>32</v>
      </c>
      <c r="H1196" t="s">
        <v>33</v>
      </c>
      <c r="I1196" t="s">
        <v>34</v>
      </c>
      <c r="J1196" t="s">
        <v>35</v>
      </c>
      <c r="K1196" t="s">
        <v>36</v>
      </c>
      <c r="L1196" t="s">
        <v>43</v>
      </c>
      <c r="M1196">
        <v>0</v>
      </c>
      <c r="N1196">
        <v>0</v>
      </c>
      <c r="O1196" s="5" t="s">
        <v>155</v>
      </c>
      <c r="P1196" s="5" t="s">
        <v>156</v>
      </c>
      <c r="Q1196">
        <f>29-9.5</f>
        <v>19.5</v>
      </c>
      <c r="R1196" t="s">
        <v>47</v>
      </c>
      <c r="T1196">
        <v>19</v>
      </c>
      <c r="U1196">
        <v>92</v>
      </c>
      <c r="V1196">
        <v>16</v>
      </c>
      <c r="W1196">
        <v>13.1</v>
      </c>
      <c r="X1196">
        <v>28.5</v>
      </c>
      <c r="Z1196" t="s">
        <v>39</v>
      </c>
      <c r="AB1196" t="s">
        <v>40</v>
      </c>
      <c r="AC1196" t="s">
        <v>88</v>
      </c>
    </row>
    <row r="1197" spans="1:29" x14ac:dyDescent="0.25">
      <c r="A1197" s="4">
        <v>42557</v>
      </c>
      <c r="B1197" t="s">
        <v>30</v>
      </c>
      <c r="C1197">
        <v>203</v>
      </c>
      <c r="D1197">
        <v>6</v>
      </c>
      <c r="E1197">
        <v>1</v>
      </c>
      <c r="F1197" t="s">
        <v>31</v>
      </c>
      <c r="G1197" t="s">
        <v>32</v>
      </c>
      <c r="H1197" t="s">
        <v>33</v>
      </c>
      <c r="I1197" t="s">
        <v>57</v>
      </c>
      <c r="O1197" s="5"/>
      <c r="P1197" s="5"/>
    </row>
    <row r="1198" spans="1:29" x14ac:dyDescent="0.25">
      <c r="A1198" s="4">
        <v>42557</v>
      </c>
      <c r="B1198" t="s">
        <v>30</v>
      </c>
      <c r="C1198">
        <v>203</v>
      </c>
      <c r="D1198">
        <v>6</v>
      </c>
      <c r="E1198">
        <v>2</v>
      </c>
      <c r="F1198" t="s">
        <v>31</v>
      </c>
      <c r="G1198" t="s">
        <v>32</v>
      </c>
      <c r="H1198" t="s">
        <v>33</v>
      </c>
      <c r="I1198" t="s">
        <v>57</v>
      </c>
      <c r="O1198" s="5"/>
      <c r="P1198" s="5"/>
    </row>
    <row r="1199" spans="1:29" x14ac:dyDescent="0.25">
      <c r="A1199" s="4">
        <v>42557</v>
      </c>
      <c r="B1199" t="s">
        <v>30</v>
      </c>
      <c r="C1199">
        <v>203</v>
      </c>
      <c r="D1199">
        <v>7</v>
      </c>
      <c r="E1199">
        <v>1</v>
      </c>
      <c r="F1199" t="s">
        <v>31</v>
      </c>
      <c r="G1199" t="s">
        <v>32</v>
      </c>
      <c r="H1199" t="s">
        <v>33</v>
      </c>
      <c r="I1199" t="s">
        <v>57</v>
      </c>
      <c r="O1199" s="5"/>
      <c r="P1199" s="5"/>
    </row>
    <row r="1200" spans="1:29" x14ac:dyDescent="0.25">
      <c r="A1200" s="4">
        <v>42557</v>
      </c>
      <c r="B1200" t="s">
        <v>30</v>
      </c>
      <c r="C1200">
        <v>203</v>
      </c>
      <c r="D1200">
        <v>7</v>
      </c>
      <c r="E1200">
        <v>2</v>
      </c>
      <c r="F1200" t="s">
        <v>31</v>
      </c>
      <c r="G1200" t="s">
        <v>32</v>
      </c>
      <c r="H1200" t="s">
        <v>33</v>
      </c>
      <c r="I1200" t="s">
        <v>91</v>
      </c>
      <c r="J1200" t="s">
        <v>35</v>
      </c>
      <c r="K1200" t="s">
        <v>36</v>
      </c>
      <c r="L1200" t="s">
        <v>37</v>
      </c>
      <c r="M1200">
        <v>0</v>
      </c>
      <c r="N1200">
        <v>0</v>
      </c>
      <c r="O1200" s="5">
        <v>50631</v>
      </c>
      <c r="P1200" s="5"/>
      <c r="Q1200">
        <f>33-9.5</f>
        <v>23.5</v>
      </c>
      <c r="R1200" t="s">
        <v>74</v>
      </c>
      <c r="S1200" t="s">
        <v>97</v>
      </c>
      <c r="T1200">
        <v>27</v>
      </c>
      <c r="W1200">
        <v>12.1</v>
      </c>
      <c r="X1200">
        <v>27.7</v>
      </c>
      <c r="Z1200" t="s">
        <v>39</v>
      </c>
      <c r="AB1200" t="s">
        <v>40</v>
      </c>
      <c r="AC1200" t="s">
        <v>88</v>
      </c>
    </row>
    <row r="1201" spans="1:30" x14ac:dyDescent="0.25">
      <c r="A1201" s="4">
        <v>42557</v>
      </c>
      <c r="B1201" t="s">
        <v>30</v>
      </c>
      <c r="C1201">
        <v>203</v>
      </c>
      <c r="D1201">
        <v>8</v>
      </c>
      <c r="E1201">
        <v>1</v>
      </c>
      <c r="F1201" t="s">
        <v>31</v>
      </c>
      <c r="G1201" t="s">
        <v>32</v>
      </c>
      <c r="H1201" t="s">
        <v>33</v>
      </c>
      <c r="I1201" t="s">
        <v>34</v>
      </c>
      <c r="J1201" t="s">
        <v>42</v>
      </c>
      <c r="K1201" t="s">
        <v>89</v>
      </c>
      <c r="L1201" t="s">
        <v>43</v>
      </c>
      <c r="M1201">
        <v>0</v>
      </c>
      <c r="N1201">
        <v>1</v>
      </c>
      <c r="O1201" s="5">
        <v>50665</v>
      </c>
      <c r="P1201" s="5">
        <v>50664</v>
      </c>
      <c r="Q1201">
        <f>24.5-9.5</f>
        <v>15</v>
      </c>
      <c r="R1201" t="s">
        <v>65</v>
      </c>
      <c r="T1201">
        <v>19</v>
      </c>
      <c r="U1201">
        <v>93</v>
      </c>
      <c r="V1201">
        <v>16</v>
      </c>
      <c r="W1201">
        <v>12.7</v>
      </c>
      <c r="X1201">
        <v>27.5</v>
      </c>
      <c r="Z1201" t="s">
        <v>39</v>
      </c>
      <c r="AB1201" t="s">
        <v>40</v>
      </c>
      <c r="AC1201" t="s">
        <v>88</v>
      </c>
    </row>
    <row r="1202" spans="1:30" x14ac:dyDescent="0.25">
      <c r="A1202" s="4">
        <v>42557</v>
      </c>
      <c r="B1202" t="s">
        <v>30</v>
      </c>
      <c r="C1202">
        <v>203</v>
      </c>
      <c r="D1202">
        <v>8</v>
      </c>
      <c r="E1202">
        <v>2</v>
      </c>
      <c r="F1202" t="s">
        <v>31</v>
      </c>
      <c r="G1202" t="s">
        <v>32</v>
      </c>
      <c r="H1202" t="s">
        <v>33</v>
      </c>
      <c r="I1202" t="s">
        <v>34</v>
      </c>
      <c r="J1202" t="s">
        <v>35</v>
      </c>
      <c r="K1202" t="s">
        <v>114</v>
      </c>
      <c r="L1202" t="s">
        <v>37</v>
      </c>
      <c r="M1202">
        <v>0</v>
      </c>
      <c r="N1202">
        <v>0</v>
      </c>
      <c r="O1202" s="5">
        <v>50633</v>
      </c>
      <c r="P1202" s="5">
        <v>50634</v>
      </c>
      <c r="Q1202">
        <f>31-9.5</f>
        <v>21.5</v>
      </c>
      <c r="R1202" t="s">
        <v>38</v>
      </c>
      <c r="S1202" t="s">
        <v>39</v>
      </c>
      <c r="T1202">
        <v>18</v>
      </c>
      <c r="U1202">
        <v>80</v>
      </c>
      <c r="V1202">
        <v>17</v>
      </c>
      <c r="W1202">
        <v>13.1</v>
      </c>
      <c r="X1202">
        <v>28.5</v>
      </c>
      <c r="Z1202" t="s">
        <v>39</v>
      </c>
      <c r="AB1202" t="s">
        <v>40</v>
      </c>
      <c r="AC1202" t="s">
        <v>88</v>
      </c>
    </row>
    <row r="1203" spans="1:30" x14ac:dyDescent="0.25">
      <c r="A1203" s="4">
        <v>42557</v>
      </c>
      <c r="B1203" t="s">
        <v>30</v>
      </c>
      <c r="C1203">
        <v>203</v>
      </c>
      <c r="D1203">
        <v>9</v>
      </c>
      <c r="E1203">
        <v>1</v>
      </c>
      <c r="F1203" t="s">
        <v>31</v>
      </c>
      <c r="G1203" t="s">
        <v>32</v>
      </c>
      <c r="H1203" t="s">
        <v>33</v>
      </c>
      <c r="I1203" t="s">
        <v>53</v>
      </c>
      <c r="J1203" t="s">
        <v>62</v>
      </c>
      <c r="O1203" s="5"/>
      <c r="P1203" s="5"/>
    </row>
    <row r="1204" spans="1:30" x14ac:dyDescent="0.25">
      <c r="A1204" s="4">
        <v>42557</v>
      </c>
      <c r="B1204" t="s">
        <v>30</v>
      </c>
      <c r="C1204">
        <v>203</v>
      </c>
      <c r="D1204">
        <v>9</v>
      </c>
      <c r="E1204">
        <v>2</v>
      </c>
      <c r="F1204" t="s">
        <v>31</v>
      </c>
      <c r="G1204" t="s">
        <v>32</v>
      </c>
      <c r="H1204" t="s">
        <v>33</v>
      </c>
      <c r="I1204" t="s">
        <v>34</v>
      </c>
      <c r="J1204" t="s">
        <v>35</v>
      </c>
      <c r="K1204" t="s">
        <v>36</v>
      </c>
      <c r="L1204" t="s">
        <v>43</v>
      </c>
      <c r="M1204">
        <v>0</v>
      </c>
      <c r="N1204">
        <v>0</v>
      </c>
      <c r="O1204" s="5">
        <v>50491</v>
      </c>
      <c r="P1204" s="5">
        <v>50357</v>
      </c>
      <c r="Q1204">
        <f>33-12</f>
        <v>21</v>
      </c>
      <c r="R1204" t="s">
        <v>47</v>
      </c>
      <c r="T1204">
        <v>20</v>
      </c>
      <c r="U1204">
        <v>100</v>
      </c>
      <c r="V1204">
        <v>14</v>
      </c>
      <c r="W1204">
        <v>13.3</v>
      </c>
      <c r="X1204">
        <v>29.5</v>
      </c>
      <c r="Z1204" t="s">
        <v>39</v>
      </c>
      <c r="AB1204" t="s">
        <v>40</v>
      </c>
      <c r="AC1204" t="s">
        <v>88</v>
      </c>
    </row>
    <row r="1205" spans="1:30" x14ac:dyDescent="0.25">
      <c r="A1205" s="4">
        <v>42557</v>
      </c>
      <c r="B1205" t="s">
        <v>30</v>
      </c>
      <c r="C1205">
        <v>202</v>
      </c>
      <c r="D1205">
        <v>1</v>
      </c>
      <c r="E1205">
        <v>1</v>
      </c>
      <c r="F1205" t="s">
        <v>31</v>
      </c>
      <c r="G1205" t="s">
        <v>32</v>
      </c>
      <c r="H1205" t="s">
        <v>33</v>
      </c>
      <c r="I1205" t="s">
        <v>57</v>
      </c>
      <c r="O1205" s="5"/>
      <c r="P1205" s="5"/>
    </row>
    <row r="1206" spans="1:30" x14ac:dyDescent="0.25">
      <c r="A1206" s="4">
        <v>42557</v>
      </c>
      <c r="B1206" t="s">
        <v>30</v>
      </c>
      <c r="C1206">
        <v>202</v>
      </c>
      <c r="D1206">
        <v>1</v>
      </c>
      <c r="E1206">
        <v>2</v>
      </c>
      <c r="F1206" t="s">
        <v>31</v>
      </c>
      <c r="G1206" t="s">
        <v>32</v>
      </c>
      <c r="H1206" t="s">
        <v>33</v>
      </c>
      <c r="I1206" t="s">
        <v>57</v>
      </c>
      <c r="O1206" s="5"/>
      <c r="P1206" s="5"/>
    </row>
    <row r="1207" spans="1:30" x14ac:dyDescent="0.25">
      <c r="A1207" s="4">
        <v>42557</v>
      </c>
      <c r="B1207" t="s">
        <v>30</v>
      </c>
      <c r="C1207">
        <v>202</v>
      </c>
      <c r="D1207">
        <v>2</v>
      </c>
      <c r="E1207">
        <v>1</v>
      </c>
      <c r="F1207" t="s">
        <v>31</v>
      </c>
      <c r="G1207" t="s">
        <v>32</v>
      </c>
      <c r="H1207" t="s">
        <v>33</v>
      </c>
      <c r="I1207" t="s">
        <v>34</v>
      </c>
      <c r="J1207" t="s">
        <v>42</v>
      </c>
      <c r="K1207" t="s">
        <v>114</v>
      </c>
      <c r="L1207" t="s">
        <v>43</v>
      </c>
      <c r="M1207">
        <v>0</v>
      </c>
      <c r="N1207">
        <v>1</v>
      </c>
      <c r="O1207" s="5">
        <v>50663</v>
      </c>
      <c r="P1207" s="5">
        <v>50662</v>
      </c>
      <c r="Q1207">
        <f>24-10</f>
        <v>14</v>
      </c>
      <c r="R1207" t="s">
        <v>65</v>
      </c>
      <c r="T1207">
        <v>16</v>
      </c>
      <c r="U1207">
        <v>80</v>
      </c>
      <c r="V1207">
        <v>14</v>
      </c>
      <c r="W1207">
        <v>12.6</v>
      </c>
      <c r="X1207">
        <v>27</v>
      </c>
      <c r="Z1207" t="s">
        <v>39</v>
      </c>
      <c r="AB1207" t="s">
        <v>40</v>
      </c>
      <c r="AC1207" t="s">
        <v>88</v>
      </c>
    </row>
    <row r="1208" spans="1:30" x14ac:dyDescent="0.25">
      <c r="A1208" s="4">
        <v>42557</v>
      </c>
      <c r="B1208" t="s">
        <v>30</v>
      </c>
      <c r="C1208">
        <v>202</v>
      </c>
      <c r="D1208">
        <v>2</v>
      </c>
      <c r="E1208">
        <v>2</v>
      </c>
      <c r="F1208" t="s">
        <v>31</v>
      </c>
      <c r="G1208" t="s">
        <v>32</v>
      </c>
      <c r="H1208" t="s">
        <v>33</v>
      </c>
      <c r="I1208" t="s">
        <v>34</v>
      </c>
      <c r="J1208" t="s">
        <v>35</v>
      </c>
      <c r="K1208" t="s">
        <v>36</v>
      </c>
      <c r="L1208" t="s">
        <v>43</v>
      </c>
      <c r="M1208">
        <v>0</v>
      </c>
      <c r="N1208">
        <v>0</v>
      </c>
      <c r="O1208" s="5">
        <v>50410</v>
      </c>
      <c r="P1208" s="5">
        <v>50412</v>
      </c>
      <c r="Q1208">
        <f>33-10</f>
        <v>23</v>
      </c>
      <c r="R1208" t="s">
        <v>65</v>
      </c>
      <c r="T1208">
        <v>18</v>
      </c>
      <c r="U1208">
        <v>100</v>
      </c>
      <c r="V1208">
        <v>15.5</v>
      </c>
      <c r="W1208">
        <v>13.1</v>
      </c>
      <c r="X1208">
        <v>29.7</v>
      </c>
      <c r="Z1208" t="s">
        <v>39</v>
      </c>
      <c r="AB1208" t="s">
        <v>40</v>
      </c>
      <c r="AC1208" t="s">
        <v>88</v>
      </c>
    </row>
    <row r="1209" spans="1:30" x14ac:dyDescent="0.25">
      <c r="A1209" s="4">
        <v>42557</v>
      </c>
      <c r="B1209" t="s">
        <v>30</v>
      </c>
      <c r="C1209">
        <v>202</v>
      </c>
      <c r="D1209">
        <v>3</v>
      </c>
      <c r="E1209">
        <v>1</v>
      </c>
      <c r="F1209" t="s">
        <v>31</v>
      </c>
      <c r="G1209" t="s">
        <v>32</v>
      </c>
      <c r="H1209" t="s">
        <v>33</v>
      </c>
      <c r="I1209" t="s">
        <v>57</v>
      </c>
      <c r="O1209" s="5"/>
      <c r="P1209" s="5"/>
    </row>
    <row r="1210" spans="1:30" x14ac:dyDescent="0.25">
      <c r="A1210" s="4">
        <v>42557</v>
      </c>
      <c r="B1210" t="s">
        <v>30</v>
      </c>
      <c r="C1210">
        <v>202</v>
      </c>
      <c r="D1210">
        <v>3</v>
      </c>
      <c r="E1210">
        <v>2</v>
      </c>
      <c r="F1210" t="s">
        <v>31</v>
      </c>
      <c r="G1210" t="s">
        <v>32</v>
      </c>
      <c r="H1210" t="s">
        <v>33</v>
      </c>
      <c r="I1210" t="s">
        <v>34</v>
      </c>
      <c r="J1210" t="s">
        <v>35</v>
      </c>
      <c r="K1210" t="s">
        <v>114</v>
      </c>
      <c r="L1210" t="s">
        <v>43</v>
      </c>
      <c r="M1210">
        <v>0</v>
      </c>
      <c r="N1210">
        <v>0</v>
      </c>
      <c r="O1210" s="5">
        <v>50637</v>
      </c>
      <c r="P1210" s="5">
        <v>50638</v>
      </c>
      <c r="Q1210">
        <f>26-10</f>
        <v>16</v>
      </c>
      <c r="R1210" t="s">
        <v>65</v>
      </c>
      <c r="T1210">
        <v>19</v>
      </c>
      <c r="U1210">
        <v>85.5</v>
      </c>
      <c r="V1210">
        <v>18</v>
      </c>
      <c r="W1210">
        <v>11.8</v>
      </c>
      <c r="X1210">
        <v>27.4</v>
      </c>
      <c r="Z1210" t="s">
        <v>39</v>
      </c>
      <c r="AB1210" t="s">
        <v>40</v>
      </c>
      <c r="AC1210" t="s">
        <v>88</v>
      </c>
    </row>
    <row r="1211" spans="1:30" x14ac:dyDescent="0.25">
      <c r="A1211" s="4">
        <v>42557</v>
      </c>
      <c r="B1211" t="s">
        <v>30</v>
      </c>
      <c r="C1211">
        <v>202</v>
      </c>
      <c r="D1211">
        <v>4</v>
      </c>
      <c r="E1211">
        <v>1</v>
      </c>
      <c r="F1211" t="s">
        <v>31</v>
      </c>
      <c r="G1211" t="s">
        <v>32</v>
      </c>
      <c r="H1211" t="s">
        <v>33</v>
      </c>
      <c r="I1211" t="s">
        <v>57</v>
      </c>
      <c r="O1211" s="5"/>
      <c r="P1211" s="5"/>
    </row>
    <row r="1212" spans="1:30" x14ac:dyDescent="0.25">
      <c r="A1212" s="4">
        <v>42557</v>
      </c>
      <c r="B1212" t="s">
        <v>30</v>
      </c>
      <c r="C1212">
        <v>202</v>
      </c>
      <c r="D1212">
        <v>4</v>
      </c>
      <c r="E1212">
        <v>2</v>
      </c>
      <c r="F1212" t="s">
        <v>31</v>
      </c>
      <c r="G1212" t="s">
        <v>32</v>
      </c>
      <c r="H1212" t="s">
        <v>33</v>
      </c>
      <c r="I1212" t="s">
        <v>34</v>
      </c>
      <c r="J1212" t="s">
        <v>35</v>
      </c>
      <c r="K1212" t="s">
        <v>114</v>
      </c>
      <c r="L1212" t="s">
        <v>43</v>
      </c>
      <c r="M1212">
        <v>0</v>
      </c>
      <c r="N1212">
        <v>0</v>
      </c>
      <c r="O1212" s="5">
        <v>50642</v>
      </c>
      <c r="P1212" s="5">
        <v>50641</v>
      </c>
      <c r="Q1212">
        <f>31-14.5</f>
        <v>16.5</v>
      </c>
      <c r="R1212" t="s">
        <v>65</v>
      </c>
      <c r="T1212">
        <v>18</v>
      </c>
      <c r="U1212">
        <v>89</v>
      </c>
      <c r="V1212">
        <v>14</v>
      </c>
      <c r="W1212">
        <v>12.9</v>
      </c>
      <c r="X1212">
        <v>26</v>
      </c>
      <c r="Y1212" t="s">
        <v>195</v>
      </c>
      <c r="Z1212" t="s">
        <v>39</v>
      </c>
      <c r="AB1212" t="s">
        <v>40</v>
      </c>
      <c r="AC1212" t="s">
        <v>88</v>
      </c>
    </row>
    <row r="1213" spans="1:30" x14ac:dyDescent="0.25">
      <c r="A1213" s="4">
        <v>42557</v>
      </c>
      <c r="B1213" t="s">
        <v>30</v>
      </c>
      <c r="C1213">
        <v>202</v>
      </c>
      <c r="D1213">
        <v>5</v>
      </c>
      <c r="E1213">
        <v>1</v>
      </c>
      <c r="F1213" t="s">
        <v>31</v>
      </c>
      <c r="G1213" t="s">
        <v>32</v>
      </c>
      <c r="H1213" t="s">
        <v>33</v>
      </c>
      <c r="I1213" t="s">
        <v>34</v>
      </c>
      <c r="J1213" t="s">
        <v>35</v>
      </c>
      <c r="K1213" t="s">
        <v>114</v>
      </c>
      <c r="L1213" t="s">
        <v>37</v>
      </c>
      <c r="M1213">
        <v>0</v>
      </c>
      <c r="N1213">
        <v>0</v>
      </c>
      <c r="O1213" s="5">
        <v>50644</v>
      </c>
      <c r="P1213" s="5">
        <v>50645</v>
      </c>
      <c r="Q1213">
        <f>25-9.5</f>
        <v>15.5</v>
      </c>
      <c r="R1213" t="s">
        <v>38</v>
      </c>
      <c r="S1213" t="s">
        <v>39</v>
      </c>
      <c r="T1213">
        <v>18</v>
      </c>
      <c r="U1213">
        <v>86.5</v>
      </c>
      <c r="V1213">
        <v>15.5</v>
      </c>
      <c r="W1213">
        <v>12.7</v>
      </c>
      <c r="X1213">
        <v>28.2</v>
      </c>
      <c r="Z1213" t="s">
        <v>39</v>
      </c>
      <c r="AB1213" t="s">
        <v>40</v>
      </c>
      <c r="AC1213" t="s">
        <v>88</v>
      </c>
    </row>
    <row r="1214" spans="1:30" x14ac:dyDescent="0.25">
      <c r="A1214" s="4">
        <v>42557</v>
      </c>
      <c r="B1214" t="s">
        <v>30</v>
      </c>
      <c r="C1214">
        <v>202</v>
      </c>
      <c r="D1214">
        <v>5</v>
      </c>
      <c r="E1214">
        <v>2</v>
      </c>
      <c r="F1214" t="s">
        <v>31</v>
      </c>
      <c r="G1214" t="s">
        <v>32</v>
      </c>
      <c r="H1214" t="s">
        <v>33</v>
      </c>
      <c r="I1214" t="s">
        <v>34</v>
      </c>
      <c r="J1214" t="s">
        <v>42</v>
      </c>
      <c r="K1214" t="s">
        <v>36</v>
      </c>
      <c r="L1214" t="s">
        <v>37</v>
      </c>
      <c r="M1214">
        <v>0</v>
      </c>
      <c r="N1214">
        <v>1</v>
      </c>
      <c r="O1214" s="5">
        <v>50661</v>
      </c>
      <c r="P1214" s="5">
        <v>50660</v>
      </c>
      <c r="Q1214">
        <f>32-12.5</f>
        <v>19.5</v>
      </c>
      <c r="R1214" t="s">
        <v>74</v>
      </c>
      <c r="S1214" t="s">
        <v>97</v>
      </c>
      <c r="T1214">
        <v>17</v>
      </c>
      <c r="U1214">
        <v>96</v>
      </c>
      <c r="V1214">
        <v>17</v>
      </c>
      <c r="W1214">
        <v>12.8</v>
      </c>
      <c r="X1214">
        <v>28.2</v>
      </c>
      <c r="Z1214" t="s">
        <v>39</v>
      </c>
      <c r="AB1214" t="s">
        <v>40</v>
      </c>
      <c r="AC1214" t="s">
        <v>88</v>
      </c>
    </row>
    <row r="1215" spans="1:30" x14ac:dyDescent="0.25">
      <c r="A1215" s="4">
        <v>42557</v>
      </c>
      <c r="B1215" t="s">
        <v>30</v>
      </c>
      <c r="C1215">
        <v>202</v>
      </c>
      <c r="D1215">
        <v>6</v>
      </c>
      <c r="E1215">
        <v>1</v>
      </c>
      <c r="F1215" t="s">
        <v>31</v>
      </c>
      <c r="G1215" t="s">
        <v>32</v>
      </c>
      <c r="H1215" t="s">
        <v>33</v>
      </c>
      <c r="I1215" t="s">
        <v>34</v>
      </c>
      <c r="J1215" t="s">
        <v>35</v>
      </c>
      <c r="K1215" t="s">
        <v>36</v>
      </c>
      <c r="L1215" t="s">
        <v>43</v>
      </c>
      <c r="M1215">
        <v>0</v>
      </c>
      <c r="N1215">
        <v>0</v>
      </c>
      <c r="O1215" s="5">
        <v>50640</v>
      </c>
      <c r="P1215" s="5">
        <v>50639</v>
      </c>
      <c r="Q1215">
        <f>29-10</f>
        <v>19</v>
      </c>
      <c r="R1215" t="s">
        <v>65</v>
      </c>
      <c r="T1215">
        <v>19</v>
      </c>
      <c r="U1215">
        <v>83.5</v>
      </c>
      <c r="V1215">
        <v>16</v>
      </c>
      <c r="Z1215" t="s">
        <v>39</v>
      </c>
      <c r="AB1215" t="s">
        <v>40</v>
      </c>
      <c r="AC1215" t="s">
        <v>88</v>
      </c>
      <c r="AD1215" t="s">
        <v>194</v>
      </c>
    </row>
    <row r="1216" spans="1:30" x14ac:dyDescent="0.25">
      <c r="A1216" s="4">
        <v>42557</v>
      </c>
      <c r="B1216" t="s">
        <v>30</v>
      </c>
      <c r="C1216">
        <v>202</v>
      </c>
      <c r="D1216">
        <v>8</v>
      </c>
      <c r="E1216">
        <v>1</v>
      </c>
      <c r="F1216" t="s">
        <v>31</v>
      </c>
      <c r="G1216" t="s">
        <v>32</v>
      </c>
      <c r="H1216" t="s">
        <v>33</v>
      </c>
      <c r="I1216" t="s">
        <v>34</v>
      </c>
      <c r="J1216" t="s">
        <v>51</v>
      </c>
      <c r="K1216" t="s">
        <v>36</v>
      </c>
      <c r="L1216" t="s">
        <v>37</v>
      </c>
      <c r="M1216">
        <v>1</v>
      </c>
      <c r="N1216">
        <v>0</v>
      </c>
      <c r="O1216" s="5">
        <v>50545</v>
      </c>
      <c r="P1216" s="5">
        <v>50652</v>
      </c>
      <c r="Q1216">
        <f>32-13.5</f>
        <v>18.5</v>
      </c>
      <c r="R1216" t="s">
        <v>74</v>
      </c>
      <c r="S1216" t="s">
        <v>97</v>
      </c>
      <c r="T1216">
        <v>17</v>
      </c>
      <c r="U1216">
        <v>92</v>
      </c>
      <c r="V1216">
        <v>15</v>
      </c>
      <c r="W1216">
        <v>12.4</v>
      </c>
      <c r="X1216">
        <v>28.2</v>
      </c>
      <c r="Z1216" t="s">
        <v>39</v>
      </c>
      <c r="AB1216" t="s">
        <v>40</v>
      </c>
      <c r="AC1216" t="s">
        <v>88</v>
      </c>
    </row>
    <row r="1217" spans="1:30" x14ac:dyDescent="0.25">
      <c r="A1217" s="4">
        <v>42557</v>
      </c>
      <c r="B1217" t="s">
        <v>30</v>
      </c>
      <c r="C1217">
        <v>304</v>
      </c>
      <c r="D1217">
        <v>2</v>
      </c>
      <c r="E1217">
        <v>1</v>
      </c>
      <c r="F1217" t="s">
        <v>31</v>
      </c>
      <c r="G1217" t="s">
        <v>32</v>
      </c>
      <c r="H1217" t="s">
        <v>33</v>
      </c>
      <c r="I1217" t="s">
        <v>34</v>
      </c>
      <c r="J1217" t="s">
        <v>51</v>
      </c>
      <c r="K1217" t="s">
        <v>114</v>
      </c>
      <c r="L1217" t="s">
        <v>43</v>
      </c>
      <c r="M1217">
        <v>1</v>
      </c>
      <c r="N1217">
        <v>0</v>
      </c>
      <c r="O1217" s="5">
        <v>50647</v>
      </c>
      <c r="P1217" s="5">
        <v>50653</v>
      </c>
      <c r="Q1217">
        <v>14</v>
      </c>
      <c r="R1217" t="s">
        <v>65</v>
      </c>
      <c r="T1217">
        <v>20.5</v>
      </c>
      <c r="U1217">
        <v>96.5</v>
      </c>
      <c r="V1217">
        <v>13.5</v>
      </c>
      <c r="W1217">
        <v>13</v>
      </c>
      <c r="X1217">
        <v>29.7</v>
      </c>
      <c r="Z1217" t="s">
        <v>39</v>
      </c>
      <c r="AB1217" t="s">
        <v>40</v>
      </c>
      <c r="AC1217" t="s">
        <v>88</v>
      </c>
    </row>
    <row r="1218" spans="1:30" x14ac:dyDescent="0.25">
      <c r="A1218" s="4">
        <v>42558</v>
      </c>
      <c r="B1218" t="s">
        <v>30</v>
      </c>
      <c r="C1218">
        <v>201</v>
      </c>
      <c r="D1218">
        <v>1</v>
      </c>
      <c r="E1218">
        <v>1</v>
      </c>
      <c r="F1218" t="s">
        <v>31</v>
      </c>
      <c r="G1218" t="s">
        <v>32</v>
      </c>
      <c r="H1218" t="s">
        <v>33</v>
      </c>
      <c r="I1218" t="s">
        <v>57</v>
      </c>
      <c r="O1218" s="5"/>
      <c r="P1218" s="5"/>
    </row>
    <row r="1219" spans="1:30" x14ac:dyDescent="0.25">
      <c r="A1219" s="4">
        <v>42558</v>
      </c>
      <c r="B1219" t="s">
        <v>30</v>
      </c>
      <c r="C1219">
        <v>201</v>
      </c>
      <c r="D1219">
        <v>1</v>
      </c>
      <c r="E1219">
        <v>2</v>
      </c>
      <c r="F1219" t="s">
        <v>31</v>
      </c>
      <c r="G1219" t="s">
        <v>32</v>
      </c>
      <c r="H1219" t="s">
        <v>33</v>
      </c>
      <c r="I1219" t="s">
        <v>34</v>
      </c>
      <c r="J1219" t="s">
        <v>42</v>
      </c>
      <c r="K1219" t="s">
        <v>36</v>
      </c>
      <c r="L1219" t="s">
        <v>37</v>
      </c>
      <c r="M1219">
        <v>0</v>
      </c>
      <c r="N1219">
        <v>1</v>
      </c>
      <c r="O1219" s="5">
        <v>50659</v>
      </c>
      <c r="P1219" s="5">
        <v>50658</v>
      </c>
      <c r="Q1219">
        <f>34-9</f>
        <v>25</v>
      </c>
      <c r="R1219" t="s">
        <v>81</v>
      </c>
      <c r="S1219" t="s">
        <v>39</v>
      </c>
      <c r="T1219">
        <v>19.5</v>
      </c>
      <c r="U1219">
        <v>89</v>
      </c>
      <c r="V1219">
        <v>17</v>
      </c>
      <c r="W1219">
        <v>12.6</v>
      </c>
      <c r="X1219">
        <v>30.4</v>
      </c>
      <c r="Z1219" t="s">
        <v>39</v>
      </c>
      <c r="AB1219" t="s">
        <v>87</v>
      </c>
      <c r="AC1219" t="s">
        <v>137</v>
      </c>
    </row>
    <row r="1220" spans="1:30" x14ac:dyDescent="0.25">
      <c r="A1220" s="4">
        <v>42558</v>
      </c>
      <c r="B1220" t="s">
        <v>30</v>
      </c>
      <c r="C1220">
        <v>201</v>
      </c>
      <c r="D1220">
        <v>2</v>
      </c>
      <c r="E1220">
        <v>1</v>
      </c>
      <c r="F1220" t="s">
        <v>31</v>
      </c>
      <c r="G1220" t="s">
        <v>32</v>
      </c>
      <c r="H1220" t="s">
        <v>33</v>
      </c>
      <c r="I1220" t="s">
        <v>34</v>
      </c>
      <c r="J1220" t="s">
        <v>35</v>
      </c>
      <c r="K1220" t="s">
        <v>36</v>
      </c>
      <c r="L1220" t="s">
        <v>43</v>
      </c>
      <c r="M1220">
        <v>0</v>
      </c>
      <c r="N1220">
        <v>0</v>
      </c>
      <c r="O1220" s="5">
        <v>50335</v>
      </c>
      <c r="P1220" s="5">
        <v>50334</v>
      </c>
      <c r="Q1220">
        <f>31-9</f>
        <v>22</v>
      </c>
      <c r="R1220" t="s">
        <v>47</v>
      </c>
      <c r="T1220">
        <v>19</v>
      </c>
      <c r="U1220">
        <v>92</v>
      </c>
      <c r="V1220">
        <v>17</v>
      </c>
      <c r="W1220">
        <v>13.6</v>
      </c>
      <c r="X1220">
        <v>29.4</v>
      </c>
      <c r="Z1220" t="s">
        <v>39</v>
      </c>
      <c r="AB1220" t="s">
        <v>87</v>
      </c>
      <c r="AC1220" t="s">
        <v>137</v>
      </c>
    </row>
    <row r="1221" spans="1:30" x14ac:dyDescent="0.25">
      <c r="A1221" s="4">
        <v>42558</v>
      </c>
      <c r="B1221" t="s">
        <v>30</v>
      </c>
      <c r="C1221">
        <v>201</v>
      </c>
      <c r="D1221">
        <v>2</v>
      </c>
      <c r="E1221">
        <v>2</v>
      </c>
      <c r="F1221" t="s">
        <v>31</v>
      </c>
      <c r="G1221" t="s">
        <v>32</v>
      </c>
      <c r="H1221" t="s">
        <v>33</v>
      </c>
      <c r="I1221" t="s">
        <v>57</v>
      </c>
      <c r="O1221" s="5"/>
      <c r="P1221" s="5"/>
    </row>
    <row r="1222" spans="1:30" x14ac:dyDescent="0.25">
      <c r="A1222" s="4">
        <v>42558</v>
      </c>
      <c r="B1222" t="s">
        <v>30</v>
      </c>
      <c r="C1222">
        <v>201</v>
      </c>
      <c r="D1222">
        <v>3</v>
      </c>
      <c r="E1222">
        <v>1</v>
      </c>
      <c r="F1222" t="s">
        <v>31</v>
      </c>
      <c r="G1222" t="s">
        <v>32</v>
      </c>
      <c r="H1222" t="s">
        <v>33</v>
      </c>
      <c r="I1222" t="s">
        <v>57</v>
      </c>
      <c r="O1222" s="5"/>
      <c r="P1222" s="5"/>
    </row>
    <row r="1223" spans="1:30" x14ac:dyDescent="0.25">
      <c r="A1223" s="4">
        <v>42558</v>
      </c>
      <c r="B1223" t="s">
        <v>30</v>
      </c>
      <c r="C1223">
        <v>201</v>
      </c>
      <c r="D1223">
        <v>3</v>
      </c>
      <c r="E1223">
        <v>2</v>
      </c>
      <c r="F1223" t="s">
        <v>31</v>
      </c>
      <c r="G1223" t="s">
        <v>32</v>
      </c>
      <c r="H1223" t="s">
        <v>33</v>
      </c>
      <c r="I1223" t="s">
        <v>34</v>
      </c>
      <c r="J1223" t="s">
        <v>35</v>
      </c>
      <c r="K1223" t="s">
        <v>114</v>
      </c>
      <c r="L1223" t="s">
        <v>37</v>
      </c>
      <c r="M1223">
        <v>0</v>
      </c>
      <c r="N1223">
        <v>0</v>
      </c>
      <c r="O1223" s="5">
        <v>50627</v>
      </c>
      <c r="P1223" s="5">
        <v>50626</v>
      </c>
      <c r="Q1223">
        <f>30-11</f>
        <v>19</v>
      </c>
      <c r="R1223" t="s">
        <v>38</v>
      </c>
      <c r="S1223" t="s">
        <v>39</v>
      </c>
      <c r="T1223">
        <v>19</v>
      </c>
      <c r="U1223">
        <v>85</v>
      </c>
      <c r="V1223">
        <v>17</v>
      </c>
      <c r="Z1223" t="s">
        <v>39</v>
      </c>
      <c r="AB1223" t="s">
        <v>87</v>
      </c>
      <c r="AC1223" t="s">
        <v>137</v>
      </c>
      <c r="AD1223" t="s">
        <v>196</v>
      </c>
    </row>
    <row r="1224" spans="1:30" x14ac:dyDescent="0.25">
      <c r="A1224" s="4">
        <v>42558</v>
      </c>
      <c r="B1224" t="s">
        <v>30</v>
      </c>
      <c r="C1224">
        <v>201</v>
      </c>
      <c r="D1224">
        <v>4</v>
      </c>
      <c r="E1224">
        <v>1</v>
      </c>
      <c r="F1224" t="s">
        <v>31</v>
      </c>
      <c r="G1224" t="s">
        <v>32</v>
      </c>
      <c r="H1224" t="s">
        <v>33</v>
      </c>
      <c r="I1224" t="s">
        <v>73</v>
      </c>
      <c r="J1224" t="s">
        <v>62</v>
      </c>
      <c r="O1224" s="5"/>
      <c r="P1224" s="5"/>
    </row>
    <row r="1225" spans="1:30" x14ac:dyDescent="0.25">
      <c r="A1225" s="4">
        <v>42558</v>
      </c>
      <c r="B1225" t="s">
        <v>30</v>
      </c>
      <c r="C1225">
        <v>201</v>
      </c>
      <c r="D1225">
        <v>5</v>
      </c>
      <c r="E1225">
        <v>1</v>
      </c>
      <c r="F1225" t="s">
        <v>31</v>
      </c>
      <c r="G1225" t="s">
        <v>32</v>
      </c>
      <c r="H1225" t="s">
        <v>33</v>
      </c>
      <c r="I1225" t="s">
        <v>57</v>
      </c>
      <c r="O1225" s="5"/>
      <c r="P1225" s="5"/>
    </row>
    <row r="1226" spans="1:30" x14ac:dyDescent="0.25">
      <c r="A1226" s="4">
        <v>42558</v>
      </c>
      <c r="B1226" t="s">
        <v>30</v>
      </c>
      <c r="C1226">
        <v>201</v>
      </c>
      <c r="D1226">
        <v>5</v>
      </c>
      <c r="E1226">
        <v>2</v>
      </c>
      <c r="F1226" t="s">
        <v>31</v>
      </c>
      <c r="G1226" t="s">
        <v>32</v>
      </c>
      <c r="H1226" t="s">
        <v>33</v>
      </c>
      <c r="I1226" t="s">
        <v>57</v>
      </c>
      <c r="O1226" s="5"/>
      <c r="P1226" s="5"/>
    </row>
    <row r="1227" spans="1:30" x14ac:dyDescent="0.25">
      <c r="A1227" s="4">
        <v>42558</v>
      </c>
      <c r="B1227" t="s">
        <v>30</v>
      </c>
      <c r="C1227">
        <v>201</v>
      </c>
      <c r="D1227">
        <v>6</v>
      </c>
      <c r="E1227">
        <v>1</v>
      </c>
      <c r="F1227" t="s">
        <v>31</v>
      </c>
      <c r="G1227" t="s">
        <v>32</v>
      </c>
      <c r="H1227" t="s">
        <v>33</v>
      </c>
      <c r="I1227" t="s">
        <v>57</v>
      </c>
      <c r="O1227" s="5"/>
      <c r="P1227" s="5"/>
    </row>
    <row r="1228" spans="1:30" x14ac:dyDescent="0.25">
      <c r="A1228" s="4">
        <v>42558</v>
      </c>
      <c r="B1228" t="s">
        <v>30</v>
      </c>
      <c r="C1228">
        <v>201</v>
      </c>
      <c r="D1228">
        <v>7</v>
      </c>
      <c r="E1228">
        <v>1</v>
      </c>
      <c r="F1228" t="s">
        <v>31</v>
      </c>
      <c r="G1228" t="s">
        <v>32</v>
      </c>
      <c r="H1228" t="s">
        <v>33</v>
      </c>
      <c r="I1228" t="s">
        <v>84</v>
      </c>
      <c r="O1228" s="5"/>
      <c r="P1228" s="5"/>
    </row>
    <row r="1229" spans="1:30" x14ac:dyDescent="0.25">
      <c r="A1229" s="4">
        <v>42558</v>
      </c>
      <c r="B1229" t="s">
        <v>30</v>
      </c>
      <c r="C1229">
        <v>201</v>
      </c>
      <c r="D1229">
        <v>7</v>
      </c>
      <c r="E1229">
        <v>2</v>
      </c>
      <c r="F1229" t="s">
        <v>31</v>
      </c>
      <c r="G1229" t="s">
        <v>32</v>
      </c>
      <c r="H1229" t="s">
        <v>33</v>
      </c>
      <c r="I1229" t="s">
        <v>84</v>
      </c>
      <c r="O1229" s="5"/>
      <c r="P1229" s="5"/>
    </row>
    <row r="1230" spans="1:30" x14ac:dyDescent="0.25">
      <c r="A1230" s="4">
        <v>42558</v>
      </c>
      <c r="B1230" t="s">
        <v>30</v>
      </c>
      <c r="C1230">
        <v>201</v>
      </c>
      <c r="D1230">
        <v>8</v>
      </c>
      <c r="E1230">
        <v>1</v>
      </c>
      <c r="F1230" t="s">
        <v>31</v>
      </c>
      <c r="G1230" t="s">
        <v>32</v>
      </c>
      <c r="H1230" t="s">
        <v>33</v>
      </c>
      <c r="I1230" t="s">
        <v>57</v>
      </c>
      <c r="O1230" s="5"/>
      <c r="P1230" s="5"/>
    </row>
    <row r="1231" spans="1:30" x14ac:dyDescent="0.25">
      <c r="A1231" s="4">
        <v>42558</v>
      </c>
      <c r="B1231" t="s">
        <v>30</v>
      </c>
      <c r="C1231">
        <v>201</v>
      </c>
      <c r="D1231">
        <v>8</v>
      </c>
      <c r="E1231">
        <v>2</v>
      </c>
      <c r="F1231" t="s">
        <v>31</v>
      </c>
      <c r="G1231" t="s">
        <v>32</v>
      </c>
      <c r="H1231" t="s">
        <v>33</v>
      </c>
      <c r="I1231" t="s">
        <v>84</v>
      </c>
      <c r="O1231" s="5"/>
      <c r="P1231" s="5"/>
    </row>
    <row r="1232" spans="1:30" x14ac:dyDescent="0.25">
      <c r="A1232" s="4">
        <v>42558</v>
      </c>
      <c r="B1232" t="s">
        <v>30</v>
      </c>
      <c r="C1232">
        <v>201</v>
      </c>
      <c r="D1232">
        <v>9</v>
      </c>
      <c r="E1232">
        <v>1</v>
      </c>
      <c r="F1232" t="s">
        <v>31</v>
      </c>
      <c r="G1232" t="s">
        <v>32</v>
      </c>
      <c r="H1232" t="s">
        <v>33</v>
      </c>
      <c r="I1232" t="s">
        <v>57</v>
      </c>
      <c r="O1232" s="5"/>
      <c r="P1232" s="5"/>
    </row>
    <row r="1233" spans="1:29" x14ac:dyDescent="0.25">
      <c r="A1233" s="4">
        <v>42558</v>
      </c>
      <c r="B1233" t="s">
        <v>30</v>
      </c>
      <c r="C1233">
        <v>201</v>
      </c>
      <c r="D1233">
        <v>9</v>
      </c>
      <c r="E1233">
        <v>2</v>
      </c>
      <c r="F1233" t="s">
        <v>31</v>
      </c>
      <c r="G1233" t="s">
        <v>32</v>
      </c>
      <c r="H1233" t="s">
        <v>33</v>
      </c>
      <c r="I1233" t="s">
        <v>34</v>
      </c>
      <c r="J1233" t="s">
        <v>141</v>
      </c>
      <c r="O1233" s="5"/>
      <c r="P1233" s="5"/>
    </row>
    <row r="1234" spans="1:29" x14ac:dyDescent="0.25">
      <c r="A1234" s="4">
        <v>42558</v>
      </c>
      <c r="B1234" t="s">
        <v>30</v>
      </c>
      <c r="C1234">
        <v>201</v>
      </c>
      <c r="D1234">
        <v>10</v>
      </c>
      <c r="E1234">
        <v>1</v>
      </c>
      <c r="F1234" t="s">
        <v>31</v>
      </c>
      <c r="G1234" t="s">
        <v>32</v>
      </c>
      <c r="H1234" t="s">
        <v>33</v>
      </c>
      <c r="I1234" t="s">
        <v>34</v>
      </c>
      <c r="J1234" t="s">
        <v>141</v>
      </c>
      <c r="O1234" s="5"/>
      <c r="P1234" s="5"/>
    </row>
    <row r="1235" spans="1:29" x14ac:dyDescent="0.25">
      <c r="A1235" s="4">
        <v>42558</v>
      </c>
      <c r="B1235" t="s">
        <v>30</v>
      </c>
      <c r="C1235">
        <v>203</v>
      </c>
      <c r="D1235">
        <v>1</v>
      </c>
      <c r="E1235">
        <v>1</v>
      </c>
      <c r="F1235" t="s">
        <v>31</v>
      </c>
      <c r="G1235" t="s">
        <v>32</v>
      </c>
      <c r="H1235" t="s">
        <v>33</v>
      </c>
      <c r="I1235" t="s">
        <v>53</v>
      </c>
      <c r="J1235" t="s">
        <v>62</v>
      </c>
      <c r="O1235" s="5"/>
      <c r="P1235" s="5"/>
    </row>
    <row r="1236" spans="1:29" x14ac:dyDescent="0.25">
      <c r="A1236" s="4">
        <v>42558</v>
      </c>
      <c r="B1236" t="s">
        <v>30</v>
      </c>
      <c r="C1236">
        <v>203</v>
      </c>
      <c r="D1236">
        <v>1</v>
      </c>
      <c r="E1236">
        <v>2</v>
      </c>
      <c r="F1236" t="s">
        <v>31</v>
      </c>
      <c r="G1236" t="s">
        <v>32</v>
      </c>
      <c r="H1236" t="s">
        <v>33</v>
      </c>
      <c r="I1236" t="s">
        <v>91</v>
      </c>
      <c r="J1236" t="s">
        <v>35</v>
      </c>
      <c r="K1236" t="s">
        <v>36</v>
      </c>
      <c r="L1236" t="s">
        <v>37</v>
      </c>
      <c r="M1236">
        <v>0</v>
      </c>
      <c r="N1236">
        <v>0</v>
      </c>
      <c r="O1236" s="5">
        <v>50631</v>
      </c>
      <c r="P1236" s="5"/>
      <c r="Q1236">
        <f>35-10.5</f>
        <v>24.5</v>
      </c>
      <c r="R1236" t="s">
        <v>38</v>
      </c>
      <c r="S1236" t="s">
        <v>39</v>
      </c>
      <c r="T1236">
        <v>28</v>
      </c>
      <c r="W1236">
        <v>12.7</v>
      </c>
      <c r="X1236">
        <v>29.8</v>
      </c>
      <c r="Z1236" t="s">
        <v>39</v>
      </c>
      <c r="AB1236" t="s">
        <v>87</v>
      </c>
      <c r="AC1236" t="s">
        <v>137</v>
      </c>
    </row>
    <row r="1237" spans="1:29" x14ac:dyDescent="0.25">
      <c r="A1237" s="4">
        <v>42558</v>
      </c>
      <c r="B1237" t="s">
        <v>30</v>
      </c>
      <c r="C1237">
        <v>203</v>
      </c>
      <c r="D1237">
        <v>2</v>
      </c>
      <c r="E1237">
        <v>1</v>
      </c>
      <c r="F1237" t="s">
        <v>31</v>
      </c>
      <c r="G1237" t="s">
        <v>32</v>
      </c>
      <c r="H1237" t="s">
        <v>33</v>
      </c>
      <c r="I1237" t="s">
        <v>91</v>
      </c>
      <c r="J1237" t="s">
        <v>42</v>
      </c>
      <c r="K1237" t="s">
        <v>36</v>
      </c>
      <c r="L1237" t="s">
        <v>43</v>
      </c>
      <c r="M1237">
        <v>0</v>
      </c>
      <c r="N1237">
        <v>1</v>
      </c>
      <c r="O1237" s="5">
        <v>50657</v>
      </c>
      <c r="P1237" s="5"/>
      <c r="Q1237">
        <v>26</v>
      </c>
      <c r="R1237" t="s">
        <v>47</v>
      </c>
      <c r="T1237">
        <v>29</v>
      </c>
      <c r="W1237">
        <v>13.7</v>
      </c>
      <c r="X1237">
        <v>28.2</v>
      </c>
      <c r="Z1237" t="s">
        <v>39</v>
      </c>
      <c r="AB1237" t="s">
        <v>87</v>
      </c>
      <c r="AC1237" t="s">
        <v>137</v>
      </c>
    </row>
    <row r="1238" spans="1:29" x14ac:dyDescent="0.25">
      <c r="A1238" s="4">
        <v>42558</v>
      </c>
      <c r="B1238" t="s">
        <v>30</v>
      </c>
      <c r="C1238">
        <v>203</v>
      </c>
      <c r="D1238">
        <v>2</v>
      </c>
      <c r="E1238">
        <v>2</v>
      </c>
      <c r="F1238" t="s">
        <v>31</v>
      </c>
      <c r="G1238" t="s">
        <v>32</v>
      </c>
      <c r="H1238" t="s">
        <v>33</v>
      </c>
      <c r="I1238" t="s">
        <v>34</v>
      </c>
      <c r="J1238" t="s">
        <v>35</v>
      </c>
      <c r="K1238" t="s">
        <v>36</v>
      </c>
      <c r="L1238" t="s">
        <v>37</v>
      </c>
      <c r="M1238">
        <v>0</v>
      </c>
      <c r="N1238">
        <v>0</v>
      </c>
      <c r="O1238" s="5">
        <v>50668</v>
      </c>
      <c r="P1238" s="5">
        <v>50667</v>
      </c>
      <c r="Q1238">
        <v>26</v>
      </c>
      <c r="R1238" t="s">
        <v>143</v>
      </c>
      <c r="S1238" t="s">
        <v>97</v>
      </c>
      <c r="T1238">
        <v>18</v>
      </c>
      <c r="U1238">
        <v>100.5</v>
      </c>
      <c r="V1238">
        <v>15</v>
      </c>
      <c r="W1238">
        <v>13.6</v>
      </c>
      <c r="X1238">
        <v>28.7</v>
      </c>
      <c r="Z1238" t="s">
        <v>39</v>
      </c>
      <c r="AB1238" t="s">
        <v>87</v>
      </c>
      <c r="AC1238" t="s">
        <v>137</v>
      </c>
    </row>
    <row r="1239" spans="1:29" x14ac:dyDescent="0.25">
      <c r="A1239" s="4">
        <v>42558</v>
      </c>
      <c r="B1239" t="s">
        <v>30</v>
      </c>
      <c r="C1239">
        <v>203</v>
      </c>
      <c r="D1239">
        <v>3</v>
      </c>
      <c r="E1239">
        <v>1</v>
      </c>
      <c r="F1239" t="s">
        <v>31</v>
      </c>
      <c r="G1239" t="s">
        <v>32</v>
      </c>
      <c r="H1239" t="s">
        <v>33</v>
      </c>
      <c r="I1239" t="s">
        <v>91</v>
      </c>
      <c r="J1239" t="s">
        <v>42</v>
      </c>
      <c r="K1239" t="s">
        <v>36</v>
      </c>
      <c r="L1239" t="s">
        <v>37</v>
      </c>
      <c r="M1239">
        <v>0</v>
      </c>
      <c r="N1239">
        <v>1</v>
      </c>
      <c r="O1239" s="5">
        <v>50676</v>
      </c>
      <c r="P1239" s="5"/>
      <c r="Q1239">
        <f>37-11.5</f>
        <v>25.5</v>
      </c>
      <c r="R1239" t="s">
        <v>47</v>
      </c>
      <c r="T1239">
        <v>28</v>
      </c>
      <c r="W1239">
        <v>13.2</v>
      </c>
      <c r="X1239">
        <v>29.9</v>
      </c>
      <c r="Z1239" t="s">
        <v>39</v>
      </c>
      <c r="AB1239" t="s">
        <v>87</v>
      </c>
      <c r="AC1239" t="s">
        <v>137</v>
      </c>
    </row>
    <row r="1240" spans="1:29" x14ac:dyDescent="0.25">
      <c r="A1240" s="4">
        <v>42558</v>
      </c>
      <c r="B1240" t="s">
        <v>30</v>
      </c>
      <c r="C1240">
        <v>203</v>
      </c>
      <c r="D1240">
        <v>4</v>
      </c>
      <c r="E1240">
        <v>1</v>
      </c>
      <c r="F1240" t="s">
        <v>31</v>
      </c>
      <c r="G1240" t="s">
        <v>32</v>
      </c>
      <c r="H1240" t="s">
        <v>33</v>
      </c>
      <c r="I1240" t="s">
        <v>34</v>
      </c>
      <c r="J1240" t="s">
        <v>35</v>
      </c>
      <c r="K1240" t="s">
        <v>36</v>
      </c>
      <c r="L1240" t="s">
        <v>43</v>
      </c>
      <c r="M1240">
        <v>0</v>
      </c>
      <c r="N1240">
        <v>0</v>
      </c>
      <c r="O1240" s="5">
        <v>50491</v>
      </c>
      <c r="P1240" s="5">
        <v>50357</v>
      </c>
      <c r="Q1240">
        <v>21</v>
      </c>
      <c r="R1240" t="s">
        <v>47</v>
      </c>
      <c r="T1240">
        <v>19</v>
      </c>
      <c r="U1240">
        <v>96</v>
      </c>
      <c r="V1240">
        <v>18</v>
      </c>
      <c r="W1240">
        <v>13.1</v>
      </c>
      <c r="X1240">
        <v>29.6</v>
      </c>
      <c r="Z1240" t="s">
        <v>39</v>
      </c>
      <c r="AB1240" t="s">
        <v>87</v>
      </c>
      <c r="AC1240" t="s">
        <v>137</v>
      </c>
    </row>
    <row r="1241" spans="1:29" x14ac:dyDescent="0.25">
      <c r="A1241" s="4">
        <v>42558</v>
      </c>
      <c r="B1241" t="s">
        <v>30</v>
      </c>
      <c r="C1241">
        <v>203</v>
      </c>
      <c r="D1241">
        <v>4</v>
      </c>
      <c r="E1241">
        <v>2</v>
      </c>
      <c r="F1241" t="s">
        <v>31</v>
      </c>
      <c r="G1241" t="s">
        <v>32</v>
      </c>
      <c r="H1241" t="s">
        <v>33</v>
      </c>
      <c r="I1241" t="s">
        <v>57</v>
      </c>
      <c r="O1241" s="5"/>
      <c r="P1241" s="5"/>
    </row>
    <row r="1242" spans="1:29" x14ac:dyDescent="0.25">
      <c r="A1242" s="4">
        <v>42558</v>
      </c>
      <c r="B1242" t="s">
        <v>30</v>
      </c>
      <c r="C1242">
        <v>203</v>
      </c>
      <c r="D1242">
        <v>5</v>
      </c>
      <c r="E1242">
        <v>1</v>
      </c>
      <c r="F1242" t="s">
        <v>31</v>
      </c>
      <c r="G1242" t="s">
        <v>32</v>
      </c>
      <c r="H1242" t="s">
        <v>33</v>
      </c>
      <c r="I1242" t="s">
        <v>57</v>
      </c>
      <c r="O1242" s="5"/>
      <c r="P1242" s="5"/>
    </row>
    <row r="1243" spans="1:29" x14ac:dyDescent="0.25">
      <c r="A1243" s="4">
        <v>42558</v>
      </c>
      <c r="B1243" t="s">
        <v>30</v>
      </c>
      <c r="C1243">
        <v>203</v>
      </c>
      <c r="D1243">
        <v>5</v>
      </c>
      <c r="E1243">
        <v>2</v>
      </c>
      <c r="F1243" t="s">
        <v>31</v>
      </c>
      <c r="G1243" t="s">
        <v>32</v>
      </c>
      <c r="H1243" t="s">
        <v>33</v>
      </c>
      <c r="I1243" t="s">
        <v>57</v>
      </c>
      <c r="O1243" s="5"/>
      <c r="P1243" s="5"/>
    </row>
    <row r="1244" spans="1:29" x14ac:dyDescent="0.25">
      <c r="A1244" s="4">
        <v>42558</v>
      </c>
      <c r="B1244" t="s">
        <v>30</v>
      </c>
      <c r="C1244">
        <v>203</v>
      </c>
      <c r="D1244">
        <v>6</v>
      </c>
      <c r="E1244">
        <v>1</v>
      </c>
      <c r="F1244" t="s">
        <v>31</v>
      </c>
      <c r="G1244" t="s">
        <v>32</v>
      </c>
      <c r="H1244" t="s">
        <v>33</v>
      </c>
      <c r="I1244" t="s">
        <v>57</v>
      </c>
      <c r="O1244" s="5"/>
      <c r="P1244" s="5"/>
    </row>
    <row r="1245" spans="1:29" x14ac:dyDescent="0.25">
      <c r="A1245" s="4">
        <v>42558</v>
      </c>
      <c r="B1245" t="s">
        <v>30</v>
      </c>
      <c r="C1245">
        <v>203</v>
      </c>
      <c r="D1245">
        <v>6</v>
      </c>
      <c r="E1245">
        <v>2</v>
      </c>
      <c r="F1245" t="s">
        <v>31</v>
      </c>
      <c r="G1245" t="s">
        <v>32</v>
      </c>
      <c r="H1245" t="s">
        <v>33</v>
      </c>
      <c r="I1245" t="s">
        <v>57</v>
      </c>
      <c r="O1245" s="5"/>
      <c r="P1245" s="5"/>
    </row>
    <row r="1246" spans="1:29" x14ac:dyDescent="0.25">
      <c r="A1246" s="4">
        <v>42558</v>
      </c>
      <c r="B1246" t="s">
        <v>30</v>
      </c>
      <c r="C1246">
        <v>203</v>
      </c>
      <c r="D1246">
        <v>7</v>
      </c>
      <c r="E1246">
        <v>1</v>
      </c>
      <c r="F1246" t="s">
        <v>31</v>
      </c>
      <c r="G1246" t="s">
        <v>32</v>
      </c>
      <c r="H1246" t="s">
        <v>33</v>
      </c>
      <c r="I1246" t="s">
        <v>57</v>
      </c>
      <c r="O1246" s="5"/>
      <c r="P1246" s="5"/>
    </row>
    <row r="1247" spans="1:29" x14ac:dyDescent="0.25">
      <c r="A1247" s="4">
        <v>42558</v>
      </c>
      <c r="B1247" t="s">
        <v>30</v>
      </c>
      <c r="C1247">
        <v>203</v>
      </c>
      <c r="D1247">
        <v>7</v>
      </c>
      <c r="E1247">
        <v>2</v>
      </c>
      <c r="F1247" t="s">
        <v>31</v>
      </c>
      <c r="G1247" t="s">
        <v>32</v>
      </c>
      <c r="H1247" t="s">
        <v>33</v>
      </c>
      <c r="I1247" t="s">
        <v>57</v>
      </c>
      <c r="O1247" s="5"/>
      <c r="P1247" s="5"/>
    </row>
    <row r="1248" spans="1:29" x14ac:dyDescent="0.25">
      <c r="A1248" s="4">
        <v>42558</v>
      </c>
      <c r="B1248" t="s">
        <v>30</v>
      </c>
      <c r="C1248">
        <v>203</v>
      </c>
      <c r="D1248">
        <v>8</v>
      </c>
      <c r="E1248">
        <v>1</v>
      </c>
      <c r="F1248" t="s">
        <v>31</v>
      </c>
      <c r="G1248" t="s">
        <v>32</v>
      </c>
      <c r="H1248" t="s">
        <v>33</v>
      </c>
      <c r="I1248" t="s">
        <v>57</v>
      </c>
      <c r="O1248" s="5"/>
      <c r="P1248" s="5"/>
    </row>
    <row r="1249" spans="1:30" x14ac:dyDescent="0.25">
      <c r="A1249" s="4">
        <v>42558</v>
      </c>
      <c r="B1249" t="s">
        <v>30</v>
      </c>
      <c r="C1249">
        <v>203</v>
      </c>
      <c r="D1249">
        <v>8</v>
      </c>
      <c r="E1249">
        <v>2</v>
      </c>
      <c r="F1249" t="s">
        <v>31</v>
      </c>
      <c r="G1249" t="s">
        <v>32</v>
      </c>
      <c r="H1249" t="s">
        <v>33</v>
      </c>
      <c r="I1249" t="s">
        <v>53</v>
      </c>
      <c r="J1249" t="s">
        <v>62</v>
      </c>
      <c r="O1249" s="5"/>
      <c r="P1249" s="5"/>
    </row>
    <row r="1250" spans="1:30" x14ac:dyDescent="0.25">
      <c r="A1250" s="4">
        <v>42558</v>
      </c>
      <c r="B1250" t="s">
        <v>30</v>
      </c>
      <c r="C1250">
        <v>203</v>
      </c>
      <c r="D1250">
        <v>9</v>
      </c>
      <c r="E1250">
        <v>1</v>
      </c>
      <c r="F1250" t="s">
        <v>31</v>
      </c>
      <c r="G1250" t="s">
        <v>32</v>
      </c>
      <c r="H1250" t="s">
        <v>33</v>
      </c>
      <c r="I1250" t="s">
        <v>57</v>
      </c>
      <c r="O1250" s="5"/>
      <c r="P1250" s="5"/>
    </row>
    <row r="1251" spans="1:30" x14ac:dyDescent="0.25">
      <c r="A1251" s="4">
        <v>42558</v>
      </c>
      <c r="B1251" t="s">
        <v>30</v>
      </c>
      <c r="C1251">
        <v>203</v>
      </c>
      <c r="D1251">
        <v>9</v>
      </c>
      <c r="E1251">
        <v>2</v>
      </c>
      <c r="F1251" t="s">
        <v>31</v>
      </c>
      <c r="G1251" t="s">
        <v>32</v>
      </c>
      <c r="H1251" t="s">
        <v>33</v>
      </c>
      <c r="I1251" t="s">
        <v>64</v>
      </c>
      <c r="J1251" t="s">
        <v>42</v>
      </c>
      <c r="K1251" t="s">
        <v>36</v>
      </c>
      <c r="L1251" t="s">
        <v>37</v>
      </c>
      <c r="M1251">
        <v>0</v>
      </c>
      <c r="N1251">
        <v>1</v>
      </c>
      <c r="O1251" s="5">
        <v>50654</v>
      </c>
      <c r="P1251" s="5"/>
      <c r="Q1251">
        <f>270-90</f>
        <v>180</v>
      </c>
      <c r="R1251" t="s">
        <v>74</v>
      </c>
      <c r="S1251" t="s">
        <v>97</v>
      </c>
      <c r="T1251">
        <v>43</v>
      </c>
      <c r="W1251">
        <v>26</v>
      </c>
      <c r="X1251">
        <v>48.6</v>
      </c>
      <c r="Z1251" t="s">
        <v>39</v>
      </c>
      <c r="AB1251" t="s">
        <v>87</v>
      </c>
      <c r="AC1251" t="s">
        <v>137</v>
      </c>
    </row>
    <row r="1252" spans="1:30" x14ac:dyDescent="0.25">
      <c r="A1252" s="4">
        <v>42558</v>
      </c>
      <c r="B1252" t="s">
        <v>30</v>
      </c>
      <c r="C1252">
        <v>203</v>
      </c>
      <c r="D1252">
        <v>10</v>
      </c>
      <c r="E1252">
        <v>1</v>
      </c>
      <c r="F1252" t="s">
        <v>31</v>
      </c>
      <c r="G1252" t="s">
        <v>32</v>
      </c>
      <c r="H1252" t="s">
        <v>33</v>
      </c>
      <c r="I1252" t="s">
        <v>57</v>
      </c>
      <c r="O1252" s="5"/>
      <c r="P1252" s="5"/>
    </row>
    <row r="1253" spans="1:30" x14ac:dyDescent="0.25">
      <c r="A1253" s="4">
        <v>42558</v>
      </c>
      <c r="B1253" t="s">
        <v>30</v>
      </c>
      <c r="C1253">
        <v>203</v>
      </c>
      <c r="D1253">
        <v>10</v>
      </c>
      <c r="E1253">
        <v>2</v>
      </c>
      <c r="F1253" t="s">
        <v>31</v>
      </c>
      <c r="G1253" t="s">
        <v>32</v>
      </c>
      <c r="H1253" t="s">
        <v>33</v>
      </c>
      <c r="I1253" t="s">
        <v>91</v>
      </c>
      <c r="J1253" t="s">
        <v>35</v>
      </c>
      <c r="K1253" t="s">
        <v>36</v>
      </c>
      <c r="L1253" t="s">
        <v>43</v>
      </c>
      <c r="M1253">
        <v>0</v>
      </c>
      <c r="N1253">
        <v>0</v>
      </c>
      <c r="O1253" s="5">
        <v>50635</v>
      </c>
      <c r="P1253" s="5"/>
      <c r="Q1253">
        <v>22</v>
      </c>
      <c r="R1253" t="s">
        <v>47</v>
      </c>
      <c r="T1253">
        <v>28</v>
      </c>
      <c r="W1253">
        <v>13.3</v>
      </c>
      <c r="X1253">
        <v>27.3</v>
      </c>
      <c r="Z1253" t="s">
        <v>39</v>
      </c>
      <c r="AB1253" t="s">
        <v>102</v>
      </c>
      <c r="AC1253" t="s">
        <v>137</v>
      </c>
    </row>
    <row r="1254" spans="1:30" x14ac:dyDescent="0.25">
      <c r="A1254" s="4">
        <v>42558</v>
      </c>
      <c r="B1254" t="s">
        <v>30</v>
      </c>
      <c r="C1254">
        <v>202</v>
      </c>
      <c r="D1254">
        <v>1</v>
      </c>
      <c r="E1254">
        <v>1</v>
      </c>
      <c r="F1254" t="s">
        <v>31</v>
      </c>
      <c r="G1254" t="s">
        <v>32</v>
      </c>
      <c r="H1254" t="s">
        <v>33</v>
      </c>
      <c r="I1254" t="s">
        <v>57</v>
      </c>
      <c r="O1254" s="5"/>
      <c r="P1254" s="5"/>
    </row>
    <row r="1255" spans="1:30" x14ac:dyDescent="0.25">
      <c r="A1255" s="4">
        <v>42558</v>
      </c>
      <c r="B1255" t="s">
        <v>30</v>
      </c>
      <c r="C1255">
        <v>202</v>
      </c>
      <c r="D1255">
        <v>1</v>
      </c>
      <c r="E1255">
        <v>2</v>
      </c>
      <c r="F1255" t="s">
        <v>31</v>
      </c>
      <c r="G1255" t="s">
        <v>32</v>
      </c>
      <c r="H1255" t="s">
        <v>33</v>
      </c>
      <c r="I1255" t="s">
        <v>57</v>
      </c>
      <c r="O1255" s="5"/>
      <c r="P1255" s="5"/>
    </row>
    <row r="1256" spans="1:30" x14ac:dyDescent="0.25">
      <c r="A1256" s="4">
        <v>42558</v>
      </c>
      <c r="B1256" t="s">
        <v>30</v>
      </c>
      <c r="C1256">
        <v>202</v>
      </c>
      <c r="D1256">
        <v>2</v>
      </c>
      <c r="E1256">
        <v>1</v>
      </c>
      <c r="F1256" t="s">
        <v>31</v>
      </c>
      <c r="G1256" t="s">
        <v>32</v>
      </c>
      <c r="H1256" t="s">
        <v>33</v>
      </c>
      <c r="I1256" t="s">
        <v>34</v>
      </c>
      <c r="J1256" t="s">
        <v>141</v>
      </c>
      <c r="O1256" s="5">
        <v>50663</v>
      </c>
      <c r="P1256" s="5">
        <v>50662</v>
      </c>
    </row>
    <row r="1257" spans="1:30" x14ac:dyDescent="0.25">
      <c r="A1257" s="4">
        <v>42558</v>
      </c>
      <c r="B1257" t="s">
        <v>30</v>
      </c>
      <c r="C1257">
        <v>202</v>
      </c>
      <c r="D1257">
        <v>2</v>
      </c>
      <c r="E1257">
        <v>2</v>
      </c>
      <c r="F1257" t="s">
        <v>31</v>
      </c>
      <c r="G1257" t="s">
        <v>32</v>
      </c>
      <c r="H1257" t="s">
        <v>33</v>
      </c>
      <c r="I1257" t="s">
        <v>57</v>
      </c>
      <c r="O1257" s="5"/>
      <c r="P1257" s="5"/>
      <c r="AD1257" t="s">
        <v>197</v>
      </c>
    </row>
    <row r="1258" spans="1:30" x14ac:dyDescent="0.25">
      <c r="A1258" s="4">
        <v>42558</v>
      </c>
      <c r="B1258" t="s">
        <v>30</v>
      </c>
      <c r="C1258">
        <v>202</v>
      </c>
      <c r="D1258">
        <v>3</v>
      </c>
      <c r="E1258">
        <v>1</v>
      </c>
      <c r="F1258" t="s">
        <v>31</v>
      </c>
      <c r="G1258" t="s">
        <v>32</v>
      </c>
      <c r="H1258" t="s">
        <v>33</v>
      </c>
      <c r="I1258" t="s">
        <v>34</v>
      </c>
      <c r="J1258" t="s">
        <v>141</v>
      </c>
      <c r="O1258" s="5"/>
      <c r="P1258" s="5"/>
    </row>
    <row r="1259" spans="1:30" x14ac:dyDescent="0.25">
      <c r="A1259" s="4">
        <v>42558</v>
      </c>
      <c r="B1259" t="s">
        <v>30</v>
      </c>
      <c r="C1259">
        <v>202</v>
      </c>
      <c r="D1259">
        <v>3</v>
      </c>
      <c r="E1259">
        <v>2</v>
      </c>
      <c r="F1259" t="s">
        <v>31</v>
      </c>
      <c r="G1259" t="s">
        <v>32</v>
      </c>
      <c r="H1259" t="s">
        <v>33</v>
      </c>
      <c r="I1259" t="s">
        <v>34</v>
      </c>
      <c r="J1259" t="s">
        <v>141</v>
      </c>
      <c r="O1259" s="5"/>
      <c r="P1259" s="5"/>
    </row>
    <row r="1260" spans="1:30" x14ac:dyDescent="0.25">
      <c r="A1260" s="4">
        <v>42558</v>
      </c>
      <c r="B1260" t="s">
        <v>30</v>
      </c>
      <c r="C1260">
        <v>202</v>
      </c>
      <c r="D1260">
        <v>4</v>
      </c>
      <c r="E1260">
        <v>1</v>
      </c>
      <c r="F1260" t="s">
        <v>31</v>
      </c>
      <c r="G1260" t="s">
        <v>32</v>
      </c>
      <c r="H1260" t="s">
        <v>33</v>
      </c>
      <c r="I1260" t="s">
        <v>84</v>
      </c>
      <c r="O1260" s="5"/>
      <c r="P1260" s="5"/>
    </row>
    <row r="1261" spans="1:30" x14ac:dyDescent="0.25">
      <c r="A1261" s="4">
        <v>42558</v>
      </c>
      <c r="B1261" t="s">
        <v>30</v>
      </c>
      <c r="C1261">
        <v>202</v>
      </c>
      <c r="D1261">
        <v>4</v>
      </c>
      <c r="E1261">
        <v>2</v>
      </c>
      <c r="F1261" t="s">
        <v>31</v>
      </c>
      <c r="G1261" t="s">
        <v>32</v>
      </c>
      <c r="H1261" t="s">
        <v>33</v>
      </c>
      <c r="I1261" t="s">
        <v>53</v>
      </c>
      <c r="J1261" t="s">
        <v>62</v>
      </c>
      <c r="O1261" s="5"/>
      <c r="P1261" s="5"/>
    </row>
    <row r="1262" spans="1:30" x14ac:dyDescent="0.25">
      <c r="A1262" s="4">
        <v>42558</v>
      </c>
      <c r="B1262" t="s">
        <v>30</v>
      </c>
      <c r="C1262">
        <v>202</v>
      </c>
      <c r="D1262">
        <v>5</v>
      </c>
      <c r="E1262">
        <v>1</v>
      </c>
      <c r="F1262" t="s">
        <v>31</v>
      </c>
      <c r="G1262" t="s">
        <v>32</v>
      </c>
      <c r="H1262" t="s">
        <v>33</v>
      </c>
      <c r="I1262" t="s">
        <v>57</v>
      </c>
      <c r="O1262" s="5"/>
      <c r="P1262" s="5"/>
      <c r="AD1262" t="s">
        <v>197</v>
      </c>
    </row>
    <row r="1263" spans="1:30" x14ac:dyDescent="0.25">
      <c r="A1263" s="4">
        <v>42558</v>
      </c>
      <c r="B1263" t="s">
        <v>30</v>
      </c>
      <c r="C1263">
        <v>202</v>
      </c>
      <c r="D1263">
        <v>6</v>
      </c>
      <c r="E1263">
        <v>2</v>
      </c>
      <c r="F1263" t="s">
        <v>31</v>
      </c>
      <c r="G1263" t="s">
        <v>32</v>
      </c>
      <c r="H1263" t="s">
        <v>33</v>
      </c>
      <c r="I1263" t="s">
        <v>34</v>
      </c>
      <c r="J1263" t="s">
        <v>35</v>
      </c>
      <c r="K1263" t="s">
        <v>36</v>
      </c>
      <c r="L1263" t="s">
        <v>43</v>
      </c>
      <c r="M1263">
        <v>0</v>
      </c>
      <c r="N1263">
        <v>0</v>
      </c>
      <c r="O1263" s="5">
        <v>50410</v>
      </c>
      <c r="P1263" s="5">
        <v>50412</v>
      </c>
      <c r="Q1263">
        <f>38-14.5</f>
        <v>23.5</v>
      </c>
      <c r="R1263" t="s">
        <v>65</v>
      </c>
      <c r="T1263">
        <v>19</v>
      </c>
      <c r="U1263">
        <v>93.5</v>
      </c>
      <c r="V1263">
        <v>15.5</v>
      </c>
      <c r="W1263">
        <v>13.4</v>
      </c>
      <c r="X1263">
        <v>28.7</v>
      </c>
      <c r="Z1263" t="s">
        <v>39</v>
      </c>
      <c r="AB1263" t="s">
        <v>87</v>
      </c>
      <c r="AC1263" t="s">
        <v>137</v>
      </c>
    </row>
    <row r="1264" spans="1:30" x14ac:dyDescent="0.25">
      <c r="A1264" s="4">
        <v>42558</v>
      </c>
      <c r="B1264" t="s">
        <v>30</v>
      </c>
      <c r="C1264">
        <v>304</v>
      </c>
      <c r="D1264">
        <v>1</v>
      </c>
      <c r="E1264">
        <v>1</v>
      </c>
      <c r="F1264" t="s">
        <v>31</v>
      </c>
      <c r="G1264" t="s">
        <v>32</v>
      </c>
      <c r="H1264" t="s">
        <v>33</v>
      </c>
      <c r="I1264" t="s">
        <v>57</v>
      </c>
      <c r="O1264" s="5"/>
      <c r="P1264" s="5"/>
    </row>
    <row r="1265" spans="1:29" x14ac:dyDescent="0.25">
      <c r="A1265" s="4">
        <v>42558</v>
      </c>
      <c r="B1265" t="s">
        <v>30</v>
      </c>
      <c r="C1265">
        <v>304</v>
      </c>
      <c r="D1265">
        <v>1</v>
      </c>
      <c r="E1265">
        <v>2</v>
      </c>
      <c r="F1265" t="s">
        <v>31</v>
      </c>
      <c r="G1265" t="s">
        <v>32</v>
      </c>
      <c r="H1265" t="s">
        <v>33</v>
      </c>
      <c r="I1265" t="s">
        <v>57</v>
      </c>
      <c r="O1265" s="5"/>
      <c r="P1265" s="5"/>
    </row>
    <row r="1266" spans="1:29" x14ac:dyDescent="0.25">
      <c r="A1266" s="4">
        <v>42558</v>
      </c>
      <c r="B1266" t="s">
        <v>30</v>
      </c>
      <c r="C1266">
        <v>304</v>
      </c>
      <c r="D1266">
        <v>2</v>
      </c>
      <c r="E1266">
        <v>1</v>
      </c>
      <c r="F1266" t="s">
        <v>31</v>
      </c>
      <c r="G1266" t="s">
        <v>32</v>
      </c>
      <c r="H1266" t="s">
        <v>33</v>
      </c>
      <c r="I1266" t="s">
        <v>70</v>
      </c>
      <c r="J1266" t="s">
        <v>62</v>
      </c>
      <c r="O1266" s="5"/>
      <c r="P1266" s="5"/>
    </row>
    <row r="1267" spans="1:29" x14ac:dyDescent="0.25">
      <c r="A1267" s="4">
        <v>42558</v>
      </c>
      <c r="B1267" t="s">
        <v>30</v>
      </c>
      <c r="C1267">
        <v>304</v>
      </c>
      <c r="D1267">
        <v>2</v>
      </c>
      <c r="E1267">
        <v>2</v>
      </c>
      <c r="F1267" t="s">
        <v>31</v>
      </c>
      <c r="G1267" t="s">
        <v>32</v>
      </c>
      <c r="H1267" t="s">
        <v>33</v>
      </c>
      <c r="I1267" t="s">
        <v>57</v>
      </c>
      <c r="O1267" s="5"/>
      <c r="P1267" s="5"/>
    </row>
    <row r="1268" spans="1:29" x14ac:dyDescent="0.25">
      <c r="A1268" s="4">
        <v>42558</v>
      </c>
      <c r="B1268" t="s">
        <v>30</v>
      </c>
      <c r="C1268">
        <v>304</v>
      </c>
      <c r="D1268">
        <v>3</v>
      </c>
      <c r="E1268">
        <v>1</v>
      </c>
      <c r="F1268" t="s">
        <v>31</v>
      </c>
      <c r="G1268" t="s">
        <v>32</v>
      </c>
      <c r="H1268" t="s">
        <v>33</v>
      </c>
      <c r="I1268" t="s">
        <v>57</v>
      </c>
      <c r="O1268" s="5"/>
      <c r="P1268" s="5"/>
    </row>
    <row r="1269" spans="1:29" x14ac:dyDescent="0.25">
      <c r="A1269" s="4">
        <v>42558</v>
      </c>
      <c r="B1269" t="s">
        <v>30</v>
      </c>
      <c r="C1269">
        <v>304</v>
      </c>
      <c r="D1269">
        <v>3</v>
      </c>
      <c r="E1269">
        <v>2</v>
      </c>
      <c r="F1269" t="s">
        <v>31</v>
      </c>
      <c r="G1269" t="s">
        <v>32</v>
      </c>
      <c r="H1269" t="s">
        <v>33</v>
      </c>
      <c r="I1269" t="s">
        <v>57</v>
      </c>
      <c r="O1269" s="5"/>
      <c r="P1269" s="5"/>
    </row>
    <row r="1270" spans="1:29" x14ac:dyDescent="0.25">
      <c r="A1270" s="4">
        <v>42558</v>
      </c>
      <c r="B1270" t="s">
        <v>30</v>
      </c>
      <c r="C1270">
        <v>304</v>
      </c>
      <c r="D1270">
        <v>4</v>
      </c>
      <c r="E1270">
        <v>1</v>
      </c>
      <c r="F1270" t="s">
        <v>31</v>
      </c>
      <c r="G1270" t="s">
        <v>32</v>
      </c>
      <c r="H1270" t="s">
        <v>33</v>
      </c>
      <c r="I1270" t="s">
        <v>57</v>
      </c>
      <c r="O1270" s="5"/>
      <c r="P1270" s="5"/>
    </row>
    <row r="1271" spans="1:29" x14ac:dyDescent="0.25">
      <c r="A1271" s="4">
        <v>42558</v>
      </c>
      <c r="B1271" t="s">
        <v>30</v>
      </c>
      <c r="C1271">
        <v>304</v>
      </c>
      <c r="D1271">
        <v>4</v>
      </c>
      <c r="E1271">
        <v>2</v>
      </c>
      <c r="F1271" t="s">
        <v>31</v>
      </c>
      <c r="G1271" t="s">
        <v>32</v>
      </c>
      <c r="H1271" t="s">
        <v>33</v>
      </c>
      <c r="I1271" t="s">
        <v>57</v>
      </c>
      <c r="O1271" s="5"/>
      <c r="P1271" s="5"/>
    </row>
    <row r="1272" spans="1:29" x14ac:dyDescent="0.25">
      <c r="A1272" s="4">
        <v>42558</v>
      </c>
      <c r="B1272" t="s">
        <v>30</v>
      </c>
      <c r="C1272">
        <v>304</v>
      </c>
      <c r="D1272">
        <v>5</v>
      </c>
      <c r="E1272">
        <v>1</v>
      </c>
      <c r="F1272" t="s">
        <v>31</v>
      </c>
      <c r="G1272" t="s">
        <v>32</v>
      </c>
      <c r="H1272" t="s">
        <v>33</v>
      </c>
      <c r="I1272" t="s">
        <v>57</v>
      </c>
      <c r="O1272" s="5"/>
      <c r="P1272" s="5"/>
    </row>
    <row r="1273" spans="1:29" x14ac:dyDescent="0.25">
      <c r="A1273" s="4">
        <v>42558</v>
      </c>
      <c r="B1273" t="s">
        <v>30</v>
      </c>
      <c r="C1273">
        <v>304</v>
      </c>
      <c r="D1273">
        <v>7</v>
      </c>
      <c r="E1273">
        <v>1</v>
      </c>
      <c r="F1273" t="s">
        <v>31</v>
      </c>
      <c r="G1273" t="s">
        <v>32</v>
      </c>
      <c r="H1273" t="s">
        <v>33</v>
      </c>
      <c r="I1273" t="s">
        <v>57</v>
      </c>
      <c r="O1273" s="5"/>
      <c r="P1273" s="5"/>
    </row>
    <row r="1274" spans="1:29" x14ac:dyDescent="0.25">
      <c r="A1274" s="4">
        <v>42558</v>
      </c>
      <c r="B1274" t="s">
        <v>30</v>
      </c>
      <c r="C1274">
        <v>304</v>
      </c>
      <c r="D1274">
        <v>7</v>
      </c>
      <c r="E1274">
        <v>2</v>
      </c>
      <c r="F1274" t="s">
        <v>31</v>
      </c>
      <c r="G1274" t="s">
        <v>32</v>
      </c>
      <c r="H1274" t="s">
        <v>33</v>
      </c>
      <c r="I1274" t="s">
        <v>34</v>
      </c>
      <c r="J1274" t="s">
        <v>35</v>
      </c>
      <c r="K1274" t="s">
        <v>89</v>
      </c>
      <c r="L1274" t="s">
        <v>43</v>
      </c>
      <c r="M1274">
        <v>0</v>
      </c>
      <c r="N1274">
        <v>0</v>
      </c>
      <c r="O1274" s="5">
        <v>50562</v>
      </c>
      <c r="P1274" s="5">
        <v>50561</v>
      </c>
      <c r="Q1274">
        <f>28-16</f>
        <v>12</v>
      </c>
      <c r="R1274" t="s">
        <v>65</v>
      </c>
      <c r="T1274">
        <v>18</v>
      </c>
      <c r="U1274">
        <v>88</v>
      </c>
      <c r="V1274">
        <v>15</v>
      </c>
      <c r="W1274">
        <v>13.2</v>
      </c>
      <c r="X1274">
        <v>27.1</v>
      </c>
      <c r="Z1274" t="s">
        <v>39</v>
      </c>
      <c r="AB1274" t="s">
        <v>87</v>
      </c>
      <c r="AC1274" t="s">
        <v>137</v>
      </c>
    </row>
    <row r="1275" spans="1:29" x14ac:dyDescent="0.25">
      <c r="A1275" s="4">
        <v>42558</v>
      </c>
      <c r="B1275" t="s">
        <v>30</v>
      </c>
      <c r="C1275">
        <v>304</v>
      </c>
      <c r="D1275">
        <v>8</v>
      </c>
      <c r="E1275">
        <v>1</v>
      </c>
      <c r="F1275" t="s">
        <v>31</v>
      </c>
      <c r="G1275" t="s">
        <v>32</v>
      </c>
      <c r="H1275" t="s">
        <v>33</v>
      </c>
      <c r="I1275" t="s">
        <v>57</v>
      </c>
      <c r="O1275" s="5"/>
      <c r="P1275" s="5"/>
    </row>
    <row r="1276" spans="1:29" x14ac:dyDescent="0.25">
      <c r="A1276" s="4">
        <v>42558</v>
      </c>
      <c r="B1276" t="s">
        <v>30</v>
      </c>
      <c r="C1276">
        <v>304</v>
      </c>
      <c r="D1276">
        <v>8</v>
      </c>
      <c r="E1276">
        <v>2</v>
      </c>
      <c r="F1276" t="s">
        <v>31</v>
      </c>
      <c r="G1276" t="s">
        <v>32</v>
      </c>
      <c r="H1276" t="s">
        <v>33</v>
      </c>
      <c r="I1276" t="s">
        <v>57</v>
      </c>
      <c r="O1276" s="5"/>
      <c r="P1276" s="5"/>
    </row>
    <row r="1277" spans="1:29" x14ac:dyDescent="0.25">
      <c r="A1277" s="4">
        <v>42558</v>
      </c>
      <c r="B1277" t="s">
        <v>30</v>
      </c>
      <c r="C1277">
        <v>304</v>
      </c>
      <c r="D1277">
        <v>9</v>
      </c>
      <c r="E1277">
        <v>1</v>
      </c>
      <c r="F1277" t="s">
        <v>31</v>
      </c>
      <c r="G1277" t="s">
        <v>32</v>
      </c>
      <c r="H1277" t="s">
        <v>33</v>
      </c>
      <c r="I1277" t="s">
        <v>34</v>
      </c>
      <c r="J1277" t="s">
        <v>35</v>
      </c>
      <c r="K1277" t="s">
        <v>89</v>
      </c>
      <c r="L1277" t="s">
        <v>43</v>
      </c>
      <c r="M1277">
        <v>0</v>
      </c>
      <c r="N1277">
        <v>0</v>
      </c>
      <c r="O1277" s="5">
        <v>50650</v>
      </c>
      <c r="P1277" s="5">
        <v>50649</v>
      </c>
      <c r="Q1277">
        <v>14</v>
      </c>
      <c r="R1277" t="s">
        <v>65</v>
      </c>
      <c r="T1277">
        <v>19</v>
      </c>
      <c r="U1277">
        <v>85</v>
      </c>
      <c r="V1277">
        <v>14</v>
      </c>
      <c r="W1277">
        <v>12.5</v>
      </c>
      <c r="X1277">
        <v>27.7</v>
      </c>
      <c r="Z1277" t="s">
        <v>39</v>
      </c>
      <c r="AB1277" t="s">
        <v>87</v>
      </c>
      <c r="AC1277" t="s">
        <v>137</v>
      </c>
    </row>
    <row r="1278" spans="1:29" x14ac:dyDescent="0.25">
      <c r="A1278" s="4">
        <v>42558</v>
      </c>
      <c r="B1278" t="s">
        <v>30</v>
      </c>
      <c r="C1278">
        <v>304</v>
      </c>
      <c r="D1278">
        <v>9</v>
      </c>
      <c r="E1278">
        <v>2</v>
      </c>
      <c r="F1278" t="s">
        <v>31</v>
      </c>
      <c r="G1278" t="s">
        <v>32</v>
      </c>
      <c r="H1278" t="s">
        <v>33</v>
      </c>
      <c r="I1278" t="s">
        <v>34</v>
      </c>
      <c r="J1278" t="s">
        <v>35</v>
      </c>
      <c r="K1278" t="s">
        <v>114</v>
      </c>
      <c r="L1278" t="s">
        <v>37</v>
      </c>
      <c r="M1278">
        <v>0</v>
      </c>
      <c r="N1278">
        <v>0</v>
      </c>
      <c r="O1278" s="5">
        <v>50568</v>
      </c>
      <c r="P1278" s="5">
        <v>50567</v>
      </c>
      <c r="Q1278">
        <v>16</v>
      </c>
      <c r="R1278" t="s">
        <v>38</v>
      </c>
      <c r="S1278" t="s">
        <v>39</v>
      </c>
      <c r="T1278">
        <v>19</v>
      </c>
      <c r="U1278">
        <v>88</v>
      </c>
      <c r="V1278">
        <v>17</v>
      </c>
      <c r="W1278">
        <v>13</v>
      </c>
      <c r="X1278">
        <v>27.7</v>
      </c>
      <c r="Z1278" t="s">
        <v>39</v>
      </c>
      <c r="AB1278" t="s">
        <v>87</v>
      </c>
      <c r="AC1278" t="s">
        <v>137</v>
      </c>
    </row>
    <row r="1279" spans="1:29" x14ac:dyDescent="0.25">
      <c r="A1279" s="4">
        <v>42558</v>
      </c>
      <c r="B1279" t="s">
        <v>30</v>
      </c>
      <c r="C1279">
        <v>304</v>
      </c>
      <c r="D1279">
        <v>10</v>
      </c>
      <c r="E1279">
        <v>1</v>
      </c>
      <c r="F1279" t="s">
        <v>31</v>
      </c>
      <c r="G1279" t="s">
        <v>32</v>
      </c>
      <c r="H1279" t="s">
        <v>33</v>
      </c>
      <c r="I1279" t="s">
        <v>57</v>
      </c>
      <c r="O1279" s="5"/>
      <c r="P1279" s="5"/>
    </row>
    <row r="1280" spans="1:29" x14ac:dyDescent="0.25">
      <c r="A1280" s="4">
        <v>42558</v>
      </c>
      <c r="B1280" t="s">
        <v>30</v>
      </c>
      <c r="C1280">
        <v>111</v>
      </c>
      <c r="D1280">
        <v>1</v>
      </c>
      <c r="E1280">
        <v>1</v>
      </c>
      <c r="F1280" t="s">
        <v>41</v>
      </c>
      <c r="G1280" t="s">
        <v>32</v>
      </c>
      <c r="H1280" t="s">
        <v>33</v>
      </c>
      <c r="I1280" t="s">
        <v>84</v>
      </c>
      <c r="O1280" s="5"/>
      <c r="P1280" s="5"/>
    </row>
    <row r="1281" spans="1:29" x14ac:dyDescent="0.25">
      <c r="A1281" s="4">
        <v>42558</v>
      </c>
      <c r="B1281" t="s">
        <v>30</v>
      </c>
      <c r="C1281">
        <v>111</v>
      </c>
      <c r="D1281">
        <v>2</v>
      </c>
      <c r="E1281">
        <v>1</v>
      </c>
      <c r="F1281" t="s">
        <v>41</v>
      </c>
      <c r="G1281" t="s">
        <v>32</v>
      </c>
      <c r="H1281" t="s">
        <v>33</v>
      </c>
      <c r="I1281" t="s">
        <v>34</v>
      </c>
      <c r="J1281" t="s">
        <v>35</v>
      </c>
      <c r="K1281" t="s">
        <v>36</v>
      </c>
      <c r="L1281" t="s">
        <v>43</v>
      </c>
      <c r="M1281">
        <v>0</v>
      </c>
      <c r="N1281">
        <v>0</v>
      </c>
      <c r="O1281" s="5">
        <v>50602</v>
      </c>
      <c r="P1281" s="5">
        <v>50601</v>
      </c>
      <c r="Q1281">
        <f>30-9</f>
        <v>21</v>
      </c>
      <c r="R1281" t="s">
        <v>47</v>
      </c>
      <c r="T1281">
        <v>19</v>
      </c>
      <c r="U1281">
        <v>83</v>
      </c>
      <c r="V1281">
        <v>16</v>
      </c>
      <c r="W1281">
        <v>12.9</v>
      </c>
      <c r="X1281">
        <v>28.7</v>
      </c>
      <c r="Z1281" t="s">
        <v>39</v>
      </c>
      <c r="AB1281" t="s">
        <v>102</v>
      </c>
      <c r="AC1281" t="s">
        <v>137</v>
      </c>
    </row>
    <row r="1282" spans="1:29" x14ac:dyDescent="0.25">
      <c r="A1282" s="4">
        <v>42558</v>
      </c>
      <c r="B1282" t="s">
        <v>30</v>
      </c>
      <c r="C1282">
        <v>111</v>
      </c>
      <c r="D1282">
        <v>3</v>
      </c>
      <c r="E1282">
        <v>1</v>
      </c>
      <c r="F1282" t="s">
        <v>41</v>
      </c>
      <c r="G1282" t="s">
        <v>32</v>
      </c>
      <c r="H1282" t="s">
        <v>33</v>
      </c>
      <c r="I1282" t="s">
        <v>57</v>
      </c>
      <c r="O1282" s="5"/>
      <c r="P1282" s="5"/>
    </row>
    <row r="1283" spans="1:29" x14ac:dyDescent="0.25">
      <c r="A1283" s="4">
        <v>42558</v>
      </c>
      <c r="B1283" t="s">
        <v>30</v>
      </c>
      <c r="C1283">
        <v>111</v>
      </c>
      <c r="D1283">
        <v>3</v>
      </c>
      <c r="E1283">
        <v>2</v>
      </c>
      <c r="F1283" t="s">
        <v>41</v>
      </c>
      <c r="G1283" t="s">
        <v>32</v>
      </c>
      <c r="H1283" t="s">
        <v>33</v>
      </c>
      <c r="I1283" t="s">
        <v>34</v>
      </c>
      <c r="J1283" t="s">
        <v>35</v>
      </c>
      <c r="K1283" t="s">
        <v>36</v>
      </c>
      <c r="L1283" t="s">
        <v>37</v>
      </c>
      <c r="M1283">
        <v>0</v>
      </c>
      <c r="N1283">
        <v>0</v>
      </c>
      <c r="O1283" s="5">
        <v>50348</v>
      </c>
      <c r="P1283" s="5">
        <v>50347</v>
      </c>
      <c r="Q1283">
        <f>30.5-9.5</f>
        <v>21</v>
      </c>
      <c r="R1283" t="s">
        <v>143</v>
      </c>
      <c r="S1283" t="s">
        <v>97</v>
      </c>
      <c r="T1283">
        <f>20</f>
        <v>20</v>
      </c>
      <c r="U1283">
        <v>82</v>
      </c>
      <c r="V1283">
        <v>15</v>
      </c>
      <c r="W1283">
        <v>12.9</v>
      </c>
      <c r="X1283">
        <v>27.5</v>
      </c>
      <c r="Z1283" t="s">
        <v>39</v>
      </c>
      <c r="AB1283" t="s">
        <v>87</v>
      </c>
      <c r="AC1283" t="s">
        <v>137</v>
      </c>
    </row>
    <row r="1284" spans="1:29" x14ac:dyDescent="0.25">
      <c r="A1284" s="4">
        <v>42558</v>
      </c>
      <c r="B1284" t="s">
        <v>30</v>
      </c>
      <c r="C1284">
        <v>111</v>
      </c>
      <c r="D1284">
        <v>4</v>
      </c>
      <c r="E1284">
        <v>1</v>
      </c>
      <c r="F1284" t="s">
        <v>41</v>
      </c>
      <c r="G1284" t="s">
        <v>32</v>
      </c>
      <c r="H1284" t="s">
        <v>33</v>
      </c>
      <c r="I1284" t="s">
        <v>34</v>
      </c>
      <c r="J1284" t="s">
        <v>42</v>
      </c>
      <c r="K1284" t="s">
        <v>36</v>
      </c>
      <c r="L1284" t="s">
        <v>43</v>
      </c>
      <c r="M1284">
        <v>0</v>
      </c>
      <c r="N1284">
        <v>1</v>
      </c>
      <c r="O1284" s="5">
        <v>50572</v>
      </c>
      <c r="P1284" s="5">
        <v>50571</v>
      </c>
      <c r="Q1284">
        <f>35-13</f>
        <v>22</v>
      </c>
      <c r="R1284" t="s">
        <v>47</v>
      </c>
      <c r="T1284">
        <v>23</v>
      </c>
      <c r="U1284">
        <v>83</v>
      </c>
      <c r="V1284">
        <v>17</v>
      </c>
      <c r="W1284">
        <v>13</v>
      </c>
      <c r="X1284">
        <v>28.9</v>
      </c>
      <c r="Z1284" t="s">
        <v>39</v>
      </c>
      <c r="AB1284" t="s">
        <v>87</v>
      </c>
      <c r="AC1284" t="s">
        <v>137</v>
      </c>
    </row>
    <row r="1285" spans="1:29" x14ac:dyDescent="0.25">
      <c r="A1285" s="4">
        <v>42558</v>
      </c>
      <c r="B1285" t="s">
        <v>30</v>
      </c>
      <c r="C1285">
        <v>111</v>
      </c>
      <c r="D1285">
        <v>9</v>
      </c>
      <c r="E1285">
        <v>1</v>
      </c>
      <c r="F1285" t="s">
        <v>41</v>
      </c>
      <c r="G1285" t="s">
        <v>32</v>
      </c>
      <c r="H1285" t="s">
        <v>33</v>
      </c>
      <c r="I1285" t="s">
        <v>57</v>
      </c>
      <c r="O1285" s="5"/>
      <c r="P1285" s="5"/>
    </row>
    <row r="1286" spans="1:29" x14ac:dyDescent="0.25">
      <c r="A1286" s="4">
        <v>42558</v>
      </c>
      <c r="B1286" t="s">
        <v>30</v>
      </c>
      <c r="C1286">
        <v>111</v>
      </c>
      <c r="D1286">
        <v>9</v>
      </c>
      <c r="E1286">
        <v>2</v>
      </c>
      <c r="F1286" t="s">
        <v>41</v>
      </c>
      <c r="G1286" t="s">
        <v>32</v>
      </c>
      <c r="H1286" t="s">
        <v>33</v>
      </c>
      <c r="I1286" t="s">
        <v>34</v>
      </c>
      <c r="J1286" t="s">
        <v>35</v>
      </c>
      <c r="K1286" t="s">
        <v>89</v>
      </c>
      <c r="L1286" t="s">
        <v>43</v>
      </c>
      <c r="M1286">
        <v>0</v>
      </c>
      <c r="N1286">
        <v>0</v>
      </c>
      <c r="O1286" s="5">
        <v>50530</v>
      </c>
      <c r="P1286" s="5">
        <v>50529</v>
      </c>
      <c r="Q1286">
        <f>28-13</f>
        <v>15</v>
      </c>
      <c r="R1286" t="s">
        <v>65</v>
      </c>
      <c r="T1286">
        <v>20</v>
      </c>
      <c r="V1286">
        <v>13</v>
      </c>
      <c r="W1286">
        <v>12.4</v>
      </c>
      <c r="X1286">
        <v>27.6</v>
      </c>
      <c r="Z1286" t="s">
        <v>39</v>
      </c>
      <c r="AB1286" t="s">
        <v>87</v>
      </c>
      <c r="AC1286" t="s">
        <v>137</v>
      </c>
    </row>
    <row r="1287" spans="1:29" x14ac:dyDescent="0.25">
      <c r="A1287" s="4">
        <v>42558</v>
      </c>
      <c r="B1287" t="s">
        <v>30</v>
      </c>
      <c r="C1287">
        <v>111</v>
      </c>
      <c r="D1287">
        <v>10</v>
      </c>
      <c r="E1287">
        <v>1</v>
      </c>
      <c r="F1287" t="s">
        <v>41</v>
      </c>
      <c r="G1287" t="s">
        <v>32</v>
      </c>
      <c r="H1287" t="s">
        <v>33</v>
      </c>
      <c r="I1287" t="s">
        <v>57</v>
      </c>
      <c r="O1287" s="5"/>
      <c r="P1287" s="5"/>
    </row>
    <row r="1288" spans="1:29" x14ac:dyDescent="0.25">
      <c r="A1288" s="4">
        <v>42558</v>
      </c>
      <c r="B1288" t="s">
        <v>30</v>
      </c>
      <c r="C1288">
        <v>112</v>
      </c>
      <c r="D1288">
        <v>1</v>
      </c>
      <c r="E1288">
        <v>1</v>
      </c>
      <c r="F1288" t="s">
        <v>41</v>
      </c>
      <c r="G1288" t="s">
        <v>32</v>
      </c>
      <c r="H1288" t="s">
        <v>33</v>
      </c>
      <c r="I1288" t="s">
        <v>57</v>
      </c>
      <c r="O1288" s="5"/>
      <c r="P1288" s="5"/>
    </row>
    <row r="1289" spans="1:29" x14ac:dyDescent="0.25">
      <c r="A1289" s="4">
        <v>42558</v>
      </c>
      <c r="B1289" t="s">
        <v>30</v>
      </c>
      <c r="C1289">
        <v>112</v>
      </c>
      <c r="D1289">
        <v>1</v>
      </c>
      <c r="E1289">
        <v>2</v>
      </c>
      <c r="F1289" t="s">
        <v>41</v>
      </c>
      <c r="G1289" t="s">
        <v>32</v>
      </c>
      <c r="H1289" t="s">
        <v>33</v>
      </c>
      <c r="I1289" t="s">
        <v>84</v>
      </c>
      <c r="O1289" s="5"/>
      <c r="P1289" s="5"/>
    </row>
    <row r="1290" spans="1:29" x14ac:dyDescent="0.25">
      <c r="A1290" s="4">
        <v>42558</v>
      </c>
      <c r="B1290" t="s">
        <v>30</v>
      </c>
      <c r="C1290">
        <v>112</v>
      </c>
      <c r="D1290">
        <v>2</v>
      </c>
      <c r="E1290">
        <v>1</v>
      </c>
      <c r="F1290" t="s">
        <v>41</v>
      </c>
      <c r="G1290" t="s">
        <v>32</v>
      </c>
      <c r="H1290" t="s">
        <v>33</v>
      </c>
      <c r="I1290" t="s">
        <v>84</v>
      </c>
      <c r="O1290" s="5"/>
      <c r="P1290" s="5"/>
    </row>
    <row r="1291" spans="1:29" x14ac:dyDescent="0.25">
      <c r="A1291" s="4">
        <v>42558</v>
      </c>
      <c r="B1291" t="s">
        <v>30</v>
      </c>
      <c r="C1291">
        <v>112</v>
      </c>
      <c r="D1291">
        <v>3</v>
      </c>
      <c r="E1291">
        <v>1</v>
      </c>
      <c r="F1291" t="s">
        <v>41</v>
      </c>
      <c r="G1291" t="s">
        <v>32</v>
      </c>
      <c r="H1291" t="s">
        <v>33</v>
      </c>
      <c r="I1291" t="s">
        <v>34</v>
      </c>
      <c r="J1291" t="s">
        <v>42</v>
      </c>
      <c r="K1291" t="s">
        <v>114</v>
      </c>
      <c r="L1291" t="s">
        <v>43</v>
      </c>
      <c r="M1291">
        <v>0</v>
      </c>
      <c r="N1291">
        <v>1</v>
      </c>
      <c r="O1291" s="5">
        <v>50574</v>
      </c>
      <c r="P1291" s="5">
        <v>50573</v>
      </c>
      <c r="R1291" t="s">
        <v>47</v>
      </c>
      <c r="T1291">
        <v>19</v>
      </c>
      <c r="U1291">
        <v>89</v>
      </c>
      <c r="V1291">
        <v>15</v>
      </c>
      <c r="W1291">
        <v>12.9</v>
      </c>
      <c r="X1291">
        <v>27.8</v>
      </c>
      <c r="Z1291" t="s">
        <v>39</v>
      </c>
      <c r="AB1291" t="s">
        <v>87</v>
      </c>
      <c r="AC1291" t="s">
        <v>137</v>
      </c>
    </row>
    <row r="1292" spans="1:29" x14ac:dyDescent="0.25">
      <c r="A1292" s="4">
        <v>42558</v>
      </c>
      <c r="B1292" t="s">
        <v>30</v>
      </c>
      <c r="C1292">
        <v>112</v>
      </c>
      <c r="D1292">
        <v>4</v>
      </c>
      <c r="E1292">
        <v>1</v>
      </c>
      <c r="F1292" t="s">
        <v>41</v>
      </c>
      <c r="G1292" t="s">
        <v>32</v>
      </c>
      <c r="H1292" t="s">
        <v>33</v>
      </c>
      <c r="I1292" t="s">
        <v>84</v>
      </c>
      <c r="O1292" s="5"/>
      <c r="P1292" s="5"/>
    </row>
    <row r="1293" spans="1:29" x14ac:dyDescent="0.25">
      <c r="A1293" s="4">
        <v>42558</v>
      </c>
      <c r="B1293" t="s">
        <v>30</v>
      </c>
      <c r="C1293">
        <v>112</v>
      </c>
      <c r="D1293">
        <v>5</v>
      </c>
      <c r="E1293">
        <v>1</v>
      </c>
      <c r="F1293" t="s">
        <v>41</v>
      </c>
      <c r="G1293" t="s">
        <v>32</v>
      </c>
      <c r="H1293" t="s">
        <v>33</v>
      </c>
      <c r="I1293" t="s">
        <v>57</v>
      </c>
      <c r="O1293" s="5"/>
      <c r="P1293" s="5"/>
    </row>
    <row r="1294" spans="1:29" x14ac:dyDescent="0.25">
      <c r="A1294" s="4">
        <v>42558</v>
      </c>
      <c r="B1294" t="s">
        <v>30</v>
      </c>
      <c r="C1294">
        <v>112</v>
      </c>
      <c r="D1294">
        <v>5</v>
      </c>
      <c r="E1294">
        <v>2</v>
      </c>
      <c r="F1294" t="s">
        <v>41</v>
      </c>
      <c r="G1294" t="s">
        <v>32</v>
      </c>
      <c r="H1294" t="s">
        <v>33</v>
      </c>
      <c r="I1294" t="s">
        <v>34</v>
      </c>
      <c r="J1294" t="s">
        <v>42</v>
      </c>
      <c r="K1294" t="s">
        <v>36</v>
      </c>
      <c r="L1294" t="s">
        <v>43</v>
      </c>
      <c r="M1294">
        <v>0</v>
      </c>
      <c r="N1294">
        <v>1</v>
      </c>
      <c r="O1294" s="5">
        <v>50525</v>
      </c>
      <c r="P1294" s="5">
        <v>50524</v>
      </c>
      <c r="Q1294">
        <f>27.5-9</f>
        <v>18.5</v>
      </c>
      <c r="R1294" t="s">
        <v>47</v>
      </c>
      <c r="T1294">
        <v>23</v>
      </c>
      <c r="U1294">
        <v>74</v>
      </c>
      <c r="V1294">
        <v>16</v>
      </c>
      <c r="W1294">
        <v>12.8</v>
      </c>
      <c r="X1294">
        <v>28.6</v>
      </c>
      <c r="Z1294" t="s">
        <v>39</v>
      </c>
      <c r="AB1294" t="s">
        <v>87</v>
      </c>
      <c r="AC1294" t="s">
        <v>137</v>
      </c>
    </row>
    <row r="1295" spans="1:29" x14ac:dyDescent="0.25">
      <c r="A1295" s="4">
        <v>42558</v>
      </c>
      <c r="B1295" t="s">
        <v>30</v>
      </c>
      <c r="C1295">
        <v>112</v>
      </c>
      <c r="D1295">
        <v>6</v>
      </c>
      <c r="E1295">
        <v>1</v>
      </c>
      <c r="F1295" t="s">
        <v>41</v>
      </c>
      <c r="G1295" t="s">
        <v>32</v>
      </c>
      <c r="H1295" t="s">
        <v>33</v>
      </c>
      <c r="I1295" t="s">
        <v>57</v>
      </c>
      <c r="O1295" s="5"/>
      <c r="P1295" s="5"/>
    </row>
    <row r="1296" spans="1:29" x14ac:dyDescent="0.25">
      <c r="A1296" s="4">
        <v>42558</v>
      </c>
      <c r="B1296" t="s">
        <v>30</v>
      </c>
      <c r="C1296">
        <v>112</v>
      </c>
      <c r="D1296">
        <v>6</v>
      </c>
      <c r="E1296">
        <v>2</v>
      </c>
      <c r="F1296" t="s">
        <v>41</v>
      </c>
      <c r="G1296" t="s">
        <v>32</v>
      </c>
      <c r="H1296" t="s">
        <v>33</v>
      </c>
      <c r="I1296" t="s">
        <v>58</v>
      </c>
      <c r="J1296" t="s">
        <v>42</v>
      </c>
      <c r="K1296" t="s">
        <v>89</v>
      </c>
      <c r="L1296" t="s">
        <v>43</v>
      </c>
      <c r="M1296">
        <v>0</v>
      </c>
      <c r="N1296">
        <v>1</v>
      </c>
      <c r="O1296" s="5"/>
      <c r="P1296" s="5">
        <v>50575</v>
      </c>
      <c r="Q1296">
        <f>27-12</f>
        <v>15</v>
      </c>
      <c r="R1296" t="s">
        <v>65</v>
      </c>
      <c r="T1296">
        <v>18</v>
      </c>
      <c r="W1296">
        <v>12.3</v>
      </c>
      <c r="X1296">
        <v>27.3</v>
      </c>
      <c r="Z1296" t="s">
        <v>39</v>
      </c>
      <c r="AB1296" t="s">
        <v>87</v>
      </c>
      <c r="AC1296" t="s">
        <v>137</v>
      </c>
    </row>
    <row r="1297" spans="1:30" x14ac:dyDescent="0.25">
      <c r="A1297" s="4">
        <v>42558</v>
      </c>
      <c r="B1297" t="s">
        <v>30</v>
      </c>
      <c r="C1297">
        <v>112</v>
      </c>
      <c r="D1297">
        <v>7</v>
      </c>
      <c r="E1297">
        <v>1</v>
      </c>
      <c r="F1297" t="s">
        <v>41</v>
      </c>
      <c r="G1297" t="s">
        <v>32</v>
      </c>
      <c r="H1297" t="s">
        <v>33</v>
      </c>
      <c r="I1297" t="s">
        <v>57</v>
      </c>
      <c r="O1297" s="5"/>
      <c r="P1297" s="5"/>
    </row>
    <row r="1298" spans="1:30" x14ac:dyDescent="0.25">
      <c r="A1298" s="4">
        <v>42558</v>
      </c>
      <c r="B1298" t="s">
        <v>30</v>
      </c>
      <c r="C1298">
        <v>112</v>
      </c>
      <c r="D1298">
        <v>7</v>
      </c>
      <c r="E1298">
        <v>2</v>
      </c>
      <c r="F1298" t="s">
        <v>41</v>
      </c>
      <c r="G1298" t="s">
        <v>32</v>
      </c>
      <c r="H1298" t="s">
        <v>33</v>
      </c>
      <c r="I1298" t="s">
        <v>34</v>
      </c>
      <c r="J1298" t="s">
        <v>42</v>
      </c>
      <c r="K1298" t="s">
        <v>36</v>
      </c>
      <c r="L1298" t="s">
        <v>37</v>
      </c>
      <c r="M1298">
        <v>0</v>
      </c>
      <c r="N1298">
        <v>1</v>
      </c>
      <c r="O1298" s="5">
        <v>50523</v>
      </c>
      <c r="P1298" s="5">
        <v>50522</v>
      </c>
      <c r="Q1298">
        <v>20</v>
      </c>
      <c r="R1298" t="s">
        <v>143</v>
      </c>
      <c r="S1298" t="s">
        <v>97</v>
      </c>
      <c r="T1298">
        <v>18.5</v>
      </c>
      <c r="U1298">
        <v>71</v>
      </c>
      <c r="V1298">
        <v>15</v>
      </c>
      <c r="W1298">
        <v>12.9</v>
      </c>
      <c r="X1298">
        <v>27.7</v>
      </c>
      <c r="Z1298" t="s">
        <v>39</v>
      </c>
      <c r="AB1298" t="s">
        <v>87</v>
      </c>
      <c r="AC1298" t="s">
        <v>137</v>
      </c>
    </row>
    <row r="1299" spans="1:30" x14ac:dyDescent="0.25">
      <c r="A1299" s="4">
        <v>42558</v>
      </c>
      <c r="B1299" t="s">
        <v>30</v>
      </c>
      <c r="C1299">
        <v>112</v>
      </c>
      <c r="D1299">
        <v>8</v>
      </c>
      <c r="E1299">
        <v>1</v>
      </c>
      <c r="F1299" t="s">
        <v>41</v>
      </c>
      <c r="G1299" t="s">
        <v>32</v>
      </c>
      <c r="H1299" t="s">
        <v>33</v>
      </c>
      <c r="I1299" t="s">
        <v>57</v>
      </c>
      <c r="O1299" s="5"/>
      <c r="P1299" s="5"/>
    </row>
    <row r="1300" spans="1:30" x14ac:dyDescent="0.25">
      <c r="A1300" s="4">
        <v>42558</v>
      </c>
      <c r="B1300" t="s">
        <v>30</v>
      </c>
      <c r="C1300">
        <v>112</v>
      </c>
      <c r="D1300">
        <v>8</v>
      </c>
      <c r="E1300">
        <v>2</v>
      </c>
      <c r="F1300" t="s">
        <v>41</v>
      </c>
      <c r="G1300" t="s">
        <v>32</v>
      </c>
      <c r="H1300" t="s">
        <v>33</v>
      </c>
      <c r="I1300" t="s">
        <v>91</v>
      </c>
      <c r="J1300" t="s">
        <v>51</v>
      </c>
      <c r="K1300" t="s">
        <v>36</v>
      </c>
      <c r="L1300" t="s">
        <v>37</v>
      </c>
      <c r="M1300">
        <v>1</v>
      </c>
      <c r="N1300">
        <v>0</v>
      </c>
      <c r="O1300" s="5">
        <v>50494</v>
      </c>
      <c r="P1300" s="5">
        <v>50521</v>
      </c>
      <c r="Q1300">
        <f>34-9</f>
        <v>25</v>
      </c>
      <c r="R1300" t="s">
        <v>143</v>
      </c>
      <c r="S1300" t="s">
        <v>97</v>
      </c>
      <c r="T1300">
        <v>28</v>
      </c>
      <c r="W1300">
        <v>12.9</v>
      </c>
      <c r="X1300">
        <v>27.3</v>
      </c>
      <c r="Z1300" t="s">
        <v>39</v>
      </c>
      <c r="AB1300" t="s">
        <v>87</v>
      </c>
      <c r="AC1300" t="s">
        <v>137</v>
      </c>
      <c r="AD1300" t="s">
        <v>198</v>
      </c>
    </row>
    <row r="1301" spans="1:30" x14ac:dyDescent="0.25">
      <c r="A1301" s="4">
        <v>42558</v>
      </c>
      <c r="B1301" t="s">
        <v>30</v>
      </c>
      <c r="C1301">
        <v>112</v>
      </c>
      <c r="D1301">
        <v>9</v>
      </c>
      <c r="E1301">
        <v>1</v>
      </c>
      <c r="F1301" t="s">
        <v>41</v>
      </c>
      <c r="G1301" t="s">
        <v>32</v>
      </c>
      <c r="H1301" t="s">
        <v>33</v>
      </c>
      <c r="I1301" t="s">
        <v>57</v>
      </c>
      <c r="O1301" s="5"/>
      <c r="P1301" s="5"/>
    </row>
    <row r="1302" spans="1:30" x14ac:dyDescent="0.25">
      <c r="A1302" s="4">
        <v>42558</v>
      </c>
      <c r="B1302" t="s">
        <v>30</v>
      </c>
      <c r="C1302">
        <v>112</v>
      </c>
      <c r="D1302">
        <v>9</v>
      </c>
      <c r="E1302">
        <v>2</v>
      </c>
      <c r="F1302" t="s">
        <v>41</v>
      </c>
      <c r="G1302" t="s">
        <v>32</v>
      </c>
      <c r="H1302" t="s">
        <v>33</v>
      </c>
      <c r="I1302" t="s">
        <v>34</v>
      </c>
      <c r="J1302" t="s">
        <v>35</v>
      </c>
      <c r="K1302" t="s">
        <v>36</v>
      </c>
      <c r="L1302" t="s">
        <v>43</v>
      </c>
      <c r="M1302">
        <v>0</v>
      </c>
      <c r="N1302">
        <v>0</v>
      </c>
      <c r="O1302" s="5">
        <v>50595</v>
      </c>
      <c r="P1302" s="5">
        <v>50594</v>
      </c>
      <c r="Q1302">
        <f>32-12</f>
        <v>20</v>
      </c>
      <c r="R1302" t="s">
        <v>47</v>
      </c>
      <c r="T1302">
        <v>21</v>
      </c>
      <c r="U1302">
        <v>82</v>
      </c>
      <c r="V1302">
        <v>16</v>
      </c>
      <c r="W1302">
        <v>12.7</v>
      </c>
      <c r="X1302">
        <v>27.5</v>
      </c>
      <c r="Z1302" t="s">
        <v>39</v>
      </c>
      <c r="AB1302" t="s">
        <v>87</v>
      </c>
      <c r="AC1302" t="s">
        <v>137</v>
      </c>
    </row>
    <row r="1303" spans="1:30" x14ac:dyDescent="0.25">
      <c r="A1303" s="4">
        <v>42558</v>
      </c>
      <c r="B1303" t="s">
        <v>30</v>
      </c>
      <c r="C1303">
        <v>112</v>
      </c>
      <c r="D1303">
        <v>10</v>
      </c>
      <c r="E1303">
        <v>1</v>
      </c>
      <c r="F1303" t="s">
        <v>41</v>
      </c>
      <c r="G1303" t="s">
        <v>32</v>
      </c>
      <c r="H1303" t="s">
        <v>33</v>
      </c>
      <c r="I1303" t="s">
        <v>34</v>
      </c>
      <c r="J1303" t="s">
        <v>35</v>
      </c>
      <c r="K1303" t="s">
        <v>114</v>
      </c>
      <c r="L1303" t="s">
        <v>43</v>
      </c>
      <c r="M1303">
        <v>0</v>
      </c>
      <c r="N1303">
        <v>0</v>
      </c>
      <c r="O1303" s="5">
        <v>50497</v>
      </c>
      <c r="P1303" s="5">
        <v>50496</v>
      </c>
      <c r="Q1303">
        <v>19</v>
      </c>
      <c r="R1303" t="s">
        <v>47</v>
      </c>
      <c r="T1303">
        <v>20</v>
      </c>
      <c r="U1303">
        <v>72</v>
      </c>
      <c r="V1303">
        <v>14</v>
      </c>
      <c r="W1303">
        <v>12.4</v>
      </c>
      <c r="X1303">
        <v>27.2</v>
      </c>
      <c r="Z1303" t="s">
        <v>39</v>
      </c>
      <c r="AB1303" t="s">
        <v>87</v>
      </c>
      <c r="AC1303" t="s">
        <v>137</v>
      </c>
    </row>
    <row r="1304" spans="1:30" x14ac:dyDescent="0.25">
      <c r="A1304" s="4">
        <v>42558</v>
      </c>
      <c r="B1304" t="s">
        <v>30</v>
      </c>
      <c r="C1304">
        <v>113</v>
      </c>
      <c r="D1304">
        <v>1</v>
      </c>
      <c r="E1304">
        <v>1</v>
      </c>
      <c r="F1304" t="s">
        <v>41</v>
      </c>
      <c r="G1304" t="s">
        <v>32</v>
      </c>
      <c r="H1304" t="s">
        <v>33</v>
      </c>
      <c r="I1304" t="s">
        <v>34</v>
      </c>
      <c r="J1304" t="s">
        <v>35</v>
      </c>
      <c r="K1304" t="s">
        <v>36</v>
      </c>
      <c r="L1304" t="s">
        <v>43</v>
      </c>
      <c r="M1304">
        <v>0</v>
      </c>
      <c r="N1304">
        <v>0</v>
      </c>
      <c r="O1304" s="5">
        <v>50559</v>
      </c>
      <c r="P1304" s="5">
        <v>50558</v>
      </c>
      <c r="Q1304">
        <f>21.5</f>
        <v>21.5</v>
      </c>
      <c r="R1304" t="s">
        <v>47</v>
      </c>
      <c r="T1304">
        <v>21</v>
      </c>
      <c r="U1304">
        <v>81</v>
      </c>
      <c r="V1304">
        <v>16</v>
      </c>
      <c r="W1304">
        <v>13.1</v>
      </c>
      <c r="X1304">
        <v>27.2</v>
      </c>
      <c r="Z1304" t="s">
        <v>39</v>
      </c>
      <c r="AB1304" t="s">
        <v>87</v>
      </c>
      <c r="AC1304" t="s">
        <v>137</v>
      </c>
    </row>
    <row r="1305" spans="1:30" x14ac:dyDescent="0.25">
      <c r="A1305" s="4">
        <v>42558</v>
      </c>
      <c r="B1305" t="s">
        <v>30</v>
      </c>
      <c r="C1305">
        <v>113</v>
      </c>
      <c r="D1305">
        <v>2</v>
      </c>
      <c r="E1305">
        <v>1</v>
      </c>
      <c r="F1305" t="s">
        <v>41</v>
      </c>
      <c r="G1305" t="s">
        <v>32</v>
      </c>
      <c r="H1305" t="s">
        <v>33</v>
      </c>
      <c r="I1305" t="s">
        <v>57</v>
      </c>
      <c r="O1305" s="5"/>
      <c r="P1305" s="5"/>
    </row>
    <row r="1306" spans="1:30" x14ac:dyDescent="0.25">
      <c r="A1306" s="4">
        <v>42558</v>
      </c>
      <c r="B1306" t="s">
        <v>30</v>
      </c>
      <c r="C1306">
        <v>113</v>
      </c>
      <c r="D1306">
        <v>6</v>
      </c>
      <c r="E1306">
        <v>1</v>
      </c>
      <c r="F1306" t="s">
        <v>41</v>
      </c>
      <c r="G1306" t="s">
        <v>32</v>
      </c>
      <c r="H1306" t="s">
        <v>33</v>
      </c>
      <c r="I1306" t="s">
        <v>73</v>
      </c>
      <c r="J1306" t="s">
        <v>35</v>
      </c>
      <c r="K1306" t="s">
        <v>114</v>
      </c>
      <c r="L1306" t="s">
        <v>43</v>
      </c>
      <c r="M1306">
        <v>0</v>
      </c>
      <c r="N1306">
        <v>0</v>
      </c>
      <c r="O1306" s="5">
        <v>50482</v>
      </c>
      <c r="P1306" s="5"/>
      <c r="Q1306">
        <f>130-50</f>
        <v>80</v>
      </c>
      <c r="R1306" t="s">
        <v>47</v>
      </c>
      <c r="T1306">
        <v>29</v>
      </c>
      <c r="W1306">
        <v>20.8</v>
      </c>
      <c r="X1306">
        <v>40.9</v>
      </c>
      <c r="Z1306" t="s">
        <v>39</v>
      </c>
      <c r="AB1306" t="s">
        <v>87</v>
      </c>
      <c r="AC1306" t="s">
        <v>137</v>
      </c>
    </row>
    <row r="1307" spans="1:30" x14ac:dyDescent="0.25">
      <c r="A1307" s="4">
        <v>42558</v>
      </c>
      <c r="B1307" t="s">
        <v>30</v>
      </c>
      <c r="C1307">
        <v>113</v>
      </c>
      <c r="D1307">
        <v>8</v>
      </c>
      <c r="E1307">
        <v>1</v>
      </c>
      <c r="F1307" t="s">
        <v>41</v>
      </c>
      <c r="G1307" t="s">
        <v>32</v>
      </c>
      <c r="H1307" t="s">
        <v>33</v>
      </c>
      <c r="I1307" t="s">
        <v>73</v>
      </c>
      <c r="J1307" t="s">
        <v>35</v>
      </c>
      <c r="K1307" t="s">
        <v>36</v>
      </c>
      <c r="L1307" t="s">
        <v>37</v>
      </c>
      <c r="M1307">
        <v>0</v>
      </c>
      <c r="N1307">
        <v>0</v>
      </c>
      <c r="O1307" s="5">
        <v>50493</v>
      </c>
      <c r="P1307" s="5"/>
      <c r="Q1307">
        <f>132-50</f>
        <v>82</v>
      </c>
      <c r="R1307" t="s">
        <v>164</v>
      </c>
      <c r="S1307" t="s">
        <v>97</v>
      </c>
      <c r="T1307">
        <v>30</v>
      </c>
      <c r="W1307">
        <v>21.6</v>
      </c>
      <c r="X1307">
        <v>39.6</v>
      </c>
      <c r="Z1307" t="s">
        <v>39</v>
      </c>
      <c r="AB1307" t="s">
        <v>87</v>
      </c>
      <c r="AC1307" t="s">
        <v>137</v>
      </c>
    </row>
    <row r="1308" spans="1:30" x14ac:dyDescent="0.25">
      <c r="A1308" s="4">
        <v>42558</v>
      </c>
      <c r="B1308" t="s">
        <v>30</v>
      </c>
      <c r="C1308">
        <v>113</v>
      </c>
      <c r="D1308">
        <v>8</v>
      </c>
      <c r="E1308">
        <v>2</v>
      </c>
      <c r="F1308" t="s">
        <v>41</v>
      </c>
      <c r="G1308" t="s">
        <v>32</v>
      </c>
      <c r="H1308" t="s">
        <v>33</v>
      </c>
      <c r="I1308" t="s">
        <v>34</v>
      </c>
      <c r="J1308" t="s">
        <v>35</v>
      </c>
      <c r="K1308" t="s">
        <v>114</v>
      </c>
      <c r="L1308" t="s">
        <v>37</v>
      </c>
      <c r="M1308">
        <v>0</v>
      </c>
      <c r="N1308">
        <v>0</v>
      </c>
      <c r="O1308" s="5">
        <v>50476</v>
      </c>
      <c r="P1308" s="5">
        <v>50473</v>
      </c>
      <c r="Q1308">
        <f>27-9</f>
        <v>18</v>
      </c>
      <c r="R1308" t="s">
        <v>164</v>
      </c>
      <c r="S1308" t="s">
        <v>97</v>
      </c>
      <c r="T1308">
        <v>18</v>
      </c>
      <c r="U1308">
        <v>79</v>
      </c>
      <c r="V1308">
        <v>13</v>
      </c>
      <c r="W1308">
        <v>12.7</v>
      </c>
      <c r="X1308">
        <v>25.8</v>
      </c>
      <c r="Z1308" t="s">
        <v>39</v>
      </c>
      <c r="AB1308" t="s">
        <v>87</v>
      </c>
      <c r="AC1308" t="s">
        <v>137</v>
      </c>
    </row>
    <row r="1309" spans="1:30" x14ac:dyDescent="0.25">
      <c r="A1309" s="4">
        <v>42558</v>
      </c>
      <c r="B1309" t="s">
        <v>30</v>
      </c>
      <c r="C1309">
        <v>113</v>
      </c>
      <c r="D1309">
        <v>9</v>
      </c>
      <c r="E1309">
        <v>1</v>
      </c>
      <c r="F1309" t="s">
        <v>41</v>
      </c>
      <c r="G1309" t="s">
        <v>32</v>
      </c>
      <c r="H1309" t="s">
        <v>33</v>
      </c>
      <c r="I1309" t="s">
        <v>34</v>
      </c>
      <c r="J1309" t="s">
        <v>42</v>
      </c>
      <c r="K1309" t="s">
        <v>36</v>
      </c>
      <c r="L1309" t="s">
        <v>37</v>
      </c>
      <c r="M1309">
        <v>0</v>
      </c>
      <c r="N1309">
        <v>1</v>
      </c>
      <c r="O1309" s="5">
        <v>50520</v>
      </c>
      <c r="P1309" s="5">
        <v>50519</v>
      </c>
      <c r="R1309" t="s">
        <v>143</v>
      </c>
      <c r="S1309" t="s">
        <v>97</v>
      </c>
      <c r="T1309">
        <v>18</v>
      </c>
      <c r="U1309">
        <v>81</v>
      </c>
      <c r="V1309">
        <v>14</v>
      </c>
      <c r="W1309">
        <v>12.7</v>
      </c>
      <c r="X1309">
        <v>28.8</v>
      </c>
      <c r="Z1309" t="s">
        <v>39</v>
      </c>
      <c r="AB1309" t="s">
        <v>87</v>
      </c>
      <c r="AC1309" t="s">
        <v>137</v>
      </c>
    </row>
    <row r="1310" spans="1:30" x14ac:dyDescent="0.25">
      <c r="A1310" s="4">
        <v>42558</v>
      </c>
      <c r="B1310" t="s">
        <v>30</v>
      </c>
      <c r="C1310">
        <v>113</v>
      </c>
      <c r="D1310">
        <v>10</v>
      </c>
      <c r="E1310">
        <v>1</v>
      </c>
      <c r="F1310" t="s">
        <v>41</v>
      </c>
      <c r="G1310" t="s">
        <v>32</v>
      </c>
      <c r="H1310" t="s">
        <v>33</v>
      </c>
      <c r="I1310" t="s">
        <v>57</v>
      </c>
      <c r="O1310" s="5"/>
      <c r="P1310" s="5"/>
    </row>
    <row r="1311" spans="1:30" x14ac:dyDescent="0.25">
      <c r="A1311" s="4">
        <v>42558</v>
      </c>
      <c r="B1311" t="s">
        <v>30</v>
      </c>
      <c r="C1311">
        <v>113</v>
      </c>
      <c r="D1311">
        <v>10</v>
      </c>
      <c r="E1311">
        <v>2</v>
      </c>
      <c r="F1311" t="s">
        <v>41</v>
      </c>
      <c r="G1311" t="s">
        <v>32</v>
      </c>
      <c r="H1311" t="s">
        <v>33</v>
      </c>
      <c r="I1311" t="s">
        <v>57</v>
      </c>
      <c r="O1311" s="5"/>
      <c r="P1311" s="5"/>
    </row>
    <row r="1312" spans="1:30" x14ac:dyDescent="0.25">
      <c r="A1312" s="4">
        <v>42558</v>
      </c>
      <c r="B1312" t="s">
        <v>30</v>
      </c>
      <c r="C1312">
        <v>402</v>
      </c>
      <c r="D1312">
        <v>1</v>
      </c>
      <c r="E1312">
        <v>1</v>
      </c>
      <c r="F1312" t="s">
        <v>41</v>
      </c>
      <c r="G1312" t="s">
        <v>32</v>
      </c>
      <c r="H1312" t="s">
        <v>33</v>
      </c>
      <c r="I1312" t="s">
        <v>84</v>
      </c>
      <c r="O1312" s="5"/>
      <c r="P1312" s="5"/>
    </row>
    <row r="1313" spans="1:29" x14ac:dyDescent="0.25">
      <c r="A1313" s="4">
        <v>42558</v>
      </c>
      <c r="B1313" t="s">
        <v>30</v>
      </c>
      <c r="C1313">
        <v>402</v>
      </c>
      <c r="D1313">
        <v>1</v>
      </c>
      <c r="E1313">
        <v>2</v>
      </c>
      <c r="F1313" t="s">
        <v>41</v>
      </c>
      <c r="G1313" t="s">
        <v>32</v>
      </c>
      <c r="H1313" t="s">
        <v>33</v>
      </c>
      <c r="I1313" t="s">
        <v>57</v>
      </c>
      <c r="O1313" s="5"/>
      <c r="P1313" s="5"/>
    </row>
    <row r="1314" spans="1:29" x14ac:dyDescent="0.25">
      <c r="A1314" s="4">
        <v>42558</v>
      </c>
      <c r="B1314" t="s">
        <v>30</v>
      </c>
      <c r="C1314">
        <v>402</v>
      </c>
      <c r="D1314">
        <v>2</v>
      </c>
      <c r="E1314">
        <v>1</v>
      </c>
      <c r="F1314" t="s">
        <v>41</v>
      </c>
      <c r="G1314" t="s">
        <v>32</v>
      </c>
      <c r="H1314" t="s">
        <v>33</v>
      </c>
      <c r="I1314" t="s">
        <v>84</v>
      </c>
      <c r="O1314" s="5"/>
      <c r="P1314" s="5"/>
    </row>
    <row r="1315" spans="1:29" x14ac:dyDescent="0.25">
      <c r="A1315" s="4">
        <v>42558</v>
      </c>
      <c r="B1315" t="s">
        <v>30</v>
      </c>
      <c r="C1315">
        <v>402</v>
      </c>
      <c r="D1315">
        <v>2</v>
      </c>
      <c r="E1315">
        <v>2</v>
      </c>
      <c r="F1315" t="s">
        <v>41</v>
      </c>
      <c r="G1315" t="s">
        <v>32</v>
      </c>
      <c r="H1315" t="s">
        <v>33</v>
      </c>
      <c r="I1315" t="s">
        <v>84</v>
      </c>
      <c r="O1315" s="5"/>
      <c r="P1315" s="5"/>
    </row>
    <row r="1316" spans="1:29" x14ac:dyDescent="0.25">
      <c r="A1316" s="4">
        <v>42558</v>
      </c>
      <c r="B1316" t="s">
        <v>30</v>
      </c>
      <c r="C1316">
        <v>402</v>
      </c>
      <c r="D1316">
        <v>3</v>
      </c>
      <c r="E1316">
        <v>1</v>
      </c>
      <c r="F1316" t="s">
        <v>41</v>
      </c>
      <c r="G1316" t="s">
        <v>32</v>
      </c>
      <c r="H1316" t="s">
        <v>33</v>
      </c>
      <c r="I1316" t="s">
        <v>84</v>
      </c>
      <c r="O1316" s="5"/>
      <c r="P1316" s="5"/>
    </row>
    <row r="1317" spans="1:29" x14ac:dyDescent="0.25">
      <c r="A1317" s="4">
        <v>42558</v>
      </c>
      <c r="B1317" t="s">
        <v>30</v>
      </c>
      <c r="C1317">
        <v>402</v>
      </c>
      <c r="D1317">
        <v>4</v>
      </c>
      <c r="E1317">
        <v>1</v>
      </c>
      <c r="F1317" t="s">
        <v>41</v>
      </c>
      <c r="G1317" t="s">
        <v>32</v>
      </c>
      <c r="H1317" t="s">
        <v>33</v>
      </c>
      <c r="I1317" t="s">
        <v>84</v>
      </c>
      <c r="O1317" s="5"/>
      <c r="P1317" s="5"/>
    </row>
    <row r="1318" spans="1:29" x14ac:dyDescent="0.25">
      <c r="A1318" s="4">
        <v>42558</v>
      </c>
      <c r="B1318" t="s">
        <v>30</v>
      </c>
      <c r="C1318">
        <v>402</v>
      </c>
      <c r="D1318">
        <v>4</v>
      </c>
      <c r="E1318">
        <v>2</v>
      </c>
      <c r="F1318" t="s">
        <v>41</v>
      </c>
      <c r="G1318" t="s">
        <v>32</v>
      </c>
      <c r="H1318" t="s">
        <v>33</v>
      </c>
      <c r="I1318" t="s">
        <v>91</v>
      </c>
      <c r="J1318" t="s">
        <v>42</v>
      </c>
      <c r="K1318" t="s">
        <v>36</v>
      </c>
      <c r="L1318" t="s">
        <v>37</v>
      </c>
      <c r="M1318">
        <v>0</v>
      </c>
      <c r="N1318">
        <v>1</v>
      </c>
      <c r="O1318" s="5">
        <v>50518</v>
      </c>
      <c r="P1318" s="5"/>
      <c r="Q1318">
        <f>36-11</f>
        <v>25</v>
      </c>
      <c r="R1318" t="s">
        <v>143</v>
      </c>
      <c r="S1318" t="s">
        <v>97</v>
      </c>
      <c r="T1318">
        <v>29</v>
      </c>
      <c r="W1318">
        <v>13.3</v>
      </c>
      <c r="X1318">
        <v>27.7</v>
      </c>
      <c r="Z1318" t="s">
        <v>39</v>
      </c>
      <c r="AB1318" t="s">
        <v>87</v>
      </c>
      <c r="AC1318" t="s">
        <v>137</v>
      </c>
    </row>
    <row r="1319" spans="1:29" x14ac:dyDescent="0.25">
      <c r="A1319" s="4">
        <v>42558</v>
      </c>
      <c r="B1319" t="s">
        <v>30</v>
      </c>
      <c r="C1319">
        <v>402</v>
      </c>
      <c r="D1319">
        <v>5</v>
      </c>
      <c r="E1319">
        <v>1</v>
      </c>
      <c r="F1319" t="s">
        <v>41</v>
      </c>
      <c r="G1319" t="s">
        <v>32</v>
      </c>
      <c r="H1319" t="s">
        <v>33</v>
      </c>
      <c r="I1319" t="s">
        <v>84</v>
      </c>
      <c r="O1319" s="5"/>
      <c r="P1319" s="5"/>
    </row>
    <row r="1320" spans="1:29" x14ac:dyDescent="0.25">
      <c r="A1320" s="4">
        <v>42558</v>
      </c>
      <c r="B1320" t="s">
        <v>30</v>
      </c>
      <c r="C1320">
        <v>402</v>
      </c>
      <c r="D1320">
        <v>5</v>
      </c>
      <c r="E1320">
        <v>2</v>
      </c>
      <c r="F1320" t="s">
        <v>41</v>
      </c>
      <c r="G1320" t="s">
        <v>32</v>
      </c>
      <c r="H1320" t="s">
        <v>33</v>
      </c>
      <c r="I1320" t="s">
        <v>84</v>
      </c>
      <c r="O1320" s="5"/>
      <c r="P1320" s="5"/>
    </row>
    <row r="1321" spans="1:29" x14ac:dyDescent="0.25">
      <c r="A1321" s="4">
        <v>42558</v>
      </c>
      <c r="B1321" t="s">
        <v>30</v>
      </c>
      <c r="C1321">
        <v>402</v>
      </c>
      <c r="D1321">
        <v>6</v>
      </c>
      <c r="E1321">
        <v>1</v>
      </c>
      <c r="F1321" t="s">
        <v>41</v>
      </c>
      <c r="G1321" t="s">
        <v>32</v>
      </c>
      <c r="H1321" t="s">
        <v>33</v>
      </c>
      <c r="I1321" t="s">
        <v>84</v>
      </c>
      <c r="O1321" s="5"/>
      <c r="P1321" s="5"/>
    </row>
    <row r="1322" spans="1:29" x14ac:dyDescent="0.25">
      <c r="A1322" s="4">
        <v>42558</v>
      </c>
      <c r="B1322" t="s">
        <v>30</v>
      </c>
      <c r="C1322">
        <v>402</v>
      </c>
      <c r="D1322">
        <v>6</v>
      </c>
      <c r="E1322">
        <v>2</v>
      </c>
      <c r="F1322" t="s">
        <v>41</v>
      </c>
      <c r="G1322" t="s">
        <v>32</v>
      </c>
      <c r="H1322" t="s">
        <v>33</v>
      </c>
      <c r="I1322" t="s">
        <v>84</v>
      </c>
      <c r="O1322" s="5"/>
      <c r="P1322" s="5"/>
    </row>
    <row r="1323" spans="1:29" x14ac:dyDescent="0.25">
      <c r="A1323" s="4">
        <v>42558</v>
      </c>
      <c r="B1323" t="s">
        <v>30</v>
      </c>
      <c r="C1323">
        <v>402</v>
      </c>
      <c r="D1323">
        <v>7</v>
      </c>
      <c r="E1323">
        <v>1</v>
      </c>
      <c r="F1323" t="s">
        <v>41</v>
      </c>
      <c r="G1323" t="s">
        <v>32</v>
      </c>
      <c r="H1323" t="s">
        <v>33</v>
      </c>
      <c r="I1323" t="s">
        <v>84</v>
      </c>
      <c r="O1323" s="5"/>
      <c r="P1323" s="5"/>
    </row>
    <row r="1324" spans="1:29" x14ac:dyDescent="0.25">
      <c r="A1324" s="4">
        <v>42558</v>
      </c>
      <c r="B1324" t="s">
        <v>30</v>
      </c>
      <c r="C1324">
        <v>402</v>
      </c>
      <c r="D1324">
        <v>7</v>
      </c>
      <c r="E1324">
        <v>2</v>
      </c>
      <c r="F1324" t="s">
        <v>41</v>
      </c>
      <c r="G1324" t="s">
        <v>32</v>
      </c>
      <c r="H1324" t="s">
        <v>33</v>
      </c>
      <c r="I1324" t="s">
        <v>84</v>
      </c>
      <c r="O1324" s="5"/>
      <c r="P1324" s="5"/>
    </row>
    <row r="1325" spans="1:29" x14ac:dyDescent="0.25">
      <c r="A1325" s="4">
        <v>42558</v>
      </c>
      <c r="B1325" t="s">
        <v>30</v>
      </c>
      <c r="C1325">
        <v>402</v>
      </c>
      <c r="D1325">
        <v>8</v>
      </c>
      <c r="E1325">
        <v>1</v>
      </c>
      <c r="F1325" t="s">
        <v>41</v>
      </c>
      <c r="G1325" t="s">
        <v>32</v>
      </c>
      <c r="H1325" t="s">
        <v>33</v>
      </c>
      <c r="I1325" t="s">
        <v>57</v>
      </c>
      <c r="O1325" s="5"/>
      <c r="P1325" s="5"/>
    </row>
    <row r="1326" spans="1:29" x14ac:dyDescent="0.25">
      <c r="A1326" s="4">
        <v>42558</v>
      </c>
      <c r="B1326" t="s">
        <v>30</v>
      </c>
      <c r="C1326">
        <v>402</v>
      </c>
      <c r="D1326">
        <v>8</v>
      </c>
      <c r="E1326">
        <v>2</v>
      </c>
      <c r="F1326" t="s">
        <v>41</v>
      </c>
      <c r="G1326" t="s">
        <v>32</v>
      </c>
      <c r="H1326" t="s">
        <v>33</v>
      </c>
      <c r="I1326" t="s">
        <v>84</v>
      </c>
      <c r="O1326" s="5"/>
      <c r="P1326" s="5"/>
    </row>
    <row r="1327" spans="1:29" x14ac:dyDescent="0.25">
      <c r="A1327" s="4">
        <v>42558</v>
      </c>
      <c r="B1327" t="s">
        <v>30</v>
      </c>
      <c r="C1327">
        <v>402</v>
      </c>
      <c r="D1327">
        <v>9</v>
      </c>
      <c r="E1327">
        <v>1</v>
      </c>
      <c r="F1327" t="s">
        <v>41</v>
      </c>
      <c r="G1327" t="s">
        <v>32</v>
      </c>
      <c r="H1327" t="s">
        <v>33</v>
      </c>
      <c r="I1327" t="s">
        <v>84</v>
      </c>
      <c r="O1327" s="5"/>
      <c r="P1327" s="5"/>
    </row>
    <row r="1328" spans="1:29" x14ac:dyDescent="0.25">
      <c r="A1328" s="4">
        <v>42558</v>
      </c>
      <c r="B1328" t="s">
        <v>30</v>
      </c>
      <c r="C1328">
        <v>402</v>
      </c>
      <c r="D1328">
        <v>9</v>
      </c>
      <c r="E1328">
        <v>2</v>
      </c>
      <c r="F1328" t="s">
        <v>41</v>
      </c>
      <c r="G1328" t="s">
        <v>32</v>
      </c>
      <c r="H1328" t="s">
        <v>33</v>
      </c>
      <c r="I1328" t="s">
        <v>84</v>
      </c>
      <c r="O1328" s="5"/>
      <c r="P1328" s="5"/>
    </row>
    <row r="1329" spans="1:29" x14ac:dyDescent="0.25">
      <c r="A1329" s="4">
        <v>42558</v>
      </c>
      <c r="B1329" t="s">
        <v>30</v>
      </c>
      <c r="C1329">
        <v>402</v>
      </c>
      <c r="D1329">
        <v>10</v>
      </c>
      <c r="E1329">
        <v>1</v>
      </c>
      <c r="F1329" t="s">
        <v>41</v>
      </c>
      <c r="G1329" t="s">
        <v>32</v>
      </c>
      <c r="H1329" t="s">
        <v>33</v>
      </c>
      <c r="I1329" t="s">
        <v>73</v>
      </c>
      <c r="J1329" t="s">
        <v>122</v>
      </c>
      <c r="K1329" t="s">
        <v>36</v>
      </c>
      <c r="L1329" t="s">
        <v>37</v>
      </c>
      <c r="O1329" s="5"/>
      <c r="P1329" s="5"/>
    </row>
    <row r="1330" spans="1:29" x14ac:dyDescent="0.25">
      <c r="A1330" s="4">
        <v>42563</v>
      </c>
      <c r="B1330" t="s">
        <v>30</v>
      </c>
      <c r="C1330">
        <v>501</v>
      </c>
      <c r="D1330">
        <v>1</v>
      </c>
      <c r="E1330">
        <v>1</v>
      </c>
      <c r="F1330" t="s">
        <v>31</v>
      </c>
      <c r="G1330" t="s">
        <v>32</v>
      </c>
      <c r="H1330" t="s">
        <v>33</v>
      </c>
      <c r="I1330" t="s">
        <v>73</v>
      </c>
      <c r="J1330" t="s">
        <v>35</v>
      </c>
      <c r="K1330" t="s">
        <v>36</v>
      </c>
      <c r="L1330" t="s">
        <v>37</v>
      </c>
      <c r="M1330">
        <v>0</v>
      </c>
      <c r="N1330">
        <v>0</v>
      </c>
      <c r="O1330" s="5">
        <v>50337</v>
      </c>
      <c r="P1330" s="5"/>
      <c r="Q1330">
        <f>175-90</f>
        <v>85</v>
      </c>
      <c r="R1330" t="s">
        <v>74</v>
      </c>
      <c r="S1330" t="s">
        <v>97</v>
      </c>
      <c r="T1330">
        <v>31</v>
      </c>
      <c r="W1330">
        <v>20.8</v>
      </c>
      <c r="X1330">
        <v>41.3</v>
      </c>
      <c r="Z1330" t="s">
        <v>39</v>
      </c>
      <c r="AB1330" t="s">
        <v>59</v>
      </c>
      <c r="AC1330" t="s">
        <v>88</v>
      </c>
    </row>
    <row r="1331" spans="1:29" x14ac:dyDescent="0.25">
      <c r="A1331" s="4">
        <v>42563</v>
      </c>
      <c r="B1331" t="s">
        <v>30</v>
      </c>
      <c r="C1331">
        <v>501</v>
      </c>
      <c r="D1331">
        <v>3</v>
      </c>
      <c r="E1331">
        <v>1</v>
      </c>
      <c r="F1331" t="s">
        <v>31</v>
      </c>
      <c r="G1331" t="s">
        <v>32</v>
      </c>
      <c r="H1331" t="s">
        <v>33</v>
      </c>
      <c r="I1331" t="s">
        <v>64</v>
      </c>
      <c r="J1331" t="s">
        <v>42</v>
      </c>
      <c r="K1331" t="s">
        <v>36</v>
      </c>
      <c r="L1331" t="s">
        <v>37</v>
      </c>
      <c r="M1331">
        <v>0</v>
      </c>
      <c r="N1331">
        <v>1</v>
      </c>
      <c r="O1331" s="5">
        <v>50727</v>
      </c>
      <c r="P1331" s="5"/>
      <c r="Q1331">
        <v>200</v>
      </c>
      <c r="R1331" t="s">
        <v>74</v>
      </c>
      <c r="S1331" t="s">
        <v>97</v>
      </c>
      <c r="T1331">
        <v>39</v>
      </c>
      <c r="W1331">
        <v>27.9</v>
      </c>
      <c r="X1331">
        <v>50.3</v>
      </c>
      <c r="Z1331" t="s">
        <v>39</v>
      </c>
      <c r="AB1331" t="s">
        <v>59</v>
      </c>
      <c r="AC1331" t="s">
        <v>88</v>
      </c>
    </row>
    <row r="1332" spans="1:29" x14ac:dyDescent="0.25">
      <c r="A1332" s="4">
        <v>42563</v>
      </c>
      <c r="B1332" t="s">
        <v>30</v>
      </c>
      <c r="C1332">
        <v>501</v>
      </c>
      <c r="D1332">
        <v>5</v>
      </c>
      <c r="E1332">
        <v>1</v>
      </c>
      <c r="F1332" t="s">
        <v>31</v>
      </c>
      <c r="G1332" t="s">
        <v>32</v>
      </c>
      <c r="H1332" t="s">
        <v>33</v>
      </c>
      <c r="I1332" t="s">
        <v>57</v>
      </c>
      <c r="O1332" s="5"/>
      <c r="P1332" s="5"/>
    </row>
    <row r="1333" spans="1:29" x14ac:dyDescent="0.25">
      <c r="A1333" s="4">
        <v>42563</v>
      </c>
      <c r="B1333" t="s">
        <v>30</v>
      </c>
      <c r="C1333">
        <v>501</v>
      </c>
      <c r="D1333">
        <v>7</v>
      </c>
      <c r="E1333">
        <v>1</v>
      </c>
      <c r="F1333" t="s">
        <v>31</v>
      </c>
      <c r="G1333" t="s">
        <v>32</v>
      </c>
      <c r="H1333" t="s">
        <v>33</v>
      </c>
      <c r="I1333" t="s">
        <v>57</v>
      </c>
      <c r="O1333" s="5"/>
      <c r="P1333" s="5"/>
    </row>
    <row r="1334" spans="1:29" x14ac:dyDescent="0.25">
      <c r="A1334" s="4">
        <v>42563</v>
      </c>
      <c r="B1334" t="s">
        <v>30</v>
      </c>
      <c r="C1334">
        <v>501</v>
      </c>
      <c r="D1334">
        <v>7</v>
      </c>
      <c r="E1334">
        <v>2</v>
      </c>
      <c r="F1334" t="s">
        <v>31</v>
      </c>
      <c r="G1334" t="s">
        <v>32</v>
      </c>
      <c r="H1334" t="s">
        <v>33</v>
      </c>
      <c r="I1334" t="s">
        <v>57</v>
      </c>
      <c r="O1334" s="5"/>
      <c r="P1334" s="5"/>
    </row>
    <row r="1335" spans="1:29" x14ac:dyDescent="0.25">
      <c r="A1335" s="4">
        <v>42563</v>
      </c>
      <c r="B1335" t="s">
        <v>30</v>
      </c>
      <c r="C1335">
        <v>501</v>
      </c>
      <c r="D1335">
        <v>8</v>
      </c>
      <c r="E1335">
        <v>1</v>
      </c>
      <c r="F1335" t="s">
        <v>31</v>
      </c>
      <c r="G1335" t="s">
        <v>32</v>
      </c>
      <c r="H1335" t="s">
        <v>33</v>
      </c>
      <c r="I1335" t="s">
        <v>34</v>
      </c>
      <c r="J1335" t="s">
        <v>42</v>
      </c>
      <c r="K1335" t="s">
        <v>114</v>
      </c>
      <c r="L1335" t="s">
        <v>37</v>
      </c>
      <c r="M1335">
        <v>0</v>
      </c>
      <c r="N1335">
        <v>1</v>
      </c>
      <c r="O1335" s="5">
        <v>50729</v>
      </c>
      <c r="P1335" s="5">
        <v>50728</v>
      </c>
      <c r="Q1335">
        <f>35-16</f>
        <v>19</v>
      </c>
      <c r="R1335" t="s">
        <v>81</v>
      </c>
      <c r="S1335" t="s">
        <v>39</v>
      </c>
      <c r="T1335">
        <v>18</v>
      </c>
      <c r="U1335">
        <v>90</v>
      </c>
      <c r="V1335">
        <v>15.5</v>
      </c>
      <c r="W1335">
        <v>13.1</v>
      </c>
      <c r="X1335">
        <v>28</v>
      </c>
      <c r="Z1335" t="s">
        <v>39</v>
      </c>
      <c r="AB1335" t="s">
        <v>138</v>
      </c>
      <c r="AC1335" t="s">
        <v>88</v>
      </c>
    </row>
    <row r="1336" spans="1:29" x14ac:dyDescent="0.25">
      <c r="A1336" s="4">
        <v>42563</v>
      </c>
      <c r="B1336" t="s">
        <v>30</v>
      </c>
      <c r="C1336">
        <v>501</v>
      </c>
      <c r="D1336">
        <v>9</v>
      </c>
      <c r="E1336">
        <v>1</v>
      </c>
      <c r="F1336" t="s">
        <v>31</v>
      </c>
      <c r="G1336" t="s">
        <v>32</v>
      </c>
      <c r="H1336" t="s">
        <v>33</v>
      </c>
      <c r="I1336" t="s">
        <v>34</v>
      </c>
      <c r="J1336" t="s">
        <v>35</v>
      </c>
      <c r="K1336" t="s">
        <v>36</v>
      </c>
      <c r="L1336" t="s">
        <v>37</v>
      </c>
      <c r="M1336">
        <v>0</v>
      </c>
      <c r="N1336">
        <v>0</v>
      </c>
      <c r="O1336" s="5">
        <v>50448</v>
      </c>
      <c r="P1336" s="5">
        <v>50447</v>
      </c>
      <c r="Q1336">
        <v>20</v>
      </c>
      <c r="R1336" t="s">
        <v>81</v>
      </c>
      <c r="S1336" t="s">
        <v>39</v>
      </c>
      <c r="T1336">
        <v>18</v>
      </c>
      <c r="U1336">
        <v>96</v>
      </c>
      <c r="V1336">
        <v>14</v>
      </c>
      <c r="W1336">
        <v>13</v>
      </c>
      <c r="X1336">
        <v>27.9</v>
      </c>
      <c r="Z1336" t="s">
        <v>39</v>
      </c>
      <c r="AB1336" t="s">
        <v>138</v>
      </c>
      <c r="AC1336" t="s">
        <v>88</v>
      </c>
    </row>
    <row r="1337" spans="1:29" x14ac:dyDescent="0.25">
      <c r="A1337" s="4">
        <v>42563</v>
      </c>
      <c r="B1337" t="s">
        <v>30</v>
      </c>
      <c r="C1337">
        <v>501</v>
      </c>
      <c r="D1337">
        <v>10</v>
      </c>
      <c r="E1337">
        <v>1</v>
      </c>
      <c r="F1337" t="s">
        <v>31</v>
      </c>
      <c r="G1337" t="s">
        <v>32</v>
      </c>
      <c r="H1337" t="s">
        <v>33</v>
      </c>
      <c r="I1337" t="s">
        <v>84</v>
      </c>
      <c r="O1337" s="5"/>
      <c r="P1337" s="5"/>
    </row>
    <row r="1338" spans="1:29" x14ac:dyDescent="0.25">
      <c r="A1338" s="4">
        <v>42563</v>
      </c>
      <c r="B1338" t="s">
        <v>30</v>
      </c>
      <c r="C1338">
        <v>503</v>
      </c>
      <c r="D1338">
        <v>1</v>
      </c>
      <c r="E1338">
        <v>1</v>
      </c>
      <c r="F1338" t="s">
        <v>31</v>
      </c>
      <c r="G1338" t="s">
        <v>32</v>
      </c>
      <c r="H1338" t="s">
        <v>33</v>
      </c>
      <c r="I1338" t="s">
        <v>73</v>
      </c>
      <c r="J1338" t="s">
        <v>42</v>
      </c>
      <c r="K1338" t="s">
        <v>36</v>
      </c>
      <c r="L1338" t="s">
        <v>43</v>
      </c>
      <c r="M1338">
        <v>0</v>
      </c>
      <c r="N1338">
        <v>1</v>
      </c>
      <c r="O1338" s="5">
        <v>50730</v>
      </c>
      <c r="P1338" s="5"/>
      <c r="Q1338">
        <v>100</v>
      </c>
      <c r="R1338" t="s">
        <v>65</v>
      </c>
      <c r="T1338">
        <v>35</v>
      </c>
      <c r="W1338">
        <v>21.5</v>
      </c>
      <c r="X1338">
        <v>43.7</v>
      </c>
      <c r="Z1338" t="s">
        <v>39</v>
      </c>
      <c r="AB1338" t="s">
        <v>59</v>
      </c>
      <c r="AC1338" t="s">
        <v>88</v>
      </c>
    </row>
    <row r="1339" spans="1:29" x14ac:dyDescent="0.25">
      <c r="A1339" s="4">
        <v>42563</v>
      </c>
      <c r="B1339" t="s">
        <v>30</v>
      </c>
      <c r="C1339">
        <v>503</v>
      </c>
      <c r="D1339">
        <v>2</v>
      </c>
      <c r="E1339">
        <v>1</v>
      </c>
      <c r="F1339" t="s">
        <v>31</v>
      </c>
      <c r="G1339" t="s">
        <v>32</v>
      </c>
      <c r="H1339" t="s">
        <v>33</v>
      </c>
      <c r="I1339" t="s">
        <v>53</v>
      </c>
      <c r="J1339" t="s">
        <v>123</v>
      </c>
      <c r="O1339" s="5"/>
      <c r="P1339" s="5"/>
    </row>
    <row r="1340" spans="1:29" x14ac:dyDescent="0.25">
      <c r="A1340" s="4">
        <v>42563</v>
      </c>
      <c r="B1340" t="s">
        <v>30</v>
      </c>
      <c r="C1340">
        <v>503</v>
      </c>
      <c r="D1340">
        <v>2</v>
      </c>
      <c r="E1340">
        <v>2</v>
      </c>
      <c r="F1340" t="s">
        <v>31</v>
      </c>
      <c r="G1340" t="s">
        <v>32</v>
      </c>
      <c r="H1340" t="s">
        <v>33</v>
      </c>
      <c r="I1340" t="s">
        <v>57</v>
      </c>
      <c r="O1340" s="5"/>
      <c r="P1340" s="5"/>
    </row>
    <row r="1341" spans="1:29" x14ac:dyDescent="0.25">
      <c r="A1341" s="4">
        <v>42563</v>
      </c>
      <c r="B1341" t="s">
        <v>30</v>
      </c>
      <c r="C1341">
        <v>503</v>
      </c>
      <c r="D1341">
        <v>3</v>
      </c>
      <c r="E1341">
        <v>1</v>
      </c>
      <c r="F1341" t="s">
        <v>31</v>
      </c>
      <c r="G1341" t="s">
        <v>32</v>
      </c>
      <c r="H1341" t="s">
        <v>33</v>
      </c>
      <c r="I1341" t="s">
        <v>57</v>
      </c>
      <c r="O1341" s="5"/>
      <c r="P1341" s="5"/>
    </row>
    <row r="1342" spans="1:29" x14ac:dyDescent="0.25">
      <c r="A1342" s="4">
        <v>42563</v>
      </c>
      <c r="B1342" t="s">
        <v>30</v>
      </c>
      <c r="C1342">
        <v>503</v>
      </c>
      <c r="D1342">
        <v>3</v>
      </c>
      <c r="E1342">
        <v>2</v>
      </c>
      <c r="F1342" t="s">
        <v>31</v>
      </c>
      <c r="G1342" t="s">
        <v>32</v>
      </c>
      <c r="H1342" t="s">
        <v>33</v>
      </c>
      <c r="I1342" t="s">
        <v>53</v>
      </c>
      <c r="J1342" t="s">
        <v>123</v>
      </c>
      <c r="O1342" s="5"/>
      <c r="P1342" s="5"/>
    </row>
    <row r="1343" spans="1:29" x14ac:dyDescent="0.25">
      <c r="A1343" s="4">
        <v>42563</v>
      </c>
      <c r="B1343" t="s">
        <v>30</v>
      </c>
      <c r="C1343">
        <v>503</v>
      </c>
      <c r="D1343">
        <v>4</v>
      </c>
      <c r="E1343">
        <v>1</v>
      </c>
      <c r="F1343" t="s">
        <v>31</v>
      </c>
      <c r="G1343" t="s">
        <v>32</v>
      </c>
      <c r="H1343" t="s">
        <v>33</v>
      </c>
      <c r="I1343" t="s">
        <v>57</v>
      </c>
      <c r="O1343" s="5"/>
      <c r="P1343" s="5"/>
    </row>
    <row r="1344" spans="1:29" x14ac:dyDescent="0.25">
      <c r="A1344" s="4">
        <v>42563</v>
      </c>
      <c r="B1344" t="s">
        <v>30</v>
      </c>
      <c r="C1344">
        <v>503</v>
      </c>
      <c r="D1344">
        <v>5</v>
      </c>
      <c r="E1344">
        <v>1</v>
      </c>
      <c r="F1344" t="s">
        <v>31</v>
      </c>
      <c r="G1344" t="s">
        <v>32</v>
      </c>
      <c r="H1344" t="s">
        <v>33</v>
      </c>
      <c r="I1344" t="s">
        <v>57</v>
      </c>
      <c r="O1344" s="5"/>
      <c r="P1344" s="5"/>
    </row>
    <row r="1345" spans="1:29" x14ac:dyDescent="0.25">
      <c r="A1345" s="4">
        <v>42563</v>
      </c>
      <c r="B1345" t="s">
        <v>30</v>
      </c>
      <c r="C1345">
        <v>503</v>
      </c>
      <c r="D1345">
        <v>5</v>
      </c>
      <c r="E1345">
        <v>2</v>
      </c>
      <c r="F1345" t="s">
        <v>31</v>
      </c>
      <c r="G1345" t="s">
        <v>32</v>
      </c>
      <c r="H1345" t="s">
        <v>33</v>
      </c>
      <c r="I1345" t="s">
        <v>57</v>
      </c>
      <c r="O1345" s="5"/>
      <c r="P1345" s="5"/>
    </row>
    <row r="1346" spans="1:29" x14ac:dyDescent="0.25">
      <c r="A1346" s="4">
        <v>42563</v>
      </c>
      <c r="B1346" t="s">
        <v>30</v>
      </c>
      <c r="C1346">
        <v>503</v>
      </c>
      <c r="D1346">
        <v>6</v>
      </c>
      <c r="E1346">
        <v>1</v>
      </c>
      <c r="F1346" t="s">
        <v>31</v>
      </c>
      <c r="G1346" t="s">
        <v>32</v>
      </c>
      <c r="H1346" t="s">
        <v>33</v>
      </c>
      <c r="I1346" t="s">
        <v>57</v>
      </c>
      <c r="O1346" s="5"/>
      <c r="P1346" s="5"/>
    </row>
    <row r="1347" spans="1:29" x14ac:dyDescent="0.25">
      <c r="A1347" s="4">
        <v>42563</v>
      </c>
      <c r="B1347" t="s">
        <v>30</v>
      </c>
      <c r="C1347">
        <v>503</v>
      </c>
      <c r="D1347">
        <v>6</v>
      </c>
      <c r="E1347">
        <v>2</v>
      </c>
      <c r="F1347" t="s">
        <v>31</v>
      </c>
      <c r="G1347" t="s">
        <v>32</v>
      </c>
      <c r="H1347" t="s">
        <v>33</v>
      </c>
      <c r="I1347" t="s">
        <v>91</v>
      </c>
      <c r="J1347" t="s">
        <v>42</v>
      </c>
      <c r="K1347" t="s">
        <v>36</v>
      </c>
      <c r="L1347" t="s">
        <v>43</v>
      </c>
      <c r="M1347">
        <v>0</v>
      </c>
      <c r="N1347">
        <v>1</v>
      </c>
      <c r="O1347" s="5">
        <v>50731</v>
      </c>
      <c r="P1347" s="5"/>
      <c r="Q1347">
        <f>31-9</f>
        <v>22</v>
      </c>
      <c r="R1347" t="s">
        <v>47</v>
      </c>
      <c r="T1347">
        <v>29</v>
      </c>
      <c r="W1347">
        <v>12.5</v>
      </c>
      <c r="X1347">
        <v>28.8</v>
      </c>
      <c r="Z1347" t="s">
        <v>39</v>
      </c>
      <c r="AB1347" t="s">
        <v>59</v>
      </c>
      <c r="AC1347" t="s">
        <v>88</v>
      </c>
    </row>
    <row r="1348" spans="1:29" x14ac:dyDescent="0.25">
      <c r="A1348" s="4">
        <v>42563</v>
      </c>
      <c r="B1348" t="s">
        <v>30</v>
      </c>
      <c r="C1348">
        <v>503</v>
      </c>
      <c r="D1348">
        <v>7</v>
      </c>
      <c r="E1348">
        <v>1</v>
      </c>
      <c r="F1348" t="s">
        <v>31</v>
      </c>
      <c r="G1348" t="s">
        <v>32</v>
      </c>
      <c r="H1348" t="s">
        <v>33</v>
      </c>
      <c r="I1348" t="s">
        <v>57</v>
      </c>
      <c r="O1348" s="5"/>
      <c r="P1348" s="5"/>
    </row>
    <row r="1349" spans="1:29" x14ac:dyDescent="0.25">
      <c r="A1349" s="4">
        <v>42563</v>
      </c>
      <c r="B1349" t="s">
        <v>30</v>
      </c>
      <c r="C1349">
        <v>503</v>
      </c>
      <c r="D1349">
        <v>7</v>
      </c>
      <c r="E1349">
        <v>2</v>
      </c>
      <c r="F1349" t="s">
        <v>31</v>
      </c>
      <c r="G1349" t="s">
        <v>32</v>
      </c>
      <c r="H1349" t="s">
        <v>33</v>
      </c>
      <c r="I1349" t="s">
        <v>57</v>
      </c>
      <c r="O1349" s="5"/>
      <c r="P1349" s="5"/>
    </row>
    <row r="1350" spans="1:29" x14ac:dyDescent="0.25">
      <c r="A1350" s="4">
        <v>42563</v>
      </c>
      <c r="B1350" t="s">
        <v>30</v>
      </c>
      <c r="C1350">
        <v>503</v>
      </c>
      <c r="D1350">
        <v>8</v>
      </c>
      <c r="E1350">
        <v>1</v>
      </c>
      <c r="F1350" t="s">
        <v>31</v>
      </c>
      <c r="G1350" t="s">
        <v>32</v>
      </c>
      <c r="H1350" t="s">
        <v>33</v>
      </c>
      <c r="I1350" t="s">
        <v>34</v>
      </c>
      <c r="J1350" t="s">
        <v>35</v>
      </c>
      <c r="K1350" t="s">
        <v>36</v>
      </c>
      <c r="L1350" t="s">
        <v>43</v>
      </c>
      <c r="M1350">
        <v>0</v>
      </c>
      <c r="N1350">
        <v>0</v>
      </c>
      <c r="O1350" s="5">
        <v>50436</v>
      </c>
      <c r="P1350" s="5">
        <v>50435</v>
      </c>
      <c r="Q1350">
        <v>20</v>
      </c>
      <c r="R1350" t="s">
        <v>47</v>
      </c>
      <c r="T1350">
        <v>21</v>
      </c>
      <c r="U1350">
        <v>88</v>
      </c>
      <c r="V1350">
        <v>16</v>
      </c>
      <c r="W1350">
        <v>13.8</v>
      </c>
      <c r="X1350">
        <v>30.1</v>
      </c>
      <c r="Z1350" t="s">
        <v>39</v>
      </c>
      <c r="AB1350" t="s">
        <v>59</v>
      </c>
      <c r="AC1350" t="s">
        <v>88</v>
      </c>
    </row>
    <row r="1351" spans="1:29" x14ac:dyDescent="0.25">
      <c r="A1351" s="4">
        <v>42563</v>
      </c>
      <c r="B1351" t="s">
        <v>30</v>
      </c>
      <c r="C1351">
        <v>503</v>
      </c>
      <c r="D1351">
        <v>8</v>
      </c>
      <c r="E1351">
        <v>2</v>
      </c>
      <c r="F1351" t="s">
        <v>31</v>
      </c>
      <c r="G1351" t="s">
        <v>32</v>
      </c>
      <c r="H1351" t="s">
        <v>33</v>
      </c>
      <c r="I1351" t="s">
        <v>34</v>
      </c>
      <c r="J1351" t="s">
        <v>35</v>
      </c>
      <c r="K1351" t="s">
        <v>114</v>
      </c>
      <c r="L1351" t="s">
        <v>37</v>
      </c>
      <c r="M1351">
        <v>0</v>
      </c>
      <c r="N1351">
        <v>0</v>
      </c>
      <c r="O1351" s="5">
        <v>50550</v>
      </c>
      <c r="P1351" s="5">
        <v>50549</v>
      </c>
      <c r="Q1351">
        <f>26-12</f>
        <v>14</v>
      </c>
      <c r="R1351" t="s">
        <v>38</v>
      </c>
      <c r="S1351" t="s">
        <v>39</v>
      </c>
      <c r="T1351">
        <v>17</v>
      </c>
      <c r="U1351">
        <v>80</v>
      </c>
      <c r="V1351">
        <v>16</v>
      </c>
      <c r="W1351">
        <v>12.9</v>
      </c>
      <c r="X1351">
        <v>24.8</v>
      </c>
      <c r="Z1351" t="s">
        <v>39</v>
      </c>
      <c r="AB1351" t="s">
        <v>59</v>
      </c>
      <c r="AC1351" t="s">
        <v>88</v>
      </c>
    </row>
    <row r="1352" spans="1:29" x14ac:dyDescent="0.25">
      <c r="A1352" s="4">
        <v>42563</v>
      </c>
      <c r="B1352" t="s">
        <v>30</v>
      </c>
      <c r="C1352">
        <v>503</v>
      </c>
      <c r="D1352">
        <v>10</v>
      </c>
      <c r="E1352">
        <v>1</v>
      </c>
      <c r="F1352" t="s">
        <v>31</v>
      </c>
      <c r="G1352" t="s">
        <v>32</v>
      </c>
      <c r="H1352" t="s">
        <v>33</v>
      </c>
      <c r="I1352" t="s">
        <v>57</v>
      </c>
      <c r="O1352" s="5"/>
      <c r="P1352" s="5"/>
    </row>
    <row r="1353" spans="1:29" x14ac:dyDescent="0.25">
      <c r="A1353" s="4">
        <v>42563</v>
      </c>
      <c r="B1353" t="s">
        <v>30</v>
      </c>
      <c r="C1353">
        <v>503</v>
      </c>
      <c r="D1353">
        <v>10</v>
      </c>
      <c r="E1353">
        <v>2</v>
      </c>
      <c r="F1353" t="s">
        <v>31</v>
      </c>
      <c r="G1353" t="s">
        <v>32</v>
      </c>
      <c r="H1353" t="s">
        <v>33</v>
      </c>
      <c r="I1353" t="s">
        <v>58</v>
      </c>
      <c r="J1353" t="s">
        <v>35</v>
      </c>
      <c r="K1353" t="s">
        <v>36</v>
      </c>
      <c r="L1353" t="s">
        <v>43</v>
      </c>
      <c r="M1353">
        <v>0</v>
      </c>
      <c r="N1353">
        <v>0</v>
      </c>
      <c r="O1353" s="5">
        <v>50579</v>
      </c>
      <c r="P1353" s="5"/>
      <c r="Q1353">
        <f>40-11</f>
        <v>29</v>
      </c>
      <c r="R1353" t="s">
        <v>47</v>
      </c>
      <c r="T1353">
        <v>17</v>
      </c>
      <c r="W1353">
        <v>13.3</v>
      </c>
      <c r="X1353">
        <v>25.7</v>
      </c>
      <c r="Z1353" t="s">
        <v>39</v>
      </c>
      <c r="AB1353" t="s">
        <v>59</v>
      </c>
      <c r="AC1353" t="s">
        <v>88</v>
      </c>
    </row>
    <row r="1354" spans="1:29" x14ac:dyDescent="0.25">
      <c r="A1354" s="4">
        <v>42563</v>
      </c>
      <c r="B1354" t="s">
        <v>30</v>
      </c>
      <c r="C1354">
        <v>303</v>
      </c>
      <c r="D1354">
        <v>1</v>
      </c>
      <c r="E1354">
        <v>1</v>
      </c>
      <c r="F1354" t="s">
        <v>31</v>
      </c>
      <c r="G1354" t="s">
        <v>32</v>
      </c>
      <c r="H1354" t="s">
        <v>33</v>
      </c>
      <c r="I1354" t="s">
        <v>57</v>
      </c>
      <c r="O1354" s="5"/>
      <c r="P1354" s="5"/>
    </row>
    <row r="1355" spans="1:29" x14ac:dyDescent="0.25">
      <c r="A1355" s="4">
        <v>42563</v>
      </c>
      <c r="B1355" t="s">
        <v>30</v>
      </c>
      <c r="C1355">
        <v>303</v>
      </c>
      <c r="D1355">
        <v>2</v>
      </c>
      <c r="E1355">
        <v>1</v>
      </c>
      <c r="F1355" t="s">
        <v>31</v>
      </c>
      <c r="G1355" t="s">
        <v>32</v>
      </c>
      <c r="H1355" t="s">
        <v>33</v>
      </c>
      <c r="I1355" t="s">
        <v>57</v>
      </c>
      <c r="O1355" s="5"/>
      <c r="P1355" s="5"/>
    </row>
    <row r="1356" spans="1:29" x14ac:dyDescent="0.25">
      <c r="A1356" s="4">
        <v>42563</v>
      </c>
      <c r="B1356" t="s">
        <v>30</v>
      </c>
      <c r="C1356">
        <v>303</v>
      </c>
      <c r="D1356">
        <v>2</v>
      </c>
      <c r="E1356">
        <v>2</v>
      </c>
      <c r="F1356" t="s">
        <v>31</v>
      </c>
      <c r="G1356" t="s">
        <v>32</v>
      </c>
      <c r="H1356" t="s">
        <v>33</v>
      </c>
      <c r="I1356" t="s">
        <v>34</v>
      </c>
      <c r="J1356" t="s">
        <v>35</v>
      </c>
      <c r="K1356" t="s">
        <v>36</v>
      </c>
      <c r="L1356" t="s">
        <v>43</v>
      </c>
      <c r="M1356">
        <v>0</v>
      </c>
      <c r="N1356">
        <v>0</v>
      </c>
      <c r="O1356" s="5">
        <v>50321</v>
      </c>
      <c r="P1356" s="5">
        <v>50320</v>
      </c>
      <c r="Q1356">
        <f>35-11.5</f>
        <v>23.5</v>
      </c>
      <c r="R1356" t="s">
        <v>47</v>
      </c>
      <c r="W1356">
        <v>13.3</v>
      </c>
      <c r="X1356">
        <v>26.8</v>
      </c>
      <c r="Z1356" t="s">
        <v>39</v>
      </c>
      <c r="AB1356" t="s">
        <v>138</v>
      </c>
      <c r="AC1356" t="s">
        <v>88</v>
      </c>
    </row>
    <row r="1357" spans="1:29" x14ac:dyDescent="0.25">
      <c r="A1357" s="4">
        <v>42563</v>
      </c>
      <c r="B1357" t="s">
        <v>30</v>
      </c>
      <c r="C1357">
        <v>303</v>
      </c>
      <c r="D1357">
        <v>3</v>
      </c>
      <c r="E1357">
        <v>1</v>
      </c>
      <c r="F1357" t="s">
        <v>31</v>
      </c>
      <c r="G1357" t="s">
        <v>32</v>
      </c>
      <c r="H1357" t="s">
        <v>33</v>
      </c>
      <c r="I1357" t="s">
        <v>57</v>
      </c>
      <c r="O1357" s="5"/>
      <c r="P1357" s="5"/>
    </row>
    <row r="1358" spans="1:29" x14ac:dyDescent="0.25">
      <c r="A1358" s="4">
        <v>42563</v>
      </c>
      <c r="B1358" t="s">
        <v>30</v>
      </c>
      <c r="C1358">
        <v>303</v>
      </c>
      <c r="D1358">
        <v>3</v>
      </c>
      <c r="E1358">
        <v>2</v>
      </c>
      <c r="F1358" t="s">
        <v>31</v>
      </c>
      <c r="G1358" t="s">
        <v>32</v>
      </c>
      <c r="H1358" t="s">
        <v>33</v>
      </c>
      <c r="I1358" t="s">
        <v>34</v>
      </c>
      <c r="J1358" t="s">
        <v>35</v>
      </c>
      <c r="K1358" t="s">
        <v>36</v>
      </c>
      <c r="L1358" t="s">
        <v>37</v>
      </c>
      <c r="M1358">
        <v>0</v>
      </c>
      <c r="N1358">
        <v>0</v>
      </c>
      <c r="O1358" s="5">
        <v>50582</v>
      </c>
      <c r="P1358" s="5">
        <v>50581</v>
      </c>
      <c r="Q1358">
        <v>22</v>
      </c>
      <c r="R1358" t="s">
        <v>83</v>
      </c>
      <c r="S1358" t="s">
        <v>39</v>
      </c>
      <c r="W1358">
        <v>13.6</v>
      </c>
      <c r="X1358">
        <v>29.1</v>
      </c>
      <c r="Z1358" t="s">
        <v>39</v>
      </c>
      <c r="AB1358" t="s">
        <v>59</v>
      </c>
      <c r="AC1358" t="s">
        <v>88</v>
      </c>
    </row>
    <row r="1359" spans="1:29" x14ac:dyDescent="0.25">
      <c r="A1359" s="4">
        <v>42563</v>
      </c>
      <c r="B1359" t="s">
        <v>30</v>
      </c>
      <c r="C1359">
        <v>303</v>
      </c>
      <c r="D1359">
        <v>4</v>
      </c>
      <c r="E1359">
        <v>1</v>
      </c>
      <c r="F1359" t="s">
        <v>31</v>
      </c>
      <c r="G1359" t="s">
        <v>32</v>
      </c>
      <c r="H1359" t="s">
        <v>33</v>
      </c>
      <c r="I1359" t="s">
        <v>57</v>
      </c>
      <c r="O1359" s="5"/>
      <c r="P1359" s="5"/>
    </row>
    <row r="1360" spans="1:29" x14ac:dyDescent="0.25">
      <c r="A1360" s="4">
        <v>42563</v>
      </c>
      <c r="B1360" t="s">
        <v>30</v>
      </c>
      <c r="C1360">
        <v>303</v>
      </c>
      <c r="D1360">
        <v>6</v>
      </c>
      <c r="E1360">
        <v>1</v>
      </c>
      <c r="F1360" t="s">
        <v>31</v>
      </c>
      <c r="G1360" t="s">
        <v>32</v>
      </c>
      <c r="H1360" t="s">
        <v>33</v>
      </c>
      <c r="I1360" t="s">
        <v>58</v>
      </c>
      <c r="J1360" t="s">
        <v>35</v>
      </c>
      <c r="K1360" t="s">
        <v>36</v>
      </c>
      <c r="L1360" t="s">
        <v>43</v>
      </c>
      <c r="M1360">
        <v>0</v>
      </c>
      <c r="N1360">
        <v>0</v>
      </c>
      <c r="O1360" s="5"/>
      <c r="P1360" s="5">
        <v>50437</v>
      </c>
      <c r="Q1360">
        <v>22</v>
      </c>
      <c r="R1360" t="s">
        <v>65</v>
      </c>
      <c r="W1360">
        <v>13</v>
      </c>
      <c r="X1360">
        <v>25.9</v>
      </c>
      <c r="Z1360" t="s">
        <v>39</v>
      </c>
      <c r="AB1360" t="s">
        <v>59</v>
      </c>
      <c r="AC1360" t="s">
        <v>88</v>
      </c>
    </row>
    <row r="1361" spans="1:29" x14ac:dyDescent="0.25">
      <c r="A1361" s="4">
        <v>42563</v>
      </c>
      <c r="B1361" t="s">
        <v>30</v>
      </c>
      <c r="C1361">
        <v>303</v>
      </c>
      <c r="D1361">
        <v>6</v>
      </c>
      <c r="E1361">
        <v>2</v>
      </c>
      <c r="F1361" t="s">
        <v>31</v>
      </c>
      <c r="G1361" t="s">
        <v>32</v>
      </c>
      <c r="H1361" t="s">
        <v>33</v>
      </c>
      <c r="I1361" t="s">
        <v>53</v>
      </c>
      <c r="J1361" t="s">
        <v>62</v>
      </c>
      <c r="O1361" s="5"/>
      <c r="P1361" s="5"/>
    </row>
    <row r="1362" spans="1:29" x14ac:dyDescent="0.25">
      <c r="A1362" s="4">
        <v>42563</v>
      </c>
      <c r="B1362" t="s">
        <v>30</v>
      </c>
      <c r="C1362">
        <v>303</v>
      </c>
      <c r="D1362">
        <v>7</v>
      </c>
      <c r="E1362">
        <v>1</v>
      </c>
      <c r="F1362" t="s">
        <v>31</v>
      </c>
      <c r="G1362" t="s">
        <v>32</v>
      </c>
      <c r="H1362" t="s">
        <v>33</v>
      </c>
      <c r="I1362" t="s">
        <v>58</v>
      </c>
      <c r="J1362" t="s">
        <v>42</v>
      </c>
      <c r="K1362" t="s">
        <v>36</v>
      </c>
      <c r="L1362" t="s">
        <v>43</v>
      </c>
      <c r="M1362">
        <v>0</v>
      </c>
      <c r="N1362">
        <v>1</v>
      </c>
      <c r="O1362" s="5">
        <v>50732</v>
      </c>
      <c r="P1362" s="5"/>
      <c r="Q1362">
        <v>25.5</v>
      </c>
      <c r="R1362" t="s">
        <v>47</v>
      </c>
      <c r="W1362">
        <v>13.7</v>
      </c>
      <c r="X1362">
        <v>25.6</v>
      </c>
      <c r="Z1362" t="s">
        <v>39</v>
      </c>
      <c r="AB1362" t="s">
        <v>59</v>
      </c>
      <c r="AC1362" t="s">
        <v>88</v>
      </c>
    </row>
    <row r="1363" spans="1:29" x14ac:dyDescent="0.25">
      <c r="A1363" s="4">
        <v>42563</v>
      </c>
      <c r="B1363" t="s">
        <v>30</v>
      </c>
      <c r="C1363">
        <v>303</v>
      </c>
      <c r="D1363">
        <v>8</v>
      </c>
      <c r="E1363">
        <v>1</v>
      </c>
      <c r="F1363" t="s">
        <v>31</v>
      </c>
      <c r="G1363" t="s">
        <v>32</v>
      </c>
      <c r="H1363" t="s">
        <v>33</v>
      </c>
      <c r="I1363" t="s">
        <v>57</v>
      </c>
      <c r="O1363" s="5"/>
      <c r="P1363" s="5"/>
    </row>
    <row r="1364" spans="1:29" x14ac:dyDescent="0.25">
      <c r="A1364" s="4">
        <v>42563</v>
      </c>
      <c r="B1364" t="s">
        <v>30</v>
      </c>
      <c r="C1364">
        <v>303</v>
      </c>
      <c r="D1364">
        <v>8</v>
      </c>
      <c r="E1364">
        <v>2</v>
      </c>
      <c r="F1364" t="s">
        <v>31</v>
      </c>
      <c r="G1364" t="s">
        <v>32</v>
      </c>
      <c r="H1364" t="s">
        <v>33</v>
      </c>
      <c r="I1364" t="s">
        <v>57</v>
      </c>
      <c r="O1364" s="5"/>
      <c r="P1364" s="5"/>
    </row>
    <row r="1365" spans="1:29" x14ac:dyDescent="0.25">
      <c r="A1365" s="4">
        <v>42563</v>
      </c>
      <c r="B1365" t="s">
        <v>30</v>
      </c>
      <c r="C1365">
        <v>303</v>
      </c>
      <c r="D1365">
        <v>9</v>
      </c>
      <c r="E1365">
        <v>1</v>
      </c>
      <c r="F1365" t="s">
        <v>31</v>
      </c>
      <c r="G1365" t="s">
        <v>32</v>
      </c>
      <c r="H1365" t="s">
        <v>33</v>
      </c>
      <c r="I1365" t="s">
        <v>57</v>
      </c>
      <c r="O1365" s="5"/>
      <c r="P1365" s="5"/>
    </row>
    <row r="1366" spans="1:29" x14ac:dyDescent="0.25">
      <c r="A1366" s="4">
        <v>42563</v>
      </c>
      <c r="B1366" t="s">
        <v>30</v>
      </c>
      <c r="C1366">
        <v>401</v>
      </c>
      <c r="D1366">
        <v>1</v>
      </c>
      <c r="E1366">
        <v>1</v>
      </c>
      <c r="F1366" t="s">
        <v>31</v>
      </c>
      <c r="G1366" t="s">
        <v>32</v>
      </c>
      <c r="H1366" t="s">
        <v>33</v>
      </c>
      <c r="I1366" t="s">
        <v>57</v>
      </c>
      <c r="O1366" s="5"/>
      <c r="P1366" s="5"/>
    </row>
    <row r="1367" spans="1:29" x14ac:dyDescent="0.25">
      <c r="A1367" s="4">
        <v>42563</v>
      </c>
      <c r="B1367" t="s">
        <v>30</v>
      </c>
      <c r="C1367">
        <v>401</v>
      </c>
      <c r="D1367">
        <v>1</v>
      </c>
      <c r="E1367">
        <v>2</v>
      </c>
      <c r="F1367" t="s">
        <v>31</v>
      </c>
      <c r="G1367" t="s">
        <v>32</v>
      </c>
      <c r="H1367" t="s">
        <v>33</v>
      </c>
      <c r="I1367" t="s">
        <v>57</v>
      </c>
      <c r="O1367" s="5"/>
      <c r="P1367" s="5"/>
    </row>
    <row r="1368" spans="1:29" x14ac:dyDescent="0.25">
      <c r="A1368" s="4">
        <v>42563</v>
      </c>
      <c r="B1368" t="s">
        <v>30</v>
      </c>
      <c r="C1368">
        <v>401</v>
      </c>
      <c r="D1368">
        <v>2</v>
      </c>
      <c r="E1368">
        <v>1</v>
      </c>
      <c r="F1368" t="s">
        <v>31</v>
      </c>
      <c r="G1368" t="s">
        <v>32</v>
      </c>
      <c r="H1368" t="s">
        <v>33</v>
      </c>
      <c r="I1368" t="s">
        <v>57</v>
      </c>
      <c r="O1368" s="5"/>
      <c r="P1368" s="5"/>
    </row>
    <row r="1369" spans="1:29" x14ac:dyDescent="0.25">
      <c r="A1369" s="4">
        <v>42563</v>
      </c>
      <c r="B1369" t="s">
        <v>30</v>
      </c>
      <c r="C1369">
        <v>401</v>
      </c>
      <c r="D1369">
        <v>2</v>
      </c>
      <c r="E1369">
        <v>2</v>
      </c>
      <c r="F1369" t="s">
        <v>31</v>
      </c>
      <c r="G1369" t="s">
        <v>32</v>
      </c>
      <c r="H1369" t="s">
        <v>33</v>
      </c>
      <c r="I1369" t="s">
        <v>57</v>
      </c>
      <c r="O1369" s="5"/>
      <c r="P1369" s="5"/>
    </row>
    <row r="1370" spans="1:29" x14ac:dyDescent="0.25">
      <c r="A1370" s="4">
        <v>42563</v>
      </c>
      <c r="B1370" t="s">
        <v>30</v>
      </c>
      <c r="C1370">
        <v>401</v>
      </c>
      <c r="D1370">
        <v>3</v>
      </c>
      <c r="E1370">
        <v>1</v>
      </c>
      <c r="F1370" t="s">
        <v>31</v>
      </c>
      <c r="G1370" t="s">
        <v>32</v>
      </c>
      <c r="H1370" t="s">
        <v>33</v>
      </c>
      <c r="I1370" t="s">
        <v>57</v>
      </c>
      <c r="O1370" s="5"/>
      <c r="P1370" s="5"/>
    </row>
    <row r="1371" spans="1:29" x14ac:dyDescent="0.25">
      <c r="A1371" s="4">
        <v>42563</v>
      </c>
      <c r="B1371" t="s">
        <v>30</v>
      </c>
      <c r="C1371">
        <v>401</v>
      </c>
      <c r="D1371">
        <v>3</v>
      </c>
      <c r="E1371">
        <v>2</v>
      </c>
      <c r="F1371" t="s">
        <v>31</v>
      </c>
      <c r="G1371" t="s">
        <v>32</v>
      </c>
      <c r="H1371" t="s">
        <v>33</v>
      </c>
      <c r="I1371" t="s">
        <v>34</v>
      </c>
      <c r="J1371" t="s">
        <v>35</v>
      </c>
      <c r="K1371" t="s">
        <v>114</v>
      </c>
      <c r="L1371" t="s">
        <v>43</v>
      </c>
      <c r="M1371">
        <v>0</v>
      </c>
      <c r="N1371">
        <v>0</v>
      </c>
      <c r="O1371" s="5">
        <v>50590</v>
      </c>
      <c r="P1371" s="5">
        <v>50589</v>
      </c>
      <c r="Q1371">
        <v>20</v>
      </c>
      <c r="R1371" t="s">
        <v>47</v>
      </c>
      <c r="W1371">
        <v>12.9</v>
      </c>
      <c r="X1371">
        <v>28.4</v>
      </c>
      <c r="Z1371" t="s">
        <v>39</v>
      </c>
      <c r="AB1371" t="s">
        <v>59</v>
      </c>
      <c r="AC1371" t="s">
        <v>88</v>
      </c>
    </row>
    <row r="1372" spans="1:29" x14ac:dyDescent="0.25">
      <c r="A1372" s="4">
        <v>42563</v>
      </c>
      <c r="B1372" t="s">
        <v>30</v>
      </c>
      <c r="C1372">
        <v>401</v>
      </c>
      <c r="D1372">
        <v>5</v>
      </c>
      <c r="E1372">
        <v>1</v>
      </c>
      <c r="F1372" t="s">
        <v>31</v>
      </c>
      <c r="G1372" t="s">
        <v>32</v>
      </c>
      <c r="H1372" t="s">
        <v>33</v>
      </c>
      <c r="I1372" t="s">
        <v>57</v>
      </c>
      <c r="O1372" s="5"/>
      <c r="P1372" s="5"/>
    </row>
    <row r="1373" spans="1:29" x14ac:dyDescent="0.25">
      <c r="A1373" s="4">
        <v>42563</v>
      </c>
      <c r="B1373" t="s">
        <v>30</v>
      </c>
      <c r="C1373">
        <v>401</v>
      </c>
      <c r="D1373">
        <v>6</v>
      </c>
      <c r="E1373">
        <v>1</v>
      </c>
      <c r="F1373" t="s">
        <v>31</v>
      </c>
      <c r="G1373" t="s">
        <v>32</v>
      </c>
      <c r="H1373" t="s">
        <v>33</v>
      </c>
      <c r="I1373" t="s">
        <v>57</v>
      </c>
      <c r="O1373" s="5"/>
      <c r="P1373" s="5"/>
    </row>
    <row r="1374" spans="1:29" x14ac:dyDescent="0.25">
      <c r="A1374" s="4">
        <v>42563</v>
      </c>
      <c r="B1374" t="s">
        <v>30</v>
      </c>
      <c r="C1374">
        <v>401</v>
      </c>
      <c r="D1374">
        <v>6</v>
      </c>
      <c r="E1374">
        <v>2</v>
      </c>
      <c r="F1374" t="s">
        <v>31</v>
      </c>
      <c r="G1374" t="s">
        <v>32</v>
      </c>
      <c r="H1374" t="s">
        <v>33</v>
      </c>
      <c r="I1374" t="s">
        <v>103</v>
      </c>
      <c r="J1374" t="s">
        <v>42</v>
      </c>
      <c r="K1374" t="s">
        <v>36</v>
      </c>
      <c r="L1374" t="s">
        <v>37</v>
      </c>
      <c r="M1374">
        <v>0</v>
      </c>
      <c r="N1374">
        <v>1</v>
      </c>
      <c r="O1374" s="5">
        <v>50733</v>
      </c>
      <c r="P1374" s="5"/>
      <c r="Q1374">
        <v>18</v>
      </c>
      <c r="R1374" t="s">
        <v>74</v>
      </c>
      <c r="S1374" t="s">
        <v>97</v>
      </c>
      <c r="W1374">
        <v>11.7</v>
      </c>
      <c r="X1374">
        <v>27.1</v>
      </c>
      <c r="Z1374" t="s">
        <v>39</v>
      </c>
      <c r="AB1374" t="s">
        <v>59</v>
      </c>
      <c r="AC1374" t="s">
        <v>88</v>
      </c>
    </row>
    <row r="1375" spans="1:29" x14ac:dyDescent="0.25">
      <c r="A1375" s="4">
        <v>42563</v>
      </c>
      <c r="B1375" t="s">
        <v>30</v>
      </c>
      <c r="C1375">
        <v>401</v>
      </c>
      <c r="D1375">
        <v>8</v>
      </c>
      <c r="E1375">
        <v>1</v>
      </c>
      <c r="F1375" t="s">
        <v>31</v>
      </c>
      <c r="G1375" t="s">
        <v>32</v>
      </c>
      <c r="H1375" t="s">
        <v>33</v>
      </c>
      <c r="I1375" t="s">
        <v>57</v>
      </c>
      <c r="O1375" s="5"/>
      <c r="P1375" s="5"/>
    </row>
    <row r="1376" spans="1:29" x14ac:dyDescent="0.25">
      <c r="A1376" s="4">
        <v>42563</v>
      </c>
      <c r="B1376" t="s">
        <v>30</v>
      </c>
      <c r="C1376">
        <v>401</v>
      </c>
      <c r="D1376">
        <v>8</v>
      </c>
      <c r="E1376">
        <v>2</v>
      </c>
      <c r="F1376" t="s">
        <v>31</v>
      </c>
      <c r="G1376" t="s">
        <v>32</v>
      </c>
      <c r="H1376" t="s">
        <v>33</v>
      </c>
      <c r="I1376" t="s">
        <v>57</v>
      </c>
      <c r="O1376" s="5"/>
      <c r="P1376" s="5"/>
    </row>
    <row r="1377" spans="1:29" x14ac:dyDescent="0.25">
      <c r="A1377" s="4">
        <v>42563</v>
      </c>
      <c r="B1377" t="s">
        <v>30</v>
      </c>
      <c r="C1377">
        <v>401</v>
      </c>
      <c r="D1377">
        <v>9</v>
      </c>
      <c r="E1377">
        <v>1</v>
      </c>
      <c r="F1377" t="s">
        <v>31</v>
      </c>
      <c r="G1377" t="s">
        <v>32</v>
      </c>
      <c r="H1377" t="s">
        <v>33</v>
      </c>
      <c r="I1377" t="s">
        <v>57</v>
      </c>
      <c r="O1377" s="5"/>
      <c r="P1377" s="5"/>
    </row>
    <row r="1378" spans="1:29" x14ac:dyDescent="0.25">
      <c r="A1378" s="4">
        <v>42563</v>
      </c>
      <c r="B1378" t="s">
        <v>30</v>
      </c>
      <c r="C1378">
        <v>401</v>
      </c>
      <c r="D1378">
        <v>10</v>
      </c>
      <c r="E1378">
        <v>1</v>
      </c>
      <c r="F1378" t="s">
        <v>31</v>
      </c>
      <c r="G1378" t="s">
        <v>32</v>
      </c>
      <c r="H1378" t="s">
        <v>33</v>
      </c>
      <c r="I1378" t="s">
        <v>64</v>
      </c>
      <c r="J1378" t="s">
        <v>35</v>
      </c>
      <c r="K1378" t="s">
        <v>36</v>
      </c>
      <c r="L1378" t="s">
        <v>43</v>
      </c>
      <c r="M1378">
        <v>0</v>
      </c>
      <c r="N1378">
        <v>0</v>
      </c>
      <c r="O1378" s="5">
        <v>2622</v>
      </c>
      <c r="P1378" s="5">
        <v>2621</v>
      </c>
      <c r="Q1378">
        <f>280-90</f>
        <v>190</v>
      </c>
      <c r="R1378" t="s">
        <v>47</v>
      </c>
      <c r="W1378">
        <v>26.8</v>
      </c>
      <c r="X1378">
        <v>50</v>
      </c>
      <c r="Z1378" t="s">
        <v>39</v>
      </c>
      <c r="AB1378" t="s">
        <v>59</v>
      </c>
      <c r="AC1378" t="s">
        <v>88</v>
      </c>
    </row>
    <row r="1379" spans="1:29" x14ac:dyDescent="0.25">
      <c r="A1379" s="4">
        <v>42563</v>
      </c>
      <c r="B1379" t="s">
        <v>30</v>
      </c>
      <c r="C1379">
        <v>703</v>
      </c>
      <c r="D1379">
        <v>1</v>
      </c>
      <c r="E1379">
        <v>1</v>
      </c>
      <c r="F1379" t="s">
        <v>41</v>
      </c>
      <c r="G1379" t="s">
        <v>32</v>
      </c>
      <c r="H1379" t="s">
        <v>33</v>
      </c>
      <c r="I1379" t="s">
        <v>57</v>
      </c>
      <c r="O1379" s="5"/>
      <c r="P1379" s="5"/>
    </row>
    <row r="1380" spans="1:29" x14ac:dyDescent="0.25">
      <c r="A1380" s="4">
        <v>42563</v>
      </c>
      <c r="B1380" t="s">
        <v>30</v>
      </c>
      <c r="C1380">
        <v>703</v>
      </c>
      <c r="D1380">
        <v>1</v>
      </c>
      <c r="E1380">
        <v>2</v>
      </c>
      <c r="F1380" t="s">
        <v>41</v>
      </c>
      <c r="G1380" t="s">
        <v>32</v>
      </c>
      <c r="H1380" t="s">
        <v>33</v>
      </c>
      <c r="I1380" t="s">
        <v>57</v>
      </c>
      <c r="O1380" s="5"/>
      <c r="P1380" s="5"/>
    </row>
    <row r="1381" spans="1:29" x14ac:dyDescent="0.25">
      <c r="A1381" s="4">
        <v>42563</v>
      </c>
      <c r="B1381" t="s">
        <v>30</v>
      </c>
      <c r="C1381">
        <v>703</v>
      </c>
      <c r="D1381">
        <v>3</v>
      </c>
      <c r="E1381">
        <v>1</v>
      </c>
      <c r="F1381" t="s">
        <v>41</v>
      </c>
      <c r="G1381" t="s">
        <v>32</v>
      </c>
      <c r="H1381" t="s">
        <v>33</v>
      </c>
      <c r="I1381" t="s">
        <v>34</v>
      </c>
      <c r="J1381" t="s">
        <v>35</v>
      </c>
      <c r="K1381" t="s">
        <v>89</v>
      </c>
      <c r="L1381" t="s">
        <v>37</v>
      </c>
      <c r="M1381">
        <v>0</v>
      </c>
      <c r="N1381">
        <v>0</v>
      </c>
      <c r="O1381" s="5">
        <v>50480</v>
      </c>
      <c r="P1381" s="5">
        <v>50479</v>
      </c>
      <c r="Q1381">
        <f>27-13</f>
        <v>14</v>
      </c>
      <c r="R1381" t="s">
        <v>38</v>
      </c>
      <c r="S1381" t="s">
        <v>39</v>
      </c>
      <c r="T1381">
        <v>19</v>
      </c>
      <c r="U1381">
        <v>72</v>
      </c>
      <c r="V1381">
        <v>15</v>
      </c>
      <c r="W1381">
        <v>12.5</v>
      </c>
      <c r="X1381">
        <v>25.6</v>
      </c>
      <c r="Z1381" t="s">
        <v>39</v>
      </c>
      <c r="AB1381" t="s">
        <v>59</v>
      </c>
      <c r="AC1381" t="s">
        <v>88</v>
      </c>
    </row>
    <row r="1382" spans="1:29" x14ac:dyDescent="0.25">
      <c r="A1382" s="4">
        <v>42563</v>
      </c>
      <c r="B1382" t="s">
        <v>30</v>
      </c>
      <c r="C1382">
        <v>703</v>
      </c>
      <c r="D1382">
        <v>3</v>
      </c>
      <c r="E1382">
        <v>2</v>
      </c>
      <c r="F1382" t="s">
        <v>41</v>
      </c>
      <c r="G1382" t="s">
        <v>32</v>
      </c>
      <c r="H1382" t="s">
        <v>33</v>
      </c>
      <c r="I1382" t="s">
        <v>34</v>
      </c>
      <c r="J1382" t="s">
        <v>35</v>
      </c>
      <c r="K1382" t="s">
        <v>89</v>
      </c>
      <c r="L1382" t="s">
        <v>37</v>
      </c>
      <c r="M1382">
        <v>0</v>
      </c>
      <c r="N1382">
        <v>0</v>
      </c>
      <c r="O1382" s="5">
        <v>50690</v>
      </c>
      <c r="P1382" s="5">
        <v>50689</v>
      </c>
      <c r="Q1382">
        <f>22-9</f>
        <v>13</v>
      </c>
      <c r="R1382" t="s">
        <v>38</v>
      </c>
      <c r="S1382" t="s">
        <v>39</v>
      </c>
      <c r="T1382">
        <v>19</v>
      </c>
      <c r="U1382">
        <v>74</v>
      </c>
      <c r="V1382">
        <v>13</v>
      </c>
      <c r="W1382">
        <v>12.8</v>
      </c>
      <c r="X1382">
        <v>25.3</v>
      </c>
      <c r="Z1382" t="s">
        <v>97</v>
      </c>
      <c r="AA1382" t="s">
        <v>199</v>
      </c>
      <c r="AB1382" t="s">
        <v>59</v>
      </c>
      <c r="AC1382" t="s">
        <v>88</v>
      </c>
    </row>
    <row r="1383" spans="1:29" x14ac:dyDescent="0.25">
      <c r="A1383" s="4">
        <v>42563</v>
      </c>
      <c r="B1383" t="s">
        <v>30</v>
      </c>
      <c r="C1383">
        <v>703</v>
      </c>
      <c r="D1383">
        <v>4</v>
      </c>
      <c r="E1383">
        <v>1</v>
      </c>
      <c r="F1383" t="s">
        <v>41</v>
      </c>
      <c r="G1383" t="s">
        <v>32</v>
      </c>
      <c r="H1383" t="s">
        <v>33</v>
      </c>
      <c r="I1383" t="s">
        <v>57</v>
      </c>
      <c r="O1383" s="5"/>
      <c r="P1383" s="5"/>
    </row>
    <row r="1384" spans="1:29" x14ac:dyDescent="0.25">
      <c r="A1384" s="4">
        <v>42563</v>
      </c>
      <c r="B1384" t="s">
        <v>30</v>
      </c>
      <c r="C1384">
        <v>703</v>
      </c>
      <c r="D1384">
        <v>6</v>
      </c>
      <c r="E1384">
        <v>1</v>
      </c>
      <c r="F1384" t="s">
        <v>41</v>
      </c>
      <c r="G1384" t="s">
        <v>32</v>
      </c>
      <c r="H1384" t="s">
        <v>33</v>
      </c>
      <c r="I1384" t="s">
        <v>53</v>
      </c>
      <c r="J1384" t="s">
        <v>62</v>
      </c>
      <c r="O1384" s="5"/>
      <c r="P1384" s="5"/>
    </row>
    <row r="1385" spans="1:29" x14ac:dyDescent="0.25">
      <c r="A1385" s="4">
        <v>42563</v>
      </c>
      <c r="B1385" t="s">
        <v>30</v>
      </c>
      <c r="C1385">
        <v>703</v>
      </c>
      <c r="D1385">
        <v>7</v>
      </c>
      <c r="E1385">
        <v>1</v>
      </c>
      <c r="F1385" t="s">
        <v>41</v>
      </c>
      <c r="G1385" t="s">
        <v>32</v>
      </c>
      <c r="H1385" t="s">
        <v>33</v>
      </c>
      <c r="I1385" t="s">
        <v>58</v>
      </c>
      <c r="J1385" t="s">
        <v>122</v>
      </c>
      <c r="O1385" s="5"/>
      <c r="P1385" s="5"/>
    </row>
    <row r="1386" spans="1:29" x14ac:dyDescent="0.25">
      <c r="A1386" s="4">
        <v>42563</v>
      </c>
      <c r="B1386" t="s">
        <v>30</v>
      </c>
      <c r="C1386">
        <v>703</v>
      </c>
      <c r="D1386">
        <v>8</v>
      </c>
      <c r="E1386">
        <v>1</v>
      </c>
      <c r="F1386" t="s">
        <v>41</v>
      </c>
      <c r="G1386" t="s">
        <v>32</v>
      </c>
      <c r="H1386" t="s">
        <v>33</v>
      </c>
      <c r="I1386" t="s">
        <v>57</v>
      </c>
      <c r="O1386" s="5"/>
      <c r="P1386" s="5"/>
    </row>
    <row r="1387" spans="1:29" x14ac:dyDescent="0.25">
      <c r="A1387" s="4">
        <v>42563</v>
      </c>
      <c r="B1387" t="s">
        <v>30</v>
      </c>
      <c r="C1387">
        <v>703</v>
      </c>
      <c r="D1387">
        <v>8</v>
      </c>
      <c r="E1387">
        <v>2</v>
      </c>
      <c r="F1387" t="s">
        <v>41</v>
      </c>
      <c r="G1387" t="s">
        <v>32</v>
      </c>
      <c r="H1387" t="s">
        <v>33</v>
      </c>
      <c r="I1387" t="s">
        <v>57</v>
      </c>
      <c r="O1387" s="5"/>
      <c r="P1387" s="5"/>
    </row>
    <row r="1388" spans="1:29" x14ac:dyDescent="0.25">
      <c r="A1388" s="4">
        <v>42563</v>
      </c>
      <c r="B1388" t="s">
        <v>30</v>
      </c>
      <c r="C1388">
        <v>703</v>
      </c>
      <c r="D1388">
        <v>9</v>
      </c>
      <c r="E1388">
        <v>1</v>
      </c>
      <c r="F1388" t="s">
        <v>41</v>
      </c>
      <c r="G1388" t="s">
        <v>32</v>
      </c>
      <c r="H1388" t="s">
        <v>33</v>
      </c>
      <c r="I1388" t="s">
        <v>64</v>
      </c>
      <c r="J1388" t="s">
        <v>35</v>
      </c>
      <c r="K1388" t="s">
        <v>36</v>
      </c>
      <c r="L1388" t="s">
        <v>37</v>
      </c>
      <c r="M1388">
        <v>0</v>
      </c>
      <c r="N1388">
        <v>0</v>
      </c>
      <c r="O1388" s="5">
        <v>50390</v>
      </c>
      <c r="P1388" s="5"/>
      <c r="R1388" t="s">
        <v>143</v>
      </c>
      <c r="S1388" t="s">
        <v>97</v>
      </c>
      <c r="T1388">
        <v>38</v>
      </c>
      <c r="W1388">
        <v>26.8</v>
      </c>
      <c r="X1388">
        <v>46.8</v>
      </c>
      <c r="Z1388" t="s">
        <v>39</v>
      </c>
      <c r="AB1388" t="s">
        <v>59</v>
      </c>
      <c r="AC1388" t="s">
        <v>88</v>
      </c>
    </row>
    <row r="1389" spans="1:29" x14ac:dyDescent="0.25">
      <c r="A1389" s="4">
        <v>42563</v>
      </c>
      <c r="B1389" t="s">
        <v>30</v>
      </c>
      <c r="C1389">
        <v>703</v>
      </c>
      <c r="D1389">
        <v>9</v>
      </c>
      <c r="E1389">
        <v>2</v>
      </c>
      <c r="F1389" t="s">
        <v>41</v>
      </c>
      <c r="G1389" t="s">
        <v>32</v>
      </c>
      <c r="H1389" t="s">
        <v>33</v>
      </c>
      <c r="I1389" t="s">
        <v>34</v>
      </c>
      <c r="J1389" t="s">
        <v>35</v>
      </c>
      <c r="K1389" t="s">
        <v>89</v>
      </c>
      <c r="L1389" t="s">
        <v>37</v>
      </c>
      <c r="M1389">
        <v>0</v>
      </c>
      <c r="N1389">
        <v>0</v>
      </c>
      <c r="O1389" s="5">
        <v>50700</v>
      </c>
      <c r="P1389" s="5">
        <v>50769</v>
      </c>
      <c r="Q1389">
        <f>25.5-13</f>
        <v>12.5</v>
      </c>
      <c r="R1389" t="s">
        <v>38</v>
      </c>
      <c r="S1389" t="s">
        <v>39</v>
      </c>
      <c r="T1389">
        <v>19</v>
      </c>
      <c r="U1389">
        <v>69</v>
      </c>
      <c r="V1389">
        <v>14</v>
      </c>
      <c r="W1389">
        <v>12.6</v>
      </c>
      <c r="X1389">
        <v>26.6</v>
      </c>
      <c r="Z1389" t="s">
        <v>39</v>
      </c>
      <c r="AB1389" t="s">
        <v>59</v>
      </c>
      <c r="AC1389" t="s">
        <v>88</v>
      </c>
    </row>
    <row r="1390" spans="1:29" x14ac:dyDescent="0.25">
      <c r="A1390" s="4">
        <v>42563</v>
      </c>
      <c r="B1390" t="s">
        <v>30</v>
      </c>
      <c r="C1390">
        <v>703</v>
      </c>
      <c r="D1390">
        <v>10</v>
      </c>
      <c r="E1390">
        <v>1</v>
      </c>
      <c r="F1390" t="s">
        <v>41</v>
      </c>
      <c r="G1390" t="s">
        <v>32</v>
      </c>
      <c r="H1390" t="s">
        <v>33</v>
      </c>
      <c r="I1390" t="s">
        <v>57</v>
      </c>
      <c r="O1390" s="5"/>
      <c r="P1390" s="5"/>
    </row>
    <row r="1391" spans="1:29" x14ac:dyDescent="0.25">
      <c r="A1391" s="4">
        <v>42563</v>
      </c>
      <c r="B1391" t="s">
        <v>30</v>
      </c>
      <c r="C1391">
        <v>703</v>
      </c>
      <c r="D1391">
        <v>10</v>
      </c>
      <c r="E1391">
        <v>2</v>
      </c>
      <c r="F1391" t="s">
        <v>41</v>
      </c>
      <c r="G1391" t="s">
        <v>32</v>
      </c>
      <c r="H1391" t="s">
        <v>33</v>
      </c>
      <c r="I1391" t="s">
        <v>34</v>
      </c>
      <c r="J1391" t="s">
        <v>42</v>
      </c>
      <c r="K1391" t="s">
        <v>89</v>
      </c>
      <c r="L1391" t="s">
        <v>37</v>
      </c>
      <c r="M1391">
        <v>0</v>
      </c>
      <c r="N1391">
        <v>1</v>
      </c>
      <c r="O1391" s="5">
        <v>50517</v>
      </c>
      <c r="P1391" s="5">
        <v>50516</v>
      </c>
      <c r="Q1391">
        <f>24-9</f>
        <v>15</v>
      </c>
      <c r="R1391" t="s">
        <v>38</v>
      </c>
      <c r="S1391" t="s">
        <v>39</v>
      </c>
      <c r="T1391">
        <v>19</v>
      </c>
      <c r="U1391">
        <v>69</v>
      </c>
      <c r="V1391">
        <v>13</v>
      </c>
      <c r="W1391">
        <v>13</v>
      </c>
      <c r="X1391">
        <v>27.1</v>
      </c>
      <c r="Z1391" t="s">
        <v>39</v>
      </c>
      <c r="AB1391" t="s">
        <v>59</v>
      </c>
      <c r="AC1391" t="s">
        <v>88</v>
      </c>
    </row>
    <row r="1392" spans="1:29" x14ac:dyDescent="0.25">
      <c r="A1392" s="4">
        <v>42563</v>
      </c>
      <c r="B1392" t="s">
        <v>30</v>
      </c>
      <c r="C1392">
        <v>701</v>
      </c>
      <c r="D1392">
        <v>1</v>
      </c>
      <c r="E1392">
        <v>1</v>
      </c>
      <c r="F1392" t="s">
        <v>41</v>
      </c>
      <c r="G1392" t="s">
        <v>32</v>
      </c>
      <c r="H1392" t="s">
        <v>33</v>
      </c>
      <c r="I1392" t="s">
        <v>57</v>
      </c>
      <c r="O1392" s="5"/>
      <c r="P1392" s="5"/>
    </row>
    <row r="1393" spans="1:29" x14ac:dyDescent="0.25">
      <c r="A1393" s="4">
        <v>42563</v>
      </c>
      <c r="B1393" t="s">
        <v>30</v>
      </c>
      <c r="C1393">
        <v>701</v>
      </c>
      <c r="D1393">
        <v>1</v>
      </c>
      <c r="E1393">
        <v>2</v>
      </c>
      <c r="F1393" t="s">
        <v>41</v>
      </c>
      <c r="G1393" t="s">
        <v>32</v>
      </c>
      <c r="H1393" t="s">
        <v>33</v>
      </c>
      <c r="I1393" t="s">
        <v>34</v>
      </c>
      <c r="J1393" t="s">
        <v>35</v>
      </c>
      <c r="K1393" t="s">
        <v>36</v>
      </c>
      <c r="L1393" t="s">
        <v>37</v>
      </c>
      <c r="M1393">
        <v>0</v>
      </c>
      <c r="N1393">
        <v>0</v>
      </c>
      <c r="O1393" s="5">
        <v>50459</v>
      </c>
      <c r="P1393" s="5">
        <v>50458</v>
      </c>
      <c r="Q1393">
        <f>25-9.5</f>
        <v>15.5</v>
      </c>
      <c r="R1393" t="s">
        <v>120</v>
      </c>
      <c r="S1393" t="s">
        <v>39</v>
      </c>
      <c r="T1393">
        <v>18</v>
      </c>
      <c r="U1393">
        <v>75</v>
      </c>
      <c r="V1393">
        <v>16</v>
      </c>
      <c r="W1393">
        <v>12.8</v>
      </c>
      <c r="X1393">
        <v>26.9</v>
      </c>
      <c r="Z1393" t="s">
        <v>39</v>
      </c>
      <c r="AB1393" t="s">
        <v>59</v>
      </c>
      <c r="AC1393" t="s">
        <v>88</v>
      </c>
    </row>
    <row r="1394" spans="1:29" x14ac:dyDescent="0.25">
      <c r="A1394" s="4">
        <v>42563</v>
      </c>
      <c r="B1394" t="s">
        <v>30</v>
      </c>
      <c r="C1394">
        <v>701</v>
      </c>
      <c r="D1394">
        <v>2</v>
      </c>
      <c r="E1394">
        <v>1</v>
      </c>
      <c r="F1394" t="s">
        <v>41</v>
      </c>
      <c r="G1394" t="s">
        <v>32</v>
      </c>
      <c r="H1394" t="s">
        <v>33</v>
      </c>
      <c r="I1394" t="s">
        <v>64</v>
      </c>
      <c r="J1394" t="s">
        <v>35</v>
      </c>
      <c r="K1394" t="s">
        <v>36</v>
      </c>
      <c r="L1394" t="s">
        <v>43</v>
      </c>
      <c r="M1394">
        <v>0</v>
      </c>
      <c r="N1394">
        <v>0</v>
      </c>
      <c r="O1394" s="5">
        <v>50471</v>
      </c>
      <c r="P1394" s="5"/>
      <c r="R1394" t="s">
        <v>47</v>
      </c>
      <c r="T1394">
        <v>40</v>
      </c>
      <c r="W1394">
        <v>28.2</v>
      </c>
      <c r="X1394">
        <v>47.5</v>
      </c>
      <c r="Z1394" t="s">
        <v>39</v>
      </c>
      <c r="AB1394" t="s">
        <v>59</v>
      </c>
      <c r="AC1394" t="s">
        <v>88</v>
      </c>
    </row>
    <row r="1395" spans="1:29" x14ac:dyDescent="0.25">
      <c r="A1395" s="4">
        <v>42563</v>
      </c>
      <c r="B1395" t="s">
        <v>30</v>
      </c>
      <c r="C1395">
        <v>701</v>
      </c>
      <c r="D1395">
        <v>3</v>
      </c>
      <c r="E1395">
        <v>1</v>
      </c>
      <c r="F1395" t="s">
        <v>41</v>
      </c>
      <c r="G1395" t="s">
        <v>32</v>
      </c>
      <c r="H1395" t="s">
        <v>33</v>
      </c>
      <c r="I1395" t="s">
        <v>53</v>
      </c>
      <c r="J1395" t="s">
        <v>62</v>
      </c>
      <c r="O1395" s="5"/>
      <c r="P1395" s="5"/>
    </row>
    <row r="1396" spans="1:29" x14ac:dyDescent="0.25">
      <c r="A1396" s="4">
        <v>42563</v>
      </c>
      <c r="B1396" t="s">
        <v>30</v>
      </c>
      <c r="C1396">
        <v>701</v>
      </c>
      <c r="D1396">
        <v>4</v>
      </c>
      <c r="E1396">
        <v>1</v>
      </c>
      <c r="F1396" t="s">
        <v>41</v>
      </c>
      <c r="G1396" t="s">
        <v>32</v>
      </c>
      <c r="H1396" t="s">
        <v>33</v>
      </c>
      <c r="I1396" t="s">
        <v>73</v>
      </c>
      <c r="J1396" t="s">
        <v>35</v>
      </c>
      <c r="K1396" t="s">
        <v>36</v>
      </c>
      <c r="L1396" t="s">
        <v>37</v>
      </c>
      <c r="M1396">
        <v>0</v>
      </c>
      <c r="N1396">
        <v>0</v>
      </c>
      <c r="O1396" s="5"/>
      <c r="P1396" s="5" t="s">
        <v>94</v>
      </c>
      <c r="R1396" t="s">
        <v>164</v>
      </c>
      <c r="S1396" t="s">
        <v>97</v>
      </c>
      <c r="T1396">
        <v>31</v>
      </c>
      <c r="Z1396" t="s">
        <v>39</v>
      </c>
      <c r="AB1396" t="s">
        <v>59</v>
      </c>
      <c r="AC1396" t="s">
        <v>88</v>
      </c>
    </row>
    <row r="1397" spans="1:29" x14ac:dyDescent="0.25">
      <c r="A1397" s="4">
        <v>42563</v>
      </c>
      <c r="B1397" t="s">
        <v>30</v>
      </c>
      <c r="C1397">
        <v>701</v>
      </c>
      <c r="D1397">
        <v>6</v>
      </c>
      <c r="E1397">
        <v>1</v>
      </c>
      <c r="F1397" t="s">
        <v>41</v>
      </c>
      <c r="G1397" t="s">
        <v>32</v>
      </c>
      <c r="H1397" t="s">
        <v>33</v>
      </c>
      <c r="I1397" t="s">
        <v>34</v>
      </c>
      <c r="J1397" t="s">
        <v>35</v>
      </c>
      <c r="K1397" t="s">
        <v>114</v>
      </c>
      <c r="L1397" t="s">
        <v>43</v>
      </c>
      <c r="M1397">
        <v>0</v>
      </c>
      <c r="N1397">
        <v>0</v>
      </c>
      <c r="O1397" s="5">
        <v>50370</v>
      </c>
      <c r="P1397" s="5">
        <v>60369</v>
      </c>
      <c r="Q1397">
        <f>29-12</f>
        <v>17</v>
      </c>
      <c r="R1397" t="s">
        <v>47</v>
      </c>
      <c r="T1397">
        <v>18</v>
      </c>
      <c r="U1397">
        <v>71</v>
      </c>
      <c r="V1397">
        <v>15</v>
      </c>
      <c r="W1397">
        <v>12.9</v>
      </c>
      <c r="X1397">
        <v>27.3</v>
      </c>
      <c r="Z1397" t="s">
        <v>39</v>
      </c>
      <c r="AB1397" t="s">
        <v>59</v>
      </c>
      <c r="AC1397" t="s">
        <v>88</v>
      </c>
    </row>
    <row r="1398" spans="1:29" x14ac:dyDescent="0.25">
      <c r="A1398" s="4">
        <v>42563</v>
      </c>
      <c r="B1398" t="s">
        <v>30</v>
      </c>
      <c r="C1398">
        <v>701</v>
      </c>
      <c r="D1398">
        <v>6</v>
      </c>
      <c r="E1398">
        <v>2</v>
      </c>
      <c r="F1398" t="s">
        <v>41</v>
      </c>
      <c r="G1398" t="s">
        <v>32</v>
      </c>
      <c r="H1398" t="s">
        <v>33</v>
      </c>
      <c r="I1398" t="s">
        <v>57</v>
      </c>
      <c r="O1398" s="5"/>
      <c r="P1398" s="5"/>
    </row>
    <row r="1399" spans="1:29" x14ac:dyDescent="0.25">
      <c r="A1399" s="4">
        <v>42563</v>
      </c>
      <c r="B1399" t="s">
        <v>30</v>
      </c>
      <c r="C1399">
        <v>701</v>
      </c>
      <c r="D1399">
        <v>8</v>
      </c>
      <c r="E1399">
        <v>1</v>
      </c>
      <c r="F1399" t="s">
        <v>41</v>
      </c>
      <c r="G1399" t="s">
        <v>32</v>
      </c>
      <c r="H1399" t="s">
        <v>33</v>
      </c>
      <c r="I1399" t="s">
        <v>58</v>
      </c>
      <c r="J1399" t="s">
        <v>42</v>
      </c>
      <c r="K1399" t="s">
        <v>36</v>
      </c>
      <c r="L1399" t="s">
        <v>43</v>
      </c>
      <c r="M1399">
        <v>0</v>
      </c>
      <c r="N1399">
        <v>1</v>
      </c>
      <c r="O1399" s="5">
        <v>50515</v>
      </c>
      <c r="P1399" s="5"/>
      <c r="Q1399">
        <f>28-9</f>
        <v>19</v>
      </c>
      <c r="R1399" t="s">
        <v>47</v>
      </c>
      <c r="T1399">
        <v>18</v>
      </c>
      <c r="W1399">
        <v>12.8</v>
      </c>
      <c r="X1399">
        <v>28.8</v>
      </c>
      <c r="Z1399" t="s">
        <v>97</v>
      </c>
      <c r="AA1399" t="s">
        <v>200</v>
      </c>
      <c r="AB1399" t="s">
        <v>59</v>
      </c>
      <c r="AC1399" t="s">
        <v>88</v>
      </c>
    </row>
    <row r="1400" spans="1:29" x14ac:dyDescent="0.25">
      <c r="A1400" s="4">
        <v>42563</v>
      </c>
      <c r="B1400" t="s">
        <v>30</v>
      </c>
      <c r="C1400">
        <v>701</v>
      </c>
      <c r="D1400">
        <v>9</v>
      </c>
      <c r="E1400">
        <v>1</v>
      </c>
      <c r="F1400" t="s">
        <v>41</v>
      </c>
      <c r="G1400" t="s">
        <v>32</v>
      </c>
      <c r="H1400" t="s">
        <v>33</v>
      </c>
      <c r="I1400" t="s">
        <v>34</v>
      </c>
      <c r="J1400" t="s">
        <v>35</v>
      </c>
      <c r="K1400" t="s">
        <v>89</v>
      </c>
      <c r="L1400" t="s">
        <v>37</v>
      </c>
      <c r="M1400">
        <v>0</v>
      </c>
      <c r="N1400">
        <v>0</v>
      </c>
      <c r="O1400" s="5">
        <v>50610</v>
      </c>
      <c r="P1400" s="5">
        <v>50609</v>
      </c>
      <c r="Q1400">
        <f>22-9</f>
        <v>13</v>
      </c>
      <c r="R1400" t="s">
        <v>38</v>
      </c>
      <c r="S1400" t="s">
        <v>39</v>
      </c>
      <c r="T1400">
        <v>19</v>
      </c>
      <c r="U1400">
        <v>64</v>
      </c>
      <c r="V1400">
        <v>13</v>
      </c>
      <c r="W1400">
        <v>12.7</v>
      </c>
      <c r="X1400">
        <v>26.6</v>
      </c>
      <c r="Z1400" t="s">
        <v>39</v>
      </c>
      <c r="AB1400" t="s">
        <v>59</v>
      </c>
      <c r="AC1400" t="s">
        <v>88</v>
      </c>
    </row>
    <row r="1401" spans="1:29" x14ac:dyDescent="0.25">
      <c r="A1401" s="4">
        <v>42563</v>
      </c>
      <c r="B1401" t="s">
        <v>30</v>
      </c>
      <c r="C1401">
        <v>801</v>
      </c>
      <c r="D1401">
        <v>3</v>
      </c>
      <c r="E1401">
        <v>1</v>
      </c>
      <c r="F1401" t="s">
        <v>41</v>
      </c>
      <c r="G1401" t="s">
        <v>32</v>
      </c>
      <c r="H1401" t="s">
        <v>33</v>
      </c>
      <c r="I1401" t="s">
        <v>53</v>
      </c>
      <c r="J1401" t="s">
        <v>62</v>
      </c>
      <c r="O1401" s="5"/>
      <c r="P1401" s="5"/>
    </row>
    <row r="1402" spans="1:29" x14ac:dyDescent="0.25">
      <c r="A1402" s="4">
        <v>42563</v>
      </c>
      <c r="B1402" t="s">
        <v>30</v>
      </c>
      <c r="C1402">
        <v>801</v>
      </c>
      <c r="D1402">
        <v>3</v>
      </c>
      <c r="E1402">
        <v>2</v>
      </c>
      <c r="F1402" t="s">
        <v>41</v>
      </c>
      <c r="G1402" t="s">
        <v>32</v>
      </c>
      <c r="H1402" t="s">
        <v>33</v>
      </c>
      <c r="I1402" t="s">
        <v>58</v>
      </c>
      <c r="J1402" t="s">
        <v>42</v>
      </c>
      <c r="K1402" t="s">
        <v>114</v>
      </c>
      <c r="L1402" t="s">
        <v>43</v>
      </c>
      <c r="M1402">
        <v>0</v>
      </c>
      <c r="N1402">
        <v>1</v>
      </c>
      <c r="O1402" s="5">
        <v>50514</v>
      </c>
      <c r="P1402" s="5"/>
      <c r="Q1402">
        <f>24-9</f>
        <v>15</v>
      </c>
      <c r="R1402" t="s">
        <v>47</v>
      </c>
      <c r="Z1402" t="s">
        <v>39</v>
      </c>
      <c r="AB1402" t="s">
        <v>59</v>
      </c>
      <c r="AC1402" t="s">
        <v>88</v>
      </c>
    </row>
    <row r="1403" spans="1:29" x14ac:dyDescent="0.25">
      <c r="A1403" s="4">
        <v>42563</v>
      </c>
      <c r="B1403" t="s">
        <v>30</v>
      </c>
      <c r="C1403">
        <v>801</v>
      </c>
      <c r="D1403">
        <v>4</v>
      </c>
      <c r="E1403">
        <v>1</v>
      </c>
      <c r="F1403" t="s">
        <v>41</v>
      </c>
      <c r="G1403" t="s">
        <v>32</v>
      </c>
      <c r="H1403" t="s">
        <v>33</v>
      </c>
      <c r="I1403" t="s">
        <v>34</v>
      </c>
      <c r="J1403" t="s">
        <v>35</v>
      </c>
      <c r="K1403" t="s">
        <v>114</v>
      </c>
      <c r="L1403" t="s">
        <v>37</v>
      </c>
      <c r="M1403">
        <v>0</v>
      </c>
      <c r="N1403">
        <v>0</v>
      </c>
      <c r="O1403" s="5">
        <v>50614</v>
      </c>
      <c r="P1403" s="5">
        <v>50613</v>
      </c>
      <c r="Q1403">
        <f>34-11</f>
        <v>23</v>
      </c>
      <c r="R1403" t="s">
        <v>120</v>
      </c>
      <c r="S1403" t="s">
        <v>39</v>
      </c>
      <c r="T1403">
        <v>20</v>
      </c>
      <c r="U1403">
        <v>79</v>
      </c>
      <c r="V1403">
        <v>15</v>
      </c>
      <c r="W1403">
        <v>12</v>
      </c>
      <c r="X1403">
        <v>26.7</v>
      </c>
      <c r="Z1403" t="s">
        <v>39</v>
      </c>
      <c r="AB1403" t="s">
        <v>59</v>
      </c>
      <c r="AC1403" t="s">
        <v>88</v>
      </c>
    </row>
    <row r="1404" spans="1:29" x14ac:dyDescent="0.25">
      <c r="A1404" s="4">
        <v>42563</v>
      </c>
      <c r="B1404" t="s">
        <v>30</v>
      </c>
      <c r="C1404">
        <v>801</v>
      </c>
      <c r="D1404">
        <v>5</v>
      </c>
      <c r="E1404">
        <v>1</v>
      </c>
      <c r="F1404" t="s">
        <v>41</v>
      </c>
      <c r="G1404" t="s">
        <v>32</v>
      </c>
      <c r="H1404" t="s">
        <v>33</v>
      </c>
      <c r="I1404" t="s">
        <v>57</v>
      </c>
      <c r="O1404" s="5"/>
      <c r="P1404" s="5"/>
    </row>
    <row r="1405" spans="1:29" x14ac:dyDescent="0.25">
      <c r="A1405" s="4">
        <v>42563</v>
      </c>
      <c r="B1405" t="s">
        <v>30</v>
      </c>
      <c r="C1405">
        <v>801</v>
      </c>
      <c r="D1405">
        <v>5</v>
      </c>
      <c r="E1405">
        <v>2</v>
      </c>
      <c r="F1405" t="s">
        <v>41</v>
      </c>
      <c r="G1405" t="s">
        <v>32</v>
      </c>
      <c r="H1405" t="s">
        <v>33</v>
      </c>
      <c r="I1405" t="s">
        <v>58</v>
      </c>
      <c r="J1405" t="s">
        <v>42</v>
      </c>
      <c r="K1405" t="s">
        <v>36</v>
      </c>
      <c r="L1405" t="s">
        <v>37</v>
      </c>
      <c r="M1405">
        <v>0</v>
      </c>
      <c r="N1405">
        <v>1</v>
      </c>
      <c r="O1405" s="5">
        <v>50513</v>
      </c>
      <c r="P1405" s="5"/>
      <c r="Q1405">
        <f>34.5-9</f>
        <v>25.5</v>
      </c>
      <c r="R1405" t="s">
        <v>143</v>
      </c>
      <c r="S1405" t="s">
        <v>97</v>
      </c>
      <c r="T1405">
        <v>17</v>
      </c>
      <c r="W1405">
        <v>13.1</v>
      </c>
      <c r="X1405">
        <v>27.1</v>
      </c>
      <c r="Z1405" t="s">
        <v>39</v>
      </c>
      <c r="AB1405" t="s">
        <v>59</v>
      </c>
      <c r="AC1405" t="s">
        <v>88</v>
      </c>
    </row>
    <row r="1406" spans="1:29" x14ac:dyDescent="0.25">
      <c r="A1406" s="4">
        <v>42563</v>
      </c>
      <c r="B1406" t="s">
        <v>30</v>
      </c>
      <c r="C1406">
        <v>801</v>
      </c>
      <c r="D1406">
        <v>6</v>
      </c>
      <c r="E1406">
        <v>1</v>
      </c>
      <c r="F1406" t="s">
        <v>41</v>
      </c>
      <c r="G1406" t="s">
        <v>32</v>
      </c>
      <c r="H1406" t="s">
        <v>33</v>
      </c>
      <c r="I1406" t="s">
        <v>57</v>
      </c>
      <c r="O1406" s="5"/>
      <c r="P1406" s="5"/>
    </row>
    <row r="1407" spans="1:29" x14ac:dyDescent="0.25">
      <c r="A1407" s="4">
        <v>42563</v>
      </c>
      <c r="B1407" t="s">
        <v>30</v>
      </c>
      <c r="C1407">
        <v>801</v>
      </c>
      <c r="D1407">
        <v>7</v>
      </c>
      <c r="E1407">
        <v>1</v>
      </c>
      <c r="F1407" t="s">
        <v>41</v>
      </c>
      <c r="G1407" t="s">
        <v>32</v>
      </c>
      <c r="H1407" t="s">
        <v>33</v>
      </c>
      <c r="I1407" t="s">
        <v>57</v>
      </c>
      <c r="O1407" s="5"/>
      <c r="P1407" s="5"/>
    </row>
    <row r="1408" spans="1:29" x14ac:dyDescent="0.25">
      <c r="A1408" s="4">
        <v>42563</v>
      </c>
      <c r="B1408" t="s">
        <v>30</v>
      </c>
      <c r="C1408">
        <v>801</v>
      </c>
      <c r="D1408">
        <v>8</v>
      </c>
      <c r="E1408">
        <v>1</v>
      </c>
      <c r="F1408" t="s">
        <v>41</v>
      </c>
      <c r="G1408" t="s">
        <v>32</v>
      </c>
      <c r="H1408" t="s">
        <v>33</v>
      </c>
      <c r="I1408" t="s">
        <v>73</v>
      </c>
      <c r="J1408" t="s">
        <v>42</v>
      </c>
      <c r="K1408" t="s">
        <v>89</v>
      </c>
      <c r="L1408" t="s">
        <v>37</v>
      </c>
      <c r="M1408">
        <v>0</v>
      </c>
      <c r="N1408">
        <v>1</v>
      </c>
      <c r="O1408" s="5">
        <v>50512</v>
      </c>
      <c r="P1408" s="5"/>
      <c r="R1408" t="s">
        <v>38</v>
      </c>
      <c r="S1408" t="s">
        <v>39</v>
      </c>
      <c r="T1408">
        <v>29</v>
      </c>
      <c r="Z1408" t="s">
        <v>39</v>
      </c>
      <c r="AB1408" t="s">
        <v>59</v>
      </c>
      <c r="AC1408" t="s">
        <v>88</v>
      </c>
    </row>
    <row r="1409" spans="1:29" x14ac:dyDescent="0.25">
      <c r="A1409" s="4">
        <v>42563</v>
      </c>
      <c r="B1409" t="s">
        <v>30</v>
      </c>
      <c r="C1409">
        <v>801</v>
      </c>
      <c r="D1409">
        <v>8</v>
      </c>
      <c r="E1409">
        <v>2</v>
      </c>
      <c r="F1409" t="s">
        <v>41</v>
      </c>
      <c r="G1409" t="s">
        <v>32</v>
      </c>
      <c r="H1409" t="s">
        <v>33</v>
      </c>
      <c r="I1409" t="s">
        <v>73</v>
      </c>
      <c r="J1409" t="s">
        <v>42</v>
      </c>
      <c r="K1409" t="s">
        <v>36</v>
      </c>
      <c r="M1409">
        <v>0</v>
      </c>
      <c r="N1409">
        <v>1</v>
      </c>
      <c r="O1409" s="5">
        <v>50511</v>
      </c>
      <c r="P1409" s="5"/>
      <c r="Z1409" t="s">
        <v>39</v>
      </c>
      <c r="AB1409" t="s">
        <v>59</v>
      </c>
      <c r="AC1409" t="s">
        <v>88</v>
      </c>
    </row>
    <row r="1410" spans="1:29" x14ac:dyDescent="0.25">
      <c r="A1410" s="4">
        <v>42563</v>
      </c>
      <c r="B1410" t="s">
        <v>30</v>
      </c>
      <c r="C1410">
        <v>801</v>
      </c>
      <c r="D1410">
        <v>9</v>
      </c>
      <c r="E1410">
        <v>1</v>
      </c>
      <c r="F1410" t="s">
        <v>41</v>
      </c>
      <c r="G1410" t="s">
        <v>32</v>
      </c>
      <c r="H1410" t="s">
        <v>33</v>
      </c>
      <c r="I1410" t="s">
        <v>57</v>
      </c>
      <c r="O1410" s="5"/>
      <c r="P1410" s="5"/>
    </row>
    <row r="1411" spans="1:29" x14ac:dyDescent="0.25">
      <c r="A1411" s="4">
        <v>42563</v>
      </c>
      <c r="B1411" t="s">
        <v>30</v>
      </c>
      <c r="C1411">
        <v>801</v>
      </c>
      <c r="D1411">
        <v>9</v>
      </c>
      <c r="E1411">
        <v>2</v>
      </c>
      <c r="F1411" t="s">
        <v>41</v>
      </c>
      <c r="G1411" t="s">
        <v>32</v>
      </c>
      <c r="H1411" t="s">
        <v>33</v>
      </c>
      <c r="I1411" t="s">
        <v>34</v>
      </c>
      <c r="J1411" t="s">
        <v>35</v>
      </c>
      <c r="K1411" t="s">
        <v>36</v>
      </c>
      <c r="L1411" t="s">
        <v>43</v>
      </c>
      <c r="M1411">
        <v>0</v>
      </c>
      <c r="N1411">
        <v>0</v>
      </c>
      <c r="O1411" s="5">
        <v>50677</v>
      </c>
      <c r="P1411" s="5">
        <v>50676</v>
      </c>
      <c r="Q1411">
        <v>23</v>
      </c>
      <c r="R1411" t="s">
        <v>47</v>
      </c>
      <c r="T1411">
        <v>19</v>
      </c>
      <c r="U1411">
        <v>82</v>
      </c>
      <c r="V1411">
        <v>16</v>
      </c>
      <c r="W1411">
        <v>12.9</v>
      </c>
      <c r="X1411">
        <v>28.7</v>
      </c>
      <c r="Z1411" t="s">
        <v>39</v>
      </c>
      <c r="AB1411" t="s">
        <v>59</v>
      </c>
      <c r="AC1411" t="s">
        <v>88</v>
      </c>
    </row>
    <row r="1412" spans="1:29" x14ac:dyDescent="0.25">
      <c r="A1412" s="4">
        <v>42563</v>
      </c>
      <c r="B1412" t="s">
        <v>30</v>
      </c>
      <c r="C1412">
        <v>801</v>
      </c>
      <c r="D1412">
        <v>10</v>
      </c>
      <c r="E1412">
        <v>1</v>
      </c>
      <c r="F1412" t="s">
        <v>41</v>
      </c>
      <c r="G1412" t="s">
        <v>32</v>
      </c>
      <c r="H1412" t="s">
        <v>33</v>
      </c>
      <c r="I1412" t="s">
        <v>91</v>
      </c>
      <c r="J1412" t="s">
        <v>42</v>
      </c>
      <c r="K1412" t="s">
        <v>36</v>
      </c>
      <c r="L1412" t="s">
        <v>37</v>
      </c>
      <c r="M1412">
        <v>0</v>
      </c>
      <c r="N1412">
        <v>1</v>
      </c>
      <c r="O1412" s="5"/>
      <c r="P1412" s="5">
        <v>50510</v>
      </c>
      <c r="Q1412">
        <f>35-9</f>
        <v>26</v>
      </c>
      <c r="R1412" t="s">
        <v>143</v>
      </c>
      <c r="S1412" t="s">
        <v>97</v>
      </c>
      <c r="T1412">
        <v>29</v>
      </c>
      <c r="W1412">
        <v>12.9</v>
      </c>
      <c r="X1412">
        <v>26.2</v>
      </c>
      <c r="Z1412" t="s">
        <v>97</v>
      </c>
      <c r="AA1412" t="s">
        <v>201</v>
      </c>
      <c r="AB1412" t="s">
        <v>59</v>
      </c>
      <c r="AC1412" t="s">
        <v>88</v>
      </c>
    </row>
    <row r="1413" spans="1:29" x14ac:dyDescent="0.25">
      <c r="A1413" s="4">
        <v>42563</v>
      </c>
      <c r="B1413" t="s">
        <v>30</v>
      </c>
      <c r="C1413">
        <v>803</v>
      </c>
      <c r="D1413">
        <v>10</v>
      </c>
      <c r="E1413">
        <v>1</v>
      </c>
      <c r="F1413" t="s">
        <v>41</v>
      </c>
      <c r="G1413" t="s">
        <v>32</v>
      </c>
      <c r="H1413" t="s">
        <v>33</v>
      </c>
      <c r="I1413" t="s">
        <v>57</v>
      </c>
      <c r="O1413" s="5"/>
      <c r="P1413" s="5"/>
    </row>
    <row r="1414" spans="1:29" x14ac:dyDescent="0.25">
      <c r="A1414" s="4">
        <v>42563</v>
      </c>
      <c r="B1414" t="s">
        <v>30</v>
      </c>
      <c r="C1414">
        <v>803</v>
      </c>
      <c r="D1414">
        <v>8</v>
      </c>
      <c r="E1414">
        <v>1</v>
      </c>
      <c r="F1414" t="s">
        <v>41</v>
      </c>
      <c r="G1414" t="s">
        <v>32</v>
      </c>
      <c r="H1414" t="s">
        <v>33</v>
      </c>
      <c r="I1414" t="s">
        <v>73</v>
      </c>
      <c r="J1414" t="s">
        <v>35</v>
      </c>
      <c r="K1414" t="s">
        <v>36</v>
      </c>
      <c r="L1414" t="s">
        <v>43</v>
      </c>
      <c r="M1414">
        <v>0</v>
      </c>
      <c r="N1414">
        <v>0</v>
      </c>
      <c r="O1414" s="5">
        <v>50391</v>
      </c>
      <c r="P1414" s="5"/>
      <c r="R1414" t="s">
        <v>47</v>
      </c>
      <c r="T1414">
        <v>31</v>
      </c>
      <c r="W1414">
        <v>22.3</v>
      </c>
      <c r="X1414">
        <v>41.1</v>
      </c>
      <c r="Z1414" t="s">
        <v>39</v>
      </c>
      <c r="AB1414" t="s">
        <v>138</v>
      </c>
      <c r="AC1414" t="s">
        <v>88</v>
      </c>
    </row>
    <row r="1415" spans="1:29" x14ac:dyDescent="0.25">
      <c r="A1415" s="4">
        <v>42563</v>
      </c>
      <c r="B1415" t="s">
        <v>30</v>
      </c>
      <c r="C1415">
        <v>803</v>
      </c>
      <c r="D1415">
        <v>7</v>
      </c>
      <c r="E1415">
        <v>1</v>
      </c>
      <c r="F1415" t="s">
        <v>41</v>
      </c>
      <c r="G1415" t="s">
        <v>32</v>
      </c>
      <c r="H1415" t="s">
        <v>33</v>
      </c>
      <c r="I1415" t="s">
        <v>34</v>
      </c>
      <c r="J1415" t="s">
        <v>35</v>
      </c>
      <c r="K1415" t="s">
        <v>36</v>
      </c>
      <c r="L1415" t="s">
        <v>37</v>
      </c>
      <c r="M1415">
        <v>0</v>
      </c>
      <c r="N1415">
        <v>0</v>
      </c>
      <c r="O1415" s="5">
        <v>50457</v>
      </c>
      <c r="P1415" s="5">
        <v>50456</v>
      </c>
      <c r="Q1415">
        <f>20</f>
        <v>20</v>
      </c>
      <c r="R1415" t="s">
        <v>143</v>
      </c>
      <c r="S1415" t="s">
        <v>97</v>
      </c>
      <c r="T1415">
        <v>20</v>
      </c>
      <c r="U1415">
        <v>86</v>
      </c>
      <c r="V1415">
        <v>15</v>
      </c>
      <c r="W1415">
        <v>12.6</v>
      </c>
      <c r="X1415">
        <v>27.2</v>
      </c>
      <c r="Z1415" t="s">
        <v>39</v>
      </c>
      <c r="AB1415" t="s">
        <v>138</v>
      </c>
      <c r="AC1415" t="s">
        <v>88</v>
      </c>
    </row>
    <row r="1416" spans="1:29" x14ac:dyDescent="0.25">
      <c r="A1416" s="4">
        <v>42563</v>
      </c>
      <c r="B1416" t="s">
        <v>30</v>
      </c>
      <c r="C1416">
        <v>803</v>
      </c>
      <c r="D1416">
        <v>5</v>
      </c>
      <c r="E1416">
        <v>1</v>
      </c>
      <c r="F1416" t="s">
        <v>41</v>
      </c>
      <c r="G1416" t="s">
        <v>32</v>
      </c>
      <c r="H1416" t="s">
        <v>33</v>
      </c>
      <c r="I1416" t="s">
        <v>73</v>
      </c>
      <c r="J1416" t="s">
        <v>35</v>
      </c>
      <c r="K1416" t="s">
        <v>114</v>
      </c>
      <c r="L1416" t="s">
        <v>43</v>
      </c>
      <c r="M1416">
        <v>0</v>
      </c>
      <c r="N1416">
        <v>0</v>
      </c>
      <c r="O1416" s="5">
        <v>50463</v>
      </c>
      <c r="P1416" s="5"/>
      <c r="R1416" t="s">
        <v>65</v>
      </c>
      <c r="T1416">
        <v>30</v>
      </c>
      <c r="Z1416" t="s">
        <v>39</v>
      </c>
      <c r="AB1416" t="s">
        <v>138</v>
      </c>
      <c r="AC1416" t="s">
        <v>88</v>
      </c>
    </row>
    <row r="1417" spans="1:29" x14ac:dyDescent="0.25">
      <c r="A1417" s="4">
        <v>42563</v>
      </c>
      <c r="B1417" t="s">
        <v>30</v>
      </c>
      <c r="C1417">
        <v>901</v>
      </c>
      <c r="D1417">
        <v>2</v>
      </c>
      <c r="E1417">
        <v>1</v>
      </c>
      <c r="F1417" t="s">
        <v>41</v>
      </c>
      <c r="G1417" t="s">
        <v>32</v>
      </c>
      <c r="H1417" t="s">
        <v>33</v>
      </c>
      <c r="I1417" t="s">
        <v>34</v>
      </c>
      <c r="J1417" t="s">
        <v>35</v>
      </c>
      <c r="K1417" t="s">
        <v>36</v>
      </c>
      <c r="L1417" t="s">
        <v>37</v>
      </c>
      <c r="M1417">
        <v>0</v>
      </c>
      <c r="N1417">
        <v>0</v>
      </c>
      <c r="O1417" s="5" t="s">
        <v>202</v>
      </c>
      <c r="P1417" s="5" t="s">
        <v>171</v>
      </c>
      <c r="Q1417">
        <f>40.5-14</f>
        <v>26.5</v>
      </c>
      <c r="R1417" t="s">
        <v>143</v>
      </c>
      <c r="S1417" t="s">
        <v>97</v>
      </c>
      <c r="T1417">
        <v>19</v>
      </c>
      <c r="U1417">
        <v>89</v>
      </c>
      <c r="V1417">
        <v>16</v>
      </c>
      <c r="W1417">
        <v>13</v>
      </c>
      <c r="X1417">
        <v>27.6</v>
      </c>
      <c r="Z1417" t="s">
        <v>39</v>
      </c>
      <c r="AB1417" t="s">
        <v>138</v>
      </c>
      <c r="AC1417" t="s">
        <v>88</v>
      </c>
    </row>
    <row r="1418" spans="1:29" x14ac:dyDescent="0.25">
      <c r="A1418" s="4">
        <v>42563</v>
      </c>
      <c r="B1418" t="s">
        <v>30</v>
      </c>
      <c r="C1418">
        <v>901</v>
      </c>
      <c r="D1418">
        <v>9</v>
      </c>
      <c r="E1418">
        <v>1</v>
      </c>
      <c r="F1418" t="s">
        <v>41</v>
      </c>
      <c r="G1418" t="s">
        <v>32</v>
      </c>
      <c r="H1418" t="s">
        <v>33</v>
      </c>
      <c r="I1418" t="s">
        <v>34</v>
      </c>
      <c r="J1418" t="s">
        <v>35</v>
      </c>
      <c r="K1418" t="s">
        <v>36</v>
      </c>
      <c r="L1418" t="s">
        <v>37</v>
      </c>
      <c r="M1418">
        <v>0</v>
      </c>
      <c r="N1418">
        <v>0</v>
      </c>
      <c r="O1418" s="5">
        <v>50617</v>
      </c>
      <c r="P1418" s="5">
        <v>50616</v>
      </c>
      <c r="R1418" t="s">
        <v>143</v>
      </c>
      <c r="S1418" t="s">
        <v>97</v>
      </c>
      <c r="T1418">
        <v>20</v>
      </c>
      <c r="U1418">
        <v>90</v>
      </c>
      <c r="V1418">
        <v>14</v>
      </c>
      <c r="W1418">
        <v>12.8</v>
      </c>
      <c r="X1418">
        <v>27.2</v>
      </c>
      <c r="Z1418" t="s">
        <v>39</v>
      </c>
      <c r="AB1418" t="s">
        <v>138</v>
      </c>
      <c r="AC1418" t="s">
        <v>88</v>
      </c>
    </row>
    <row r="1419" spans="1:29" x14ac:dyDescent="0.25">
      <c r="A1419" s="4">
        <v>42563</v>
      </c>
      <c r="B1419" t="s">
        <v>30</v>
      </c>
      <c r="C1419">
        <v>901</v>
      </c>
      <c r="D1419">
        <v>10</v>
      </c>
      <c r="E1419">
        <v>1</v>
      </c>
      <c r="F1419" t="s">
        <v>41</v>
      </c>
      <c r="G1419" t="s">
        <v>32</v>
      </c>
      <c r="H1419" t="s">
        <v>33</v>
      </c>
      <c r="I1419" t="s">
        <v>57</v>
      </c>
      <c r="O1419" s="5"/>
      <c r="P1419" s="5"/>
    </row>
    <row r="1420" spans="1:29" x14ac:dyDescent="0.25">
      <c r="A1420" s="4">
        <v>42564</v>
      </c>
      <c r="B1420" t="s">
        <v>30</v>
      </c>
      <c r="C1420">
        <v>501</v>
      </c>
      <c r="D1420">
        <v>1</v>
      </c>
      <c r="E1420">
        <v>1</v>
      </c>
      <c r="F1420" t="s">
        <v>31</v>
      </c>
      <c r="G1420" t="s">
        <v>32</v>
      </c>
      <c r="H1420" t="s">
        <v>33</v>
      </c>
      <c r="I1420" t="s">
        <v>73</v>
      </c>
      <c r="J1420" t="s">
        <v>42</v>
      </c>
      <c r="K1420" t="s">
        <v>89</v>
      </c>
      <c r="L1420" t="s">
        <v>37</v>
      </c>
      <c r="M1420">
        <v>0</v>
      </c>
      <c r="N1420">
        <v>1</v>
      </c>
      <c r="O1420" s="5">
        <v>50734</v>
      </c>
      <c r="P1420" s="5"/>
      <c r="Q1420">
        <f>145-95</f>
        <v>50</v>
      </c>
      <c r="R1420" t="s">
        <v>38</v>
      </c>
      <c r="S1420" t="s">
        <v>39</v>
      </c>
      <c r="T1420">
        <v>28</v>
      </c>
      <c r="W1420">
        <v>19.899999999999999</v>
      </c>
      <c r="X1420">
        <v>38.9</v>
      </c>
      <c r="Z1420" t="s">
        <v>39</v>
      </c>
    </row>
    <row r="1421" spans="1:29" x14ac:dyDescent="0.25">
      <c r="A1421" s="4">
        <v>42564</v>
      </c>
      <c r="B1421" t="s">
        <v>30</v>
      </c>
      <c r="C1421">
        <v>501</v>
      </c>
      <c r="D1421">
        <v>3</v>
      </c>
      <c r="E1421">
        <v>1</v>
      </c>
      <c r="F1421" t="s">
        <v>31</v>
      </c>
      <c r="G1421" t="s">
        <v>32</v>
      </c>
      <c r="H1421" t="s">
        <v>33</v>
      </c>
      <c r="I1421" t="s">
        <v>73</v>
      </c>
      <c r="J1421" t="s">
        <v>42</v>
      </c>
      <c r="K1421" t="s">
        <v>89</v>
      </c>
      <c r="L1421" t="s">
        <v>37</v>
      </c>
      <c r="M1421">
        <v>0</v>
      </c>
      <c r="N1421">
        <v>1</v>
      </c>
      <c r="O1421" s="5">
        <v>50735</v>
      </c>
      <c r="P1421" s="5"/>
      <c r="Q1421">
        <f>150-95</f>
        <v>55</v>
      </c>
      <c r="R1421" t="s">
        <v>38</v>
      </c>
      <c r="S1421" t="s">
        <v>39</v>
      </c>
      <c r="T1421">
        <v>29</v>
      </c>
      <c r="W1421">
        <v>20</v>
      </c>
      <c r="X1421">
        <v>41.6</v>
      </c>
      <c r="Z1421" t="s">
        <v>39</v>
      </c>
    </row>
    <row r="1422" spans="1:29" x14ac:dyDescent="0.25">
      <c r="A1422" s="4">
        <v>42564</v>
      </c>
      <c r="B1422" t="s">
        <v>30</v>
      </c>
      <c r="C1422">
        <v>501</v>
      </c>
      <c r="D1422">
        <v>4</v>
      </c>
      <c r="E1422">
        <v>1</v>
      </c>
      <c r="F1422" t="s">
        <v>31</v>
      </c>
      <c r="G1422" t="s">
        <v>32</v>
      </c>
      <c r="H1422" t="s">
        <v>33</v>
      </c>
      <c r="I1422" t="s">
        <v>57</v>
      </c>
      <c r="O1422" s="5"/>
      <c r="P1422" s="5"/>
    </row>
    <row r="1423" spans="1:29" x14ac:dyDescent="0.25">
      <c r="A1423" s="4">
        <v>42564</v>
      </c>
      <c r="B1423" t="s">
        <v>30</v>
      </c>
      <c r="C1423">
        <v>501</v>
      </c>
      <c r="D1423">
        <v>5</v>
      </c>
      <c r="E1423">
        <v>1</v>
      </c>
      <c r="F1423" t="s">
        <v>31</v>
      </c>
      <c r="G1423" t="s">
        <v>32</v>
      </c>
      <c r="H1423" t="s">
        <v>33</v>
      </c>
      <c r="I1423" t="s">
        <v>57</v>
      </c>
      <c r="O1423" s="5"/>
      <c r="P1423" s="5"/>
    </row>
    <row r="1424" spans="1:29" x14ac:dyDescent="0.25">
      <c r="A1424" s="4">
        <v>42564</v>
      </c>
      <c r="B1424" t="s">
        <v>30</v>
      </c>
      <c r="C1424">
        <v>501</v>
      </c>
      <c r="D1424">
        <v>5</v>
      </c>
      <c r="E1424">
        <v>2</v>
      </c>
      <c r="F1424" t="s">
        <v>31</v>
      </c>
      <c r="G1424" t="s">
        <v>32</v>
      </c>
      <c r="H1424" t="s">
        <v>33</v>
      </c>
      <c r="I1424" t="s">
        <v>57</v>
      </c>
      <c r="O1424" s="5"/>
      <c r="P1424" s="5"/>
    </row>
    <row r="1425" spans="1:26" x14ac:dyDescent="0.25">
      <c r="A1425" s="4">
        <v>42564</v>
      </c>
      <c r="B1425" t="s">
        <v>30</v>
      </c>
      <c r="C1425">
        <v>501</v>
      </c>
      <c r="D1425">
        <v>6</v>
      </c>
      <c r="E1425">
        <v>1</v>
      </c>
      <c r="F1425" t="s">
        <v>31</v>
      </c>
      <c r="G1425" t="s">
        <v>32</v>
      </c>
      <c r="H1425" t="s">
        <v>33</v>
      </c>
      <c r="I1425" t="s">
        <v>34</v>
      </c>
      <c r="J1425" t="s">
        <v>35</v>
      </c>
      <c r="K1425" t="s">
        <v>114</v>
      </c>
      <c r="L1425" t="s">
        <v>37</v>
      </c>
      <c r="M1425">
        <v>0</v>
      </c>
      <c r="N1425">
        <v>0</v>
      </c>
      <c r="O1425" s="5">
        <v>50729</v>
      </c>
      <c r="P1425" s="5">
        <v>50728</v>
      </c>
      <c r="Q1425">
        <v>18.5</v>
      </c>
      <c r="R1425" t="s">
        <v>38</v>
      </c>
      <c r="S1425" t="s">
        <v>39</v>
      </c>
      <c r="T1425">
        <v>18</v>
      </c>
      <c r="U1425">
        <v>92.5</v>
      </c>
      <c r="V1425">
        <v>13</v>
      </c>
      <c r="W1425">
        <v>13.2</v>
      </c>
      <c r="X1425">
        <v>27</v>
      </c>
      <c r="Z1425" t="s">
        <v>39</v>
      </c>
    </row>
    <row r="1426" spans="1:26" x14ac:dyDescent="0.25">
      <c r="A1426" s="4">
        <v>42564</v>
      </c>
      <c r="B1426" t="s">
        <v>30</v>
      </c>
      <c r="C1426">
        <v>501</v>
      </c>
      <c r="D1426">
        <v>7</v>
      </c>
      <c r="E1426">
        <v>1</v>
      </c>
      <c r="F1426" t="s">
        <v>31</v>
      </c>
      <c r="G1426" t="s">
        <v>32</v>
      </c>
      <c r="H1426" t="s">
        <v>33</v>
      </c>
      <c r="I1426" t="s">
        <v>91</v>
      </c>
      <c r="J1426" t="s">
        <v>35</v>
      </c>
      <c r="K1426" t="s">
        <v>36</v>
      </c>
      <c r="L1426" t="s">
        <v>37</v>
      </c>
      <c r="M1426">
        <v>0</v>
      </c>
      <c r="N1426">
        <v>0</v>
      </c>
      <c r="O1426" s="5"/>
      <c r="P1426" s="5">
        <v>50585</v>
      </c>
      <c r="Q1426">
        <v>31</v>
      </c>
      <c r="R1426" t="s">
        <v>143</v>
      </c>
      <c r="S1426" t="s">
        <v>97</v>
      </c>
      <c r="T1426">
        <v>28</v>
      </c>
      <c r="W1426">
        <v>12.8</v>
      </c>
      <c r="X1426">
        <v>28.5</v>
      </c>
      <c r="Z1426" t="s">
        <v>39</v>
      </c>
    </row>
    <row r="1427" spans="1:26" x14ac:dyDescent="0.25">
      <c r="A1427" s="4">
        <v>42564</v>
      </c>
      <c r="B1427" t="s">
        <v>30</v>
      </c>
      <c r="C1427">
        <v>501</v>
      </c>
      <c r="D1427">
        <v>8</v>
      </c>
      <c r="E1427">
        <v>1</v>
      </c>
      <c r="F1427" t="s">
        <v>31</v>
      </c>
      <c r="G1427" t="s">
        <v>32</v>
      </c>
      <c r="H1427" t="s">
        <v>33</v>
      </c>
      <c r="I1427" t="s">
        <v>57</v>
      </c>
      <c r="O1427" s="5"/>
      <c r="P1427" s="5"/>
    </row>
    <row r="1428" spans="1:26" x14ac:dyDescent="0.25">
      <c r="A1428" s="4">
        <v>42564</v>
      </c>
      <c r="B1428" t="s">
        <v>30</v>
      </c>
      <c r="C1428">
        <v>501</v>
      </c>
      <c r="D1428">
        <v>8</v>
      </c>
      <c r="E1428">
        <v>2</v>
      </c>
      <c r="F1428" t="s">
        <v>31</v>
      </c>
      <c r="G1428" t="s">
        <v>32</v>
      </c>
      <c r="H1428" t="s">
        <v>33</v>
      </c>
      <c r="I1428" t="s">
        <v>34</v>
      </c>
      <c r="J1428" t="s">
        <v>35</v>
      </c>
      <c r="K1428" t="s">
        <v>114</v>
      </c>
      <c r="L1428" t="s">
        <v>37</v>
      </c>
      <c r="M1428">
        <v>0</v>
      </c>
      <c r="N1428">
        <v>0</v>
      </c>
      <c r="O1428" s="5">
        <v>50448</v>
      </c>
      <c r="P1428" s="5">
        <v>50447</v>
      </c>
      <c r="Q1428">
        <f>29.5-11.5</f>
        <v>18</v>
      </c>
      <c r="R1428" t="s">
        <v>38</v>
      </c>
      <c r="S1428" t="s">
        <v>39</v>
      </c>
      <c r="T1428">
        <v>20</v>
      </c>
      <c r="U1428">
        <v>97</v>
      </c>
      <c r="V1428">
        <v>15</v>
      </c>
      <c r="W1428">
        <v>12.8</v>
      </c>
      <c r="X1428">
        <v>26.5</v>
      </c>
      <c r="Z1428" t="s">
        <v>39</v>
      </c>
    </row>
    <row r="1429" spans="1:26" x14ac:dyDescent="0.25">
      <c r="A1429" s="4">
        <v>42564</v>
      </c>
      <c r="B1429" t="s">
        <v>30</v>
      </c>
      <c r="C1429">
        <v>501</v>
      </c>
      <c r="D1429">
        <v>9</v>
      </c>
      <c r="E1429">
        <v>1</v>
      </c>
      <c r="F1429" t="s">
        <v>31</v>
      </c>
      <c r="G1429" t="s">
        <v>32</v>
      </c>
      <c r="H1429" t="s">
        <v>33</v>
      </c>
      <c r="I1429" t="s">
        <v>73</v>
      </c>
      <c r="J1429" t="s">
        <v>35</v>
      </c>
      <c r="K1429" t="s">
        <v>36</v>
      </c>
      <c r="L1429" t="s">
        <v>37</v>
      </c>
      <c r="M1429">
        <v>0</v>
      </c>
      <c r="N1429">
        <v>0</v>
      </c>
      <c r="O1429" s="5"/>
      <c r="P1429" s="5">
        <v>50337</v>
      </c>
      <c r="Q1429">
        <f>175-90</f>
        <v>85</v>
      </c>
      <c r="R1429" t="s">
        <v>74</v>
      </c>
      <c r="S1429" t="s">
        <v>97</v>
      </c>
      <c r="T1429">
        <v>29</v>
      </c>
      <c r="W1429">
        <v>12.3</v>
      </c>
      <c r="X1429">
        <v>43.8</v>
      </c>
      <c r="Z1429" t="s">
        <v>39</v>
      </c>
    </row>
    <row r="1430" spans="1:26" x14ac:dyDescent="0.25">
      <c r="A1430" s="4">
        <v>42564</v>
      </c>
      <c r="B1430" t="s">
        <v>30</v>
      </c>
      <c r="C1430">
        <v>501</v>
      </c>
      <c r="D1430">
        <v>10</v>
      </c>
      <c r="E1430">
        <v>1</v>
      </c>
      <c r="F1430" t="s">
        <v>31</v>
      </c>
      <c r="G1430" t="s">
        <v>32</v>
      </c>
      <c r="H1430" t="s">
        <v>33</v>
      </c>
      <c r="I1430" t="s">
        <v>57</v>
      </c>
      <c r="O1430" s="5"/>
      <c r="P1430" s="5"/>
    </row>
    <row r="1431" spans="1:26" x14ac:dyDescent="0.25">
      <c r="A1431" s="4">
        <v>42564</v>
      </c>
      <c r="B1431" t="s">
        <v>30</v>
      </c>
      <c r="C1431">
        <v>501</v>
      </c>
      <c r="D1431">
        <v>10</v>
      </c>
      <c r="E1431">
        <v>2</v>
      </c>
      <c r="F1431" t="s">
        <v>31</v>
      </c>
      <c r="G1431" t="s">
        <v>32</v>
      </c>
      <c r="H1431" t="s">
        <v>33</v>
      </c>
      <c r="I1431" t="s">
        <v>57</v>
      </c>
      <c r="O1431" s="5"/>
      <c r="P1431" s="5"/>
    </row>
    <row r="1432" spans="1:26" x14ac:dyDescent="0.25">
      <c r="A1432" s="4">
        <v>42564</v>
      </c>
      <c r="B1432" t="s">
        <v>30</v>
      </c>
      <c r="C1432">
        <v>503</v>
      </c>
      <c r="D1432">
        <v>1</v>
      </c>
      <c r="E1432">
        <v>1</v>
      </c>
      <c r="F1432" t="s">
        <v>31</v>
      </c>
      <c r="G1432" t="s">
        <v>32</v>
      </c>
      <c r="H1432" t="s">
        <v>33</v>
      </c>
      <c r="I1432" t="s">
        <v>91</v>
      </c>
      <c r="J1432" t="s">
        <v>35</v>
      </c>
      <c r="K1432" t="s">
        <v>36</v>
      </c>
      <c r="L1432" t="s">
        <v>37</v>
      </c>
      <c r="M1432">
        <v>0</v>
      </c>
      <c r="N1432">
        <v>0</v>
      </c>
      <c r="O1432" s="5">
        <v>50449</v>
      </c>
      <c r="P1432" s="5"/>
      <c r="Q1432">
        <f>34-9.5</f>
        <v>24.5</v>
      </c>
      <c r="R1432" t="s">
        <v>74</v>
      </c>
      <c r="S1432" t="s">
        <v>39</v>
      </c>
      <c r="T1432">
        <v>30</v>
      </c>
      <c r="W1432">
        <v>13.1</v>
      </c>
      <c r="X1432">
        <v>27.5</v>
      </c>
      <c r="Z1432" t="s">
        <v>39</v>
      </c>
    </row>
    <row r="1433" spans="1:26" x14ac:dyDescent="0.25">
      <c r="A1433" s="4">
        <v>42564</v>
      </c>
      <c r="B1433" t="s">
        <v>30</v>
      </c>
      <c r="C1433">
        <v>503</v>
      </c>
      <c r="D1433">
        <v>1</v>
      </c>
      <c r="E1433">
        <v>2</v>
      </c>
      <c r="F1433" t="s">
        <v>31</v>
      </c>
      <c r="G1433" t="s">
        <v>32</v>
      </c>
      <c r="H1433" t="s">
        <v>33</v>
      </c>
      <c r="I1433" t="s">
        <v>58</v>
      </c>
      <c r="J1433" t="s">
        <v>35</v>
      </c>
      <c r="K1433" t="s">
        <v>36</v>
      </c>
      <c r="L1433" t="s">
        <v>43</v>
      </c>
      <c r="M1433">
        <v>0</v>
      </c>
      <c r="N1433">
        <v>0</v>
      </c>
      <c r="O1433" s="5">
        <v>50579</v>
      </c>
      <c r="P1433" s="5"/>
      <c r="Q1433">
        <v>29</v>
      </c>
      <c r="R1433" t="s">
        <v>47</v>
      </c>
      <c r="Z1433" t="s">
        <v>39</v>
      </c>
    </row>
    <row r="1434" spans="1:26" x14ac:dyDescent="0.25">
      <c r="A1434" s="4">
        <v>42564</v>
      </c>
      <c r="B1434" t="s">
        <v>30</v>
      </c>
      <c r="C1434">
        <v>503</v>
      </c>
      <c r="D1434">
        <v>2</v>
      </c>
      <c r="E1434">
        <v>1</v>
      </c>
      <c r="F1434" t="s">
        <v>31</v>
      </c>
      <c r="G1434" t="s">
        <v>32</v>
      </c>
      <c r="H1434" t="s">
        <v>33</v>
      </c>
      <c r="I1434" t="s">
        <v>53</v>
      </c>
      <c r="J1434" t="s">
        <v>62</v>
      </c>
      <c r="O1434" s="5"/>
      <c r="P1434" s="5"/>
    </row>
    <row r="1435" spans="1:26" x14ac:dyDescent="0.25">
      <c r="A1435" s="4">
        <v>42564</v>
      </c>
      <c r="B1435" t="s">
        <v>30</v>
      </c>
      <c r="C1435">
        <v>503</v>
      </c>
      <c r="D1435">
        <v>2</v>
      </c>
      <c r="E1435">
        <v>2</v>
      </c>
      <c r="F1435" t="s">
        <v>31</v>
      </c>
      <c r="G1435" t="s">
        <v>32</v>
      </c>
      <c r="H1435" t="s">
        <v>33</v>
      </c>
      <c r="I1435" t="s">
        <v>57</v>
      </c>
      <c r="O1435" s="5"/>
      <c r="P1435" s="5"/>
    </row>
    <row r="1436" spans="1:26" x14ac:dyDescent="0.25">
      <c r="A1436" s="4">
        <v>42564</v>
      </c>
      <c r="B1436" t="s">
        <v>30</v>
      </c>
      <c r="C1436">
        <v>503</v>
      </c>
      <c r="D1436">
        <v>4</v>
      </c>
      <c r="E1436">
        <v>1</v>
      </c>
      <c r="F1436" t="s">
        <v>31</v>
      </c>
      <c r="G1436" t="s">
        <v>32</v>
      </c>
      <c r="H1436" t="s">
        <v>33</v>
      </c>
      <c r="I1436" t="s">
        <v>57</v>
      </c>
      <c r="O1436" s="5"/>
      <c r="P1436" s="5"/>
    </row>
    <row r="1437" spans="1:26" x14ac:dyDescent="0.25">
      <c r="A1437" s="4">
        <v>42564</v>
      </c>
      <c r="B1437" t="s">
        <v>30</v>
      </c>
      <c r="C1437">
        <v>503</v>
      </c>
      <c r="D1437">
        <v>5</v>
      </c>
      <c r="E1437">
        <v>1</v>
      </c>
      <c r="F1437" t="s">
        <v>31</v>
      </c>
      <c r="G1437" t="s">
        <v>32</v>
      </c>
      <c r="H1437" t="s">
        <v>33</v>
      </c>
      <c r="I1437" t="s">
        <v>34</v>
      </c>
      <c r="J1437" t="s">
        <v>35</v>
      </c>
      <c r="K1437" t="s">
        <v>114</v>
      </c>
      <c r="L1437" t="s">
        <v>43</v>
      </c>
      <c r="M1437">
        <v>0</v>
      </c>
      <c r="N1437">
        <v>0</v>
      </c>
      <c r="O1437" s="5">
        <v>50436</v>
      </c>
      <c r="P1437" s="5">
        <v>50435</v>
      </c>
      <c r="Q1437">
        <f>34-14.5</f>
        <v>19.5</v>
      </c>
      <c r="R1437" t="s">
        <v>47</v>
      </c>
      <c r="T1437">
        <v>21</v>
      </c>
      <c r="U1437">
        <v>86</v>
      </c>
      <c r="V1437">
        <v>16</v>
      </c>
      <c r="W1437">
        <v>13.15</v>
      </c>
      <c r="X1437">
        <v>27.7</v>
      </c>
      <c r="Z1437" t="s">
        <v>39</v>
      </c>
    </row>
    <row r="1438" spans="1:26" x14ac:dyDescent="0.25">
      <c r="A1438" s="4">
        <v>42564</v>
      </c>
      <c r="B1438" t="s">
        <v>30</v>
      </c>
      <c r="C1438">
        <v>503</v>
      </c>
      <c r="D1438">
        <v>5</v>
      </c>
      <c r="E1438">
        <v>2</v>
      </c>
      <c r="F1438" t="s">
        <v>31</v>
      </c>
      <c r="G1438" t="s">
        <v>32</v>
      </c>
      <c r="H1438" t="s">
        <v>33</v>
      </c>
      <c r="I1438" t="s">
        <v>57</v>
      </c>
      <c r="O1438" s="5"/>
      <c r="P1438" s="5"/>
    </row>
    <row r="1439" spans="1:26" x14ac:dyDescent="0.25">
      <c r="A1439" s="4">
        <v>42564</v>
      </c>
      <c r="B1439" t="s">
        <v>30</v>
      </c>
      <c r="C1439">
        <v>503</v>
      </c>
      <c r="D1439">
        <v>6</v>
      </c>
      <c r="E1439">
        <v>1</v>
      </c>
      <c r="F1439" t="s">
        <v>31</v>
      </c>
      <c r="G1439" t="s">
        <v>32</v>
      </c>
      <c r="H1439" t="s">
        <v>33</v>
      </c>
      <c r="I1439" t="s">
        <v>34</v>
      </c>
      <c r="J1439" t="s">
        <v>35</v>
      </c>
      <c r="K1439" t="s">
        <v>114</v>
      </c>
      <c r="L1439" t="s">
        <v>43</v>
      </c>
      <c r="M1439">
        <v>0</v>
      </c>
      <c r="N1439">
        <v>0</v>
      </c>
      <c r="O1439" s="5">
        <v>50446</v>
      </c>
      <c r="P1439" s="5">
        <v>50434</v>
      </c>
      <c r="Q1439">
        <v>16</v>
      </c>
      <c r="R1439" t="s">
        <v>47</v>
      </c>
      <c r="T1439">
        <v>19</v>
      </c>
      <c r="U1439">
        <v>74</v>
      </c>
      <c r="V1439">
        <v>16</v>
      </c>
      <c r="W1439">
        <v>12.5</v>
      </c>
      <c r="X1439">
        <v>27.7</v>
      </c>
      <c r="Z1439" t="s">
        <v>39</v>
      </c>
    </row>
    <row r="1440" spans="1:26" x14ac:dyDescent="0.25">
      <c r="A1440" s="4">
        <v>42564</v>
      </c>
      <c r="B1440" t="s">
        <v>30</v>
      </c>
      <c r="C1440">
        <v>503</v>
      </c>
      <c r="D1440">
        <v>6</v>
      </c>
      <c r="E1440">
        <v>2</v>
      </c>
      <c r="F1440" t="s">
        <v>31</v>
      </c>
      <c r="G1440" t="s">
        <v>32</v>
      </c>
      <c r="H1440" t="s">
        <v>33</v>
      </c>
      <c r="I1440" t="s">
        <v>73</v>
      </c>
      <c r="J1440" t="s">
        <v>42</v>
      </c>
      <c r="K1440" t="s">
        <v>89</v>
      </c>
      <c r="L1440" t="s">
        <v>43</v>
      </c>
      <c r="M1440">
        <v>0</v>
      </c>
      <c r="N1440">
        <v>1</v>
      </c>
      <c r="O1440" s="5">
        <v>50737</v>
      </c>
      <c r="P1440" s="5"/>
      <c r="Q1440">
        <f>165-95</f>
        <v>70</v>
      </c>
      <c r="R1440" t="s">
        <v>65</v>
      </c>
      <c r="T1440">
        <v>31</v>
      </c>
      <c r="W1440">
        <v>20.75</v>
      </c>
      <c r="X1440">
        <v>39.5</v>
      </c>
      <c r="Z1440" t="s">
        <v>39</v>
      </c>
    </row>
    <row r="1441" spans="1:27" x14ac:dyDescent="0.25">
      <c r="A1441" s="4">
        <v>42564</v>
      </c>
      <c r="B1441" t="s">
        <v>30</v>
      </c>
      <c r="C1441">
        <v>503</v>
      </c>
      <c r="D1441">
        <v>7</v>
      </c>
      <c r="E1441">
        <v>1</v>
      </c>
      <c r="F1441" t="s">
        <v>31</v>
      </c>
      <c r="G1441" t="s">
        <v>32</v>
      </c>
      <c r="H1441" t="s">
        <v>33</v>
      </c>
      <c r="I1441" t="s">
        <v>57</v>
      </c>
      <c r="O1441" s="5"/>
      <c r="P1441" s="5"/>
    </row>
    <row r="1442" spans="1:27" x14ac:dyDescent="0.25">
      <c r="A1442" s="4">
        <v>42564</v>
      </c>
      <c r="B1442" t="s">
        <v>30</v>
      </c>
      <c r="C1442">
        <v>503</v>
      </c>
      <c r="D1442">
        <v>7</v>
      </c>
      <c r="E1442">
        <v>2</v>
      </c>
      <c r="F1442" t="s">
        <v>31</v>
      </c>
      <c r="G1442" t="s">
        <v>32</v>
      </c>
      <c r="H1442" t="s">
        <v>33</v>
      </c>
      <c r="I1442" t="s">
        <v>34</v>
      </c>
      <c r="J1442" t="s">
        <v>35</v>
      </c>
      <c r="K1442" t="s">
        <v>114</v>
      </c>
      <c r="L1442" t="s">
        <v>37</v>
      </c>
      <c r="M1442">
        <v>0</v>
      </c>
      <c r="N1442">
        <v>0</v>
      </c>
      <c r="O1442" s="5">
        <v>50442</v>
      </c>
      <c r="P1442" s="5">
        <v>50441</v>
      </c>
      <c r="Q1442">
        <f>24-10.5</f>
        <v>13.5</v>
      </c>
      <c r="R1442" t="s">
        <v>38</v>
      </c>
      <c r="S1442" t="s">
        <v>39</v>
      </c>
      <c r="T1442">
        <v>18</v>
      </c>
      <c r="U1442">
        <v>72</v>
      </c>
      <c r="V1442">
        <v>15</v>
      </c>
      <c r="W1442">
        <v>12.5</v>
      </c>
      <c r="X1442">
        <v>23.7</v>
      </c>
      <c r="Z1442" t="s">
        <v>39</v>
      </c>
    </row>
    <row r="1443" spans="1:27" x14ac:dyDescent="0.25">
      <c r="A1443" s="4">
        <v>42564</v>
      </c>
      <c r="B1443" t="s">
        <v>30</v>
      </c>
      <c r="C1443">
        <v>503</v>
      </c>
      <c r="D1443">
        <v>8</v>
      </c>
      <c r="E1443">
        <v>1</v>
      </c>
      <c r="F1443" t="s">
        <v>31</v>
      </c>
      <c r="G1443" t="s">
        <v>32</v>
      </c>
      <c r="H1443" t="s">
        <v>33</v>
      </c>
      <c r="I1443" t="s">
        <v>53</v>
      </c>
      <c r="J1443" t="s">
        <v>62</v>
      </c>
      <c r="O1443" s="5"/>
      <c r="P1443" s="5"/>
    </row>
    <row r="1444" spans="1:27" x14ac:dyDescent="0.25">
      <c r="A1444" s="4">
        <v>42564</v>
      </c>
      <c r="B1444" t="s">
        <v>30</v>
      </c>
      <c r="C1444">
        <v>503</v>
      </c>
      <c r="D1444">
        <v>8</v>
      </c>
      <c r="E1444">
        <v>2</v>
      </c>
      <c r="F1444" t="s">
        <v>31</v>
      </c>
      <c r="G1444" t="s">
        <v>32</v>
      </c>
      <c r="H1444" t="s">
        <v>33</v>
      </c>
      <c r="I1444" t="s">
        <v>57</v>
      </c>
      <c r="O1444" s="5"/>
      <c r="P1444" s="5"/>
    </row>
    <row r="1445" spans="1:27" x14ac:dyDescent="0.25">
      <c r="A1445" s="4">
        <v>42564</v>
      </c>
      <c r="B1445" t="s">
        <v>30</v>
      </c>
      <c r="C1445">
        <v>503</v>
      </c>
      <c r="D1445">
        <v>9</v>
      </c>
      <c r="E1445">
        <v>1</v>
      </c>
      <c r="F1445" t="s">
        <v>31</v>
      </c>
      <c r="G1445" t="s">
        <v>32</v>
      </c>
      <c r="H1445" t="s">
        <v>33</v>
      </c>
      <c r="I1445" t="s">
        <v>57</v>
      </c>
      <c r="O1445" s="5"/>
      <c r="P1445" s="5"/>
    </row>
    <row r="1446" spans="1:27" x14ac:dyDescent="0.25">
      <c r="A1446" s="4">
        <v>42564</v>
      </c>
      <c r="B1446" t="s">
        <v>30</v>
      </c>
      <c r="C1446">
        <v>503</v>
      </c>
      <c r="D1446">
        <v>10</v>
      </c>
      <c r="E1446">
        <v>1</v>
      </c>
      <c r="F1446" t="s">
        <v>31</v>
      </c>
      <c r="G1446" t="s">
        <v>32</v>
      </c>
      <c r="H1446" t="s">
        <v>33</v>
      </c>
      <c r="I1446" t="s">
        <v>58</v>
      </c>
      <c r="J1446" t="s">
        <v>42</v>
      </c>
      <c r="K1446" t="s">
        <v>36</v>
      </c>
      <c r="L1446" t="s">
        <v>37</v>
      </c>
      <c r="M1446">
        <v>0</v>
      </c>
      <c r="N1446">
        <v>1</v>
      </c>
      <c r="O1446" s="5">
        <v>50736</v>
      </c>
      <c r="P1446" s="5"/>
      <c r="Q1446">
        <f>33.5-9.5</f>
        <v>24</v>
      </c>
      <c r="R1446" t="s">
        <v>83</v>
      </c>
      <c r="S1446" t="s">
        <v>39</v>
      </c>
      <c r="T1446">
        <v>19</v>
      </c>
      <c r="Z1446" t="s">
        <v>39</v>
      </c>
    </row>
    <row r="1447" spans="1:27" x14ac:dyDescent="0.25">
      <c r="A1447" s="4">
        <v>42564</v>
      </c>
      <c r="B1447" t="s">
        <v>30</v>
      </c>
      <c r="C1447">
        <v>503</v>
      </c>
      <c r="D1447">
        <v>10</v>
      </c>
      <c r="E1447">
        <v>2</v>
      </c>
      <c r="F1447" t="s">
        <v>31</v>
      </c>
      <c r="G1447" t="s">
        <v>32</v>
      </c>
      <c r="H1447" t="s">
        <v>33</v>
      </c>
      <c r="I1447" t="s">
        <v>34</v>
      </c>
      <c r="J1447" t="s">
        <v>35</v>
      </c>
      <c r="K1447" t="s">
        <v>114</v>
      </c>
      <c r="L1447" t="s">
        <v>37</v>
      </c>
      <c r="M1447">
        <v>0</v>
      </c>
      <c r="N1447">
        <v>0</v>
      </c>
      <c r="O1447" s="5">
        <v>50550</v>
      </c>
      <c r="P1447" s="5">
        <v>50549</v>
      </c>
      <c r="Q1447">
        <v>12</v>
      </c>
      <c r="R1447" t="s">
        <v>38</v>
      </c>
      <c r="S1447" t="s">
        <v>39</v>
      </c>
      <c r="T1447">
        <v>18</v>
      </c>
      <c r="U1447">
        <v>76</v>
      </c>
      <c r="V1447">
        <v>15</v>
      </c>
      <c r="W1447">
        <v>12.5</v>
      </c>
      <c r="X1447">
        <v>26.8</v>
      </c>
      <c r="Z1447" t="s">
        <v>39</v>
      </c>
    </row>
    <row r="1448" spans="1:27" x14ac:dyDescent="0.25">
      <c r="A1448" s="4">
        <v>42564</v>
      </c>
      <c r="B1448" t="s">
        <v>30</v>
      </c>
      <c r="C1448">
        <v>303</v>
      </c>
      <c r="D1448">
        <v>1</v>
      </c>
      <c r="E1448">
        <v>1</v>
      </c>
      <c r="F1448" t="s">
        <v>31</v>
      </c>
      <c r="G1448" t="s">
        <v>32</v>
      </c>
      <c r="H1448" t="s">
        <v>33</v>
      </c>
      <c r="I1448" t="s">
        <v>34</v>
      </c>
      <c r="J1448" t="s">
        <v>35</v>
      </c>
      <c r="K1448" t="s">
        <v>36</v>
      </c>
      <c r="L1448" t="s">
        <v>43</v>
      </c>
      <c r="M1448">
        <v>0</v>
      </c>
      <c r="N1448">
        <v>0</v>
      </c>
      <c r="O1448" s="5">
        <v>50321</v>
      </c>
      <c r="P1448" s="5">
        <v>50320</v>
      </c>
      <c r="Q1448">
        <v>22</v>
      </c>
      <c r="R1448" t="s">
        <v>65</v>
      </c>
      <c r="T1448">
        <v>19</v>
      </c>
      <c r="U1448">
        <v>82</v>
      </c>
      <c r="V1448">
        <v>16.5</v>
      </c>
      <c r="W1448">
        <v>13.4</v>
      </c>
      <c r="X1448">
        <v>28.2</v>
      </c>
      <c r="Z1448" t="s">
        <v>39</v>
      </c>
    </row>
    <row r="1449" spans="1:27" x14ac:dyDescent="0.25">
      <c r="A1449" s="4">
        <v>42564</v>
      </c>
      <c r="B1449" t="s">
        <v>30</v>
      </c>
      <c r="C1449">
        <v>303</v>
      </c>
      <c r="D1449">
        <v>1</v>
      </c>
      <c r="E1449">
        <v>2</v>
      </c>
      <c r="F1449" t="s">
        <v>31</v>
      </c>
      <c r="G1449" t="s">
        <v>32</v>
      </c>
      <c r="H1449" t="s">
        <v>33</v>
      </c>
      <c r="I1449" t="s">
        <v>34</v>
      </c>
      <c r="J1449" t="s">
        <v>35</v>
      </c>
      <c r="K1449" t="s">
        <v>114</v>
      </c>
      <c r="L1449" t="s">
        <v>37</v>
      </c>
      <c r="M1449">
        <v>0</v>
      </c>
      <c r="N1449">
        <v>0</v>
      </c>
      <c r="O1449" s="5">
        <v>50582</v>
      </c>
      <c r="P1449" s="5">
        <v>505821</v>
      </c>
      <c r="Q1449">
        <v>22</v>
      </c>
      <c r="R1449" t="s">
        <v>81</v>
      </c>
      <c r="S1449" t="s">
        <v>39</v>
      </c>
      <c r="T1449">
        <v>19</v>
      </c>
      <c r="U1449">
        <v>81</v>
      </c>
      <c r="V1449">
        <v>17</v>
      </c>
      <c r="W1449">
        <v>13.7</v>
      </c>
      <c r="X1449">
        <v>28.1</v>
      </c>
      <c r="Z1449" t="s">
        <v>39</v>
      </c>
    </row>
    <row r="1450" spans="1:27" x14ac:dyDescent="0.25">
      <c r="A1450" s="4">
        <v>42564</v>
      </c>
      <c r="B1450" t="s">
        <v>30</v>
      </c>
      <c r="C1450">
        <v>303</v>
      </c>
      <c r="D1450">
        <v>2</v>
      </c>
      <c r="E1450">
        <v>1</v>
      </c>
      <c r="F1450" t="s">
        <v>31</v>
      </c>
      <c r="G1450" t="s">
        <v>32</v>
      </c>
      <c r="H1450" t="s">
        <v>33</v>
      </c>
      <c r="I1450" t="s">
        <v>57</v>
      </c>
      <c r="O1450" s="5"/>
      <c r="P1450" s="5"/>
    </row>
    <row r="1451" spans="1:27" x14ac:dyDescent="0.25">
      <c r="A1451" s="4">
        <v>42564</v>
      </c>
      <c r="B1451" t="s">
        <v>30</v>
      </c>
      <c r="C1451">
        <v>303</v>
      </c>
      <c r="D1451">
        <v>2</v>
      </c>
      <c r="E1451">
        <v>2</v>
      </c>
      <c r="F1451" t="s">
        <v>31</v>
      </c>
      <c r="G1451" t="s">
        <v>32</v>
      </c>
      <c r="H1451" t="s">
        <v>33</v>
      </c>
      <c r="I1451" t="s">
        <v>53</v>
      </c>
      <c r="J1451" t="s">
        <v>62</v>
      </c>
      <c r="O1451" s="5"/>
      <c r="P1451" s="5"/>
    </row>
    <row r="1452" spans="1:27" x14ac:dyDescent="0.25">
      <c r="A1452" s="4">
        <v>42564</v>
      </c>
      <c r="B1452" t="s">
        <v>30</v>
      </c>
      <c r="C1452">
        <v>303</v>
      </c>
      <c r="D1452">
        <v>5</v>
      </c>
      <c r="E1452">
        <v>1</v>
      </c>
      <c r="F1452" t="s">
        <v>31</v>
      </c>
      <c r="G1452" t="s">
        <v>32</v>
      </c>
      <c r="H1452" t="s">
        <v>33</v>
      </c>
      <c r="I1452" t="s">
        <v>57</v>
      </c>
      <c r="O1452" s="5"/>
      <c r="P1452" s="5"/>
    </row>
    <row r="1453" spans="1:27" x14ac:dyDescent="0.25">
      <c r="A1453" s="4">
        <v>42564</v>
      </c>
      <c r="B1453" t="s">
        <v>30</v>
      </c>
      <c r="C1453">
        <v>303</v>
      </c>
      <c r="D1453">
        <v>5</v>
      </c>
      <c r="E1453">
        <v>2</v>
      </c>
      <c r="F1453" t="s">
        <v>31</v>
      </c>
      <c r="G1453" t="s">
        <v>32</v>
      </c>
      <c r="H1453" t="s">
        <v>33</v>
      </c>
      <c r="I1453" t="s">
        <v>57</v>
      </c>
      <c r="O1453" s="5"/>
      <c r="P1453" s="5"/>
    </row>
    <row r="1454" spans="1:27" x14ac:dyDescent="0.25">
      <c r="A1454" s="4">
        <v>42564</v>
      </c>
      <c r="B1454" t="s">
        <v>30</v>
      </c>
      <c r="C1454">
        <v>303</v>
      </c>
      <c r="D1454">
        <v>6</v>
      </c>
      <c r="E1454">
        <v>1</v>
      </c>
      <c r="F1454" t="s">
        <v>31</v>
      </c>
      <c r="G1454" t="s">
        <v>32</v>
      </c>
      <c r="H1454" t="s">
        <v>33</v>
      </c>
      <c r="I1454" t="s">
        <v>58</v>
      </c>
      <c r="J1454" t="s">
        <v>42</v>
      </c>
      <c r="K1454" t="s">
        <v>89</v>
      </c>
      <c r="L1454" t="s">
        <v>37</v>
      </c>
      <c r="M1454">
        <v>0</v>
      </c>
      <c r="N1454">
        <v>1</v>
      </c>
      <c r="O1454" s="5">
        <v>50738</v>
      </c>
      <c r="P1454" s="5"/>
      <c r="Q1454">
        <f>28-10.5</f>
        <v>17.5</v>
      </c>
      <c r="R1454" t="s">
        <v>83</v>
      </c>
      <c r="S1454" t="s">
        <v>39</v>
      </c>
      <c r="T1454">
        <v>16</v>
      </c>
      <c r="W1454">
        <v>12.6</v>
      </c>
      <c r="X1454">
        <v>27.9</v>
      </c>
      <c r="Z1454" t="s">
        <v>97</v>
      </c>
      <c r="AA1454" t="s">
        <v>203</v>
      </c>
    </row>
    <row r="1455" spans="1:27" x14ac:dyDescent="0.25">
      <c r="A1455" s="4">
        <v>42564</v>
      </c>
      <c r="B1455" t="s">
        <v>30</v>
      </c>
      <c r="C1455">
        <v>303</v>
      </c>
      <c r="D1455">
        <v>6</v>
      </c>
      <c r="E1455">
        <v>2</v>
      </c>
      <c r="F1455" t="s">
        <v>31</v>
      </c>
      <c r="G1455" t="s">
        <v>32</v>
      </c>
      <c r="H1455" t="s">
        <v>33</v>
      </c>
      <c r="I1455" t="s">
        <v>58</v>
      </c>
      <c r="J1455" t="s">
        <v>35</v>
      </c>
      <c r="K1455" t="s">
        <v>36</v>
      </c>
      <c r="L1455" t="s">
        <v>43</v>
      </c>
      <c r="M1455">
        <v>0</v>
      </c>
      <c r="N1455">
        <v>0</v>
      </c>
      <c r="O1455" s="5"/>
      <c r="P1455" s="5">
        <v>50137</v>
      </c>
      <c r="Q1455">
        <f>34-11</f>
        <v>23</v>
      </c>
      <c r="R1455" t="s">
        <v>47</v>
      </c>
      <c r="T1455">
        <v>17</v>
      </c>
      <c r="Z1455" t="s">
        <v>97</v>
      </c>
    </row>
    <row r="1456" spans="1:27" x14ac:dyDescent="0.25">
      <c r="A1456" s="4">
        <v>42564</v>
      </c>
      <c r="B1456" t="s">
        <v>30</v>
      </c>
      <c r="C1456">
        <v>303</v>
      </c>
      <c r="D1456">
        <v>7</v>
      </c>
      <c r="E1456">
        <v>1</v>
      </c>
      <c r="F1456" t="s">
        <v>31</v>
      </c>
      <c r="G1456" t="s">
        <v>32</v>
      </c>
      <c r="H1456" t="s">
        <v>33</v>
      </c>
      <c r="I1456" t="s">
        <v>53</v>
      </c>
      <c r="J1456" t="s">
        <v>123</v>
      </c>
      <c r="O1456" s="5"/>
      <c r="P1456" s="5"/>
    </row>
    <row r="1457" spans="1:30" x14ac:dyDescent="0.25">
      <c r="A1457" s="4">
        <v>42564</v>
      </c>
      <c r="B1457" t="s">
        <v>30</v>
      </c>
      <c r="C1457">
        <v>303</v>
      </c>
      <c r="D1457">
        <v>8</v>
      </c>
      <c r="E1457">
        <v>1</v>
      </c>
      <c r="F1457" t="s">
        <v>31</v>
      </c>
      <c r="G1457" t="s">
        <v>32</v>
      </c>
      <c r="H1457" t="s">
        <v>33</v>
      </c>
      <c r="I1457" t="s">
        <v>57</v>
      </c>
      <c r="O1457" s="5"/>
      <c r="P1457" s="5"/>
    </row>
    <row r="1458" spans="1:30" x14ac:dyDescent="0.25">
      <c r="A1458" s="4">
        <v>42564</v>
      </c>
      <c r="B1458" t="s">
        <v>30</v>
      </c>
      <c r="C1458">
        <v>303</v>
      </c>
      <c r="D1458">
        <v>8</v>
      </c>
      <c r="E1458">
        <v>2</v>
      </c>
      <c r="F1458" t="s">
        <v>31</v>
      </c>
      <c r="G1458" t="s">
        <v>32</v>
      </c>
      <c r="H1458" t="s">
        <v>33</v>
      </c>
      <c r="I1458" t="s">
        <v>57</v>
      </c>
      <c r="O1458" s="5"/>
      <c r="P1458" s="5"/>
    </row>
    <row r="1459" spans="1:30" x14ac:dyDescent="0.25">
      <c r="A1459" s="4">
        <v>42564</v>
      </c>
      <c r="B1459" t="s">
        <v>30</v>
      </c>
      <c r="C1459">
        <v>303</v>
      </c>
      <c r="D1459">
        <v>9</v>
      </c>
      <c r="E1459">
        <v>1</v>
      </c>
      <c r="F1459" t="s">
        <v>31</v>
      </c>
      <c r="G1459" t="s">
        <v>32</v>
      </c>
      <c r="H1459" t="s">
        <v>33</v>
      </c>
      <c r="I1459" t="s">
        <v>58</v>
      </c>
      <c r="J1459" t="s">
        <v>35</v>
      </c>
      <c r="K1459" t="s">
        <v>36</v>
      </c>
      <c r="L1459" t="s">
        <v>43</v>
      </c>
      <c r="M1459">
        <v>0</v>
      </c>
      <c r="N1459">
        <v>0</v>
      </c>
      <c r="O1459" s="5">
        <v>50732</v>
      </c>
      <c r="P1459" s="5"/>
      <c r="Q1459">
        <f>38.5-13.5</f>
        <v>25</v>
      </c>
      <c r="R1459" t="s">
        <v>47</v>
      </c>
      <c r="T1459">
        <v>18</v>
      </c>
      <c r="W1459">
        <v>13.8</v>
      </c>
      <c r="X1459">
        <v>27.3</v>
      </c>
      <c r="Z1459" t="s">
        <v>97</v>
      </c>
      <c r="AA1459" t="s">
        <v>204</v>
      </c>
      <c r="AD1459" t="s">
        <v>205</v>
      </c>
    </row>
    <row r="1460" spans="1:30" x14ac:dyDescent="0.25">
      <c r="A1460" s="4">
        <v>42564</v>
      </c>
      <c r="B1460" t="s">
        <v>30</v>
      </c>
      <c r="C1460">
        <v>303</v>
      </c>
      <c r="D1460">
        <v>10</v>
      </c>
      <c r="E1460">
        <v>1</v>
      </c>
      <c r="F1460" t="s">
        <v>31</v>
      </c>
      <c r="G1460" t="s">
        <v>32</v>
      </c>
      <c r="H1460" t="s">
        <v>33</v>
      </c>
      <c r="I1460" t="s">
        <v>57</v>
      </c>
      <c r="O1460" s="5"/>
      <c r="P1460" s="5"/>
    </row>
    <row r="1461" spans="1:30" x14ac:dyDescent="0.25">
      <c r="A1461" s="4">
        <v>42564</v>
      </c>
      <c r="B1461" t="s">
        <v>30</v>
      </c>
      <c r="C1461">
        <v>303</v>
      </c>
      <c r="D1461">
        <v>10</v>
      </c>
      <c r="E1461">
        <v>2</v>
      </c>
      <c r="F1461" t="s">
        <v>31</v>
      </c>
      <c r="G1461" t="s">
        <v>32</v>
      </c>
      <c r="H1461" t="s">
        <v>33</v>
      </c>
      <c r="I1461" t="s">
        <v>58</v>
      </c>
      <c r="J1461" t="s">
        <v>35</v>
      </c>
      <c r="K1461" t="s">
        <v>36</v>
      </c>
      <c r="L1461" t="s">
        <v>43</v>
      </c>
      <c r="M1461">
        <v>0</v>
      </c>
      <c r="N1461">
        <v>0</v>
      </c>
      <c r="O1461" s="5"/>
      <c r="P1461" s="5">
        <v>50439</v>
      </c>
      <c r="Q1461">
        <v>21</v>
      </c>
      <c r="R1461" t="s">
        <v>47</v>
      </c>
      <c r="T1461">
        <v>18</v>
      </c>
      <c r="W1461">
        <v>13.5</v>
      </c>
      <c r="X1461">
        <v>27.7</v>
      </c>
      <c r="Z1461" t="s">
        <v>39</v>
      </c>
    </row>
    <row r="1462" spans="1:30" x14ac:dyDescent="0.25">
      <c r="A1462" s="4">
        <v>42564</v>
      </c>
      <c r="B1462" t="s">
        <v>30</v>
      </c>
      <c r="C1462">
        <v>401</v>
      </c>
      <c r="D1462">
        <v>1</v>
      </c>
      <c r="E1462">
        <v>1</v>
      </c>
      <c r="F1462" t="s">
        <v>31</v>
      </c>
      <c r="G1462" t="s">
        <v>32</v>
      </c>
      <c r="H1462" t="s">
        <v>33</v>
      </c>
      <c r="I1462" t="s">
        <v>57</v>
      </c>
      <c r="O1462" s="5"/>
      <c r="P1462" s="5"/>
    </row>
    <row r="1463" spans="1:30" x14ac:dyDescent="0.25">
      <c r="A1463" s="4">
        <v>42564</v>
      </c>
      <c r="B1463" t="s">
        <v>30</v>
      </c>
      <c r="C1463">
        <v>401</v>
      </c>
      <c r="D1463">
        <v>1</v>
      </c>
      <c r="E1463">
        <v>2</v>
      </c>
      <c r="F1463" t="s">
        <v>31</v>
      </c>
      <c r="G1463" t="s">
        <v>32</v>
      </c>
      <c r="H1463" t="s">
        <v>33</v>
      </c>
      <c r="I1463" t="s">
        <v>57</v>
      </c>
      <c r="O1463" s="5"/>
      <c r="P1463" s="5"/>
    </row>
    <row r="1464" spans="1:30" x14ac:dyDescent="0.25">
      <c r="A1464" s="4">
        <v>42564</v>
      </c>
      <c r="B1464" t="s">
        <v>30</v>
      </c>
      <c r="C1464">
        <v>401</v>
      </c>
      <c r="D1464">
        <v>2</v>
      </c>
      <c r="E1464">
        <v>1</v>
      </c>
      <c r="F1464" t="s">
        <v>31</v>
      </c>
      <c r="G1464" t="s">
        <v>32</v>
      </c>
      <c r="H1464" t="s">
        <v>33</v>
      </c>
      <c r="I1464" t="s">
        <v>57</v>
      </c>
      <c r="O1464" s="5"/>
      <c r="P1464" s="5"/>
    </row>
    <row r="1465" spans="1:30" x14ac:dyDescent="0.25">
      <c r="A1465" s="4">
        <v>42564</v>
      </c>
      <c r="B1465" t="s">
        <v>30</v>
      </c>
      <c r="C1465">
        <v>401</v>
      </c>
      <c r="D1465">
        <v>3</v>
      </c>
      <c r="E1465">
        <v>1</v>
      </c>
      <c r="F1465" t="s">
        <v>31</v>
      </c>
      <c r="G1465" t="s">
        <v>32</v>
      </c>
      <c r="H1465" t="s">
        <v>33</v>
      </c>
      <c r="I1465" t="s">
        <v>34</v>
      </c>
      <c r="J1465" t="s">
        <v>35</v>
      </c>
      <c r="K1465" t="s">
        <v>114</v>
      </c>
      <c r="L1465" t="s">
        <v>43</v>
      </c>
      <c r="M1465">
        <v>0</v>
      </c>
      <c r="N1465">
        <v>0</v>
      </c>
      <c r="O1465" s="5">
        <v>50590</v>
      </c>
      <c r="P1465" s="5">
        <v>50589</v>
      </c>
      <c r="Q1465">
        <f>35-19</f>
        <v>16</v>
      </c>
      <c r="R1465" t="s">
        <v>47</v>
      </c>
      <c r="T1465">
        <v>19</v>
      </c>
      <c r="U1465">
        <v>76</v>
      </c>
      <c r="V1465">
        <v>17</v>
      </c>
      <c r="W1465">
        <v>12.7</v>
      </c>
      <c r="X1465">
        <v>26.1</v>
      </c>
      <c r="Z1465" t="s">
        <v>39</v>
      </c>
    </row>
    <row r="1466" spans="1:30" x14ac:dyDescent="0.25">
      <c r="A1466" s="4">
        <v>42564</v>
      </c>
      <c r="B1466" t="s">
        <v>30</v>
      </c>
      <c r="C1466">
        <v>401</v>
      </c>
      <c r="D1466">
        <v>5</v>
      </c>
      <c r="E1466">
        <v>1</v>
      </c>
      <c r="F1466" t="s">
        <v>31</v>
      </c>
      <c r="G1466" t="s">
        <v>32</v>
      </c>
      <c r="H1466" t="s">
        <v>33</v>
      </c>
      <c r="I1466" t="s">
        <v>53</v>
      </c>
      <c r="J1466" t="s">
        <v>62</v>
      </c>
      <c r="O1466" s="5"/>
      <c r="P1466" s="5"/>
    </row>
    <row r="1467" spans="1:30" x14ac:dyDescent="0.25">
      <c r="A1467" s="4">
        <v>42564</v>
      </c>
      <c r="B1467" t="s">
        <v>30</v>
      </c>
      <c r="C1467">
        <v>401</v>
      </c>
      <c r="D1467">
        <v>6</v>
      </c>
      <c r="E1467">
        <v>1</v>
      </c>
      <c r="F1467" t="s">
        <v>31</v>
      </c>
      <c r="G1467" t="s">
        <v>32</v>
      </c>
      <c r="H1467" t="s">
        <v>33</v>
      </c>
      <c r="I1467" t="s">
        <v>57</v>
      </c>
      <c r="O1467" s="5"/>
      <c r="P1467" s="5"/>
    </row>
    <row r="1468" spans="1:30" x14ac:dyDescent="0.25">
      <c r="A1468" s="4">
        <v>42564</v>
      </c>
      <c r="B1468" t="s">
        <v>30</v>
      </c>
      <c r="C1468">
        <v>401</v>
      </c>
      <c r="D1468">
        <v>8</v>
      </c>
      <c r="E1468">
        <v>1</v>
      </c>
      <c r="F1468" t="s">
        <v>31</v>
      </c>
      <c r="G1468" t="s">
        <v>32</v>
      </c>
      <c r="H1468" t="s">
        <v>33</v>
      </c>
      <c r="I1468" t="s">
        <v>57</v>
      </c>
      <c r="O1468" s="5"/>
      <c r="P1468" s="5"/>
    </row>
    <row r="1469" spans="1:30" x14ac:dyDescent="0.25">
      <c r="A1469" s="4">
        <v>42564</v>
      </c>
      <c r="B1469" t="s">
        <v>30</v>
      </c>
      <c r="C1469">
        <v>401</v>
      </c>
      <c r="D1469">
        <v>9</v>
      </c>
      <c r="E1469">
        <v>1</v>
      </c>
      <c r="F1469" t="s">
        <v>31</v>
      </c>
      <c r="G1469" t="s">
        <v>32</v>
      </c>
      <c r="H1469" t="s">
        <v>33</v>
      </c>
      <c r="I1469" t="s">
        <v>57</v>
      </c>
      <c r="O1469" s="5"/>
      <c r="P1469" s="5"/>
    </row>
    <row r="1470" spans="1:30" x14ac:dyDescent="0.25">
      <c r="A1470" s="4">
        <v>42564</v>
      </c>
      <c r="B1470" t="s">
        <v>30</v>
      </c>
      <c r="C1470">
        <v>401</v>
      </c>
      <c r="D1470">
        <v>10</v>
      </c>
      <c r="E1470">
        <v>1</v>
      </c>
      <c r="F1470" t="s">
        <v>31</v>
      </c>
      <c r="G1470" t="s">
        <v>32</v>
      </c>
      <c r="H1470" t="s">
        <v>33</v>
      </c>
      <c r="I1470" t="s">
        <v>64</v>
      </c>
      <c r="J1470" t="s">
        <v>42</v>
      </c>
      <c r="K1470" t="s">
        <v>36</v>
      </c>
      <c r="L1470" t="s">
        <v>37</v>
      </c>
      <c r="M1470">
        <v>0</v>
      </c>
      <c r="N1470">
        <v>0</v>
      </c>
      <c r="O1470" s="5">
        <v>50739</v>
      </c>
      <c r="P1470" s="5"/>
      <c r="Q1470">
        <f>220-95</f>
        <v>125</v>
      </c>
      <c r="R1470" t="s">
        <v>38</v>
      </c>
      <c r="S1470" t="s">
        <v>39</v>
      </c>
      <c r="T1470">
        <v>44</v>
      </c>
      <c r="W1470">
        <v>24.7</v>
      </c>
      <c r="X1470">
        <v>46</v>
      </c>
      <c r="Y1470" t="s">
        <v>206</v>
      </c>
      <c r="Z1470" t="s">
        <v>39</v>
      </c>
    </row>
    <row r="1471" spans="1:30" x14ac:dyDescent="0.25">
      <c r="A1471" s="4">
        <v>42564</v>
      </c>
      <c r="B1471" t="s">
        <v>30</v>
      </c>
      <c r="C1471">
        <v>703</v>
      </c>
      <c r="D1471">
        <v>1</v>
      </c>
      <c r="E1471">
        <v>1</v>
      </c>
      <c r="F1471" t="s">
        <v>41</v>
      </c>
      <c r="G1471" t="s">
        <v>32</v>
      </c>
      <c r="H1471" t="s">
        <v>33</v>
      </c>
      <c r="I1471" t="s">
        <v>34</v>
      </c>
      <c r="J1471" t="s">
        <v>35</v>
      </c>
      <c r="K1471" t="s">
        <v>89</v>
      </c>
      <c r="L1471" t="s">
        <v>43</v>
      </c>
      <c r="M1471">
        <v>0</v>
      </c>
      <c r="N1471">
        <v>0</v>
      </c>
      <c r="O1471" s="5">
        <v>50692</v>
      </c>
      <c r="P1471" s="5">
        <v>50691</v>
      </c>
      <c r="Q1471">
        <f>23-9</f>
        <v>14</v>
      </c>
      <c r="R1471" t="s">
        <v>65</v>
      </c>
      <c r="T1471">
        <v>19</v>
      </c>
      <c r="U1471">
        <v>71</v>
      </c>
      <c r="V1471">
        <v>14</v>
      </c>
      <c r="W1471">
        <v>12.8</v>
      </c>
      <c r="X1471">
        <v>27.5</v>
      </c>
      <c r="Z1471" t="s">
        <v>39</v>
      </c>
      <c r="AB1471" t="s">
        <v>87</v>
      </c>
      <c r="AC1471" t="s">
        <v>88</v>
      </c>
    </row>
    <row r="1472" spans="1:30" x14ac:dyDescent="0.25">
      <c r="A1472" s="4">
        <v>42564</v>
      </c>
      <c r="B1472" t="s">
        <v>30</v>
      </c>
      <c r="C1472">
        <v>703</v>
      </c>
      <c r="D1472">
        <v>2</v>
      </c>
      <c r="E1472">
        <v>1</v>
      </c>
      <c r="F1472" t="s">
        <v>41</v>
      </c>
      <c r="G1472" t="s">
        <v>32</v>
      </c>
      <c r="H1472" t="s">
        <v>33</v>
      </c>
      <c r="I1472" t="s">
        <v>57</v>
      </c>
      <c r="O1472" s="5"/>
      <c r="P1472" s="5"/>
    </row>
    <row r="1473" spans="1:30" x14ac:dyDescent="0.25">
      <c r="A1473" s="4">
        <v>42564</v>
      </c>
      <c r="B1473" t="s">
        <v>30</v>
      </c>
      <c r="C1473">
        <v>703</v>
      </c>
      <c r="D1473">
        <v>2</v>
      </c>
      <c r="E1473">
        <v>2</v>
      </c>
      <c r="F1473" t="s">
        <v>41</v>
      </c>
      <c r="G1473" t="s">
        <v>32</v>
      </c>
      <c r="H1473" t="s">
        <v>33</v>
      </c>
      <c r="I1473" t="s">
        <v>34</v>
      </c>
      <c r="J1473" t="s">
        <v>35</v>
      </c>
      <c r="K1473" t="s">
        <v>89</v>
      </c>
      <c r="L1473" t="s">
        <v>43</v>
      </c>
      <c r="M1473">
        <v>0</v>
      </c>
      <c r="N1473">
        <v>0</v>
      </c>
      <c r="O1473" s="5">
        <v>50470</v>
      </c>
      <c r="P1473" s="5">
        <v>50469</v>
      </c>
      <c r="Q1473">
        <f>24-9</f>
        <v>15</v>
      </c>
      <c r="R1473" t="s">
        <v>65</v>
      </c>
      <c r="T1473">
        <v>20</v>
      </c>
      <c r="U1473">
        <v>74</v>
      </c>
      <c r="V1473">
        <v>16</v>
      </c>
      <c r="W1473">
        <v>12.6</v>
      </c>
      <c r="X1473">
        <v>26.8</v>
      </c>
      <c r="Z1473" t="s">
        <v>39</v>
      </c>
      <c r="AB1473" t="s">
        <v>87</v>
      </c>
      <c r="AC1473" t="s">
        <v>88</v>
      </c>
    </row>
    <row r="1474" spans="1:30" x14ac:dyDescent="0.25">
      <c r="A1474" s="4">
        <v>42564</v>
      </c>
      <c r="B1474" t="s">
        <v>30</v>
      </c>
      <c r="C1474">
        <v>703</v>
      </c>
      <c r="D1474">
        <v>3</v>
      </c>
      <c r="E1474">
        <v>1</v>
      </c>
      <c r="F1474" t="s">
        <v>41</v>
      </c>
      <c r="G1474" t="s">
        <v>32</v>
      </c>
      <c r="H1474" t="s">
        <v>33</v>
      </c>
      <c r="I1474" t="s">
        <v>34</v>
      </c>
      <c r="J1474" t="s">
        <v>35</v>
      </c>
      <c r="K1474" t="s">
        <v>89</v>
      </c>
      <c r="L1474" t="s">
        <v>37</v>
      </c>
      <c r="M1474">
        <v>0</v>
      </c>
      <c r="N1474">
        <v>0</v>
      </c>
      <c r="O1474" s="5">
        <v>50517</v>
      </c>
      <c r="P1474" s="5">
        <v>50516</v>
      </c>
      <c r="Q1474">
        <f>23.5-9</f>
        <v>14.5</v>
      </c>
      <c r="R1474" t="s">
        <v>38</v>
      </c>
      <c r="S1474" t="s">
        <v>39</v>
      </c>
      <c r="T1474">
        <v>18</v>
      </c>
      <c r="U1474">
        <v>78</v>
      </c>
      <c r="V1474">
        <v>14</v>
      </c>
      <c r="W1474">
        <v>12.7</v>
      </c>
      <c r="X1474">
        <v>27</v>
      </c>
      <c r="Z1474" t="s">
        <v>39</v>
      </c>
      <c r="AB1474" t="s">
        <v>87</v>
      </c>
      <c r="AC1474" t="s">
        <v>88</v>
      </c>
    </row>
    <row r="1475" spans="1:30" x14ac:dyDescent="0.25">
      <c r="A1475" s="4">
        <v>42564</v>
      </c>
      <c r="B1475" t="s">
        <v>30</v>
      </c>
      <c r="C1475">
        <v>703</v>
      </c>
      <c r="D1475">
        <v>3</v>
      </c>
      <c r="E1475">
        <v>2</v>
      </c>
      <c r="F1475" t="s">
        <v>41</v>
      </c>
      <c r="G1475" t="s">
        <v>32</v>
      </c>
      <c r="H1475" t="s">
        <v>33</v>
      </c>
      <c r="I1475" t="s">
        <v>57</v>
      </c>
      <c r="O1475" s="5"/>
      <c r="P1475" s="5"/>
    </row>
    <row r="1476" spans="1:30" x14ac:dyDescent="0.25">
      <c r="A1476" s="4">
        <v>42564</v>
      </c>
      <c r="B1476" t="s">
        <v>30</v>
      </c>
      <c r="C1476">
        <v>703</v>
      </c>
      <c r="D1476">
        <v>4</v>
      </c>
      <c r="E1476">
        <v>1</v>
      </c>
      <c r="F1476" t="s">
        <v>41</v>
      </c>
      <c r="G1476" t="s">
        <v>32</v>
      </c>
      <c r="H1476" t="s">
        <v>33</v>
      </c>
      <c r="I1476" t="s">
        <v>34</v>
      </c>
      <c r="J1476" t="s">
        <v>35</v>
      </c>
      <c r="K1476" t="s">
        <v>89</v>
      </c>
      <c r="L1476" t="s">
        <v>37</v>
      </c>
      <c r="M1476">
        <v>0</v>
      </c>
      <c r="N1476">
        <v>0</v>
      </c>
      <c r="O1476" s="5">
        <v>50480</v>
      </c>
      <c r="P1476" s="5">
        <v>50479</v>
      </c>
      <c r="Q1476">
        <f>22.5-10</f>
        <v>12.5</v>
      </c>
      <c r="R1476" t="s">
        <v>38</v>
      </c>
      <c r="S1476" t="s">
        <v>39</v>
      </c>
      <c r="T1476">
        <v>19</v>
      </c>
      <c r="U1476">
        <v>72</v>
      </c>
      <c r="V1476">
        <v>15</v>
      </c>
      <c r="W1476">
        <v>12.6</v>
      </c>
      <c r="X1476">
        <v>26</v>
      </c>
      <c r="Z1476" t="s">
        <v>39</v>
      </c>
      <c r="AB1476" t="s">
        <v>87</v>
      </c>
      <c r="AC1476" t="s">
        <v>88</v>
      </c>
    </row>
    <row r="1477" spans="1:30" x14ac:dyDescent="0.25">
      <c r="A1477" s="4">
        <v>42564</v>
      </c>
      <c r="B1477" t="s">
        <v>30</v>
      </c>
      <c r="C1477">
        <v>703</v>
      </c>
      <c r="D1477">
        <v>5</v>
      </c>
      <c r="E1477">
        <v>1</v>
      </c>
      <c r="F1477" t="s">
        <v>41</v>
      </c>
      <c r="G1477" t="s">
        <v>32</v>
      </c>
      <c r="H1477" t="s">
        <v>33</v>
      </c>
      <c r="I1477" t="s">
        <v>57</v>
      </c>
      <c r="O1477" s="5"/>
      <c r="P1477" s="5"/>
    </row>
    <row r="1478" spans="1:30" x14ac:dyDescent="0.25">
      <c r="A1478" s="4">
        <v>42564</v>
      </c>
      <c r="B1478" t="s">
        <v>30</v>
      </c>
      <c r="C1478">
        <v>703</v>
      </c>
      <c r="D1478">
        <v>5</v>
      </c>
      <c r="E1478">
        <v>2</v>
      </c>
      <c r="F1478" t="s">
        <v>41</v>
      </c>
      <c r="G1478" t="s">
        <v>32</v>
      </c>
      <c r="H1478" t="s">
        <v>33</v>
      </c>
      <c r="I1478" t="s">
        <v>53</v>
      </c>
      <c r="J1478" t="s">
        <v>62</v>
      </c>
      <c r="O1478" s="5"/>
      <c r="P1478" s="5"/>
    </row>
    <row r="1479" spans="1:30" x14ac:dyDescent="0.25">
      <c r="A1479" s="4">
        <v>42564</v>
      </c>
      <c r="B1479" t="s">
        <v>30</v>
      </c>
      <c r="C1479">
        <v>703</v>
      </c>
      <c r="D1479">
        <v>6</v>
      </c>
      <c r="E1479">
        <v>1</v>
      </c>
      <c r="F1479" t="s">
        <v>41</v>
      </c>
      <c r="G1479" t="s">
        <v>32</v>
      </c>
      <c r="H1479" t="s">
        <v>33</v>
      </c>
      <c r="I1479" t="s">
        <v>58</v>
      </c>
      <c r="J1479" t="s">
        <v>42</v>
      </c>
      <c r="K1479" t="s">
        <v>89</v>
      </c>
      <c r="L1479" t="s">
        <v>37</v>
      </c>
      <c r="M1479">
        <v>0</v>
      </c>
      <c r="N1479">
        <v>1</v>
      </c>
      <c r="O1479" s="5">
        <v>50509</v>
      </c>
      <c r="P1479" s="5"/>
      <c r="Q1479">
        <f>23-9</f>
        <v>14</v>
      </c>
      <c r="R1479" t="s">
        <v>38</v>
      </c>
      <c r="S1479" t="s">
        <v>39</v>
      </c>
      <c r="T1479">
        <v>16.5</v>
      </c>
      <c r="W1479">
        <v>11.9</v>
      </c>
      <c r="X1479">
        <v>12.2</v>
      </c>
      <c r="Z1479" t="s">
        <v>97</v>
      </c>
      <c r="AA1479" t="s">
        <v>199</v>
      </c>
      <c r="AB1479" t="s">
        <v>87</v>
      </c>
      <c r="AC1479" t="s">
        <v>88</v>
      </c>
      <c r="AD1479" t="s">
        <v>207</v>
      </c>
    </row>
    <row r="1480" spans="1:30" x14ac:dyDescent="0.25">
      <c r="A1480" s="4">
        <v>42564</v>
      </c>
      <c r="B1480" t="s">
        <v>30</v>
      </c>
      <c r="C1480">
        <v>703</v>
      </c>
      <c r="D1480">
        <v>6</v>
      </c>
      <c r="E1480">
        <v>2</v>
      </c>
      <c r="F1480" t="s">
        <v>41</v>
      </c>
      <c r="G1480" t="s">
        <v>32</v>
      </c>
      <c r="H1480" t="s">
        <v>33</v>
      </c>
      <c r="I1480" t="s">
        <v>57</v>
      </c>
      <c r="O1480" s="5"/>
      <c r="P1480" s="5"/>
    </row>
    <row r="1481" spans="1:30" x14ac:dyDescent="0.25">
      <c r="A1481" s="4">
        <v>42564</v>
      </c>
      <c r="B1481" t="s">
        <v>30</v>
      </c>
      <c r="C1481">
        <v>703</v>
      </c>
      <c r="D1481">
        <v>7</v>
      </c>
      <c r="E1481">
        <v>1</v>
      </c>
      <c r="F1481" t="s">
        <v>41</v>
      </c>
      <c r="G1481" t="s">
        <v>32</v>
      </c>
      <c r="H1481" t="s">
        <v>33</v>
      </c>
      <c r="I1481" t="s">
        <v>58</v>
      </c>
      <c r="J1481" t="s">
        <v>35</v>
      </c>
      <c r="K1481" t="s">
        <v>36</v>
      </c>
      <c r="L1481" t="s">
        <v>43</v>
      </c>
      <c r="M1481">
        <v>0</v>
      </c>
      <c r="N1481">
        <v>0</v>
      </c>
      <c r="O1481" s="5">
        <v>50618</v>
      </c>
      <c r="P1481" s="5"/>
      <c r="Q1481">
        <f>31-9.5</f>
        <v>21.5</v>
      </c>
      <c r="R1481" t="s">
        <v>47</v>
      </c>
      <c r="T1481">
        <v>16</v>
      </c>
      <c r="W1481">
        <v>12.2</v>
      </c>
      <c r="X1481">
        <v>27.6</v>
      </c>
      <c r="Z1481" t="s">
        <v>97</v>
      </c>
      <c r="AA1481" t="s">
        <v>208</v>
      </c>
      <c r="AB1481" t="s">
        <v>87</v>
      </c>
      <c r="AC1481" t="s">
        <v>88</v>
      </c>
    </row>
    <row r="1482" spans="1:30" x14ac:dyDescent="0.25">
      <c r="A1482" s="4">
        <v>42564</v>
      </c>
      <c r="B1482" t="s">
        <v>30</v>
      </c>
      <c r="C1482">
        <v>703</v>
      </c>
      <c r="D1482">
        <v>7</v>
      </c>
      <c r="E1482">
        <v>2</v>
      </c>
      <c r="F1482" t="s">
        <v>41</v>
      </c>
      <c r="G1482" t="s">
        <v>32</v>
      </c>
      <c r="H1482" t="s">
        <v>33</v>
      </c>
      <c r="I1482" t="s">
        <v>57</v>
      </c>
      <c r="O1482" s="5"/>
      <c r="P1482" s="5"/>
    </row>
    <row r="1483" spans="1:30" x14ac:dyDescent="0.25">
      <c r="A1483" s="4">
        <v>42564</v>
      </c>
      <c r="B1483" t="s">
        <v>30</v>
      </c>
      <c r="C1483">
        <v>703</v>
      </c>
      <c r="D1483">
        <v>8</v>
      </c>
      <c r="E1483">
        <v>1</v>
      </c>
      <c r="F1483" t="s">
        <v>41</v>
      </c>
      <c r="G1483" t="s">
        <v>32</v>
      </c>
      <c r="H1483" t="s">
        <v>33</v>
      </c>
      <c r="I1483" t="s">
        <v>57</v>
      </c>
      <c r="O1483" s="5"/>
      <c r="P1483" s="5"/>
    </row>
    <row r="1484" spans="1:30" x14ac:dyDescent="0.25">
      <c r="A1484" s="4">
        <v>42564</v>
      </c>
      <c r="B1484" t="s">
        <v>30</v>
      </c>
      <c r="C1484">
        <v>703</v>
      </c>
      <c r="D1484">
        <v>8</v>
      </c>
      <c r="E1484">
        <v>2</v>
      </c>
      <c r="F1484" t="s">
        <v>41</v>
      </c>
      <c r="G1484" t="s">
        <v>32</v>
      </c>
      <c r="H1484" t="s">
        <v>33</v>
      </c>
      <c r="I1484" t="s">
        <v>34</v>
      </c>
      <c r="J1484" t="s">
        <v>35</v>
      </c>
      <c r="K1484" t="s">
        <v>89</v>
      </c>
      <c r="L1484" t="s">
        <v>37</v>
      </c>
      <c r="M1484">
        <v>0</v>
      </c>
      <c r="N1484">
        <v>0</v>
      </c>
      <c r="O1484" s="5">
        <v>50700</v>
      </c>
      <c r="P1484" s="5">
        <v>50699</v>
      </c>
      <c r="Q1484">
        <f>22.5-11</f>
        <v>11.5</v>
      </c>
      <c r="R1484" t="s">
        <v>38</v>
      </c>
      <c r="S1484" t="s">
        <v>39</v>
      </c>
      <c r="T1484">
        <v>20</v>
      </c>
      <c r="U1484">
        <v>71</v>
      </c>
      <c r="V1484">
        <v>14</v>
      </c>
      <c r="W1484">
        <v>12.6</v>
      </c>
      <c r="X1484">
        <v>26</v>
      </c>
      <c r="Z1484" t="s">
        <v>39</v>
      </c>
      <c r="AB1484" t="s">
        <v>87</v>
      </c>
      <c r="AC1484" t="s">
        <v>88</v>
      </c>
    </row>
    <row r="1485" spans="1:30" x14ac:dyDescent="0.25">
      <c r="A1485" s="4">
        <v>42564</v>
      </c>
      <c r="B1485" t="s">
        <v>30</v>
      </c>
      <c r="C1485">
        <v>703</v>
      </c>
      <c r="D1485">
        <v>9</v>
      </c>
      <c r="E1485">
        <v>1</v>
      </c>
      <c r="F1485" t="s">
        <v>41</v>
      </c>
      <c r="G1485" t="s">
        <v>32</v>
      </c>
      <c r="H1485" t="s">
        <v>33</v>
      </c>
      <c r="I1485" t="s">
        <v>57</v>
      </c>
      <c r="O1485" s="5"/>
      <c r="P1485" s="5"/>
    </row>
    <row r="1486" spans="1:30" x14ac:dyDescent="0.25">
      <c r="A1486" s="4">
        <v>42564</v>
      </c>
      <c r="B1486" t="s">
        <v>30</v>
      </c>
      <c r="C1486">
        <v>703</v>
      </c>
      <c r="D1486">
        <v>9</v>
      </c>
      <c r="E1486">
        <v>2</v>
      </c>
      <c r="F1486" t="s">
        <v>41</v>
      </c>
      <c r="G1486" t="s">
        <v>32</v>
      </c>
      <c r="H1486" t="s">
        <v>33</v>
      </c>
      <c r="I1486" t="s">
        <v>34</v>
      </c>
      <c r="J1486" t="s">
        <v>35</v>
      </c>
      <c r="K1486" t="s">
        <v>89</v>
      </c>
      <c r="L1486" t="s">
        <v>37</v>
      </c>
      <c r="M1486">
        <v>0</v>
      </c>
      <c r="N1486">
        <v>0</v>
      </c>
      <c r="O1486" s="5">
        <v>50610</v>
      </c>
      <c r="P1486" s="5">
        <v>50609</v>
      </c>
      <c r="Q1486">
        <v>12.5</v>
      </c>
      <c r="R1486" t="s">
        <v>38</v>
      </c>
      <c r="S1486" t="s">
        <v>39</v>
      </c>
      <c r="T1486">
        <v>19</v>
      </c>
      <c r="U1486">
        <v>65</v>
      </c>
      <c r="V1486">
        <v>13</v>
      </c>
      <c r="W1486">
        <v>12.8</v>
      </c>
      <c r="X1486">
        <v>27.4</v>
      </c>
      <c r="Z1486" t="s">
        <v>39</v>
      </c>
      <c r="AB1486" t="s">
        <v>87</v>
      </c>
      <c r="AC1486" t="s">
        <v>88</v>
      </c>
    </row>
    <row r="1487" spans="1:30" x14ac:dyDescent="0.25">
      <c r="A1487" s="4">
        <v>42564</v>
      </c>
      <c r="B1487" t="s">
        <v>30</v>
      </c>
      <c r="C1487">
        <v>703</v>
      </c>
      <c r="D1487">
        <v>10</v>
      </c>
      <c r="E1487">
        <v>1</v>
      </c>
      <c r="F1487" t="s">
        <v>41</v>
      </c>
      <c r="G1487" t="s">
        <v>32</v>
      </c>
      <c r="H1487" t="s">
        <v>33</v>
      </c>
      <c r="I1487" t="s">
        <v>34</v>
      </c>
      <c r="J1487" t="s">
        <v>42</v>
      </c>
      <c r="K1487" t="s">
        <v>89</v>
      </c>
      <c r="L1487" t="s">
        <v>37</v>
      </c>
      <c r="M1487">
        <v>0</v>
      </c>
      <c r="N1487">
        <v>1</v>
      </c>
      <c r="O1487" s="5">
        <v>50508</v>
      </c>
      <c r="P1487" s="5">
        <v>50507</v>
      </c>
      <c r="Q1487">
        <f>23.5-9</f>
        <v>14.5</v>
      </c>
      <c r="R1487" t="s">
        <v>38</v>
      </c>
      <c r="S1487" t="s">
        <v>39</v>
      </c>
      <c r="T1487">
        <v>20</v>
      </c>
      <c r="U1487">
        <v>79</v>
      </c>
      <c r="V1487">
        <v>13</v>
      </c>
      <c r="W1487">
        <v>12.9</v>
      </c>
      <c r="X1487">
        <v>26.8</v>
      </c>
      <c r="Z1487" t="s">
        <v>39</v>
      </c>
      <c r="AB1487" t="s">
        <v>87</v>
      </c>
      <c r="AC1487" t="s">
        <v>88</v>
      </c>
    </row>
    <row r="1488" spans="1:30" x14ac:dyDescent="0.25">
      <c r="A1488" s="4">
        <v>42564</v>
      </c>
      <c r="B1488" t="s">
        <v>30</v>
      </c>
      <c r="C1488">
        <v>703</v>
      </c>
      <c r="D1488">
        <v>10</v>
      </c>
      <c r="E1488">
        <v>2</v>
      </c>
      <c r="F1488" t="s">
        <v>41</v>
      </c>
      <c r="G1488" t="s">
        <v>32</v>
      </c>
      <c r="H1488" t="s">
        <v>33</v>
      </c>
      <c r="I1488" t="s">
        <v>34</v>
      </c>
      <c r="J1488" t="s">
        <v>35</v>
      </c>
      <c r="K1488" t="s">
        <v>89</v>
      </c>
      <c r="L1488" t="s">
        <v>37</v>
      </c>
      <c r="M1488">
        <v>0</v>
      </c>
      <c r="N1488">
        <v>0</v>
      </c>
      <c r="O1488" s="5">
        <v>50612</v>
      </c>
      <c r="P1488" s="5">
        <v>50611</v>
      </c>
      <c r="Q1488">
        <f>22-10</f>
        <v>12</v>
      </c>
      <c r="R1488" t="s">
        <v>38</v>
      </c>
      <c r="S1488" t="s">
        <v>39</v>
      </c>
      <c r="T1488">
        <v>20</v>
      </c>
      <c r="U1488">
        <v>71</v>
      </c>
      <c r="V1488">
        <v>13</v>
      </c>
      <c r="W1488">
        <v>12.6</v>
      </c>
      <c r="X1488">
        <v>25.5</v>
      </c>
      <c r="Z1488" t="s">
        <v>39</v>
      </c>
      <c r="AB1488" t="s">
        <v>87</v>
      </c>
      <c r="AC1488" t="s">
        <v>88</v>
      </c>
    </row>
    <row r="1489" spans="1:30" x14ac:dyDescent="0.25">
      <c r="A1489" s="4">
        <v>42564</v>
      </c>
      <c r="B1489" t="s">
        <v>30</v>
      </c>
      <c r="C1489">
        <v>701</v>
      </c>
      <c r="D1489">
        <v>1</v>
      </c>
      <c r="E1489">
        <v>1</v>
      </c>
      <c r="F1489" t="s">
        <v>41</v>
      </c>
      <c r="G1489" t="s">
        <v>32</v>
      </c>
      <c r="H1489" t="s">
        <v>33</v>
      </c>
      <c r="I1489" t="s">
        <v>34</v>
      </c>
      <c r="J1489" t="s">
        <v>35</v>
      </c>
      <c r="K1489" t="s">
        <v>114</v>
      </c>
      <c r="L1489" t="s">
        <v>37</v>
      </c>
      <c r="M1489">
        <v>0</v>
      </c>
      <c r="N1489">
        <v>0</v>
      </c>
      <c r="O1489" s="5">
        <v>50370</v>
      </c>
      <c r="P1489" s="5">
        <v>50369</v>
      </c>
      <c r="Q1489">
        <f>24.5-9</f>
        <v>15.5</v>
      </c>
      <c r="R1489" t="s">
        <v>47</v>
      </c>
      <c r="T1489">
        <v>19</v>
      </c>
      <c r="U1489">
        <v>70</v>
      </c>
      <c r="V1489">
        <v>17</v>
      </c>
      <c r="W1489">
        <v>12.8</v>
      </c>
      <c r="X1489">
        <v>27.4</v>
      </c>
      <c r="Z1489" t="s">
        <v>39</v>
      </c>
      <c r="AB1489" t="s">
        <v>87</v>
      </c>
      <c r="AC1489" t="s">
        <v>88</v>
      </c>
    </row>
    <row r="1490" spans="1:30" x14ac:dyDescent="0.25">
      <c r="A1490" s="4">
        <v>42564</v>
      </c>
      <c r="B1490" t="s">
        <v>30</v>
      </c>
      <c r="C1490">
        <v>701</v>
      </c>
      <c r="D1490">
        <v>1</v>
      </c>
      <c r="E1490">
        <v>2</v>
      </c>
      <c r="F1490" t="s">
        <v>41</v>
      </c>
      <c r="G1490" t="s">
        <v>32</v>
      </c>
      <c r="H1490" t="s">
        <v>33</v>
      </c>
      <c r="I1490" t="s">
        <v>58</v>
      </c>
      <c r="J1490" t="s">
        <v>122</v>
      </c>
      <c r="O1490" s="5"/>
      <c r="P1490" s="5"/>
    </row>
    <row r="1491" spans="1:30" x14ac:dyDescent="0.25">
      <c r="A1491" s="4">
        <v>42564</v>
      </c>
      <c r="B1491" t="s">
        <v>30</v>
      </c>
      <c r="C1491">
        <v>701</v>
      </c>
      <c r="D1491">
        <v>2</v>
      </c>
      <c r="E1491">
        <v>1</v>
      </c>
      <c r="F1491" t="s">
        <v>41</v>
      </c>
      <c r="G1491" t="s">
        <v>32</v>
      </c>
      <c r="H1491" t="s">
        <v>33</v>
      </c>
      <c r="I1491" t="s">
        <v>57</v>
      </c>
      <c r="O1491" s="5"/>
      <c r="P1491" s="5"/>
    </row>
    <row r="1492" spans="1:30" x14ac:dyDescent="0.25">
      <c r="A1492" s="4">
        <v>42564</v>
      </c>
      <c r="B1492" t="s">
        <v>30</v>
      </c>
      <c r="C1492">
        <v>701</v>
      </c>
      <c r="D1492">
        <v>2</v>
      </c>
      <c r="E1492">
        <v>2</v>
      </c>
      <c r="F1492" t="s">
        <v>41</v>
      </c>
      <c r="G1492" t="s">
        <v>32</v>
      </c>
      <c r="H1492" t="s">
        <v>33</v>
      </c>
      <c r="I1492" t="s">
        <v>58</v>
      </c>
      <c r="J1492" t="s">
        <v>35</v>
      </c>
      <c r="K1492" t="s">
        <v>36</v>
      </c>
      <c r="L1492" t="s">
        <v>43</v>
      </c>
      <c r="M1492">
        <v>0</v>
      </c>
      <c r="N1492">
        <v>0</v>
      </c>
      <c r="O1492" s="5">
        <v>50515</v>
      </c>
      <c r="P1492" s="5"/>
      <c r="Q1492">
        <v>21</v>
      </c>
      <c r="R1492" t="s">
        <v>47</v>
      </c>
      <c r="T1492">
        <v>17.5</v>
      </c>
      <c r="W1492">
        <v>12.8</v>
      </c>
      <c r="X1492">
        <v>27.4</v>
      </c>
      <c r="Z1492" t="s">
        <v>97</v>
      </c>
      <c r="AA1492" t="s">
        <v>209</v>
      </c>
      <c r="AB1492" t="s">
        <v>87</v>
      </c>
      <c r="AC1492" t="s">
        <v>88</v>
      </c>
    </row>
    <row r="1493" spans="1:30" x14ac:dyDescent="0.25">
      <c r="A1493" s="4">
        <v>42564</v>
      </c>
      <c r="B1493" t="s">
        <v>30</v>
      </c>
      <c r="C1493">
        <v>701</v>
      </c>
      <c r="D1493">
        <v>3</v>
      </c>
      <c r="E1493">
        <v>1</v>
      </c>
      <c r="F1493" t="s">
        <v>41</v>
      </c>
      <c r="G1493" t="s">
        <v>32</v>
      </c>
      <c r="H1493" t="s">
        <v>33</v>
      </c>
      <c r="I1493" t="s">
        <v>57</v>
      </c>
      <c r="O1493" s="5"/>
      <c r="P1493" s="5"/>
    </row>
    <row r="1494" spans="1:30" x14ac:dyDescent="0.25">
      <c r="A1494" s="4">
        <v>42564</v>
      </c>
      <c r="B1494" t="s">
        <v>30</v>
      </c>
      <c r="C1494">
        <v>701</v>
      </c>
      <c r="D1494">
        <v>3</v>
      </c>
      <c r="E1494">
        <v>2</v>
      </c>
      <c r="F1494" t="s">
        <v>41</v>
      </c>
      <c r="G1494" t="s">
        <v>32</v>
      </c>
      <c r="H1494" t="s">
        <v>33</v>
      </c>
      <c r="I1494" t="s">
        <v>73</v>
      </c>
      <c r="J1494" t="s">
        <v>35</v>
      </c>
      <c r="K1494" t="s">
        <v>36</v>
      </c>
      <c r="L1494" t="s">
        <v>37</v>
      </c>
      <c r="M1494">
        <v>0</v>
      </c>
      <c r="N1494">
        <v>0</v>
      </c>
      <c r="O1494" s="5"/>
      <c r="P1494" s="5" t="s">
        <v>94</v>
      </c>
      <c r="Q1494">
        <f>138-49</f>
        <v>89</v>
      </c>
      <c r="R1494" t="s">
        <v>164</v>
      </c>
      <c r="S1494" t="s">
        <v>97</v>
      </c>
      <c r="T1494">
        <v>31</v>
      </c>
      <c r="W1494">
        <v>23</v>
      </c>
      <c r="X1494">
        <v>41.3</v>
      </c>
      <c r="Z1494" t="s">
        <v>39</v>
      </c>
      <c r="AB1494" t="s">
        <v>87</v>
      </c>
      <c r="AC1494" t="s">
        <v>88</v>
      </c>
    </row>
    <row r="1495" spans="1:30" x14ac:dyDescent="0.25">
      <c r="A1495" s="4">
        <v>42564</v>
      </c>
      <c r="B1495" t="s">
        <v>30</v>
      </c>
      <c r="C1495">
        <v>701</v>
      </c>
      <c r="D1495">
        <v>4</v>
      </c>
      <c r="E1495">
        <v>1</v>
      </c>
      <c r="F1495" t="s">
        <v>41</v>
      </c>
      <c r="G1495" t="s">
        <v>32</v>
      </c>
      <c r="H1495" t="s">
        <v>33</v>
      </c>
      <c r="I1495" t="s">
        <v>34</v>
      </c>
      <c r="J1495" t="s">
        <v>42</v>
      </c>
      <c r="K1495" t="s">
        <v>114</v>
      </c>
      <c r="L1495" t="s">
        <v>43</v>
      </c>
      <c r="M1495">
        <v>0</v>
      </c>
      <c r="N1495">
        <v>1</v>
      </c>
      <c r="O1495" s="5">
        <v>50506</v>
      </c>
      <c r="P1495" s="5">
        <v>50505</v>
      </c>
      <c r="Q1495">
        <f>28-11</f>
        <v>17</v>
      </c>
      <c r="R1495" t="s">
        <v>47</v>
      </c>
      <c r="T1495">
        <v>19</v>
      </c>
      <c r="U1495">
        <v>82</v>
      </c>
      <c r="V1495">
        <v>15</v>
      </c>
      <c r="W1495">
        <v>12.8</v>
      </c>
      <c r="X1495">
        <v>27.4</v>
      </c>
      <c r="Z1495" t="s">
        <v>39</v>
      </c>
      <c r="AB1495" t="s">
        <v>87</v>
      </c>
      <c r="AC1495" t="s">
        <v>88</v>
      </c>
    </row>
    <row r="1496" spans="1:30" x14ac:dyDescent="0.25">
      <c r="A1496" s="4">
        <v>42564</v>
      </c>
      <c r="B1496" t="s">
        <v>30</v>
      </c>
      <c r="C1496">
        <v>701</v>
      </c>
      <c r="D1496">
        <v>4</v>
      </c>
      <c r="E1496">
        <v>2</v>
      </c>
      <c r="F1496" t="s">
        <v>41</v>
      </c>
      <c r="G1496" t="s">
        <v>32</v>
      </c>
      <c r="H1496" t="s">
        <v>33</v>
      </c>
      <c r="I1496" t="s">
        <v>58</v>
      </c>
      <c r="J1496" t="s">
        <v>129</v>
      </c>
      <c r="K1496" t="s">
        <v>36</v>
      </c>
      <c r="L1496" t="s">
        <v>43</v>
      </c>
      <c r="M1496">
        <v>0</v>
      </c>
      <c r="N1496">
        <v>1</v>
      </c>
      <c r="O1496" s="5">
        <v>50504</v>
      </c>
      <c r="P1496" s="5"/>
      <c r="R1496" t="s">
        <v>47</v>
      </c>
      <c r="T1496">
        <v>17</v>
      </c>
      <c r="W1496">
        <v>12.3</v>
      </c>
      <c r="X1496">
        <v>27.3</v>
      </c>
      <c r="Z1496" t="s">
        <v>97</v>
      </c>
      <c r="AA1496" t="s">
        <v>210</v>
      </c>
      <c r="AB1496" t="s">
        <v>87</v>
      </c>
      <c r="AC1496" t="s">
        <v>88</v>
      </c>
      <c r="AD1496" t="s">
        <v>211</v>
      </c>
    </row>
    <row r="1497" spans="1:30" x14ac:dyDescent="0.25">
      <c r="A1497" s="4">
        <v>42564</v>
      </c>
      <c r="B1497" t="s">
        <v>30</v>
      </c>
      <c r="C1497">
        <v>701</v>
      </c>
      <c r="D1497">
        <v>5</v>
      </c>
      <c r="E1497">
        <v>1</v>
      </c>
      <c r="F1497" t="s">
        <v>41</v>
      </c>
      <c r="G1497" t="s">
        <v>32</v>
      </c>
      <c r="H1497" t="s">
        <v>33</v>
      </c>
      <c r="I1497" t="s">
        <v>57</v>
      </c>
      <c r="O1497" s="5"/>
      <c r="P1497" s="5"/>
    </row>
    <row r="1498" spans="1:30" x14ac:dyDescent="0.25">
      <c r="A1498" s="4">
        <v>42564</v>
      </c>
      <c r="B1498" t="s">
        <v>30</v>
      </c>
      <c r="C1498">
        <v>701</v>
      </c>
      <c r="D1498">
        <v>5</v>
      </c>
      <c r="E1498">
        <v>2</v>
      </c>
      <c r="F1498" t="s">
        <v>41</v>
      </c>
      <c r="G1498" t="s">
        <v>32</v>
      </c>
      <c r="H1498" t="s">
        <v>33</v>
      </c>
      <c r="I1498" t="s">
        <v>57</v>
      </c>
      <c r="O1498" s="5"/>
      <c r="P1498" s="5"/>
    </row>
    <row r="1499" spans="1:30" x14ac:dyDescent="0.25">
      <c r="A1499" s="4">
        <v>42564</v>
      </c>
      <c r="B1499" t="s">
        <v>30</v>
      </c>
      <c r="C1499">
        <v>701</v>
      </c>
      <c r="D1499">
        <v>6</v>
      </c>
      <c r="E1499">
        <v>1</v>
      </c>
      <c r="F1499" t="s">
        <v>41</v>
      </c>
      <c r="G1499" t="s">
        <v>32</v>
      </c>
      <c r="H1499" t="s">
        <v>33</v>
      </c>
      <c r="I1499" t="s">
        <v>53</v>
      </c>
      <c r="J1499" t="s">
        <v>62</v>
      </c>
      <c r="O1499" s="5"/>
      <c r="P1499" s="5"/>
    </row>
    <row r="1500" spans="1:30" x14ac:dyDescent="0.25">
      <c r="A1500" s="4">
        <v>42564</v>
      </c>
      <c r="B1500" t="s">
        <v>30</v>
      </c>
      <c r="C1500">
        <v>701</v>
      </c>
      <c r="D1500">
        <v>6</v>
      </c>
      <c r="E1500">
        <v>2</v>
      </c>
      <c r="F1500" t="s">
        <v>41</v>
      </c>
      <c r="G1500" t="s">
        <v>32</v>
      </c>
      <c r="H1500" t="s">
        <v>33</v>
      </c>
      <c r="I1500" t="s">
        <v>34</v>
      </c>
      <c r="J1500" t="s">
        <v>35</v>
      </c>
      <c r="K1500" t="s">
        <v>36</v>
      </c>
      <c r="L1500" t="s">
        <v>43</v>
      </c>
      <c r="M1500">
        <v>0</v>
      </c>
      <c r="N1500">
        <v>0</v>
      </c>
      <c r="O1500" s="5">
        <v>50468</v>
      </c>
      <c r="P1500" s="5">
        <v>50467</v>
      </c>
      <c r="Q1500">
        <f>36-12</f>
        <v>24</v>
      </c>
      <c r="R1500" t="s">
        <v>47</v>
      </c>
      <c r="T1500">
        <v>20</v>
      </c>
      <c r="U1500">
        <v>92</v>
      </c>
      <c r="V1500">
        <v>16</v>
      </c>
      <c r="W1500">
        <v>13.4</v>
      </c>
      <c r="X1500">
        <v>29.6</v>
      </c>
      <c r="Z1500" t="s">
        <v>97</v>
      </c>
      <c r="AA1500" t="s">
        <v>199</v>
      </c>
      <c r="AB1500" t="s">
        <v>87</v>
      </c>
      <c r="AC1500" t="s">
        <v>88</v>
      </c>
    </row>
    <row r="1501" spans="1:30" x14ac:dyDescent="0.25">
      <c r="A1501" s="4">
        <v>42564</v>
      </c>
      <c r="B1501" t="s">
        <v>30</v>
      </c>
      <c r="C1501">
        <v>701</v>
      </c>
      <c r="D1501">
        <v>8</v>
      </c>
      <c r="E1501">
        <v>1</v>
      </c>
      <c r="F1501" t="s">
        <v>41</v>
      </c>
      <c r="G1501" t="s">
        <v>32</v>
      </c>
      <c r="H1501" t="s">
        <v>33</v>
      </c>
      <c r="I1501" t="s">
        <v>34</v>
      </c>
      <c r="J1501" t="s">
        <v>42</v>
      </c>
      <c r="K1501" t="s">
        <v>114</v>
      </c>
      <c r="L1501" t="s">
        <v>43</v>
      </c>
      <c r="M1501">
        <v>0</v>
      </c>
      <c r="N1501">
        <v>1</v>
      </c>
      <c r="O1501" s="5">
        <v>50503</v>
      </c>
      <c r="P1501" s="5">
        <v>50502</v>
      </c>
      <c r="Q1501">
        <f>28.5-13</f>
        <v>15.5</v>
      </c>
      <c r="R1501" t="s">
        <v>65</v>
      </c>
      <c r="T1501">
        <v>19</v>
      </c>
      <c r="U1501">
        <v>81</v>
      </c>
      <c r="V1501">
        <v>15</v>
      </c>
      <c r="W1501">
        <v>12.9</v>
      </c>
      <c r="X1501">
        <v>27.1</v>
      </c>
      <c r="Z1501" t="s">
        <v>39</v>
      </c>
      <c r="AB1501" t="s">
        <v>87</v>
      </c>
      <c r="AC1501" t="s">
        <v>88</v>
      </c>
    </row>
    <row r="1502" spans="1:30" x14ac:dyDescent="0.25">
      <c r="A1502" s="4">
        <v>42564</v>
      </c>
      <c r="B1502" t="s">
        <v>30</v>
      </c>
      <c r="C1502">
        <v>701</v>
      </c>
      <c r="D1502">
        <v>8</v>
      </c>
      <c r="E1502">
        <v>2</v>
      </c>
      <c r="F1502" t="s">
        <v>41</v>
      </c>
      <c r="G1502" t="s">
        <v>32</v>
      </c>
      <c r="H1502" t="s">
        <v>33</v>
      </c>
      <c r="I1502" t="s">
        <v>34</v>
      </c>
      <c r="J1502" t="s">
        <v>35</v>
      </c>
      <c r="K1502" t="s">
        <v>114</v>
      </c>
      <c r="L1502" t="s">
        <v>43</v>
      </c>
      <c r="M1502">
        <v>0</v>
      </c>
      <c r="N1502">
        <v>0</v>
      </c>
      <c r="O1502" s="5">
        <v>50386</v>
      </c>
      <c r="P1502" s="5">
        <v>50385</v>
      </c>
      <c r="Q1502">
        <f>27-9</f>
        <v>18</v>
      </c>
      <c r="R1502" t="s">
        <v>47</v>
      </c>
      <c r="T1502">
        <v>18</v>
      </c>
      <c r="U1502">
        <v>80</v>
      </c>
      <c r="V1502">
        <v>15</v>
      </c>
      <c r="W1502">
        <v>12.9</v>
      </c>
      <c r="X1502">
        <v>27.2</v>
      </c>
      <c r="Z1502" t="s">
        <v>39</v>
      </c>
      <c r="AB1502" t="s">
        <v>87</v>
      </c>
      <c r="AC1502" t="s">
        <v>88</v>
      </c>
    </row>
    <row r="1503" spans="1:30" x14ac:dyDescent="0.25">
      <c r="A1503" s="4">
        <v>42564</v>
      </c>
      <c r="B1503" t="s">
        <v>30</v>
      </c>
      <c r="C1503">
        <v>701</v>
      </c>
      <c r="D1503">
        <v>9</v>
      </c>
      <c r="E1503">
        <v>1</v>
      </c>
      <c r="F1503" t="s">
        <v>41</v>
      </c>
      <c r="G1503" t="s">
        <v>32</v>
      </c>
      <c r="H1503" t="s">
        <v>33</v>
      </c>
      <c r="I1503" t="s">
        <v>57</v>
      </c>
      <c r="O1503" s="5"/>
      <c r="P1503" s="5"/>
    </row>
    <row r="1504" spans="1:30" x14ac:dyDescent="0.25">
      <c r="A1504" s="4">
        <v>42564</v>
      </c>
      <c r="B1504" t="s">
        <v>30</v>
      </c>
      <c r="C1504">
        <v>701</v>
      </c>
      <c r="D1504">
        <v>9</v>
      </c>
      <c r="E1504">
        <v>2</v>
      </c>
      <c r="F1504" t="s">
        <v>41</v>
      </c>
      <c r="G1504" t="s">
        <v>32</v>
      </c>
      <c r="H1504" t="s">
        <v>33</v>
      </c>
      <c r="I1504" t="s">
        <v>91</v>
      </c>
      <c r="J1504" t="s">
        <v>35</v>
      </c>
      <c r="K1504" t="s">
        <v>36</v>
      </c>
      <c r="L1504" t="s">
        <v>37</v>
      </c>
      <c r="M1504">
        <v>0</v>
      </c>
      <c r="N1504">
        <v>0</v>
      </c>
      <c r="O1504" s="5"/>
      <c r="P1504" s="5">
        <v>50481</v>
      </c>
      <c r="Q1504">
        <f>36-9</f>
        <v>27</v>
      </c>
      <c r="R1504" t="s">
        <v>143</v>
      </c>
      <c r="S1504" t="s">
        <v>97</v>
      </c>
      <c r="T1504">
        <v>28</v>
      </c>
      <c r="Z1504" t="s">
        <v>39</v>
      </c>
      <c r="AB1504" t="s">
        <v>87</v>
      </c>
      <c r="AC1504" t="s">
        <v>88</v>
      </c>
    </row>
    <row r="1505" spans="1:29" x14ac:dyDescent="0.25">
      <c r="A1505" s="4">
        <v>42564</v>
      </c>
      <c r="B1505" t="s">
        <v>30</v>
      </c>
      <c r="C1505">
        <v>801</v>
      </c>
      <c r="D1505">
        <v>1</v>
      </c>
      <c r="E1505">
        <v>1</v>
      </c>
      <c r="F1505" t="s">
        <v>41</v>
      </c>
      <c r="G1505" t="s">
        <v>32</v>
      </c>
      <c r="H1505" t="s">
        <v>33</v>
      </c>
      <c r="I1505" t="s">
        <v>34</v>
      </c>
      <c r="J1505" t="s">
        <v>35</v>
      </c>
      <c r="K1505" t="s">
        <v>36</v>
      </c>
      <c r="L1505" t="s">
        <v>43</v>
      </c>
      <c r="M1505">
        <v>0</v>
      </c>
      <c r="N1505">
        <v>0</v>
      </c>
      <c r="O1505" s="5">
        <v>50697</v>
      </c>
      <c r="P1505" s="5">
        <v>50696</v>
      </c>
      <c r="Q1505">
        <f>32-11.5</f>
        <v>20.5</v>
      </c>
      <c r="R1505" t="s">
        <v>47</v>
      </c>
      <c r="T1505">
        <v>19</v>
      </c>
      <c r="U1505">
        <v>74</v>
      </c>
      <c r="V1505">
        <v>14</v>
      </c>
      <c r="W1505">
        <v>12.9</v>
      </c>
      <c r="X1505">
        <v>26.2</v>
      </c>
      <c r="Z1505" t="s">
        <v>39</v>
      </c>
      <c r="AB1505" t="s">
        <v>87</v>
      </c>
      <c r="AC1505" t="s">
        <v>88</v>
      </c>
    </row>
    <row r="1506" spans="1:29" x14ac:dyDescent="0.25">
      <c r="A1506" s="4">
        <v>42564</v>
      </c>
      <c r="B1506" t="s">
        <v>30</v>
      </c>
      <c r="C1506">
        <v>801</v>
      </c>
      <c r="D1506">
        <v>2</v>
      </c>
      <c r="E1506">
        <v>1</v>
      </c>
      <c r="F1506" t="s">
        <v>41</v>
      </c>
      <c r="G1506" t="s">
        <v>32</v>
      </c>
      <c r="H1506" t="s">
        <v>33</v>
      </c>
      <c r="I1506" t="s">
        <v>58</v>
      </c>
      <c r="J1506" t="s">
        <v>35</v>
      </c>
      <c r="K1506" t="s">
        <v>36</v>
      </c>
      <c r="L1506" t="s">
        <v>43</v>
      </c>
      <c r="M1506">
        <v>0</v>
      </c>
      <c r="N1506">
        <v>0</v>
      </c>
      <c r="O1506" s="5">
        <v>50514</v>
      </c>
      <c r="P1506" s="5"/>
      <c r="Q1506">
        <f>28-11</f>
        <v>17</v>
      </c>
      <c r="T1506">
        <v>17</v>
      </c>
      <c r="W1506">
        <v>11.1</v>
      </c>
      <c r="Z1506" t="s">
        <v>39</v>
      </c>
      <c r="AB1506" t="s">
        <v>87</v>
      </c>
      <c r="AC1506" t="s">
        <v>88</v>
      </c>
    </row>
    <row r="1507" spans="1:29" x14ac:dyDescent="0.25">
      <c r="A1507" s="4">
        <v>42564</v>
      </c>
      <c r="B1507" t="s">
        <v>30</v>
      </c>
      <c r="C1507">
        <v>801</v>
      </c>
      <c r="D1507">
        <v>2</v>
      </c>
      <c r="E1507">
        <v>2</v>
      </c>
      <c r="F1507" t="s">
        <v>41</v>
      </c>
      <c r="G1507" t="s">
        <v>32</v>
      </c>
      <c r="H1507" t="s">
        <v>33</v>
      </c>
      <c r="I1507" t="s">
        <v>34</v>
      </c>
      <c r="J1507" t="s">
        <v>35</v>
      </c>
      <c r="K1507" t="s">
        <v>36</v>
      </c>
      <c r="L1507" t="s">
        <v>43</v>
      </c>
      <c r="M1507">
        <v>0</v>
      </c>
      <c r="N1507">
        <v>0</v>
      </c>
      <c r="O1507" s="5">
        <v>50677</v>
      </c>
      <c r="P1507" s="5">
        <v>50676</v>
      </c>
      <c r="Q1507">
        <f>29-11</f>
        <v>18</v>
      </c>
      <c r="R1507" t="s">
        <v>47</v>
      </c>
      <c r="T1507">
        <v>20</v>
      </c>
      <c r="U1507">
        <v>80</v>
      </c>
      <c r="V1507">
        <v>15</v>
      </c>
      <c r="W1507">
        <v>12.9</v>
      </c>
      <c r="X1507">
        <v>26.8</v>
      </c>
      <c r="Z1507" t="s">
        <v>39</v>
      </c>
      <c r="AB1507" t="s">
        <v>87</v>
      </c>
      <c r="AC1507" t="s">
        <v>88</v>
      </c>
    </row>
    <row r="1508" spans="1:29" x14ac:dyDescent="0.25">
      <c r="A1508" s="4">
        <v>42564</v>
      </c>
      <c r="B1508" t="s">
        <v>30</v>
      </c>
      <c r="C1508">
        <v>801</v>
      </c>
      <c r="D1508">
        <v>3</v>
      </c>
      <c r="E1508">
        <v>1</v>
      </c>
      <c r="F1508" t="s">
        <v>41</v>
      </c>
      <c r="G1508" t="s">
        <v>32</v>
      </c>
      <c r="H1508" t="s">
        <v>33</v>
      </c>
      <c r="I1508" t="s">
        <v>57</v>
      </c>
      <c r="O1508" s="5"/>
      <c r="P1508" s="5"/>
    </row>
    <row r="1509" spans="1:29" x14ac:dyDescent="0.25">
      <c r="A1509" s="4">
        <v>42564</v>
      </c>
      <c r="B1509" t="s">
        <v>30</v>
      </c>
      <c r="C1509">
        <v>801</v>
      </c>
      <c r="D1509">
        <v>3</v>
      </c>
      <c r="E1509">
        <v>2</v>
      </c>
      <c r="F1509" t="s">
        <v>41</v>
      </c>
      <c r="G1509" t="s">
        <v>32</v>
      </c>
      <c r="H1509" t="s">
        <v>33</v>
      </c>
      <c r="I1509" t="s">
        <v>58</v>
      </c>
      <c r="J1509" t="s">
        <v>35</v>
      </c>
      <c r="K1509" t="s">
        <v>36</v>
      </c>
      <c r="L1509" t="s">
        <v>37</v>
      </c>
      <c r="M1509">
        <v>0</v>
      </c>
      <c r="N1509">
        <v>0</v>
      </c>
      <c r="O1509" s="5">
        <v>50513</v>
      </c>
      <c r="P1509" s="5"/>
      <c r="Q1509">
        <f>31-9</f>
        <v>22</v>
      </c>
      <c r="R1509" t="s">
        <v>143</v>
      </c>
      <c r="S1509" t="s">
        <v>97</v>
      </c>
      <c r="T1509">
        <v>17</v>
      </c>
      <c r="W1509">
        <v>12.2</v>
      </c>
      <c r="X1509">
        <v>27.4</v>
      </c>
      <c r="Z1509" t="s">
        <v>39</v>
      </c>
      <c r="AB1509" t="s">
        <v>87</v>
      </c>
      <c r="AC1509" t="s">
        <v>88</v>
      </c>
    </row>
    <row r="1510" spans="1:29" x14ac:dyDescent="0.25">
      <c r="A1510" s="4">
        <v>42564</v>
      </c>
      <c r="B1510" t="s">
        <v>30</v>
      </c>
      <c r="C1510">
        <v>801</v>
      </c>
      <c r="D1510">
        <v>4</v>
      </c>
      <c r="E1510">
        <v>1</v>
      </c>
      <c r="F1510" t="s">
        <v>41</v>
      </c>
      <c r="G1510" t="s">
        <v>32</v>
      </c>
      <c r="H1510" t="s">
        <v>33</v>
      </c>
      <c r="I1510" t="s">
        <v>57</v>
      </c>
      <c r="O1510" s="5"/>
      <c r="P1510" s="5"/>
    </row>
    <row r="1511" spans="1:29" x14ac:dyDescent="0.25">
      <c r="A1511" s="4">
        <v>42564</v>
      </c>
      <c r="B1511" t="s">
        <v>30</v>
      </c>
      <c r="C1511">
        <v>801</v>
      </c>
      <c r="D1511">
        <v>4</v>
      </c>
      <c r="E1511">
        <v>2</v>
      </c>
      <c r="F1511" t="s">
        <v>41</v>
      </c>
      <c r="G1511" t="s">
        <v>32</v>
      </c>
      <c r="H1511" t="s">
        <v>33</v>
      </c>
      <c r="I1511" t="s">
        <v>34</v>
      </c>
      <c r="J1511" t="s">
        <v>42</v>
      </c>
      <c r="K1511" t="s">
        <v>114</v>
      </c>
      <c r="L1511" t="s">
        <v>37</v>
      </c>
      <c r="M1511">
        <v>0</v>
      </c>
      <c r="N1511">
        <v>1</v>
      </c>
      <c r="O1511" s="5">
        <v>50775</v>
      </c>
      <c r="P1511" s="5">
        <v>50774</v>
      </c>
      <c r="Q1511">
        <f>25.5-9</f>
        <v>16.5</v>
      </c>
      <c r="R1511" t="s">
        <v>63</v>
      </c>
      <c r="S1511" t="s">
        <v>39</v>
      </c>
      <c r="T1511">
        <v>21</v>
      </c>
      <c r="U1511">
        <v>73</v>
      </c>
      <c r="V1511">
        <v>15</v>
      </c>
      <c r="W1511">
        <v>12.7</v>
      </c>
      <c r="X1511">
        <v>26.7</v>
      </c>
      <c r="Z1511" t="s">
        <v>39</v>
      </c>
      <c r="AB1511" t="s">
        <v>87</v>
      </c>
      <c r="AC1511" t="s">
        <v>88</v>
      </c>
    </row>
    <row r="1512" spans="1:29" x14ac:dyDescent="0.25">
      <c r="A1512" s="4">
        <v>42564</v>
      </c>
      <c r="B1512" t="s">
        <v>30</v>
      </c>
      <c r="C1512">
        <v>801</v>
      </c>
      <c r="D1512">
        <v>5</v>
      </c>
      <c r="E1512">
        <v>1</v>
      </c>
      <c r="F1512" t="s">
        <v>41</v>
      </c>
      <c r="G1512" t="s">
        <v>32</v>
      </c>
      <c r="H1512" t="s">
        <v>33</v>
      </c>
      <c r="I1512" t="s">
        <v>58</v>
      </c>
      <c r="J1512" t="s">
        <v>122</v>
      </c>
      <c r="K1512" t="s">
        <v>36</v>
      </c>
      <c r="O1512" s="5"/>
      <c r="P1512" s="5"/>
    </row>
    <row r="1513" spans="1:29" x14ac:dyDescent="0.25">
      <c r="A1513" s="4">
        <v>42564</v>
      </c>
      <c r="B1513" t="s">
        <v>30</v>
      </c>
      <c r="C1513">
        <v>801</v>
      </c>
      <c r="D1513">
        <v>5</v>
      </c>
      <c r="E1513">
        <v>2</v>
      </c>
      <c r="F1513" t="s">
        <v>41</v>
      </c>
      <c r="G1513" t="s">
        <v>32</v>
      </c>
      <c r="H1513" t="s">
        <v>33</v>
      </c>
      <c r="I1513" t="s">
        <v>73</v>
      </c>
      <c r="J1513" t="s">
        <v>42</v>
      </c>
      <c r="K1513" t="s">
        <v>36</v>
      </c>
      <c r="L1513" t="s">
        <v>37</v>
      </c>
      <c r="M1513">
        <v>0</v>
      </c>
      <c r="N1513">
        <v>1</v>
      </c>
      <c r="O1513" s="5">
        <v>50501</v>
      </c>
      <c r="P1513" s="5"/>
      <c r="Q1513">
        <f>132-50</f>
        <v>82</v>
      </c>
      <c r="R1513" t="s">
        <v>136</v>
      </c>
      <c r="S1513" t="s">
        <v>97</v>
      </c>
      <c r="T1513">
        <v>29</v>
      </c>
      <c r="W1513">
        <v>21.1</v>
      </c>
      <c r="X1513">
        <v>41.5</v>
      </c>
      <c r="Z1513" t="s">
        <v>39</v>
      </c>
      <c r="AB1513" t="s">
        <v>87</v>
      </c>
      <c r="AC1513" t="s">
        <v>88</v>
      </c>
    </row>
    <row r="1514" spans="1:29" x14ac:dyDescent="0.25">
      <c r="A1514" s="4">
        <v>42564</v>
      </c>
      <c r="B1514" t="s">
        <v>30</v>
      </c>
      <c r="C1514">
        <v>801</v>
      </c>
      <c r="D1514">
        <v>6</v>
      </c>
      <c r="E1514">
        <v>1</v>
      </c>
      <c r="F1514" t="s">
        <v>41</v>
      </c>
      <c r="G1514" t="s">
        <v>32</v>
      </c>
      <c r="H1514" t="s">
        <v>33</v>
      </c>
      <c r="I1514" t="s">
        <v>57</v>
      </c>
      <c r="O1514" s="5"/>
      <c r="P1514" s="5"/>
    </row>
    <row r="1515" spans="1:29" x14ac:dyDescent="0.25">
      <c r="A1515" s="4">
        <v>42564</v>
      </c>
      <c r="B1515" t="s">
        <v>30</v>
      </c>
      <c r="C1515">
        <v>801</v>
      </c>
      <c r="D1515">
        <v>6</v>
      </c>
      <c r="E1515">
        <v>2</v>
      </c>
      <c r="F1515" t="s">
        <v>41</v>
      </c>
      <c r="G1515" t="s">
        <v>32</v>
      </c>
      <c r="H1515" t="s">
        <v>33</v>
      </c>
      <c r="I1515" t="s">
        <v>57</v>
      </c>
      <c r="O1515" s="5"/>
      <c r="P1515" s="5"/>
    </row>
    <row r="1516" spans="1:29" x14ac:dyDescent="0.25">
      <c r="A1516" s="4">
        <v>42564</v>
      </c>
      <c r="B1516" t="s">
        <v>30</v>
      </c>
      <c r="C1516">
        <v>801</v>
      </c>
      <c r="D1516">
        <v>7</v>
      </c>
      <c r="E1516">
        <v>1</v>
      </c>
      <c r="F1516" t="s">
        <v>41</v>
      </c>
      <c r="G1516" t="s">
        <v>32</v>
      </c>
      <c r="H1516" t="s">
        <v>33</v>
      </c>
      <c r="I1516" t="s">
        <v>57</v>
      </c>
      <c r="O1516" s="5"/>
      <c r="P1516" s="5"/>
    </row>
    <row r="1517" spans="1:29" x14ac:dyDescent="0.25">
      <c r="A1517" s="4">
        <v>42564</v>
      </c>
      <c r="B1517" t="s">
        <v>30</v>
      </c>
      <c r="C1517">
        <v>801</v>
      </c>
      <c r="D1517">
        <v>7</v>
      </c>
      <c r="E1517">
        <v>2</v>
      </c>
      <c r="F1517" t="s">
        <v>41</v>
      </c>
      <c r="G1517" t="s">
        <v>32</v>
      </c>
      <c r="H1517" t="s">
        <v>33</v>
      </c>
      <c r="I1517" t="s">
        <v>73</v>
      </c>
      <c r="J1517" t="s">
        <v>35</v>
      </c>
      <c r="K1517" t="s">
        <v>36</v>
      </c>
      <c r="L1517" t="s">
        <v>43</v>
      </c>
      <c r="M1517">
        <v>0</v>
      </c>
      <c r="N1517">
        <v>0</v>
      </c>
      <c r="O1517" s="5"/>
      <c r="P1517" s="5">
        <v>50392</v>
      </c>
      <c r="Q1517">
        <f>140-50</f>
        <v>90</v>
      </c>
      <c r="R1517" t="s">
        <v>47</v>
      </c>
      <c r="T1517">
        <v>29</v>
      </c>
      <c r="W1517">
        <v>22.5</v>
      </c>
      <c r="X1517">
        <v>40.9</v>
      </c>
      <c r="Z1517" t="s">
        <v>39</v>
      </c>
      <c r="AB1517" t="s">
        <v>87</v>
      </c>
      <c r="AC1517" t="s">
        <v>88</v>
      </c>
    </row>
    <row r="1518" spans="1:29" x14ac:dyDescent="0.25">
      <c r="A1518" s="4">
        <v>42564</v>
      </c>
      <c r="B1518" t="s">
        <v>30</v>
      </c>
      <c r="C1518">
        <v>801</v>
      </c>
      <c r="D1518">
        <v>8</v>
      </c>
      <c r="E1518">
        <v>1</v>
      </c>
      <c r="F1518" t="s">
        <v>41</v>
      </c>
      <c r="G1518" t="s">
        <v>32</v>
      </c>
      <c r="H1518" t="s">
        <v>33</v>
      </c>
      <c r="I1518" t="s">
        <v>57</v>
      </c>
      <c r="O1518" s="5"/>
      <c r="P1518" s="5"/>
    </row>
    <row r="1519" spans="1:29" x14ac:dyDescent="0.25">
      <c r="A1519" s="4">
        <v>42564</v>
      </c>
      <c r="B1519" t="s">
        <v>30</v>
      </c>
      <c r="C1519">
        <v>801</v>
      </c>
      <c r="D1519">
        <v>8</v>
      </c>
      <c r="E1519">
        <v>2</v>
      </c>
      <c r="F1519" t="s">
        <v>41</v>
      </c>
      <c r="G1519" t="s">
        <v>32</v>
      </c>
      <c r="H1519" t="s">
        <v>33</v>
      </c>
      <c r="I1519" t="s">
        <v>73</v>
      </c>
      <c r="J1519" t="s">
        <v>35</v>
      </c>
      <c r="K1519" t="s">
        <v>36</v>
      </c>
      <c r="L1519" t="s">
        <v>43</v>
      </c>
      <c r="M1519">
        <v>0</v>
      </c>
      <c r="N1519">
        <v>0</v>
      </c>
      <c r="O1519" s="5">
        <v>50695</v>
      </c>
      <c r="P1519" s="5"/>
      <c r="Q1519">
        <f>136-48</f>
        <v>88</v>
      </c>
      <c r="R1519" t="s">
        <v>47</v>
      </c>
      <c r="T1519">
        <v>30</v>
      </c>
      <c r="Z1519" t="s">
        <v>39</v>
      </c>
      <c r="AB1519" t="s">
        <v>87</v>
      </c>
      <c r="AC1519" t="s">
        <v>88</v>
      </c>
    </row>
    <row r="1520" spans="1:29" x14ac:dyDescent="0.25">
      <c r="A1520" s="4">
        <v>42564</v>
      </c>
      <c r="B1520" t="s">
        <v>30</v>
      </c>
      <c r="C1520">
        <v>801</v>
      </c>
      <c r="D1520">
        <v>9</v>
      </c>
      <c r="E1520">
        <v>1</v>
      </c>
      <c r="F1520" t="s">
        <v>41</v>
      </c>
      <c r="G1520" t="s">
        <v>32</v>
      </c>
      <c r="H1520" t="s">
        <v>33</v>
      </c>
      <c r="I1520" t="s">
        <v>34</v>
      </c>
      <c r="J1520" t="s">
        <v>35</v>
      </c>
      <c r="K1520" t="s">
        <v>114</v>
      </c>
      <c r="L1520" t="s">
        <v>37</v>
      </c>
      <c r="M1520">
        <v>0</v>
      </c>
      <c r="N1520">
        <v>0</v>
      </c>
      <c r="O1520" s="5">
        <v>50614</v>
      </c>
      <c r="P1520" s="5">
        <v>50613</v>
      </c>
      <c r="Q1520">
        <f>32.5-12</f>
        <v>20.5</v>
      </c>
      <c r="R1520" t="s">
        <v>120</v>
      </c>
      <c r="S1520" t="s">
        <v>39</v>
      </c>
      <c r="T1520">
        <v>19</v>
      </c>
      <c r="U1520">
        <v>72</v>
      </c>
      <c r="V1520">
        <v>14</v>
      </c>
      <c r="W1520">
        <v>12.9</v>
      </c>
      <c r="X1520">
        <v>25.5</v>
      </c>
      <c r="Z1520" t="s">
        <v>39</v>
      </c>
      <c r="AB1520" t="s">
        <v>87</v>
      </c>
      <c r="AC1520" t="s">
        <v>88</v>
      </c>
    </row>
    <row r="1521" spans="1:29" x14ac:dyDescent="0.25">
      <c r="A1521" s="4">
        <v>42564</v>
      </c>
      <c r="B1521" t="s">
        <v>30</v>
      </c>
      <c r="C1521">
        <v>801</v>
      </c>
      <c r="D1521">
        <v>10</v>
      </c>
      <c r="E1521">
        <v>1</v>
      </c>
      <c r="F1521" t="s">
        <v>41</v>
      </c>
      <c r="G1521" t="s">
        <v>32</v>
      </c>
      <c r="H1521" t="s">
        <v>33</v>
      </c>
      <c r="I1521" t="s">
        <v>34</v>
      </c>
      <c r="J1521" t="s">
        <v>42</v>
      </c>
      <c r="K1521" t="s">
        <v>36</v>
      </c>
      <c r="L1521" t="s">
        <v>43</v>
      </c>
      <c r="M1521">
        <v>0</v>
      </c>
      <c r="N1521">
        <v>1</v>
      </c>
      <c r="O1521" s="5">
        <v>50773</v>
      </c>
      <c r="P1521" s="5">
        <v>50772</v>
      </c>
      <c r="Q1521">
        <f>30.5-11</f>
        <v>19.5</v>
      </c>
      <c r="R1521" t="s">
        <v>47</v>
      </c>
      <c r="T1521">
        <v>17</v>
      </c>
      <c r="U1521">
        <v>80</v>
      </c>
      <c r="V1521">
        <v>14</v>
      </c>
      <c r="W1521">
        <v>12.7</v>
      </c>
      <c r="X1521">
        <v>26.3</v>
      </c>
      <c r="Z1521" t="s">
        <v>39</v>
      </c>
      <c r="AB1521" t="s">
        <v>87</v>
      </c>
      <c r="AC1521" t="s">
        <v>88</v>
      </c>
    </row>
    <row r="1522" spans="1:29" x14ac:dyDescent="0.25">
      <c r="A1522" s="4">
        <v>42564</v>
      </c>
      <c r="B1522" t="s">
        <v>30</v>
      </c>
      <c r="C1522">
        <v>803</v>
      </c>
      <c r="D1522">
        <v>10</v>
      </c>
      <c r="E1522">
        <v>1</v>
      </c>
      <c r="F1522" t="s">
        <v>41</v>
      </c>
      <c r="G1522" t="s">
        <v>32</v>
      </c>
      <c r="H1522" t="s">
        <v>33</v>
      </c>
      <c r="I1522" t="s">
        <v>57</v>
      </c>
      <c r="O1522" s="5"/>
      <c r="P1522" s="5"/>
    </row>
    <row r="1523" spans="1:29" x14ac:dyDescent="0.25">
      <c r="A1523" s="4">
        <v>42564</v>
      </c>
      <c r="B1523" t="s">
        <v>30</v>
      </c>
      <c r="C1523">
        <v>803</v>
      </c>
      <c r="D1523">
        <v>10</v>
      </c>
      <c r="E1523">
        <v>2</v>
      </c>
      <c r="F1523" t="s">
        <v>41</v>
      </c>
      <c r="G1523" t="s">
        <v>32</v>
      </c>
      <c r="H1523" t="s">
        <v>33</v>
      </c>
      <c r="I1523" t="s">
        <v>57</v>
      </c>
      <c r="O1523" s="5"/>
      <c r="P1523" s="5"/>
    </row>
    <row r="1524" spans="1:29" x14ac:dyDescent="0.25">
      <c r="A1524" s="4">
        <v>42564</v>
      </c>
      <c r="B1524" t="s">
        <v>30</v>
      </c>
      <c r="C1524">
        <v>803</v>
      </c>
      <c r="D1524">
        <v>9</v>
      </c>
      <c r="E1524">
        <v>1</v>
      </c>
      <c r="F1524" t="s">
        <v>41</v>
      </c>
      <c r="G1524" t="s">
        <v>32</v>
      </c>
      <c r="H1524" t="s">
        <v>33</v>
      </c>
      <c r="I1524" t="s">
        <v>57</v>
      </c>
      <c r="O1524" s="5"/>
      <c r="P1524" s="5"/>
    </row>
    <row r="1525" spans="1:29" x14ac:dyDescent="0.25">
      <c r="A1525" s="4">
        <v>42564</v>
      </c>
      <c r="B1525" t="s">
        <v>30</v>
      </c>
      <c r="C1525">
        <v>803</v>
      </c>
      <c r="D1525">
        <v>9</v>
      </c>
      <c r="E1525">
        <v>2</v>
      </c>
      <c r="F1525" t="s">
        <v>41</v>
      </c>
      <c r="G1525" t="s">
        <v>32</v>
      </c>
      <c r="H1525" t="s">
        <v>33</v>
      </c>
      <c r="I1525" t="s">
        <v>34</v>
      </c>
      <c r="J1525" t="s">
        <v>35</v>
      </c>
      <c r="K1525" t="s">
        <v>114</v>
      </c>
      <c r="L1525" t="s">
        <v>37</v>
      </c>
      <c r="M1525">
        <v>0</v>
      </c>
      <c r="N1525">
        <v>0</v>
      </c>
      <c r="O1525" s="5">
        <v>50457</v>
      </c>
      <c r="P1525" s="5">
        <v>50456</v>
      </c>
      <c r="Q1525">
        <f>29-13</f>
        <v>16</v>
      </c>
      <c r="R1525" t="s">
        <v>164</v>
      </c>
      <c r="S1525" t="s">
        <v>97</v>
      </c>
      <c r="T1525">
        <v>19</v>
      </c>
      <c r="U1525">
        <v>85</v>
      </c>
      <c r="V1525">
        <v>15</v>
      </c>
      <c r="W1525">
        <v>12.5</v>
      </c>
      <c r="X1525">
        <v>26.5</v>
      </c>
      <c r="Z1525" t="s">
        <v>39</v>
      </c>
      <c r="AB1525" t="s">
        <v>87</v>
      </c>
      <c r="AC1525" t="s">
        <v>88</v>
      </c>
    </row>
    <row r="1526" spans="1:29" x14ac:dyDescent="0.25">
      <c r="A1526" s="4">
        <v>42564</v>
      </c>
      <c r="B1526" t="s">
        <v>30</v>
      </c>
      <c r="C1526">
        <v>803</v>
      </c>
      <c r="D1526">
        <v>8</v>
      </c>
      <c r="E1526">
        <v>1</v>
      </c>
      <c r="F1526" t="s">
        <v>41</v>
      </c>
      <c r="G1526" t="s">
        <v>32</v>
      </c>
      <c r="H1526" t="s">
        <v>33</v>
      </c>
      <c r="I1526" t="s">
        <v>73</v>
      </c>
      <c r="J1526" t="s">
        <v>35</v>
      </c>
      <c r="K1526" t="s">
        <v>36</v>
      </c>
      <c r="L1526" t="s">
        <v>43</v>
      </c>
      <c r="M1526">
        <v>0</v>
      </c>
      <c r="N1526">
        <v>0</v>
      </c>
      <c r="O1526" s="5">
        <v>50391</v>
      </c>
      <c r="P1526" s="5"/>
      <c r="Q1526">
        <f>143-50</f>
        <v>93</v>
      </c>
      <c r="R1526" t="s">
        <v>47</v>
      </c>
      <c r="T1526">
        <v>32</v>
      </c>
      <c r="W1526">
        <v>22</v>
      </c>
      <c r="X1526">
        <v>40.4</v>
      </c>
      <c r="Z1526" t="s">
        <v>39</v>
      </c>
      <c r="AB1526" t="s">
        <v>87</v>
      </c>
      <c r="AC1526" t="s">
        <v>88</v>
      </c>
    </row>
    <row r="1527" spans="1:29" x14ac:dyDescent="0.25">
      <c r="A1527" s="4">
        <v>42564</v>
      </c>
      <c r="B1527" t="s">
        <v>30</v>
      </c>
      <c r="C1527">
        <v>803</v>
      </c>
      <c r="D1527">
        <v>7</v>
      </c>
      <c r="E1527">
        <v>1</v>
      </c>
      <c r="F1527" t="s">
        <v>41</v>
      </c>
      <c r="G1527" t="s">
        <v>32</v>
      </c>
      <c r="H1527" t="s">
        <v>33</v>
      </c>
      <c r="I1527" t="s">
        <v>57</v>
      </c>
      <c r="O1527" s="5"/>
      <c r="P1527" s="5"/>
    </row>
    <row r="1528" spans="1:29" x14ac:dyDescent="0.25">
      <c r="A1528" s="4">
        <v>42564</v>
      </c>
      <c r="B1528" t="s">
        <v>30</v>
      </c>
      <c r="C1528">
        <v>803</v>
      </c>
      <c r="D1528">
        <v>7</v>
      </c>
      <c r="E1528">
        <v>2</v>
      </c>
      <c r="F1528" t="s">
        <v>41</v>
      </c>
      <c r="G1528" t="s">
        <v>32</v>
      </c>
      <c r="H1528" t="s">
        <v>33</v>
      </c>
      <c r="I1528" t="s">
        <v>91</v>
      </c>
      <c r="J1528" t="s">
        <v>42</v>
      </c>
      <c r="K1528" t="s">
        <v>36</v>
      </c>
      <c r="L1528" t="s">
        <v>37</v>
      </c>
      <c r="M1528">
        <v>0</v>
      </c>
      <c r="N1528">
        <v>1</v>
      </c>
      <c r="O1528" s="5"/>
      <c r="P1528" s="5">
        <v>50771</v>
      </c>
      <c r="Q1528">
        <v>31</v>
      </c>
      <c r="R1528" t="s">
        <v>143</v>
      </c>
      <c r="S1528" t="s">
        <v>97</v>
      </c>
      <c r="T1528">
        <v>30</v>
      </c>
      <c r="W1528">
        <v>13</v>
      </c>
      <c r="X1528">
        <v>27.5</v>
      </c>
      <c r="Z1528" t="s">
        <v>39</v>
      </c>
      <c r="AB1528" t="s">
        <v>87</v>
      </c>
      <c r="AC1528" t="s">
        <v>88</v>
      </c>
    </row>
    <row r="1529" spans="1:29" x14ac:dyDescent="0.25">
      <c r="A1529" s="4">
        <v>42564</v>
      </c>
      <c r="B1529" t="s">
        <v>30</v>
      </c>
      <c r="C1529">
        <v>803</v>
      </c>
      <c r="D1529">
        <v>6</v>
      </c>
      <c r="E1529">
        <v>1</v>
      </c>
      <c r="F1529" t="s">
        <v>41</v>
      </c>
      <c r="G1529" t="s">
        <v>32</v>
      </c>
      <c r="H1529" t="s">
        <v>33</v>
      </c>
      <c r="I1529" t="s">
        <v>73</v>
      </c>
      <c r="J1529" t="s">
        <v>35</v>
      </c>
      <c r="K1529" t="s">
        <v>36</v>
      </c>
      <c r="L1529" t="s">
        <v>43</v>
      </c>
      <c r="M1529">
        <v>0</v>
      </c>
      <c r="N1529">
        <v>0</v>
      </c>
      <c r="O1529" s="5">
        <v>50463</v>
      </c>
      <c r="P1529" s="5"/>
      <c r="Q1529">
        <f>126-50</f>
        <v>76</v>
      </c>
      <c r="R1529" t="s">
        <v>47</v>
      </c>
      <c r="T1529">
        <v>31</v>
      </c>
      <c r="W1529">
        <v>20.3</v>
      </c>
      <c r="X1529">
        <v>41.5</v>
      </c>
      <c r="Z1529" t="s">
        <v>39</v>
      </c>
      <c r="AB1529" t="s">
        <v>87</v>
      </c>
      <c r="AC1529" t="s">
        <v>88</v>
      </c>
    </row>
    <row r="1530" spans="1:29" x14ac:dyDescent="0.25">
      <c r="A1530" s="4">
        <v>42564</v>
      </c>
      <c r="B1530" t="s">
        <v>30</v>
      </c>
      <c r="C1530">
        <v>803</v>
      </c>
      <c r="D1530">
        <v>5</v>
      </c>
      <c r="E1530">
        <v>1</v>
      </c>
      <c r="F1530" t="s">
        <v>41</v>
      </c>
      <c r="G1530" t="s">
        <v>32</v>
      </c>
      <c r="H1530" t="s">
        <v>33</v>
      </c>
      <c r="I1530" t="s">
        <v>57</v>
      </c>
      <c r="O1530" s="5"/>
      <c r="P1530" s="5"/>
    </row>
    <row r="1531" spans="1:29" x14ac:dyDescent="0.25">
      <c r="A1531" s="4">
        <v>42564</v>
      </c>
      <c r="B1531" t="s">
        <v>30</v>
      </c>
      <c r="C1531">
        <v>803</v>
      </c>
      <c r="D1531">
        <v>4</v>
      </c>
      <c r="E1531">
        <v>1</v>
      </c>
      <c r="F1531" t="s">
        <v>41</v>
      </c>
      <c r="G1531" t="s">
        <v>32</v>
      </c>
      <c r="H1531" t="s">
        <v>33</v>
      </c>
      <c r="I1531" t="s">
        <v>57</v>
      </c>
      <c r="O1531" s="5"/>
      <c r="P1531" s="5"/>
    </row>
    <row r="1532" spans="1:29" x14ac:dyDescent="0.25">
      <c r="A1532" s="4">
        <v>42564</v>
      </c>
      <c r="B1532" t="s">
        <v>30</v>
      </c>
      <c r="C1532">
        <v>803</v>
      </c>
      <c r="D1532">
        <v>4</v>
      </c>
      <c r="E1532">
        <v>2</v>
      </c>
      <c r="F1532" t="s">
        <v>41</v>
      </c>
      <c r="G1532" t="s">
        <v>32</v>
      </c>
      <c r="H1532" t="s">
        <v>33</v>
      </c>
      <c r="I1532" t="s">
        <v>57</v>
      </c>
      <c r="O1532" s="5"/>
      <c r="P1532" s="5"/>
    </row>
    <row r="1533" spans="1:29" x14ac:dyDescent="0.25">
      <c r="A1533" s="4">
        <v>42564</v>
      </c>
      <c r="B1533" t="s">
        <v>30</v>
      </c>
      <c r="C1533">
        <v>803</v>
      </c>
      <c r="D1533">
        <v>2</v>
      </c>
      <c r="E1533">
        <v>1</v>
      </c>
      <c r="F1533" t="s">
        <v>41</v>
      </c>
      <c r="G1533" t="s">
        <v>32</v>
      </c>
      <c r="H1533" t="s">
        <v>33</v>
      </c>
      <c r="I1533" t="s">
        <v>57</v>
      </c>
      <c r="O1533" s="5"/>
      <c r="P1533" s="5"/>
    </row>
    <row r="1534" spans="1:29" x14ac:dyDescent="0.25">
      <c r="A1534" s="4">
        <v>42564</v>
      </c>
      <c r="B1534" t="s">
        <v>30</v>
      </c>
      <c r="C1534">
        <v>803</v>
      </c>
      <c r="D1534">
        <v>1</v>
      </c>
      <c r="E1534">
        <v>1</v>
      </c>
      <c r="F1534" t="s">
        <v>41</v>
      </c>
      <c r="G1534" t="s">
        <v>32</v>
      </c>
      <c r="H1534" t="s">
        <v>33</v>
      </c>
      <c r="I1534" t="s">
        <v>57</v>
      </c>
      <c r="O1534" s="5"/>
      <c r="P1534" s="5"/>
    </row>
    <row r="1535" spans="1:29" x14ac:dyDescent="0.25">
      <c r="A1535" s="4">
        <v>42564</v>
      </c>
      <c r="B1535" t="s">
        <v>30</v>
      </c>
      <c r="C1535">
        <v>803</v>
      </c>
      <c r="D1535">
        <v>1</v>
      </c>
      <c r="E1535">
        <v>2</v>
      </c>
      <c r="F1535" t="s">
        <v>41</v>
      </c>
      <c r="G1535" t="s">
        <v>32</v>
      </c>
      <c r="H1535" t="s">
        <v>33</v>
      </c>
      <c r="I1535" t="s">
        <v>73</v>
      </c>
      <c r="J1535" t="s">
        <v>42</v>
      </c>
      <c r="K1535" t="s">
        <v>114</v>
      </c>
      <c r="L1535" t="s">
        <v>37</v>
      </c>
      <c r="M1535">
        <v>0</v>
      </c>
      <c r="N1535">
        <v>1</v>
      </c>
      <c r="O1535" s="5">
        <v>50770</v>
      </c>
      <c r="P1535" s="5"/>
      <c r="Q1535">
        <f>104-50</f>
        <v>54</v>
      </c>
      <c r="R1535" t="s">
        <v>38</v>
      </c>
      <c r="S1535" t="s">
        <v>39</v>
      </c>
      <c r="T1535">
        <v>28</v>
      </c>
      <c r="Z1535" t="s">
        <v>39</v>
      </c>
      <c r="AB1535" t="s">
        <v>87</v>
      </c>
      <c r="AC1535" t="s">
        <v>88</v>
      </c>
    </row>
    <row r="1536" spans="1:29" x14ac:dyDescent="0.25">
      <c r="A1536" s="4">
        <v>42564</v>
      </c>
      <c r="B1536" t="s">
        <v>30</v>
      </c>
      <c r="C1536">
        <v>901</v>
      </c>
      <c r="D1536">
        <v>1</v>
      </c>
      <c r="E1536">
        <v>1</v>
      </c>
      <c r="F1536" t="s">
        <v>41</v>
      </c>
      <c r="G1536" t="s">
        <v>32</v>
      </c>
      <c r="H1536" t="s">
        <v>33</v>
      </c>
      <c r="I1536" t="s">
        <v>57</v>
      </c>
      <c r="O1536" s="5"/>
      <c r="P1536" s="5"/>
    </row>
    <row r="1537" spans="1:29" x14ac:dyDescent="0.25">
      <c r="A1537" s="4">
        <v>42564</v>
      </c>
      <c r="B1537" t="s">
        <v>30</v>
      </c>
      <c r="C1537">
        <v>901</v>
      </c>
      <c r="D1537">
        <v>1</v>
      </c>
      <c r="E1537">
        <v>2</v>
      </c>
      <c r="F1537" t="s">
        <v>41</v>
      </c>
      <c r="G1537" t="s">
        <v>32</v>
      </c>
      <c r="H1537" t="s">
        <v>33</v>
      </c>
      <c r="I1537" t="s">
        <v>34</v>
      </c>
      <c r="J1537" t="s">
        <v>42</v>
      </c>
      <c r="K1537" t="s">
        <v>36</v>
      </c>
      <c r="L1537" t="s">
        <v>43</v>
      </c>
      <c r="M1537">
        <v>0</v>
      </c>
      <c r="N1537">
        <v>1</v>
      </c>
      <c r="O1537" s="5">
        <v>50769</v>
      </c>
      <c r="P1537" s="5">
        <v>50768</v>
      </c>
      <c r="Q1537">
        <f>31.5-11</f>
        <v>20.5</v>
      </c>
      <c r="R1537" t="s">
        <v>47</v>
      </c>
      <c r="T1537">
        <v>19</v>
      </c>
      <c r="U1537">
        <v>85</v>
      </c>
      <c r="V1537">
        <v>15</v>
      </c>
      <c r="W1537">
        <v>13</v>
      </c>
      <c r="X1537">
        <v>26.1</v>
      </c>
      <c r="Z1537" t="s">
        <v>39</v>
      </c>
      <c r="AB1537" t="s">
        <v>87</v>
      </c>
      <c r="AC1537" t="s">
        <v>88</v>
      </c>
    </row>
    <row r="1538" spans="1:29" x14ac:dyDescent="0.25">
      <c r="A1538" s="4">
        <v>42564</v>
      </c>
      <c r="B1538" t="s">
        <v>30</v>
      </c>
      <c r="C1538">
        <v>901</v>
      </c>
      <c r="D1538">
        <v>2</v>
      </c>
      <c r="E1538">
        <v>1</v>
      </c>
      <c r="F1538" t="s">
        <v>41</v>
      </c>
      <c r="G1538" t="s">
        <v>32</v>
      </c>
      <c r="H1538" t="s">
        <v>33</v>
      </c>
      <c r="I1538" t="s">
        <v>57</v>
      </c>
      <c r="O1538" s="5"/>
      <c r="P1538" s="5"/>
    </row>
    <row r="1539" spans="1:29" x14ac:dyDescent="0.25">
      <c r="A1539" s="4">
        <v>42564</v>
      </c>
      <c r="B1539" t="s">
        <v>30</v>
      </c>
      <c r="C1539">
        <v>901</v>
      </c>
      <c r="D1539">
        <v>2</v>
      </c>
      <c r="E1539">
        <v>2</v>
      </c>
      <c r="F1539" t="s">
        <v>41</v>
      </c>
      <c r="G1539" t="s">
        <v>32</v>
      </c>
      <c r="H1539" t="s">
        <v>33</v>
      </c>
      <c r="I1539" t="s">
        <v>34</v>
      </c>
      <c r="J1539" t="s">
        <v>35</v>
      </c>
      <c r="K1539" t="s">
        <v>36</v>
      </c>
      <c r="L1539" t="s">
        <v>37</v>
      </c>
      <c r="M1539">
        <v>0</v>
      </c>
      <c r="N1539">
        <v>0</v>
      </c>
      <c r="O1539" s="5" t="s">
        <v>202</v>
      </c>
      <c r="P1539" s="5" t="s">
        <v>171</v>
      </c>
      <c r="Q1539">
        <f>38-15</f>
        <v>23</v>
      </c>
      <c r="R1539" t="s">
        <v>143</v>
      </c>
      <c r="S1539" t="s">
        <v>97</v>
      </c>
      <c r="T1539">
        <v>19</v>
      </c>
      <c r="U1539">
        <v>86</v>
      </c>
      <c r="V1539">
        <v>15</v>
      </c>
      <c r="W1539">
        <v>13</v>
      </c>
      <c r="X1539">
        <v>26.2</v>
      </c>
      <c r="Z1539" t="s">
        <v>39</v>
      </c>
      <c r="AB1539" t="s">
        <v>87</v>
      </c>
      <c r="AC1539" t="s">
        <v>88</v>
      </c>
    </row>
    <row r="1540" spans="1:29" x14ac:dyDescent="0.25">
      <c r="A1540" s="4">
        <v>42564</v>
      </c>
      <c r="B1540" t="s">
        <v>30</v>
      </c>
      <c r="C1540">
        <v>901</v>
      </c>
      <c r="D1540">
        <v>5</v>
      </c>
      <c r="E1540">
        <v>1</v>
      </c>
      <c r="F1540" t="s">
        <v>41</v>
      </c>
      <c r="G1540" t="s">
        <v>32</v>
      </c>
      <c r="H1540" t="s">
        <v>33</v>
      </c>
      <c r="I1540" t="s">
        <v>73</v>
      </c>
      <c r="J1540" t="s">
        <v>42</v>
      </c>
      <c r="K1540" t="s">
        <v>36</v>
      </c>
      <c r="L1540" t="s">
        <v>43</v>
      </c>
      <c r="M1540">
        <v>0</v>
      </c>
      <c r="N1540">
        <v>1</v>
      </c>
      <c r="O1540" s="5">
        <v>50767</v>
      </c>
      <c r="P1540" s="5"/>
      <c r="Q1540">
        <f>140-50</f>
        <v>90</v>
      </c>
      <c r="R1540" t="s">
        <v>47</v>
      </c>
      <c r="T1540">
        <v>28</v>
      </c>
      <c r="W1540">
        <v>22.1</v>
      </c>
      <c r="X1540">
        <v>41.3</v>
      </c>
      <c r="Z1540" t="s">
        <v>39</v>
      </c>
      <c r="AB1540" t="s">
        <v>87</v>
      </c>
      <c r="AC1540" t="s">
        <v>88</v>
      </c>
    </row>
    <row r="1541" spans="1:29" x14ac:dyDescent="0.25">
      <c r="A1541" s="4">
        <v>42564</v>
      </c>
      <c r="B1541" t="s">
        <v>30</v>
      </c>
      <c r="C1541">
        <v>901</v>
      </c>
      <c r="D1541">
        <v>5</v>
      </c>
      <c r="E1541">
        <v>2</v>
      </c>
      <c r="F1541" t="s">
        <v>41</v>
      </c>
      <c r="G1541" t="s">
        <v>32</v>
      </c>
      <c r="H1541" t="s">
        <v>33</v>
      </c>
      <c r="I1541" t="s">
        <v>34</v>
      </c>
      <c r="J1541" t="s">
        <v>42</v>
      </c>
      <c r="K1541" t="s">
        <v>36</v>
      </c>
      <c r="L1541" t="s">
        <v>43</v>
      </c>
      <c r="M1541">
        <v>0</v>
      </c>
      <c r="N1541">
        <v>1</v>
      </c>
      <c r="O1541" s="5">
        <v>50766</v>
      </c>
      <c r="P1541" s="5">
        <v>50765</v>
      </c>
      <c r="Q1541">
        <f>29-12</f>
        <v>17</v>
      </c>
      <c r="R1541" t="s">
        <v>47</v>
      </c>
      <c r="T1541">
        <v>19</v>
      </c>
      <c r="U1541">
        <v>80</v>
      </c>
      <c r="V1541">
        <v>17</v>
      </c>
      <c r="W1541">
        <v>12.7</v>
      </c>
      <c r="X1541">
        <v>27.1</v>
      </c>
      <c r="Z1541" t="s">
        <v>39</v>
      </c>
      <c r="AB1541" t="s">
        <v>87</v>
      </c>
      <c r="AC1541" t="s">
        <v>88</v>
      </c>
    </row>
    <row r="1542" spans="1:29" x14ac:dyDescent="0.25">
      <c r="A1542" s="4">
        <v>42564</v>
      </c>
      <c r="B1542" t="s">
        <v>30</v>
      </c>
      <c r="C1542">
        <v>901</v>
      </c>
      <c r="D1542">
        <v>8</v>
      </c>
      <c r="E1542">
        <v>1</v>
      </c>
      <c r="F1542" t="s">
        <v>41</v>
      </c>
      <c r="G1542" t="s">
        <v>32</v>
      </c>
      <c r="H1542" t="s">
        <v>33</v>
      </c>
      <c r="I1542" t="s">
        <v>34</v>
      </c>
      <c r="J1542" t="s">
        <v>35</v>
      </c>
      <c r="K1542" t="s">
        <v>36</v>
      </c>
      <c r="L1542" t="s">
        <v>37</v>
      </c>
      <c r="M1542">
        <v>0</v>
      </c>
      <c r="N1542">
        <v>0</v>
      </c>
      <c r="O1542" s="5">
        <v>50617</v>
      </c>
      <c r="P1542" s="5">
        <v>50516</v>
      </c>
      <c r="Q1542">
        <f>29-13</f>
        <v>16</v>
      </c>
      <c r="R1542" t="s">
        <v>143</v>
      </c>
      <c r="S1542" t="s">
        <v>97</v>
      </c>
      <c r="T1542">
        <v>20</v>
      </c>
      <c r="U1542">
        <v>90</v>
      </c>
      <c r="V1542">
        <v>14</v>
      </c>
      <c r="W1542">
        <v>12.8</v>
      </c>
      <c r="X1542">
        <v>25.8</v>
      </c>
      <c r="Z1542" t="s">
        <v>39</v>
      </c>
      <c r="AB1542" t="s">
        <v>87</v>
      </c>
      <c r="AC1542" t="s">
        <v>88</v>
      </c>
    </row>
    <row r="1543" spans="1:29" x14ac:dyDescent="0.25">
      <c r="A1543" s="4">
        <v>42564</v>
      </c>
      <c r="B1543" t="s">
        <v>30</v>
      </c>
      <c r="C1543">
        <v>901</v>
      </c>
      <c r="D1543">
        <v>10</v>
      </c>
      <c r="E1543">
        <v>1</v>
      </c>
      <c r="F1543" t="s">
        <v>41</v>
      </c>
      <c r="G1543" t="s">
        <v>32</v>
      </c>
      <c r="H1543" t="s">
        <v>33</v>
      </c>
      <c r="I1543" t="s">
        <v>57</v>
      </c>
      <c r="O1543" s="5"/>
      <c r="P1543" s="5"/>
    </row>
    <row r="1544" spans="1:29" x14ac:dyDescent="0.25">
      <c r="A1544" s="4">
        <v>42565</v>
      </c>
      <c r="B1544" t="s">
        <v>30</v>
      </c>
      <c r="C1544">
        <v>501</v>
      </c>
      <c r="D1544">
        <v>4</v>
      </c>
      <c r="E1544">
        <v>1</v>
      </c>
      <c r="F1544" t="s">
        <v>31</v>
      </c>
      <c r="G1544" t="s">
        <v>32</v>
      </c>
      <c r="H1544" t="s">
        <v>33</v>
      </c>
      <c r="I1544" t="s">
        <v>34</v>
      </c>
      <c r="J1544" t="s">
        <v>35</v>
      </c>
      <c r="K1544" t="s">
        <v>114</v>
      </c>
      <c r="L1544" t="s">
        <v>37</v>
      </c>
      <c r="M1544">
        <v>0</v>
      </c>
      <c r="N1544">
        <v>0</v>
      </c>
      <c r="O1544" s="5">
        <v>50448</v>
      </c>
      <c r="P1544" s="5">
        <v>50447</v>
      </c>
      <c r="Q1544">
        <f>28.5-11.5</f>
        <v>17</v>
      </c>
      <c r="R1544" t="s">
        <v>65</v>
      </c>
      <c r="T1544">
        <v>19</v>
      </c>
      <c r="U1544">
        <v>90</v>
      </c>
      <c r="V1544">
        <v>15</v>
      </c>
      <c r="W1544">
        <v>12.8</v>
      </c>
      <c r="X1544">
        <v>27.7</v>
      </c>
      <c r="Z1544" t="s">
        <v>39</v>
      </c>
      <c r="AB1544" t="s">
        <v>212</v>
      </c>
      <c r="AC1544" t="s">
        <v>137</v>
      </c>
    </row>
    <row r="1545" spans="1:29" x14ac:dyDescent="0.25">
      <c r="A1545" s="4">
        <v>42565</v>
      </c>
      <c r="B1545" t="s">
        <v>30</v>
      </c>
      <c r="C1545">
        <v>501</v>
      </c>
      <c r="D1545">
        <v>4</v>
      </c>
      <c r="E1545">
        <v>2</v>
      </c>
      <c r="F1545" t="s">
        <v>31</v>
      </c>
      <c r="G1545" t="s">
        <v>32</v>
      </c>
      <c r="H1545" t="s">
        <v>33</v>
      </c>
      <c r="I1545" t="s">
        <v>91</v>
      </c>
      <c r="J1545" t="s">
        <v>35</v>
      </c>
      <c r="K1545" t="s">
        <v>36</v>
      </c>
      <c r="L1545" t="s">
        <v>37</v>
      </c>
      <c r="M1545">
        <v>0</v>
      </c>
      <c r="N1545">
        <v>0</v>
      </c>
      <c r="O1545" s="5" t="s">
        <v>165</v>
      </c>
      <c r="P1545" s="5">
        <v>50740</v>
      </c>
      <c r="Q1545">
        <f>42.5-11.5</f>
        <v>31</v>
      </c>
      <c r="R1545" t="s">
        <v>74</v>
      </c>
      <c r="S1545" t="s">
        <v>97</v>
      </c>
      <c r="T1545">
        <v>28</v>
      </c>
      <c r="W1545">
        <v>13</v>
      </c>
      <c r="X1545">
        <v>28.5</v>
      </c>
      <c r="Z1545" t="s">
        <v>39</v>
      </c>
      <c r="AB1545" t="s">
        <v>212</v>
      </c>
      <c r="AC1545" t="s">
        <v>137</v>
      </c>
    </row>
    <row r="1546" spans="1:29" x14ac:dyDescent="0.25">
      <c r="A1546" s="4">
        <v>42565</v>
      </c>
      <c r="B1546" t="s">
        <v>30</v>
      </c>
      <c r="C1546">
        <v>501</v>
      </c>
      <c r="D1546">
        <v>5</v>
      </c>
      <c r="E1546">
        <v>1</v>
      </c>
      <c r="F1546" t="s">
        <v>31</v>
      </c>
      <c r="G1546" t="s">
        <v>32</v>
      </c>
      <c r="H1546" t="s">
        <v>33</v>
      </c>
      <c r="I1546" t="s">
        <v>57</v>
      </c>
      <c r="O1546" s="5"/>
      <c r="P1546" s="5"/>
    </row>
    <row r="1547" spans="1:29" x14ac:dyDescent="0.25">
      <c r="A1547" s="4">
        <v>42565</v>
      </c>
      <c r="B1547" t="s">
        <v>30</v>
      </c>
      <c r="C1547">
        <v>501</v>
      </c>
      <c r="D1547">
        <v>5</v>
      </c>
      <c r="E1547">
        <v>2</v>
      </c>
      <c r="F1547" t="s">
        <v>31</v>
      </c>
      <c r="G1547" t="s">
        <v>32</v>
      </c>
      <c r="H1547" t="s">
        <v>33</v>
      </c>
      <c r="I1547" t="s">
        <v>73</v>
      </c>
      <c r="J1547" t="s">
        <v>35</v>
      </c>
      <c r="K1547" t="s">
        <v>89</v>
      </c>
      <c r="L1547" t="s">
        <v>37</v>
      </c>
      <c r="M1547">
        <v>0</v>
      </c>
      <c r="N1547">
        <v>0</v>
      </c>
      <c r="O1547" s="5">
        <v>50734</v>
      </c>
      <c r="P1547" s="5"/>
      <c r="Q1547">
        <f>150-100</f>
        <v>50</v>
      </c>
      <c r="R1547" t="s">
        <v>38</v>
      </c>
      <c r="S1547" t="s">
        <v>39</v>
      </c>
      <c r="T1547">
        <v>26</v>
      </c>
      <c r="W1547">
        <v>20</v>
      </c>
      <c r="X1547">
        <v>38.1</v>
      </c>
      <c r="Z1547" t="s">
        <v>39</v>
      </c>
      <c r="AB1547" t="s">
        <v>212</v>
      </c>
      <c r="AC1547" t="s">
        <v>137</v>
      </c>
    </row>
    <row r="1548" spans="1:29" x14ac:dyDescent="0.25">
      <c r="A1548" s="4">
        <v>42565</v>
      </c>
      <c r="B1548" t="s">
        <v>30</v>
      </c>
      <c r="C1548">
        <v>501</v>
      </c>
      <c r="D1548">
        <v>6</v>
      </c>
      <c r="E1548">
        <v>1</v>
      </c>
      <c r="F1548" t="s">
        <v>31</v>
      </c>
      <c r="G1548" t="s">
        <v>32</v>
      </c>
      <c r="H1548" t="s">
        <v>33</v>
      </c>
      <c r="I1548" t="s">
        <v>34</v>
      </c>
      <c r="J1548" t="s">
        <v>35</v>
      </c>
      <c r="K1548" t="s">
        <v>114</v>
      </c>
      <c r="L1548" t="s">
        <v>37</v>
      </c>
      <c r="M1548">
        <v>0</v>
      </c>
      <c r="N1548">
        <v>0</v>
      </c>
      <c r="O1548" s="5">
        <v>50729</v>
      </c>
      <c r="P1548" s="5">
        <v>50728</v>
      </c>
      <c r="Q1548">
        <f>31.5-14</f>
        <v>17.5</v>
      </c>
      <c r="R1548" t="s">
        <v>38</v>
      </c>
      <c r="S1548" t="s">
        <v>39</v>
      </c>
      <c r="T1548">
        <v>20</v>
      </c>
      <c r="U1548">
        <v>95</v>
      </c>
      <c r="V1548">
        <v>15</v>
      </c>
      <c r="W1548">
        <v>13.6</v>
      </c>
      <c r="X1548">
        <v>26</v>
      </c>
      <c r="Z1548" t="s">
        <v>39</v>
      </c>
      <c r="AB1548" t="s">
        <v>212</v>
      </c>
      <c r="AC1548" t="s">
        <v>137</v>
      </c>
    </row>
    <row r="1549" spans="1:29" x14ac:dyDescent="0.25">
      <c r="A1549" s="4">
        <v>42565</v>
      </c>
      <c r="B1549" t="s">
        <v>30</v>
      </c>
      <c r="C1549">
        <v>501</v>
      </c>
      <c r="D1549">
        <v>7</v>
      </c>
      <c r="E1549">
        <v>1</v>
      </c>
      <c r="F1549" t="s">
        <v>31</v>
      </c>
      <c r="G1549" t="s">
        <v>32</v>
      </c>
      <c r="H1549" t="s">
        <v>33</v>
      </c>
      <c r="I1549" t="s">
        <v>73</v>
      </c>
      <c r="J1549" t="s">
        <v>35</v>
      </c>
      <c r="K1549" t="s">
        <v>89</v>
      </c>
      <c r="L1549" t="s">
        <v>37</v>
      </c>
      <c r="M1549">
        <v>0</v>
      </c>
      <c r="N1549">
        <v>0</v>
      </c>
      <c r="O1549" s="5"/>
      <c r="P1549" s="5">
        <v>50337</v>
      </c>
      <c r="Q1549">
        <f>180-110</f>
        <v>70</v>
      </c>
      <c r="R1549" t="s">
        <v>38</v>
      </c>
      <c r="S1549" t="s">
        <v>39</v>
      </c>
      <c r="T1549">
        <v>28</v>
      </c>
      <c r="W1549">
        <v>22.1</v>
      </c>
      <c r="X1549">
        <v>42.2</v>
      </c>
      <c r="Z1549" t="s">
        <v>39</v>
      </c>
      <c r="AB1549" t="s">
        <v>212</v>
      </c>
      <c r="AC1549" t="s">
        <v>137</v>
      </c>
    </row>
    <row r="1550" spans="1:29" x14ac:dyDescent="0.25">
      <c r="A1550" s="4">
        <v>42565</v>
      </c>
      <c r="B1550" t="s">
        <v>30</v>
      </c>
      <c r="C1550">
        <v>501</v>
      </c>
      <c r="D1550">
        <v>8</v>
      </c>
      <c r="E1550">
        <v>1</v>
      </c>
      <c r="F1550" t="s">
        <v>31</v>
      </c>
      <c r="G1550" t="s">
        <v>32</v>
      </c>
      <c r="H1550" t="s">
        <v>33</v>
      </c>
      <c r="I1550" t="s">
        <v>57</v>
      </c>
      <c r="O1550" s="5"/>
      <c r="P1550" s="5"/>
    </row>
    <row r="1551" spans="1:29" x14ac:dyDescent="0.25">
      <c r="A1551" s="4">
        <v>42565</v>
      </c>
      <c r="B1551" t="s">
        <v>30</v>
      </c>
      <c r="C1551">
        <v>501</v>
      </c>
      <c r="D1551">
        <v>9</v>
      </c>
      <c r="E1551">
        <v>1</v>
      </c>
      <c r="F1551" t="s">
        <v>31</v>
      </c>
      <c r="G1551" t="s">
        <v>32</v>
      </c>
      <c r="H1551" t="s">
        <v>33</v>
      </c>
      <c r="I1551" t="s">
        <v>57</v>
      </c>
      <c r="O1551" s="5"/>
      <c r="P1551" s="5"/>
    </row>
    <row r="1552" spans="1:29" x14ac:dyDescent="0.25">
      <c r="A1552" s="4">
        <v>42565</v>
      </c>
      <c r="B1552" t="s">
        <v>30</v>
      </c>
      <c r="C1552">
        <v>501</v>
      </c>
      <c r="D1552">
        <v>9</v>
      </c>
      <c r="E1552">
        <v>2</v>
      </c>
      <c r="F1552" t="s">
        <v>31</v>
      </c>
      <c r="G1552" t="s">
        <v>32</v>
      </c>
      <c r="H1552" t="s">
        <v>33</v>
      </c>
      <c r="I1552" t="s">
        <v>57</v>
      </c>
      <c r="O1552" s="5"/>
      <c r="P1552" s="5"/>
    </row>
    <row r="1553" spans="1:29" x14ac:dyDescent="0.25">
      <c r="A1553" s="4">
        <v>42565</v>
      </c>
      <c r="B1553" t="s">
        <v>30</v>
      </c>
      <c r="C1553">
        <v>501</v>
      </c>
      <c r="D1553">
        <v>10</v>
      </c>
      <c r="E1553">
        <v>1</v>
      </c>
      <c r="F1553" t="s">
        <v>31</v>
      </c>
      <c r="G1553" t="s">
        <v>32</v>
      </c>
      <c r="H1553" t="s">
        <v>33</v>
      </c>
      <c r="I1553" t="s">
        <v>57</v>
      </c>
      <c r="O1553" s="5"/>
      <c r="P1553" s="5"/>
    </row>
    <row r="1554" spans="1:29" x14ac:dyDescent="0.25">
      <c r="A1554" s="4">
        <v>42565</v>
      </c>
      <c r="B1554" t="s">
        <v>30</v>
      </c>
      <c r="C1554">
        <v>501</v>
      </c>
      <c r="D1554">
        <v>10</v>
      </c>
      <c r="E1554">
        <v>2</v>
      </c>
      <c r="F1554" t="s">
        <v>31</v>
      </c>
      <c r="G1554" t="s">
        <v>32</v>
      </c>
      <c r="H1554" t="s">
        <v>33</v>
      </c>
      <c r="I1554" t="s">
        <v>73</v>
      </c>
      <c r="J1554" t="s">
        <v>35</v>
      </c>
      <c r="K1554" t="s">
        <v>36</v>
      </c>
      <c r="L1554" t="s">
        <v>37</v>
      </c>
      <c r="M1554">
        <v>0</v>
      </c>
      <c r="N1554">
        <v>0</v>
      </c>
      <c r="O1554" s="5"/>
      <c r="P1554" s="5">
        <v>50314</v>
      </c>
      <c r="Q1554">
        <f>225-115</f>
        <v>110</v>
      </c>
      <c r="R1554" t="s">
        <v>74</v>
      </c>
      <c r="S1554" t="s">
        <v>97</v>
      </c>
      <c r="T1554">
        <v>34</v>
      </c>
      <c r="W1554">
        <v>23.4</v>
      </c>
      <c r="X1554">
        <v>42.7</v>
      </c>
      <c r="Z1554" t="s">
        <v>39</v>
      </c>
      <c r="AB1554" t="s">
        <v>212</v>
      </c>
      <c r="AC1554" t="s">
        <v>137</v>
      </c>
    </row>
    <row r="1555" spans="1:29" x14ac:dyDescent="0.25">
      <c r="A1555" s="4">
        <v>42565</v>
      </c>
      <c r="B1555" t="s">
        <v>30</v>
      </c>
      <c r="C1555">
        <v>503</v>
      </c>
      <c r="D1555">
        <v>1</v>
      </c>
      <c r="E1555">
        <v>1</v>
      </c>
      <c r="F1555" t="s">
        <v>31</v>
      </c>
      <c r="G1555" t="s">
        <v>32</v>
      </c>
      <c r="H1555" t="s">
        <v>33</v>
      </c>
      <c r="I1555" t="s">
        <v>57</v>
      </c>
      <c r="O1555" s="5"/>
      <c r="P1555" s="5"/>
    </row>
    <row r="1556" spans="1:29" x14ac:dyDescent="0.25">
      <c r="A1556" s="4">
        <v>42565</v>
      </c>
      <c r="B1556" t="s">
        <v>30</v>
      </c>
      <c r="C1556">
        <v>503</v>
      </c>
      <c r="D1556">
        <v>1</v>
      </c>
      <c r="E1556">
        <v>2</v>
      </c>
      <c r="F1556" t="s">
        <v>31</v>
      </c>
      <c r="G1556" t="s">
        <v>32</v>
      </c>
      <c r="H1556" t="s">
        <v>33</v>
      </c>
      <c r="I1556" t="s">
        <v>57</v>
      </c>
      <c r="O1556" s="5"/>
      <c r="P1556" s="5"/>
    </row>
    <row r="1557" spans="1:29" x14ac:dyDescent="0.25">
      <c r="A1557" s="4">
        <v>42565</v>
      </c>
      <c r="B1557" t="s">
        <v>30</v>
      </c>
      <c r="C1557">
        <v>503</v>
      </c>
      <c r="D1557">
        <v>2</v>
      </c>
      <c r="E1557">
        <v>1</v>
      </c>
      <c r="F1557" t="s">
        <v>31</v>
      </c>
      <c r="G1557" t="s">
        <v>32</v>
      </c>
      <c r="H1557" t="s">
        <v>33</v>
      </c>
      <c r="I1557" t="s">
        <v>34</v>
      </c>
      <c r="J1557" t="s">
        <v>35</v>
      </c>
      <c r="K1557" t="s">
        <v>114</v>
      </c>
      <c r="L1557" t="s">
        <v>37</v>
      </c>
      <c r="M1557">
        <v>0</v>
      </c>
      <c r="N1557">
        <v>0</v>
      </c>
      <c r="O1557" s="5">
        <v>50550</v>
      </c>
      <c r="P1557" s="5">
        <v>50549</v>
      </c>
      <c r="Q1557">
        <v>14</v>
      </c>
      <c r="R1557" t="s">
        <v>38</v>
      </c>
      <c r="S1557" t="s">
        <v>39</v>
      </c>
      <c r="T1557">
        <v>16</v>
      </c>
      <c r="U1557">
        <v>75</v>
      </c>
      <c r="V1557">
        <v>15</v>
      </c>
      <c r="W1557">
        <v>12.6</v>
      </c>
      <c r="X1557">
        <v>28.2</v>
      </c>
      <c r="Z1557" t="s">
        <v>39</v>
      </c>
      <c r="AB1557" t="s">
        <v>212</v>
      </c>
      <c r="AC1557" t="s">
        <v>137</v>
      </c>
    </row>
    <row r="1558" spans="1:29" x14ac:dyDescent="0.25">
      <c r="A1558" s="4">
        <v>42565</v>
      </c>
      <c r="B1558" t="s">
        <v>30</v>
      </c>
      <c r="C1558">
        <v>503</v>
      </c>
      <c r="D1558">
        <v>2</v>
      </c>
      <c r="E1558">
        <v>2</v>
      </c>
      <c r="F1558" t="s">
        <v>31</v>
      </c>
      <c r="G1558" t="s">
        <v>32</v>
      </c>
      <c r="H1558" t="s">
        <v>33</v>
      </c>
      <c r="I1558" t="s">
        <v>57</v>
      </c>
      <c r="O1558" s="5"/>
      <c r="P1558" s="5"/>
    </row>
    <row r="1559" spans="1:29" x14ac:dyDescent="0.25">
      <c r="A1559" s="4">
        <v>42565</v>
      </c>
      <c r="B1559" t="s">
        <v>30</v>
      </c>
      <c r="C1559">
        <v>503</v>
      </c>
      <c r="D1559">
        <v>3</v>
      </c>
      <c r="E1559">
        <v>1</v>
      </c>
      <c r="F1559" t="s">
        <v>31</v>
      </c>
      <c r="G1559" t="s">
        <v>32</v>
      </c>
      <c r="H1559" t="s">
        <v>33</v>
      </c>
      <c r="I1559" t="s">
        <v>57</v>
      </c>
      <c r="O1559" s="5"/>
      <c r="P1559" s="5"/>
    </row>
    <row r="1560" spans="1:29" x14ac:dyDescent="0.25">
      <c r="A1560" s="4">
        <v>42565</v>
      </c>
      <c r="B1560" t="s">
        <v>30</v>
      </c>
      <c r="C1560">
        <v>503</v>
      </c>
      <c r="D1560">
        <v>3</v>
      </c>
      <c r="E1560">
        <v>2</v>
      </c>
      <c r="F1560" t="s">
        <v>31</v>
      </c>
      <c r="G1560" t="s">
        <v>32</v>
      </c>
      <c r="H1560" t="s">
        <v>33</v>
      </c>
      <c r="I1560" t="s">
        <v>57</v>
      </c>
      <c r="O1560" s="5"/>
      <c r="P1560" s="5"/>
    </row>
    <row r="1561" spans="1:29" x14ac:dyDescent="0.25">
      <c r="A1561" s="4">
        <v>42565</v>
      </c>
      <c r="B1561" t="s">
        <v>30</v>
      </c>
      <c r="C1561">
        <v>503</v>
      </c>
      <c r="D1561">
        <v>5</v>
      </c>
      <c r="E1561">
        <v>1</v>
      </c>
      <c r="F1561" t="s">
        <v>31</v>
      </c>
      <c r="G1561" t="s">
        <v>32</v>
      </c>
      <c r="H1561" t="s">
        <v>33</v>
      </c>
      <c r="I1561" t="s">
        <v>57</v>
      </c>
      <c r="O1561" s="5"/>
      <c r="P1561" s="5"/>
    </row>
    <row r="1562" spans="1:29" x14ac:dyDescent="0.25">
      <c r="A1562" s="4">
        <v>42565</v>
      </c>
      <c r="B1562" t="s">
        <v>30</v>
      </c>
      <c r="C1562">
        <v>503</v>
      </c>
      <c r="D1562">
        <v>5</v>
      </c>
      <c r="E1562">
        <v>2</v>
      </c>
      <c r="F1562" t="s">
        <v>31</v>
      </c>
      <c r="G1562" t="s">
        <v>32</v>
      </c>
      <c r="H1562" t="s">
        <v>33</v>
      </c>
      <c r="I1562" t="s">
        <v>57</v>
      </c>
      <c r="O1562" s="5"/>
      <c r="P1562" s="5"/>
    </row>
    <row r="1563" spans="1:29" x14ac:dyDescent="0.25">
      <c r="A1563" s="4">
        <v>42565</v>
      </c>
      <c r="B1563" t="s">
        <v>30</v>
      </c>
      <c r="C1563">
        <v>503</v>
      </c>
      <c r="D1563">
        <v>6</v>
      </c>
      <c r="E1563">
        <v>1</v>
      </c>
      <c r="F1563" t="s">
        <v>31</v>
      </c>
      <c r="G1563" t="s">
        <v>32</v>
      </c>
      <c r="H1563" t="s">
        <v>33</v>
      </c>
      <c r="I1563" t="s">
        <v>58</v>
      </c>
      <c r="J1563" t="s">
        <v>35</v>
      </c>
      <c r="K1563" t="s">
        <v>36</v>
      </c>
      <c r="L1563" t="s">
        <v>43</v>
      </c>
      <c r="M1563">
        <v>0</v>
      </c>
      <c r="N1563">
        <v>0</v>
      </c>
      <c r="O1563" s="5">
        <v>50578</v>
      </c>
      <c r="P1563" s="5"/>
      <c r="Q1563">
        <v>28</v>
      </c>
      <c r="R1563" t="s">
        <v>65</v>
      </c>
      <c r="Z1563" t="s">
        <v>39</v>
      </c>
      <c r="AB1563" t="s">
        <v>212</v>
      </c>
      <c r="AC1563" t="s">
        <v>137</v>
      </c>
    </row>
    <row r="1564" spans="1:29" x14ac:dyDescent="0.25">
      <c r="A1564" s="4">
        <v>42565</v>
      </c>
      <c r="B1564" t="s">
        <v>30</v>
      </c>
      <c r="C1564">
        <v>503</v>
      </c>
      <c r="D1564">
        <v>6</v>
      </c>
      <c r="E1564">
        <v>2</v>
      </c>
      <c r="F1564" t="s">
        <v>31</v>
      </c>
      <c r="G1564" t="s">
        <v>32</v>
      </c>
      <c r="H1564" t="s">
        <v>33</v>
      </c>
      <c r="I1564" t="s">
        <v>34</v>
      </c>
      <c r="J1564" t="s">
        <v>35</v>
      </c>
      <c r="K1564" t="s">
        <v>114</v>
      </c>
      <c r="L1564" t="s">
        <v>43</v>
      </c>
      <c r="M1564">
        <v>0</v>
      </c>
      <c r="N1564">
        <v>0</v>
      </c>
      <c r="O1564" s="5">
        <v>50446</v>
      </c>
      <c r="P1564" s="5">
        <v>50434</v>
      </c>
      <c r="Q1564">
        <f>28.5-13</f>
        <v>15.5</v>
      </c>
      <c r="R1564" t="s">
        <v>65</v>
      </c>
      <c r="T1564">
        <v>18</v>
      </c>
      <c r="U1564">
        <v>80</v>
      </c>
      <c r="V1564">
        <v>13</v>
      </c>
      <c r="W1564">
        <v>12.4</v>
      </c>
      <c r="X1564">
        <v>29.6</v>
      </c>
      <c r="Z1564" t="s">
        <v>39</v>
      </c>
      <c r="AB1564" t="s">
        <v>212</v>
      </c>
      <c r="AC1564" t="s">
        <v>137</v>
      </c>
    </row>
    <row r="1565" spans="1:29" x14ac:dyDescent="0.25">
      <c r="A1565" s="4">
        <v>42565</v>
      </c>
      <c r="B1565" t="s">
        <v>30</v>
      </c>
      <c r="C1565">
        <v>503</v>
      </c>
      <c r="D1565">
        <v>7</v>
      </c>
      <c r="E1565">
        <v>1</v>
      </c>
      <c r="F1565" t="s">
        <v>31</v>
      </c>
      <c r="G1565" t="s">
        <v>32</v>
      </c>
      <c r="H1565" t="s">
        <v>33</v>
      </c>
      <c r="I1565" t="s">
        <v>91</v>
      </c>
      <c r="J1565" t="s">
        <v>35</v>
      </c>
      <c r="K1565" t="s">
        <v>36</v>
      </c>
      <c r="L1565" t="s">
        <v>37</v>
      </c>
      <c r="M1565">
        <v>0</v>
      </c>
      <c r="N1565">
        <v>0</v>
      </c>
      <c r="O1565" s="5">
        <v>50449</v>
      </c>
      <c r="P1565" s="5"/>
      <c r="Q1565">
        <v>24</v>
      </c>
      <c r="R1565" t="s">
        <v>74</v>
      </c>
      <c r="S1565" t="s">
        <v>97</v>
      </c>
      <c r="T1565">
        <v>29</v>
      </c>
      <c r="W1565">
        <v>13.15</v>
      </c>
      <c r="X1565">
        <v>28</v>
      </c>
      <c r="Z1565" t="s">
        <v>39</v>
      </c>
      <c r="AB1565" t="s">
        <v>212</v>
      </c>
      <c r="AC1565" t="s">
        <v>137</v>
      </c>
    </row>
    <row r="1566" spans="1:29" x14ac:dyDescent="0.25">
      <c r="A1566" s="4">
        <v>42565</v>
      </c>
      <c r="B1566" t="s">
        <v>30</v>
      </c>
      <c r="C1566">
        <v>503</v>
      </c>
      <c r="D1566">
        <v>7</v>
      </c>
      <c r="E1566">
        <v>2</v>
      </c>
      <c r="F1566" t="s">
        <v>31</v>
      </c>
      <c r="G1566" t="s">
        <v>32</v>
      </c>
      <c r="H1566" t="s">
        <v>33</v>
      </c>
      <c r="I1566" t="s">
        <v>34</v>
      </c>
      <c r="J1566" t="s">
        <v>42</v>
      </c>
      <c r="K1566" t="s">
        <v>114</v>
      </c>
      <c r="L1566" t="s">
        <v>37</v>
      </c>
      <c r="M1566">
        <v>0</v>
      </c>
      <c r="N1566">
        <v>1</v>
      </c>
      <c r="O1566" s="5">
        <v>50742</v>
      </c>
      <c r="P1566" s="5">
        <v>50741</v>
      </c>
      <c r="Q1566">
        <v>16</v>
      </c>
      <c r="R1566" t="s">
        <v>38</v>
      </c>
      <c r="S1566" t="s">
        <v>39</v>
      </c>
      <c r="T1566">
        <v>17</v>
      </c>
      <c r="U1566">
        <v>81</v>
      </c>
      <c r="V1566">
        <v>15</v>
      </c>
      <c r="W1566">
        <v>12.9</v>
      </c>
      <c r="X1566">
        <v>27</v>
      </c>
      <c r="Z1566" t="s">
        <v>39</v>
      </c>
      <c r="AB1566" t="s">
        <v>212</v>
      </c>
      <c r="AC1566" t="s">
        <v>137</v>
      </c>
    </row>
    <row r="1567" spans="1:29" x14ac:dyDescent="0.25">
      <c r="A1567" s="4">
        <v>42565</v>
      </c>
      <c r="B1567" t="s">
        <v>30</v>
      </c>
      <c r="C1567">
        <v>503</v>
      </c>
      <c r="D1567">
        <v>8</v>
      </c>
      <c r="E1567">
        <v>1</v>
      </c>
      <c r="F1567" t="s">
        <v>31</v>
      </c>
      <c r="G1567" t="s">
        <v>32</v>
      </c>
      <c r="H1567" t="s">
        <v>33</v>
      </c>
      <c r="I1567" t="s">
        <v>57</v>
      </c>
      <c r="O1567" s="5"/>
      <c r="P1567" s="5"/>
    </row>
    <row r="1568" spans="1:29" x14ac:dyDescent="0.25">
      <c r="A1568" s="4">
        <v>42565</v>
      </c>
      <c r="B1568" t="s">
        <v>30</v>
      </c>
      <c r="C1568">
        <v>503</v>
      </c>
      <c r="D1568">
        <v>8</v>
      </c>
      <c r="E1568">
        <v>2</v>
      </c>
      <c r="F1568" t="s">
        <v>31</v>
      </c>
      <c r="G1568" t="s">
        <v>32</v>
      </c>
      <c r="H1568" t="s">
        <v>33</v>
      </c>
      <c r="I1568" t="s">
        <v>34</v>
      </c>
      <c r="J1568" t="s">
        <v>35</v>
      </c>
      <c r="K1568" t="s">
        <v>114</v>
      </c>
      <c r="L1568" t="s">
        <v>37</v>
      </c>
      <c r="M1568">
        <v>0</v>
      </c>
      <c r="N1568">
        <v>0</v>
      </c>
      <c r="O1568" s="5">
        <v>50442</v>
      </c>
      <c r="P1568" s="5">
        <v>50441</v>
      </c>
      <c r="Q1568">
        <v>13</v>
      </c>
      <c r="R1568" t="s">
        <v>38</v>
      </c>
      <c r="S1568" t="s">
        <v>39</v>
      </c>
      <c r="T1568">
        <v>19</v>
      </c>
      <c r="U1568">
        <v>79</v>
      </c>
      <c r="V1568">
        <v>14</v>
      </c>
      <c r="W1568">
        <v>12.5</v>
      </c>
      <c r="X1568">
        <v>22.9</v>
      </c>
      <c r="Z1568" t="s">
        <v>39</v>
      </c>
      <c r="AB1568" t="s">
        <v>213</v>
      </c>
      <c r="AC1568" t="s">
        <v>137</v>
      </c>
    </row>
    <row r="1569" spans="1:29" x14ac:dyDescent="0.25">
      <c r="A1569" s="4">
        <v>42565</v>
      </c>
      <c r="B1569" t="s">
        <v>30</v>
      </c>
      <c r="C1569">
        <v>503</v>
      </c>
      <c r="D1569">
        <v>9</v>
      </c>
      <c r="E1569">
        <v>1</v>
      </c>
      <c r="F1569" t="s">
        <v>31</v>
      </c>
      <c r="G1569" t="s">
        <v>32</v>
      </c>
      <c r="H1569" t="s">
        <v>33</v>
      </c>
      <c r="I1569" t="s">
        <v>34</v>
      </c>
      <c r="J1569" t="s">
        <v>42</v>
      </c>
      <c r="K1569" t="s">
        <v>36</v>
      </c>
      <c r="L1569" t="s">
        <v>43</v>
      </c>
      <c r="M1569">
        <v>0</v>
      </c>
      <c r="N1569">
        <v>1</v>
      </c>
      <c r="O1569" s="5">
        <v>50744</v>
      </c>
      <c r="P1569" s="5">
        <v>50743</v>
      </c>
      <c r="Q1569">
        <f>32-13</f>
        <v>19</v>
      </c>
      <c r="R1569" t="s">
        <v>47</v>
      </c>
      <c r="T1569">
        <v>18</v>
      </c>
      <c r="U1569">
        <v>80</v>
      </c>
      <c r="V1569">
        <v>17</v>
      </c>
      <c r="W1569">
        <v>13.2</v>
      </c>
      <c r="X1569">
        <v>28.4</v>
      </c>
      <c r="Z1569" t="s">
        <v>39</v>
      </c>
      <c r="AB1569" t="s">
        <v>213</v>
      </c>
      <c r="AC1569" t="s">
        <v>137</v>
      </c>
    </row>
    <row r="1570" spans="1:29" x14ac:dyDescent="0.25">
      <c r="A1570" s="4">
        <v>42565</v>
      </c>
      <c r="B1570" t="s">
        <v>30</v>
      </c>
      <c r="C1570">
        <v>503</v>
      </c>
      <c r="D1570">
        <v>9</v>
      </c>
      <c r="E1570">
        <v>2</v>
      </c>
      <c r="F1570" t="s">
        <v>31</v>
      </c>
      <c r="G1570" t="s">
        <v>32</v>
      </c>
      <c r="H1570" t="s">
        <v>33</v>
      </c>
      <c r="I1570" t="s">
        <v>57</v>
      </c>
      <c r="O1570" s="5"/>
      <c r="P1570" s="5"/>
    </row>
    <row r="1571" spans="1:29" x14ac:dyDescent="0.25">
      <c r="A1571" s="4">
        <v>42565</v>
      </c>
      <c r="B1571" t="s">
        <v>30</v>
      </c>
      <c r="C1571">
        <v>503</v>
      </c>
      <c r="D1571">
        <v>10</v>
      </c>
      <c r="E1571">
        <v>1</v>
      </c>
      <c r="F1571" t="s">
        <v>31</v>
      </c>
      <c r="G1571" t="s">
        <v>32</v>
      </c>
      <c r="H1571" t="s">
        <v>33</v>
      </c>
      <c r="I1571" t="s">
        <v>34</v>
      </c>
      <c r="J1571" t="s">
        <v>35</v>
      </c>
      <c r="K1571" t="s">
        <v>36</v>
      </c>
      <c r="L1571" t="s">
        <v>43</v>
      </c>
      <c r="M1571">
        <v>0</v>
      </c>
      <c r="N1571">
        <v>0</v>
      </c>
      <c r="O1571" s="5">
        <v>50435</v>
      </c>
      <c r="P1571" s="5">
        <v>50436</v>
      </c>
      <c r="Q1571">
        <f>31-11</f>
        <v>20</v>
      </c>
      <c r="R1571" t="s">
        <v>47</v>
      </c>
      <c r="T1571">
        <v>20</v>
      </c>
      <c r="U1571">
        <v>82</v>
      </c>
      <c r="V1571">
        <v>15</v>
      </c>
      <c r="W1571">
        <v>13.4</v>
      </c>
      <c r="X1571">
        <v>28</v>
      </c>
      <c r="Z1571" t="s">
        <v>39</v>
      </c>
      <c r="AB1571" t="s">
        <v>212</v>
      </c>
      <c r="AC1571" t="s">
        <v>137</v>
      </c>
    </row>
    <row r="1572" spans="1:29" x14ac:dyDescent="0.25">
      <c r="A1572" s="4">
        <v>42565</v>
      </c>
      <c r="B1572" t="s">
        <v>30</v>
      </c>
      <c r="C1572">
        <v>503</v>
      </c>
      <c r="D1572">
        <v>10</v>
      </c>
      <c r="E1572">
        <v>2</v>
      </c>
      <c r="F1572" t="s">
        <v>31</v>
      </c>
      <c r="G1572" t="s">
        <v>32</v>
      </c>
      <c r="H1572" t="s">
        <v>33</v>
      </c>
      <c r="I1572" t="s">
        <v>57</v>
      </c>
      <c r="O1572" s="5"/>
      <c r="P1572" s="5"/>
    </row>
    <row r="1573" spans="1:29" x14ac:dyDescent="0.25">
      <c r="A1573" s="4">
        <v>42565</v>
      </c>
      <c r="B1573" t="s">
        <v>30</v>
      </c>
      <c r="C1573">
        <v>303</v>
      </c>
      <c r="D1573">
        <v>1</v>
      </c>
      <c r="E1573">
        <v>1</v>
      </c>
      <c r="F1573" t="s">
        <v>31</v>
      </c>
      <c r="G1573" t="s">
        <v>32</v>
      </c>
      <c r="H1573" t="s">
        <v>33</v>
      </c>
      <c r="I1573" t="s">
        <v>34</v>
      </c>
      <c r="J1573" t="s">
        <v>42</v>
      </c>
      <c r="K1573" t="s">
        <v>36</v>
      </c>
      <c r="L1573" t="s">
        <v>43</v>
      </c>
      <c r="M1573">
        <v>0</v>
      </c>
      <c r="N1573">
        <v>1</v>
      </c>
      <c r="O1573" s="5">
        <v>50746</v>
      </c>
      <c r="P1573" s="5">
        <v>50745</v>
      </c>
      <c r="Q1573">
        <f>29.5-11</f>
        <v>18.5</v>
      </c>
      <c r="R1573" t="s">
        <v>47</v>
      </c>
      <c r="T1573">
        <v>18</v>
      </c>
      <c r="U1573">
        <v>90</v>
      </c>
      <c r="V1573">
        <v>15</v>
      </c>
      <c r="W1573">
        <v>13.2</v>
      </c>
      <c r="X1573">
        <v>29.5</v>
      </c>
      <c r="Z1573" t="s">
        <v>39</v>
      </c>
      <c r="AB1573" t="s">
        <v>212</v>
      </c>
      <c r="AC1573" t="s">
        <v>137</v>
      </c>
    </row>
    <row r="1574" spans="1:29" x14ac:dyDescent="0.25">
      <c r="A1574" s="4">
        <v>42565</v>
      </c>
      <c r="B1574" t="s">
        <v>30</v>
      </c>
      <c r="C1574">
        <v>303</v>
      </c>
      <c r="D1574">
        <v>2</v>
      </c>
      <c r="E1574">
        <v>1</v>
      </c>
      <c r="F1574" t="s">
        <v>31</v>
      </c>
      <c r="G1574" t="s">
        <v>32</v>
      </c>
      <c r="H1574" t="s">
        <v>33</v>
      </c>
      <c r="I1574" t="s">
        <v>34</v>
      </c>
      <c r="J1574" t="s">
        <v>42</v>
      </c>
      <c r="K1574" t="s">
        <v>36</v>
      </c>
      <c r="L1574" t="s">
        <v>43</v>
      </c>
      <c r="M1574">
        <v>0</v>
      </c>
      <c r="N1574">
        <v>1</v>
      </c>
      <c r="O1574" s="5">
        <v>50749</v>
      </c>
      <c r="P1574" s="5">
        <v>50748</v>
      </c>
      <c r="Q1574">
        <f>31-11</f>
        <v>20</v>
      </c>
      <c r="R1574" t="s">
        <v>47</v>
      </c>
      <c r="T1574">
        <v>16</v>
      </c>
      <c r="U1574">
        <v>71</v>
      </c>
      <c r="V1574">
        <v>18</v>
      </c>
      <c r="W1574">
        <v>13.4</v>
      </c>
      <c r="X1574">
        <v>28.8</v>
      </c>
      <c r="Z1574" t="s">
        <v>39</v>
      </c>
      <c r="AB1574" t="s">
        <v>212</v>
      </c>
      <c r="AC1574" t="s">
        <v>137</v>
      </c>
    </row>
    <row r="1575" spans="1:29" x14ac:dyDescent="0.25">
      <c r="A1575" s="4">
        <v>42565</v>
      </c>
      <c r="B1575" t="s">
        <v>30</v>
      </c>
      <c r="C1575">
        <v>303</v>
      </c>
      <c r="D1575">
        <v>2</v>
      </c>
      <c r="E1575">
        <v>2</v>
      </c>
      <c r="F1575" t="s">
        <v>31</v>
      </c>
      <c r="G1575" t="s">
        <v>32</v>
      </c>
      <c r="H1575" t="s">
        <v>33</v>
      </c>
      <c r="I1575" t="s">
        <v>58</v>
      </c>
      <c r="J1575" t="s">
        <v>35</v>
      </c>
      <c r="K1575" t="s">
        <v>36</v>
      </c>
      <c r="L1575" t="s">
        <v>43</v>
      </c>
      <c r="M1575">
        <v>0</v>
      </c>
      <c r="N1575">
        <v>0</v>
      </c>
      <c r="O1575" s="5"/>
      <c r="P1575" s="5">
        <v>50439</v>
      </c>
      <c r="Q1575">
        <f>32.5-11.5</f>
        <v>21</v>
      </c>
      <c r="R1575" t="s">
        <v>65</v>
      </c>
      <c r="T1575">
        <v>17</v>
      </c>
      <c r="W1575">
        <v>13</v>
      </c>
      <c r="X1575">
        <v>26</v>
      </c>
      <c r="Z1575" t="s">
        <v>97</v>
      </c>
      <c r="AB1575" t="s">
        <v>212</v>
      </c>
      <c r="AC1575" t="s">
        <v>137</v>
      </c>
    </row>
    <row r="1576" spans="1:29" x14ac:dyDescent="0.25">
      <c r="A1576" s="4">
        <v>42565</v>
      </c>
      <c r="B1576" t="s">
        <v>30</v>
      </c>
      <c r="C1576">
        <v>303</v>
      </c>
      <c r="D1576">
        <v>3</v>
      </c>
      <c r="E1576">
        <v>1</v>
      </c>
      <c r="F1576" t="s">
        <v>31</v>
      </c>
      <c r="G1576" t="s">
        <v>32</v>
      </c>
      <c r="H1576" t="s">
        <v>33</v>
      </c>
      <c r="I1576" t="s">
        <v>57</v>
      </c>
      <c r="O1576" s="5"/>
      <c r="P1576" s="5"/>
    </row>
    <row r="1577" spans="1:29" x14ac:dyDescent="0.25">
      <c r="A1577" s="4">
        <v>42565</v>
      </c>
      <c r="B1577" t="s">
        <v>30</v>
      </c>
      <c r="C1577">
        <v>303</v>
      </c>
      <c r="D1577">
        <v>3</v>
      </c>
      <c r="E1577">
        <v>2</v>
      </c>
      <c r="F1577" t="s">
        <v>31</v>
      </c>
      <c r="G1577" t="s">
        <v>32</v>
      </c>
      <c r="H1577" t="s">
        <v>33</v>
      </c>
      <c r="I1577" t="s">
        <v>64</v>
      </c>
      <c r="J1577" t="s">
        <v>35</v>
      </c>
      <c r="K1577" t="s">
        <v>36</v>
      </c>
      <c r="L1577" t="s">
        <v>37</v>
      </c>
      <c r="M1577">
        <v>0</v>
      </c>
      <c r="N1577">
        <v>0</v>
      </c>
      <c r="O1577" s="5"/>
      <c r="P1577" s="5" t="s">
        <v>214</v>
      </c>
      <c r="Q1577">
        <f>290-120</f>
        <v>170</v>
      </c>
      <c r="R1577" t="s">
        <v>38</v>
      </c>
      <c r="S1577" t="s">
        <v>39</v>
      </c>
      <c r="T1577">
        <v>42</v>
      </c>
      <c r="W1577">
        <v>27.7</v>
      </c>
      <c r="X1577">
        <v>47.5</v>
      </c>
      <c r="Z1577" t="s">
        <v>39</v>
      </c>
      <c r="AB1577" t="s">
        <v>212</v>
      </c>
      <c r="AC1577" t="s">
        <v>137</v>
      </c>
    </row>
    <row r="1578" spans="1:29" x14ac:dyDescent="0.25">
      <c r="A1578" s="4">
        <v>42565</v>
      </c>
      <c r="B1578" t="s">
        <v>30</v>
      </c>
      <c r="C1578">
        <v>303</v>
      </c>
      <c r="D1578">
        <v>4</v>
      </c>
      <c r="E1578">
        <v>1</v>
      </c>
      <c r="F1578" t="s">
        <v>31</v>
      </c>
      <c r="G1578" t="s">
        <v>32</v>
      </c>
      <c r="H1578" t="s">
        <v>33</v>
      </c>
      <c r="I1578" t="s">
        <v>57</v>
      </c>
      <c r="O1578" s="5"/>
      <c r="P1578" s="5"/>
    </row>
    <row r="1579" spans="1:29" x14ac:dyDescent="0.25">
      <c r="A1579" s="4">
        <v>42565</v>
      </c>
      <c r="B1579" t="s">
        <v>30</v>
      </c>
      <c r="C1579">
        <v>303</v>
      </c>
      <c r="D1579">
        <v>4</v>
      </c>
      <c r="E1579">
        <v>2</v>
      </c>
      <c r="F1579" t="s">
        <v>31</v>
      </c>
      <c r="G1579" t="s">
        <v>32</v>
      </c>
      <c r="H1579" t="s">
        <v>33</v>
      </c>
      <c r="I1579" t="s">
        <v>57</v>
      </c>
      <c r="O1579" s="5"/>
      <c r="P1579" s="5"/>
    </row>
    <row r="1580" spans="1:29" x14ac:dyDescent="0.25">
      <c r="A1580" s="4">
        <v>42565</v>
      </c>
      <c r="B1580" t="s">
        <v>30</v>
      </c>
      <c r="C1580">
        <v>303</v>
      </c>
      <c r="D1580">
        <v>5</v>
      </c>
      <c r="E1580">
        <v>1</v>
      </c>
      <c r="F1580" t="s">
        <v>31</v>
      </c>
      <c r="G1580" t="s">
        <v>32</v>
      </c>
      <c r="H1580" t="s">
        <v>33</v>
      </c>
      <c r="I1580" t="s">
        <v>57</v>
      </c>
      <c r="O1580" s="5"/>
      <c r="P1580" s="5"/>
    </row>
    <row r="1581" spans="1:29" x14ac:dyDescent="0.25">
      <c r="A1581" s="4">
        <v>42565</v>
      </c>
      <c r="B1581" t="s">
        <v>30</v>
      </c>
      <c r="C1581">
        <v>303</v>
      </c>
      <c r="D1581">
        <v>5</v>
      </c>
      <c r="E1581">
        <v>2</v>
      </c>
      <c r="F1581" t="s">
        <v>31</v>
      </c>
      <c r="G1581" t="s">
        <v>32</v>
      </c>
      <c r="H1581" t="s">
        <v>33</v>
      </c>
      <c r="I1581" t="s">
        <v>57</v>
      </c>
      <c r="O1581" s="5"/>
      <c r="P1581" s="5"/>
    </row>
    <row r="1582" spans="1:29" x14ac:dyDescent="0.25">
      <c r="A1582" s="4">
        <v>42565</v>
      </c>
      <c r="B1582" t="s">
        <v>30</v>
      </c>
      <c r="C1582">
        <v>303</v>
      </c>
      <c r="D1582">
        <v>6</v>
      </c>
      <c r="E1582">
        <v>1</v>
      </c>
      <c r="F1582" t="s">
        <v>31</v>
      </c>
      <c r="G1582" t="s">
        <v>32</v>
      </c>
      <c r="H1582" t="s">
        <v>33</v>
      </c>
      <c r="I1582" t="s">
        <v>34</v>
      </c>
      <c r="J1582" t="s">
        <v>35</v>
      </c>
      <c r="K1582" t="s">
        <v>36</v>
      </c>
      <c r="L1582" t="s">
        <v>37</v>
      </c>
      <c r="M1582">
        <v>0</v>
      </c>
      <c r="N1582">
        <v>0</v>
      </c>
      <c r="O1582" s="5">
        <v>50582</v>
      </c>
      <c r="P1582" s="5">
        <v>50581</v>
      </c>
      <c r="Q1582">
        <v>22</v>
      </c>
      <c r="R1582" t="s">
        <v>81</v>
      </c>
      <c r="S1582" t="s">
        <v>39</v>
      </c>
      <c r="T1582">
        <v>19</v>
      </c>
      <c r="U1582">
        <v>85</v>
      </c>
      <c r="V1582">
        <v>16</v>
      </c>
      <c r="W1582">
        <v>11.9</v>
      </c>
      <c r="X1582">
        <v>28</v>
      </c>
      <c r="Z1582" t="s">
        <v>39</v>
      </c>
      <c r="AB1582" t="s">
        <v>212</v>
      </c>
      <c r="AC1582" t="s">
        <v>137</v>
      </c>
    </row>
    <row r="1583" spans="1:29" x14ac:dyDescent="0.25">
      <c r="A1583" s="4">
        <v>42565</v>
      </c>
      <c r="B1583" t="s">
        <v>30</v>
      </c>
      <c r="C1583">
        <v>303</v>
      </c>
      <c r="D1583">
        <v>6</v>
      </c>
      <c r="E1583">
        <v>2</v>
      </c>
      <c r="F1583" t="s">
        <v>31</v>
      </c>
      <c r="G1583" t="s">
        <v>32</v>
      </c>
      <c r="H1583" t="s">
        <v>33</v>
      </c>
      <c r="I1583" t="s">
        <v>58</v>
      </c>
      <c r="J1583" t="s">
        <v>42</v>
      </c>
      <c r="K1583" t="s">
        <v>36</v>
      </c>
      <c r="L1583" t="s">
        <v>43</v>
      </c>
      <c r="M1583">
        <v>0</v>
      </c>
      <c r="N1583">
        <v>1</v>
      </c>
      <c r="O1583" s="5">
        <v>50747</v>
      </c>
      <c r="P1583" s="5"/>
      <c r="Q1583">
        <f>35.5-9</f>
        <v>26.5</v>
      </c>
      <c r="R1583" t="s">
        <v>47</v>
      </c>
      <c r="T1583">
        <v>18</v>
      </c>
      <c r="W1583">
        <v>13.05</v>
      </c>
      <c r="X1583">
        <v>29.9</v>
      </c>
      <c r="Z1583" t="s">
        <v>97</v>
      </c>
      <c r="AB1583" t="s">
        <v>212</v>
      </c>
      <c r="AC1583" t="s">
        <v>137</v>
      </c>
    </row>
    <row r="1584" spans="1:29" x14ac:dyDescent="0.25">
      <c r="A1584" s="4">
        <v>42565</v>
      </c>
      <c r="B1584" t="s">
        <v>30</v>
      </c>
      <c r="C1584">
        <v>303</v>
      </c>
      <c r="D1584">
        <v>7</v>
      </c>
      <c r="E1584">
        <v>1</v>
      </c>
      <c r="F1584" t="s">
        <v>31</v>
      </c>
      <c r="G1584" t="s">
        <v>32</v>
      </c>
      <c r="H1584" t="s">
        <v>33</v>
      </c>
      <c r="I1584" t="s">
        <v>58</v>
      </c>
      <c r="J1584" t="s">
        <v>42</v>
      </c>
      <c r="K1584" t="s">
        <v>36</v>
      </c>
      <c r="L1584" t="s">
        <v>43</v>
      </c>
      <c r="M1584">
        <v>0</v>
      </c>
      <c r="N1584">
        <v>1</v>
      </c>
      <c r="O1584" s="5">
        <v>50750</v>
      </c>
      <c r="P1584" s="5"/>
      <c r="Q1584">
        <v>22</v>
      </c>
      <c r="R1584" t="s">
        <v>65</v>
      </c>
      <c r="Z1584" t="s">
        <v>97</v>
      </c>
      <c r="AB1584" t="s">
        <v>212</v>
      </c>
      <c r="AC1584" t="s">
        <v>137</v>
      </c>
    </row>
    <row r="1585" spans="1:29" x14ac:dyDescent="0.25">
      <c r="A1585" s="4">
        <v>42565</v>
      </c>
      <c r="B1585" t="s">
        <v>30</v>
      </c>
      <c r="C1585">
        <v>303</v>
      </c>
      <c r="D1585">
        <v>7</v>
      </c>
      <c r="E1585">
        <v>2</v>
      </c>
      <c r="F1585" t="s">
        <v>31</v>
      </c>
      <c r="G1585" t="s">
        <v>32</v>
      </c>
      <c r="H1585" t="s">
        <v>33</v>
      </c>
      <c r="I1585" t="s">
        <v>53</v>
      </c>
      <c r="J1585" t="s">
        <v>62</v>
      </c>
      <c r="O1585" s="5"/>
      <c r="P1585" s="5"/>
    </row>
    <row r="1586" spans="1:29" x14ac:dyDescent="0.25">
      <c r="A1586" s="4">
        <v>42565</v>
      </c>
      <c r="B1586" t="s">
        <v>30</v>
      </c>
      <c r="C1586">
        <v>303</v>
      </c>
      <c r="D1586">
        <v>8</v>
      </c>
      <c r="E1586">
        <v>1</v>
      </c>
      <c r="F1586" t="s">
        <v>31</v>
      </c>
      <c r="G1586" t="s">
        <v>32</v>
      </c>
      <c r="H1586" t="s">
        <v>33</v>
      </c>
      <c r="I1586" t="s">
        <v>57</v>
      </c>
      <c r="O1586" s="5"/>
      <c r="P1586" s="5"/>
    </row>
    <row r="1587" spans="1:29" x14ac:dyDescent="0.25">
      <c r="A1587" s="4">
        <v>42565</v>
      </c>
      <c r="B1587" t="s">
        <v>30</v>
      </c>
      <c r="C1587">
        <v>303</v>
      </c>
      <c r="D1587">
        <v>8</v>
      </c>
      <c r="E1587">
        <v>2</v>
      </c>
      <c r="F1587" t="s">
        <v>31</v>
      </c>
      <c r="G1587" t="s">
        <v>32</v>
      </c>
      <c r="H1587" t="s">
        <v>33</v>
      </c>
      <c r="I1587" t="s">
        <v>57</v>
      </c>
      <c r="O1587" s="5"/>
      <c r="P1587" s="5"/>
    </row>
    <row r="1588" spans="1:29" x14ac:dyDescent="0.25">
      <c r="A1588" s="4">
        <v>42565</v>
      </c>
      <c r="B1588" t="s">
        <v>30</v>
      </c>
      <c r="C1588">
        <v>303</v>
      </c>
      <c r="D1588">
        <v>9</v>
      </c>
      <c r="E1588">
        <v>1</v>
      </c>
      <c r="F1588" t="s">
        <v>31</v>
      </c>
      <c r="G1588" t="s">
        <v>32</v>
      </c>
      <c r="H1588" t="s">
        <v>33</v>
      </c>
      <c r="I1588" t="s">
        <v>58</v>
      </c>
      <c r="J1588" t="s">
        <v>35</v>
      </c>
      <c r="K1588" t="s">
        <v>36</v>
      </c>
      <c r="L1588" t="s">
        <v>43</v>
      </c>
      <c r="M1588">
        <v>0</v>
      </c>
      <c r="N1588">
        <v>0</v>
      </c>
      <c r="O1588" s="5">
        <v>50732</v>
      </c>
      <c r="P1588" s="5"/>
      <c r="Q1588">
        <f>35-12</f>
        <v>23</v>
      </c>
      <c r="R1588" t="s">
        <v>65</v>
      </c>
      <c r="T1588">
        <v>16</v>
      </c>
      <c r="W1588">
        <v>13.5</v>
      </c>
      <c r="X1588">
        <v>26.4</v>
      </c>
      <c r="Z1588" t="s">
        <v>97</v>
      </c>
      <c r="AB1588" t="s">
        <v>212</v>
      </c>
      <c r="AC1588" t="s">
        <v>137</v>
      </c>
    </row>
    <row r="1589" spans="1:29" x14ac:dyDescent="0.25">
      <c r="A1589" s="4">
        <v>42565</v>
      </c>
      <c r="B1589" t="s">
        <v>30</v>
      </c>
      <c r="C1589">
        <v>303</v>
      </c>
      <c r="D1589">
        <v>9</v>
      </c>
      <c r="E1589">
        <v>2</v>
      </c>
      <c r="F1589" t="s">
        <v>31</v>
      </c>
      <c r="G1589" t="s">
        <v>32</v>
      </c>
      <c r="H1589" t="s">
        <v>33</v>
      </c>
      <c r="I1589" t="s">
        <v>58</v>
      </c>
      <c r="J1589" t="s">
        <v>35</v>
      </c>
      <c r="K1589" t="s">
        <v>36</v>
      </c>
      <c r="L1589" t="s">
        <v>37</v>
      </c>
      <c r="M1589">
        <v>0</v>
      </c>
      <c r="N1589">
        <v>0</v>
      </c>
      <c r="O1589" s="5">
        <v>50738</v>
      </c>
      <c r="P1589" s="5"/>
      <c r="Q1589">
        <f>30.5-12</f>
        <v>18.5</v>
      </c>
      <c r="R1589" t="s">
        <v>83</v>
      </c>
      <c r="S1589" t="s">
        <v>39</v>
      </c>
      <c r="T1589">
        <v>15</v>
      </c>
      <c r="W1589">
        <v>12.8</v>
      </c>
      <c r="X1589">
        <v>23.4</v>
      </c>
      <c r="Z1589" t="s">
        <v>97</v>
      </c>
      <c r="AB1589" t="s">
        <v>212</v>
      </c>
      <c r="AC1589" t="s">
        <v>137</v>
      </c>
    </row>
    <row r="1590" spans="1:29" x14ac:dyDescent="0.25">
      <c r="A1590" s="4">
        <v>42565</v>
      </c>
      <c r="B1590" t="s">
        <v>30</v>
      </c>
      <c r="C1590">
        <v>303</v>
      </c>
      <c r="D1590">
        <v>10</v>
      </c>
      <c r="E1590">
        <v>1</v>
      </c>
      <c r="F1590" t="s">
        <v>31</v>
      </c>
      <c r="G1590" t="s">
        <v>32</v>
      </c>
      <c r="H1590" t="s">
        <v>33</v>
      </c>
      <c r="I1590" t="s">
        <v>57</v>
      </c>
      <c r="O1590" s="5"/>
      <c r="P1590" s="5"/>
    </row>
    <row r="1591" spans="1:29" x14ac:dyDescent="0.25">
      <c r="A1591" s="4">
        <v>42565</v>
      </c>
      <c r="B1591" t="s">
        <v>30</v>
      </c>
      <c r="C1591">
        <v>303</v>
      </c>
      <c r="D1591">
        <v>10</v>
      </c>
      <c r="E1591">
        <v>2</v>
      </c>
      <c r="F1591" t="s">
        <v>31</v>
      </c>
      <c r="G1591" t="s">
        <v>32</v>
      </c>
      <c r="H1591" t="s">
        <v>33</v>
      </c>
      <c r="I1591" t="s">
        <v>58</v>
      </c>
      <c r="J1591" t="s">
        <v>35</v>
      </c>
      <c r="K1591" t="s">
        <v>36</v>
      </c>
      <c r="L1591" t="s">
        <v>43</v>
      </c>
      <c r="M1591">
        <v>0</v>
      </c>
      <c r="N1591">
        <v>0</v>
      </c>
      <c r="O1591" s="5"/>
      <c r="P1591" s="5">
        <v>50437</v>
      </c>
      <c r="Q1591">
        <f>33-12.5</f>
        <v>20.5</v>
      </c>
      <c r="R1591" t="s">
        <v>65</v>
      </c>
      <c r="T1591">
        <v>16.5</v>
      </c>
      <c r="W1591">
        <v>13</v>
      </c>
      <c r="X1591">
        <v>26.9</v>
      </c>
      <c r="Z1591" t="s">
        <v>97</v>
      </c>
      <c r="AB1591" t="s">
        <v>212</v>
      </c>
      <c r="AC1591" t="s">
        <v>137</v>
      </c>
    </row>
    <row r="1592" spans="1:29" x14ac:dyDescent="0.25">
      <c r="A1592" s="4">
        <v>42565</v>
      </c>
      <c r="B1592" t="s">
        <v>30</v>
      </c>
      <c r="C1592">
        <v>401</v>
      </c>
      <c r="D1592">
        <v>1</v>
      </c>
      <c r="E1592">
        <v>1</v>
      </c>
      <c r="F1592" t="s">
        <v>31</v>
      </c>
      <c r="G1592" t="s">
        <v>32</v>
      </c>
      <c r="H1592" t="s">
        <v>33</v>
      </c>
      <c r="I1592" t="s">
        <v>57</v>
      </c>
      <c r="O1592" s="5"/>
      <c r="P1592" s="5"/>
    </row>
    <row r="1593" spans="1:29" x14ac:dyDescent="0.25">
      <c r="A1593" s="4">
        <v>42565</v>
      </c>
      <c r="B1593" t="s">
        <v>30</v>
      </c>
      <c r="C1593">
        <v>401</v>
      </c>
      <c r="D1593">
        <v>1</v>
      </c>
      <c r="E1593">
        <v>2</v>
      </c>
      <c r="F1593" t="s">
        <v>31</v>
      </c>
      <c r="G1593" t="s">
        <v>32</v>
      </c>
      <c r="H1593" t="s">
        <v>33</v>
      </c>
      <c r="I1593" t="s">
        <v>57</v>
      </c>
      <c r="O1593" s="5"/>
      <c r="P1593" s="5"/>
    </row>
    <row r="1594" spans="1:29" x14ac:dyDescent="0.25">
      <c r="A1594" s="4">
        <v>42565</v>
      </c>
      <c r="B1594" t="s">
        <v>30</v>
      </c>
      <c r="C1594">
        <v>401</v>
      </c>
      <c r="D1594">
        <v>2</v>
      </c>
      <c r="E1594">
        <v>1</v>
      </c>
      <c r="F1594" t="s">
        <v>31</v>
      </c>
      <c r="G1594" t="s">
        <v>32</v>
      </c>
      <c r="H1594" t="s">
        <v>33</v>
      </c>
      <c r="I1594" t="s">
        <v>53</v>
      </c>
      <c r="J1594" t="s">
        <v>62</v>
      </c>
      <c r="O1594" s="5"/>
      <c r="P1594" s="5"/>
    </row>
    <row r="1595" spans="1:29" x14ac:dyDescent="0.25">
      <c r="A1595" s="4">
        <v>42565</v>
      </c>
      <c r="B1595" t="s">
        <v>30</v>
      </c>
      <c r="C1595">
        <v>401</v>
      </c>
      <c r="D1595">
        <v>3</v>
      </c>
      <c r="E1595">
        <v>1</v>
      </c>
      <c r="F1595" t="s">
        <v>31</v>
      </c>
      <c r="G1595" t="s">
        <v>32</v>
      </c>
      <c r="H1595" t="s">
        <v>33</v>
      </c>
      <c r="I1595" t="s">
        <v>34</v>
      </c>
      <c r="J1595" t="s">
        <v>35</v>
      </c>
      <c r="K1595" t="s">
        <v>114</v>
      </c>
      <c r="L1595" t="s">
        <v>43</v>
      </c>
      <c r="M1595">
        <v>0</v>
      </c>
      <c r="N1595">
        <v>0</v>
      </c>
      <c r="O1595" s="5">
        <v>50590</v>
      </c>
      <c r="P1595" s="5">
        <v>50589</v>
      </c>
      <c r="Q1595">
        <f>29-12</f>
        <v>17</v>
      </c>
      <c r="R1595" t="s">
        <v>47</v>
      </c>
      <c r="T1595">
        <v>17</v>
      </c>
      <c r="U1595">
        <v>77</v>
      </c>
      <c r="V1595">
        <v>16.5</v>
      </c>
      <c r="W1595">
        <v>13</v>
      </c>
      <c r="X1595">
        <v>25.8</v>
      </c>
      <c r="Z1595" t="s">
        <v>39</v>
      </c>
      <c r="AB1595" t="s">
        <v>212</v>
      </c>
    </row>
    <row r="1596" spans="1:29" x14ac:dyDescent="0.25">
      <c r="A1596" s="4">
        <v>42565</v>
      </c>
      <c r="B1596" t="s">
        <v>30</v>
      </c>
      <c r="C1596">
        <v>401</v>
      </c>
      <c r="D1596">
        <v>4</v>
      </c>
      <c r="E1596">
        <v>1</v>
      </c>
      <c r="F1596" t="s">
        <v>31</v>
      </c>
      <c r="G1596" t="s">
        <v>32</v>
      </c>
      <c r="H1596" t="s">
        <v>33</v>
      </c>
      <c r="I1596" t="s">
        <v>57</v>
      </c>
      <c r="O1596" s="5"/>
      <c r="P1596" s="5"/>
    </row>
    <row r="1597" spans="1:29" x14ac:dyDescent="0.25">
      <c r="A1597" s="4">
        <v>42565</v>
      </c>
      <c r="B1597" t="s">
        <v>30</v>
      </c>
      <c r="C1597">
        <v>401</v>
      </c>
      <c r="D1597">
        <v>5</v>
      </c>
      <c r="E1597">
        <v>1</v>
      </c>
      <c r="F1597" t="s">
        <v>31</v>
      </c>
      <c r="G1597" t="s">
        <v>32</v>
      </c>
      <c r="H1597" t="s">
        <v>33</v>
      </c>
      <c r="I1597" t="s">
        <v>53</v>
      </c>
      <c r="J1597" t="s">
        <v>62</v>
      </c>
      <c r="O1597" s="5"/>
      <c r="P1597" s="5"/>
    </row>
    <row r="1598" spans="1:29" x14ac:dyDescent="0.25">
      <c r="A1598" s="4">
        <v>42565</v>
      </c>
      <c r="B1598" t="s">
        <v>30</v>
      </c>
      <c r="C1598">
        <v>401</v>
      </c>
      <c r="D1598">
        <v>6</v>
      </c>
      <c r="E1598">
        <v>1</v>
      </c>
      <c r="F1598" t="s">
        <v>31</v>
      </c>
      <c r="G1598" t="s">
        <v>32</v>
      </c>
      <c r="H1598" t="s">
        <v>33</v>
      </c>
      <c r="I1598" t="s">
        <v>57</v>
      </c>
      <c r="O1598" s="5"/>
      <c r="P1598" s="5"/>
    </row>
    <row r="1599" spans="1:29" x14ac:dyDescent="0.25">
      <c r="A1599" s="4">
        <v>42565</v>
      </c>
      <c r="B1599" t="s">
        <v>30</v>
      </c>
      <c r="C1599">
        <v>401</v>
      </c>
      <c r="D1599">
        <v>8</v>
      </c>
      <c r="E1599">
        <v>1</v>
      </c>
      <c r="F1599" t="s">
        <v>31</v>
      </c>
      <c r="G1599" t="s">
        <v>32</v>
      </c>
      <c r="H1599" t="s">
        <v>33</v>
      </c>
      <c r="I1599" t="s">
        <v>53</v>
      </c>
      <c r="J1599" t="s">
        <v>62</v>
      </c>
      <c r="O1599" s="5"/>
      <c r="P1599" s="5"/>
    </row>
    <row r="1600" spans="1:29" x14ac:dyDescent="0.25">
      <c r="A1600" s="4">
        <v>42565</v>
      </c>
      <c r="B1600" t="s">
        <v>30</v>
      </c>
      <c r="C1600">
        <v>401</v>
      </c>
      <c r="D1600">
        <v>9</v>
      </c>
      <c r="E1600">
        <v>1</v>
      </c>
      <c r="F1600" t="s">
        <v>31</v>
      </c>
      <c r="G1600" t="s">
        <v>32</v>
      </c>
      <c r="H1600" t="s">
        <v>33</v>
      </c>
      <c r="I1600" t="s">
        <v>53</v>
      </c>
      <c r="J1600" t="s">
        <v>62</v>
      </c>
      <c r="O1600" s="5"/>
      <c r="P1600" s="5"/>
    </row>
    <row r="1601" spans="1:30" x14ac:dyDescent="0.25">
      <c r="A1601" s="4">
        <v>42565</v>
      </c>
      <c r="B1601" t="s">
        <v>30</v>
      </c>
      <c r="C1601">
        <v>703</v>
      </c>
      <c r="D1601">
        <v>1</v>
      </c>
      <c r="E1601">
        <v>1</v>
      </c>
      <c r="F1601" t="s">
        <v>41</v>
      </c>
      <c r="G1601" t="s">
        <v>32</v>
      </c>
      <c r="H1601" t="s">
        <v>33</v>
      </c>
      <c r="I1601" t="s">
        <v>57</v>
      </c>
      <c r="O1601" s="5"/>
      <c r="P1601" s="5"/>
    </row>
    <row r="1602" spans="1:30" x14ac:dyDescent="0.25">
      <c r="A1602" s="4">
        <v>42565</v>
      </c>
      <c r="B1602" t="s">
        <v>30</v>
      </c>
      <c r="C1602">
        <v>703</v>
      </c>
      <c r="D1602">
        <v>1</v>
      </c>
      <c r="E1602">
        <v>2</v>
      </c>
      <c r="F1602" t="s">
        <v>41</v>
      </c>
      <c r="G1602" t="s">
        <v>32</v>
      </c>
      <c r="H1602" t="s">
        <v>33</v>
      </c>
      <c r="I1602" t="s">
        <v>34</v>
      </c>
      <c r="J1602" t="s">
        <v>35</v>
      </c>
      <c r="K1602" t="s">
        <v>89</v>
      </c>
      <c r="L1602" t="s">
        <v>43</v>
      </c>
      <c r="M1602">
        <v>0</v>
      </c>
      <c r="N1602">
        <v>0</v>
      </c>
      <c r="O1602" s="5">
        <v>50692</v>
      </c>
      <c r="P1602" s="5">
        <v>50691</v>
      </c>
      <c r="Q1602">
        <f>26-11.5</f>
        <v>14.5</v>
      </c>
      <c r="R1602" t="s">
        <v>65</v>
      </c>
      <c r="T1602">
        <v>19</v>
      </c>
      <c r="U1602">
        <v>70</v>
      </c>
      <c r="V1602">
        <v>14</v>
      </c>
      <c r="W1602">
        <v>12.8</v>
      </c>
      <c r="X1602">
        <v>26.5</v>
      </c>
      <c r="Z1602" t="s">
        <v>39</v>
      </c>
      <c r="AB1602" t="s">
        <v>87</v>
      </c>
      <c r="AC1602" t="s">
        <v>137</v>
      </c>
    </row>
    <row r="1603" spans="1:30" x14ac:dyDescent="0.25">
      <c r="A1603" s="4">
        <v>42565</v>
      </c>
      <c r="B1603" t="s">
        <v>30</v>
      </c>
      <c r="C1603">
        <v>703</v>
      </c>
      <c r="D1603">
        <v>2</v>
      </c>
      <c r="E1603">
        <v>1</v>
      </c>
      <c r="F1603" t="s">
        <v>41</v>
      </c>
      <c r="G1603" t="s">
        <v>32</v>
      </c>
      <c r="H1603" t="s">
        <v>33</v>
      </c>
      <c r="I1603" t="s">
        <v>57</v>
      </c>
      <c r="O1603" s="5"/>
      <c r="P1603" s="5"/>
    </row>
    <row r="1604" spans="1:30" x14ac:dyDescent="0.25">
      <c r="A1604" s="4">
        <v>42565</v>
      </c>
      <c r="B1604" t="s">
        <v>30</v>
      </c>
      <c r="C1604">
        <v>703</v>
      </c>
      <c r="D1604">
        <v>2</v>
      </c>
      <c r="E1604">
        <v>2</v>
      </c>
      <c r="F1604" t="s">
        <v>41</v>
      </c>
      <c r="G1604" t="s">
        <v>32</v>
      </c>
      <c r="H1604" t="s">
        <v>33</v>
      </c>
      <c r="I1604" t="s">
        <v>58</v>
      </c>
      <c r="J1604" t="s">
        <v>42</v>
      </c>
      <c r="K1604" t="s">
        <v>114</v>
      </c>
      <c r="L1604" t="s">
        <v>43</v>
      </c>
      <c r="M1604">
        <v>0</v>
      </c>
      <c r="N1604">
        <v>1</v>
      </c>
      <c r="O1604" s="5"/>
      <c r="P1604" s="5">
        <v>50764</v>
      </c>
      <c r="Q1604">
        <f>24-10</f>
        <v>14</v>
      </c>
      <c r="R1604" t="s">
        <v>47</v>
      </c>
      <c r="T1604">
        <v>17</v>
      </c>
      <c r="W1604">
        <v>12.2</v>
      </c>
      <c r="X1604">
        <v>25.6</v>
      </c>
      <c r="Z1604" t="s">
        <v>97</v>
      </c>
      <c r="AA1604" t="s">
        <v>199</v>
      </c>
      <c r="AB1604" t="s">
        <v>87</v>
      </c>
      <c r="AC1604" t="s">
        <v>137</v>
      </c>
    </row>
    <row r="1605" spans="1:30" x14ac:dyDescent="0.25">
      <c r="A1605" s="4">
        <v>42565</v>
      </c>
      <c r="B1605" t="s">
        <v>30</v>
      </c>
      <c r="C1605">
        <v>703</v>
      </c>
      <c r="D1605">
        <v>3</v>
      </c>
      <c r="E1605">
        <v>1</v>
      </c>
      <c r="F1605" t="s">
        <v>41</v>
      </c>
      <c r="G1605" t="s">
        <v>32</v>
      </c>
      <c r="H1605" t="s">
        <v>33</v>
      </c>
      <c r="I1605" t="s">
        <v>34</v>
      </c>
      <c r="J1605" t="s">
        <v>35</v>
      </c>
      <c r="K1605" t="s">
        <v>89</v>
      </c>
      <c r="L1605" t="s">
        <v>37</v>
      </c>
      <c r="M1605">
        <v>0</v>
      </c>
      <c r="N1605">
        <v>0</v>
      </c>
      <c r="O1605" s="5">
        <v>50480</v>
      </c>
      <c r="P1605" s="5">
        <v>50479</v>
      </c>
      <c r="Q1605">
        <f>22-9</f>
        <v>13</v>
      </c>
      <c r="R1605" t="s">
        <v>38</v>
      </c>
      <c r="S1605" t="s">
        <v>39</v>
      </c>
      <c r="T1605">
        <v>18</v>
      </c>
      <c r="U1605">
        <v>70</v>
      </c>
      <c r="V1605">
        <v>16</v>
      </c>
      <c r="W1605">
        <v>12.7</v>
      </c>
      <c r="X1605">
        <v>26.4</v>
      </c>
      <c r="Z1605" t="s">
        <v>39</v>
      </c>
      <c r="AB1605" t="s">
        <v>87</v>
      </c>
      <c r="AC1605" t="s">
        <v>137</v>
      </c>
    </row>
    <row r="1606" spans="1:30" x14ac:dyDescent="0.25">
      <c r="A1606" s="4">
        <v>42565</v>
      </c>
      <c r="B1606" t="s">
        <v>30</v>
      </c>
      <c r="C1606">
        <v>703</v>
      </c>
      <c r="D1606">
        <v>3</v>
      </c>
      <c r="E1606">
        <v>2</v>
      </c>
      <c r="F1606" t="s">
        <v>41</v>
      </c>
      <c r="G1606" t="s">
        <v>32</v>
      </c>
      <c r="H1606" t="s">
        <v>33</v>
      </c>
      <c r="I1606" t="s">
        <v>57</v>
      </c>
      <c r="O1606" s="5"/>
      <c r="P1606" s="5"/>
    </row>
    <row r="1607" spans="1:30" x14ac:dyDescent="0.25">
      <c r="A1607" s="4">
        <v>42565</v>
      </c>
      <c r="B1607" t="s">
        <v>30</v>
      </c>
      <c r="C1607">
        <v>703</v>
      </c>
      <c r="D1607">
        <v>4</v>
      </c>
      <c r="E1607">
        <v>1</v>
      </c>
      <c r="F1607" t="s">
        <v>41</v>
      </c>
      <c r="G1607" t="s">
        <v>32</v>
      </c>
      <c r="H1607" t="s">
        <v>33</v>
      </c>
      <c r="I1607" t="s">
        <v>57</v>
      </c>
      <c r="O1607" s="5"/>
      <c r="P1607" s="5"/>
    </row>
    <row r="1608" spans="1:30" x14ac:dyDescent="0.25">
      <c r="A1608" s="4">
        <v>42565</v>
      </c>
      <c r="B1608" t="s">
        <v>30</v>
      </c>
      <c r="C1608">
        <v>703</v>
      </c>
      <c r="D1608">
        <v>4</v>
      </c>
      <c r="E1608">
        <v>2</v>
      </c>
      <c r="F1608" t="s">
        <v>41</v>
      </c>
      <c r="G1608" t="s">
        <v>32</v>
      </c>
      <c r="H1608" t="s">
        <v>33</v>
      </c>
      <c r="I1608" t="s">
        <v>34</v>
      </c>
      <c r="J1608" t="s">
        <v>35</v>
      </c>
      <c r="K1608" t="s">
        <v>89</v>
      </c>
      <c r="L1608" t="s">
        <v>37</v>
      </c>
      <c r="M1608">
        <v>0</v>
      </c>
      <c r="N1608">
        <v>0</v>
      </c>
      <c r="O1608" s="5">
        <v>50517</v>
      </c>
      <c r="P1608" s="5">
        <v>50516</v>
      </c>
      <c r="Q1608">
        <f>27-12</f>
        <v>15</v>
      </c>
      <c r="R1608" t="s">
        <v>38</v>
      </c>
      <c r="S1608" t="s">
        <v>39</v>
      </c>
      <c r="T1608">
        <v>19</v>
      </c>
      <c r="U1608">
        <v>67</v>
      </c>
      <c r="V1608">
        <v>14</v>
      </c>
      <c r="W1608">
        <v>12.8</v>
      </c>
      <c r="X1608">
        <v>26.7</v>
      </c>
      <c r="Z1608" t="s">
        <v>39</v>
      </c>
      <c r="AB1608" t="s">
        <v>87</v>
      </c>
      <c r="AC1608" t="s">
        <v>137</v>
      </c>
    </row>
    <row r="1609" spans="1:30" x14ac:dyDescent="0.25">
      <c r="A1609" s="4">
        <v>42565</v>
      </c>
      <c r="B1609" t="s">
        <v>30</v>
      </c>
      <c r="C1609">
        <v>703</v>
      </c>
      <c r="D1609">
        <v>5</v>
      </c>
      <c r="E1609">
        <v>1</v>
      </c>
      <c r="F1609" t="s">
        <v>41</v>
      </c>
      <c r="G1609" t="s">
        <v>32</v>
      </c>
      <c r="H1609" t="s">
        <v>33</v>
      </c>
      <c r="I1609" t="s">
        <v>58</v>
      </c>
      <c r="J1609" t="s">
        <v>35</v>
      </c>
      <c r="K1609" t="s">
        <v>36</v>
      </c>
      <c r="L1609" t="s">
        <v>43</v>
      </c>
      <c r="M1609">
        <v>0</v>
      </c>
      <c r="N1609">
        <v>0</v>
      </c>
      <c r="O1609" s="5">
        <v>50618</v>
      </c>
      <c r="P1609" s="5"/>
      <c r="Q1609">
        <f>32-9</f>
        <v>23</v>
      </c>
      <c r="R1609" t="s">
        <v>47</v>
      </c>
      <c r="T1609">
        <v>17</v>
      </c>
      <c r="Z1609" t="s">
        <v>97</v>
      </c>
      <c r="AA1609" t="s">
        <v>199</v>
      </c>
      <c r="AB1609" t="s">
        <v>87</v>
      </c>
      <c r="AC1609" t="s">
        <v>137</v>
      </c>
    </row>
    <row r="1610" spans="1:30" x14ac:dyDescent="0.25">
      <c r="A1610" s="4">
        <v>42565</v>
      </c>
      <c r="B1610" t="s">
        <v>30</v>
      </c>
      <c r="C1610">
        <v>703</v>
      </c>
      <c r="D1610">
        <v>6</v>
      </c>
      <c r="E1610">
        <v>1</v>
      </c>
      <c r="F1610" t="s">
        <v>41</v>
      </c>
      <c r="G1610" t="s">
        <v>32</v>
      </c>
      <c r="H1610" t="s">
        <v>33</v>
      </c>
      <c r="I1610" t="s">
        <v>34</v>
      </c>
      <c r="J1610" t="s">
        <v>35</v>
      </c>
      <c r="K1610" t="s">
        <v>89</v>
      </c>
      <c r="L1610" t="s">
        <v>37</v>
      </c>
      <c r="M1610">
        <v>0</v>
      </c>
      <c r="N1610">
        <v>0</v>
      </c>
      <c r="O1610" s="5">
        <v>50690</v>
      </c>
      <c r="P1610" s="5">
        <v>50689</v>
      </c>
      <c r="Q1610">
        <f>24-11</f>
        <v>13</v>
      </c>
      <c r="R1610" t="s">
        <v>38</v>
      </c>
      <c r="S1610" t="s">
        <v>39</v>
      </c>
      <c r="T1610">
        <v>19</v>
      </c>
      <c r="U1610">
        <v>75</v>
      </c>
      <c r="V1610">
        <v>15</v>
      </c>
      <c r="W1610">
        <v>12.9</v>
      </c>
      <c r="X1610">
        <v>26.4</v>
      </c>
      <c r="Z1610" t="s">
        <v>39</v>
      </c>
      <c r="AB1610" t="s">
        <v>87</v>
      </c>
      <c r="AC1610" t="s">
        <v>137</v>
      </c>
    </row>
    <row r="1611" spans="1:30" x14ac:dyDescent="0.25">
      <c r="A1611" s="4">
        <v>42565</v>
      </c>
      <c r="B1611" t="s">
        <v>30</v>
      </c>
      <c r="C1611">
        <v>703</v>
      </c>
      <c r="D1611">
        <v>7</v>
      </c>
      <c r="E1611">
        <v>1</v>
      </c>
      <c r="F1611" t="s">
        <v>41</v>
      </c>
      <c r="G1611" t="s">
        <v>32</v>
      </c>
      <c r="H1611" t="s">
        <v>33</v>
      </c>
      <c r="I1611" t="s">
        <v>57</v>
      </c>
      <c r="O1611" s="5"/>
      <c r="P1611" s="5"/>
    </row>
    <row r="1612" spans="1:30" x14ac:dyDescent="0.25">
      <c r="A1612" s="4">
        <v>42565</v>
      </c>
      <c r="B1612" t="s">
        <v>30</v>
      </c>
      <c r="C1612">
        <v>703</v>
      </c>
      <c r="D1612">
        <v>7</v>
      </c>
      <c r="E1612">
        <v>2</v>
      </c>
      <c r="F1612" t="s">
        <v>41</v>
      </c>
      <c r="G1612" t="s">
        <v>32</v>
      </c>
      <c r="H1612" t="s">
        <v>33</v>
      </c>
      <c r="I1612" t="s">
        <v>58</v>
      </c>
      <c r="J1612" t="s">
        <v>42</v>
      </c>
      <c r="K1612" t="s">
        <v>36</v>
      </c>
      <c r="L1612" t="s">
        <v>43</v>
      </c>
      <c r="M1612">
        <v>0</v>
      </c>
      <c r="N1612">
        <v>1</v>
      </c>
      <c r="O1612" s="5"/>
      <c r="P1612" s="5">
        <v>50763</v>
      </c>
      <c r="Q1612">
        <f>29-9</f>
        <v>20</v>
      </c>
      <c r="R1612" t="s">
        <v>47</v>
      </c>
      <c r="T1612">
        <v>17</v>
      </c>
      <c r="W1612">
        <v>12.3</v>
      </c>
      <c r="X1612">
        <v>26.2</v>
      </c>
      <c r="Z1612" t="s">
        <v>97</v>
      </c>
      <c r="AA1612" t="s">
        <v>199</v>
      </c>
      <c r="AB1612" t="s">
        <v>87</v>
      </c>
      <c r="AC1612" t="s">
        <v>137</v>
      </c>
      <c r="AD1612" t="s">
        <v>215</v>
      </c>
    </row>
    <row r="1613" spans="1:30" x14ac:dyDescent="0.25">
      <c r="A1613" s="4">
        <v>42565</v>
      </c>
      <c r="B1613" t="s">
        <v>30</v>
      </c>
      <c r="C1613">
        <v>703</v>
      </c>
      <c r="D1613">
        <v>8</v>
      </c>
      <c r="E1613">
        <v>1</v>
      </c>
      <c r="F1613" t="s">
        <v>41</v>
      </c>
      <c r="G1613" t="s">
        <v>32</v>
      </c>
      <c r="H1613" t="s">
        <v>33</v>
      </c>
      <c r="I1613" t="s">
        <v>57</v>
      </c>
      <c r="O1613" s="5"/>
      <c r="P1613" s="5"/>
    </row>
    <row r="1614" spans="1:30" x14ac:dyDescent="0.25">
      <c r="A1614" s="4">
        <v>42565</v>
      </c>
      <c r="B1614" t="s">
        <v>30</v>
      </c>
      <c r="C1614">
        <v>703</v>
      </c>
      <c r="D1614">
        <v>9</v>
      </c>
      <c r="E1614">
        <v>1</v>
      </c>
      <c r="F1614" t="s">
        <v>41</v>
      </c>
      <c r="G1614" t="s">
        <v>32</v>
      </c>
      <c r="H1614" t="s">
        <v>33</v>
      </c>
      <c r="I1614" t="s">
        <v>57</v>
      </c>
      <c r="O1614" s="5"/>
      <c r="P1614" s="5"/>
    </row>
    <row r="1615" spans="1:30" x14ac:dyDescent="0.25">
      <c r="A1615" s="4">
        <v>42565</v>
      </c>
      <c r="B1615" t="s">
        <v>30</v>
      </c>
      <c r="C1615">
        <v>703</v>
      </c>
      <c r="D1615">
        <v>9</v>
      </c>
      <c r="E1615">
        <v>2</v>
      </c>
      <c r="F1615" t="s">
        <v>41</v>
      </c>
      <c r="G1615" t="s">
        <v>32</v>
      </c>
      <c r="H1615" t="s">
        <v>33</v>
      </c>
      <c r="I1615" t="s">
        <v>34</v>
      </c>
      <c r="J1615" t="s">
        <v>35</v>
      </c>
      <c r="K1615" t="s">
        <v>89</v>
      </c>
      <c r="L1615" t="s">
        <v>37</v>
      </c>
      <c r="M1615">
        <v>0</v>
      </c>
      <c r="N1615">
        <v>0</v>
      </c>
      <c r="O1615" s="5">
        <v>50700</v>
      </c>
      <c r="P1615" s="5">
        <v>50699</v>
      </c>
      <c r="Q1615">
        <f>23-10</f>
        <v>13</v>
      </c>
      <c r="R1615" t="s">
        <v>38</v>
      </c>
      <c r="S1615" t="s">
        <v>39</v>
      </c>
      <c r="T1615">
        <v>19</v>
      </c>
      <c r="U1615">
        <v>70</v>
      </c>
      <c r="V1615">
        <v>16</v>
      </c>
      <c r="W1615">
        <v>12.8</v>
      </c>
      <c r="X1615">
        <v>26.1</v>
      </c>
      <c r="Z1615" t="s">
        <v>39</v>
      </c>
      <c r="AB1615" t="s">
        <v>87</v>
      </c>
      <c r="AC1615" t="s">
        <v>137</v>
      </c>
    </row>
    <row r="1616" spans="1:30" x14ac:dyDescent="0.25">
      <c r="A1616" s="4">
        <v>42565</v>
      </c>
      <c r="B1616" t="s">
        <v>30</v>
      </c>
      <c r="C1616">
        <v>703</v>
      </c>
      <c r="D1616">
        <v>10</v>
      </c>
      <c r="E1616">
        <v>1</v>
      </c>
      <c r="F1616" t="s">
        <v>41</v>
      </c>
      <c r="G1616" t="s">
        <v>32</v>
      </c>
      <c r="H1616" t="s">
        <v>33</v>
      </c>
      <c r="I1616" t="s">
        <v>34</v>
      </c>
      <c r="J1616" t="s">
        <v>35</v>
      </c>
      <c r="K1616" t="s">
        <v>89</v>
      </c>
      <c r="L1616" t="s">
        <v>37</v>
      </c>
      <c r="M1616">
        <v>0</v>
      </c>
      <c r="N1616">
        <v>0</v>
      </c>
      <c r="O1616" s="5">
        <v>50612</v>
      </c>
      <c r="P1616" s="5">
        <v>50611</v>
      </c>
      <c r="Q1616">
        <f>21-9.5</f>
        <v>11.5</v>
      </c>
      <c r="R1616" t="s">
        <v>38</v>
      </c>
      <c r="S1616" t="s">
        <v>39</v>
      </c>
      <c r="T1616">
        <v>21</v>
      </c>
      <c r="U1616">
        <v>71</v>
      </c>
      <c r="V1616">
        <v>15</v>
      </c>
      <c r="W1616">
        <v>12.9</v>
      </c>
      <c r="X1616">
        <v>26.4</v>
      </c>
      <c r="Z1616" t="s">
        <v>39</v>
      </c>
      <c r="AB1616" t="s">
        <v>87</v>
      </c>
      <c r="AC1616" t="s">
        <v>137</v>
      </c>
    </row>
    <row r="1617" spans="1:30" x14ac:dyDescent="0.25">
      <c r="A1617" s="4">
        <v>42565</v>
      </c>
      <c r="B1617" t="s">
        <v>30</v>
      </c>
      <c r="C1617">
        <v>701</v>
      </c>
      <c r="D1617">
        <v>1</v>
      </c>
      <c r="E1617">
        <v>1</v>
      </c>
      <c r="F1617" t="s">
        <v>41</v>
      </c>
      <c r="G1617" t="s">
        <v>32</v>
      </c>
      <c r="H1617" t="s">
        <v>33</v>
      </c>
      <c r="I1617" t="s">
        <v>34</v>
      </c>
      <c r="J1617" t="s">
        <v>35</v>
      </c>
      <c r="K1617" t="s">
        <v>36</v>
      </c>
      <c r="L1617" t="s">
        <v>114</v>
      </c>
      <c r="M1617">
        <v>0</v>
      </c>
      <c r="N1617">
        <v>0</v>
      </c>
      <c r="O1617" s="5">
        <v>50370</v>
      </c>
      <c r="P1617" s="5">
        <v>50369</v>
      </c>
      <c r="Q1617">
        <f>28-10.5</f>
        <v>17.5</v>
      </c>
      <c r="R1617" t="s">
        <v>47</v>
      </c>
      <c r="T1617">
        <v>20</v>
      </c>
      <c r="U1617">
        <v>72</v>
      </c>
      <c r="V1617">
        <v>15</v>
      </c>
      <c r="W1617">
        <v>12.8</v>
      </c>
      <c r="X1617">
        <v>27.9</v>
      </c>
      <c r="Z1617" t="s">
        <v>39</v>
      </c>
      <c r="AB1617" t="s">
        <v>87</v>
      </c>
      <c r="AC1617" t="s">
        <v>137</v>
      </c>
    </row>
    <row r="1618" spans="1:30" x14ac:dyDescent="0.25">
      <c r="A1618" s="4">
        <v>42565</v>
      </c>
      <c r="B1618" t="s">
        <v>30</v>
      </c>
      <c r="C1618">
        <v>701</v>
      </c>
      <c r="D1618">
        <v>1</v>
      </c>
      <c r="E1618">
        <v>2</v>
      </c>
      <c r="F1618" t="s">
        <v>41</v>
      </c>
      <c r="G1618" t="s">
        <v>32</v>
      </c>
      <c r="H1618" t="s">
        <v>33</v>
      </c>
      <c r="I1618" t="s">
        <v>53</v>
      </c>
      <c r="J1618" t="s">
        <v>62</v>
      </c>
      <c r="O1618" s="5"/>
      <c r="P1618" s="5"/>
    </row>
    <row r="1619" spans="1:30" x14ac:dyDescent="0.25">
      <c r="A1619" s="4">
        <v>42565</v>
      </c>
      <c r="B1619" t="s">
        <v>30</v>
      </c>
      <c r="C1619">
        <v>701</v>
      </c>
      <c r="D1619">
        <v>2</v>
      </c>
      <c r="E1619">
        <v>1</v>
      </c>
      <c r="F1619" t="s">
        <v>41</v>
      </c>
      <c r="G1619" t="s">
        <v>32</v>
      </c>
      <c r="H1619" t="s">
        <v>33</v>
      </c>
      <c r="I1619" t="s">
        <v>58</v>
      </c>
      <c r="J1619" t="s">
        <v>35</v>
      </c>
      <c r="K1619" t="s">
        <v>36</v>
      </c>
      <c r="L1619" t="s">
        <v>43</v>
      </c>
      <c r="M1619">
        <v>0</v>
      </c>
      <c r="N1619">
        <v>0</v>
      </c>
      <c r="O1619" s="5">
        <v>50515</v>
      </c>
      <c r="P1619" s="5"/>
      <c r="Q1619">
        <f>30.5-10</f>
        <v>20.5</v>
      </c>
      <c r="R1619" t="s">
        <v>47</v>
      </c>
      <c r="T1619">
        <v>19</v>
      </c>
      <c r="W1619">
        <v>12.5</v>
      </c>
      <c r="X1619">
        <v>27.4</v>
      </c>
      <c r="Z1619" t="s">
        <v>97</v>
      </c>
      <c r="AA1619" t="s">
        <v>216</v>
      </c>
      <c r="AB1619" t="s">
        <v>87</v>
      </c>
      <c r="AC1619" t="s">
        <v>137</v>
      </c>
      <c r="AD1619" t="s">
        <v>217</v>
      </c>
    </row>
    <row r="1620" spans="1:30" x14ac:dyDescent="0.25">
      <c r="A1620" s="4">
        <v>42565</v>
      </c>
      <c r="B1620" t="s">
        <v>30</v>
      </c>
      <c r="C1620">
        <v>701</v>
      </c>
      <c r="D1620">
        <v>3</v>
      </c>
      <c r="E1620">
        <v>1</v>
      </c>
      <c r="F1620" t="s">
        <v>41</v>
      </c>
      <c r="G1620" t="s">
        <v>32</v>
      </c>
      <c r="H1620" t="s">
        <v>33</v>
      </c>
      <c r="I1620" t="s">
        <v>34</v>
      </c>
      <c r="J1620" t="s">
        <v>35</v>
      </c>
      <c r="K1620" t="s">
        <v>114</v>
      </c>
      <c r="L1620" t="s">
        <v>43</v>
      </c>
      <c r="M1620">
        <v>0</v>
      </c>
      <c r="N1620">
        <v>0</v>
      </c>
      <c r="O1620" s="5">
        <v>50506</v>
      </c>
      <c r="P1620" s="5">
        <v>50505</v>
      </c>
      <c r="Q1620">
        <f>27-10</f>
        <v>17</v>
      </c>
      <c r="R1620" t="s">
        <v>65</v>
      </c>
      <c r="T1620">
        <v>19</v>
      </c>
      <c r="U1620">
        <v>83</v>
      </c>
      <c r="V1620">
        <v>16</v>
      </c>
      <c r="W1620">
        <v>12.7</v>
      </c>
      <c r="X1620">
        <v>27.4</v>
      </c>
      <c r="Z1620" t="s">
        <v>97</v>
      </c>
      <c r="AA1620" t="s">
        <v>199</v>
      </c>
      <c r="AB1620" t="s">
        <v>87</v>
      </c>
      <c r="AC1620" t="s">
        <v>137</v>
      </c>
    </row>
    <row r="1621" spans="1:30" x14ac:dyDescent="0.25">
      <c r="A1621" s="4">
        <v>42565</v>
      </c>
      <c r="B1621" t="s">
        <v>30</v>
      </c>
      <c r="C1621">
        <v>701</v>
      </c>
      <c r="D1621">
        <v>4</v>
      </c>
      <c r="E1621">
        <v>1</v>
      </c>
      <c r="F1621" t="s">
        <v>41</v>
      </c>
      <c r="G1621" t="s">
        <v>32</v>
      </c>
      <c r="H1621" t="s">
        <v>33</v>
      </c>
      <c r="I1621" t="s">
        <v>57</v>
      </c>
      <c r="O1621" s="5"/>
      <c r="P1621" s="5"/>
    </row>
    <row r="1622" spans="1:30" x14ac:dyDescent="0.25">
      <c r="A1622" s="4">
        <v>42565</v>
      </c>
      <c r="B1622" t="s">
        <v>30</v>
      </c>
      <c r="C1622">
        <v>701</v>
      </c>
      <c r="D1622">
        <v>4</v>
      </c>
      <c r="E1622">
        <v>2</v>
      </c>
      <c r="F1622" t="s">
        <v>41</v>
      </c>
      <c r="G1622" t="s">
        <v>32</v>
      </c>
      <c r="H1622" t="s">
        <v>33</v>
      </c>
      <c r="I1622" t="s">
        <v>58</v>
      </c>
      <c r="J1622" t="s">
        <v>42</v>
      </c>
      <c r="K1622" t="s">
        <v>36</v>
      </c>
      <c r="L1622" t="s">
        <v>43</v>
      </c>
      <c r="M1622">
        <v>0</v>
      </c>
      <c r="N1622">
        <v>1</v>
      </c>
      <c r="O1622" s="5">
        <v>50762</v>
      </c>
      <c r="P1622" s="5"/>
      <c r="R1622" t="s">
        <v>47</v>
      </c>
      <c r="T1622">
        <v>18</v>
      </c>
      <c r="W1622">
        <v>13</v>
      </c>
      <c r="X1622">
        <v>27.8</v>
      </c>
      <c r="Z1622" t="s">
        <v>97</v>
      </c>
      <c r="AA1622" t="s">
        <v>218</v>
      </c>
      <c r="AB1622" t="s">
        <v>87</v>
      </c>
      <c r="AC1622" t="s">
        <v>137</v>
      </c>
    </row>
    <row r="1623" spans="1:30" x14ac:dyDescent="0.25">
      <c r="A1623" s="4">
        <v>42565</v>
      </c>
      <c r="B1623" t="s">
        <v>30</v>
      </c>
      <c r="C1623">
        <v>701</v>
      </c>
      <c r="D1623">
        <v>5</v>
      </c>
      <c r="E1623">
        <v>1</v>
      </c>
      <c r="F1623" t="s">
        <v>41</v>
      </c>
      <c r="G1623" t="s">
        <v>32</v>
      </c>
      <c r="H1623" t="s">
        <v>33</v>
      </c>
      <c r="I1623" t="s">
        <v>34</v>
      </c>
      <c r="J1623" t="s">
        <v>35</v>
      </c>
      <c r="K1623" t="s">
        <v>89</v>
      </c>
      <c r="L1623" t="s">
        <v>43</v>
      </c>
      <c r="M1623">
        <v>0</v>
      </c>
      <c r="N1623">
        <v>0</v>
      </c>
      <c r="O1623" s="5">
        <v>50503</v>
      </c>
      <c r="P1623" s="5">
        <v>50502</v>
      </c>
      <c r="Q1623">
        <f>23-9.5</f>
        <v>13.5</v>
      </c>
      <c r="R1623" t="s">
        <v>65</v>
      </c>
      <c r="T1623">
        <v>20</v>
      </c>
      <c r="U1623">
        <v>80</v>
      </c>
      <c r="V1623">
        <v>14</v>
      </c>
      <c r="W1623">
        <v>12.9</v>
      </c>
      <c r="X1623">
        <v>26.9</v>
      </c>
      <c r="Z1623" t="s">
        <v>39</v>
      </c>
      <c r="AB1623" t="s">
        <v>87</v>
      </c>
      <c r="AC1623" t="s">
        <v>137</v>
      </c>
    </row>
    <row r="1624" spans="1:30" x14ac:dyDescent="0.25">
      <c r="A1624" s="4">
        <v>42565</v>
      </c>
      <c r="B1624" t="s">
        <v>30</v>
      </c>
      <c r="C1624">
        <v>701</v>
      </c>
      <c r="D1624">
        <v>5</v>
      </c>
      <c r="E1624">
        <v>2</v>
      </c>
      <c r="F1624" t="s">
        <v>41</v>
      </c>
      <c r="G1624" t="s">
        <v>32</v>
      </c>
      <c r="H1624" t="s">
        <v>33</v>
      </c>
      <c r="I1624" t="s">
        <v>34</v>
      </c>
      <c r="J1624" t="s">
        <v>35</v>
      </c>
      <c r="K1624" t="s">
        <v>114</v>
      </c>
      <c r="L1624" t="s">
        <v>37</v>
      </c>
      <c r="M1624">
        <v>0</v>
      </c>
      <c r="N1624">
        <v>0</v>
      </c>
      <c r="O1624" s="5">
        <v>50508</v>
      </c>
      <c r="P1624" s="5">
        <v>50507</v>
      </c>
      <c r="Q1624">
        <f>26-9.5</f>
        <v>16.5</v>
      </c>
      <c r="R1624" t="s">
        <v>38</v>
      </c>
      <c r="S1624" t="s">
        <v>39</v>
      </c>
      <c r="T1624">
        <v>20</v>
      </c>
      <c r="U1624">
        <v>79</v>
      </c>
      <c r="V1624">
        <v>15</v>
      </c>
      <c r="W1624">
        <v>12.7</v>
      </c>
      <c r="X1624">
        <v>26.3</v>
      </c>
      <c r="Z1624" t="s">
        <v>39</v>
      </c>
      <c r="AB1624" t="s">
        <v>87</v>
      </c>
      <c r="AC1624" t="s">
        <v>137</v>
      </c>
    </row>
    <row r="1625" spans="1:30" x14ac:dyDescent="0.25">
      <c r="A1625" s="4">
        <v>42565</v>
      </c>
      <c r="B1625" t="s">
        <v>30</v>
      </c>
      <c r="C1625">
        <v>701</v>
      </c>
      <c r="D1625">
        <v>6</v>
      </c>
      <c r="E1625">
        <v>1</v>
      </c>
      <c r="F1625" t="s">
        <v>41</v>
      </c>
      <c r="G1625" t="s">
        <v>32</v>
      </c>
      <c r="H1625" t="s">
        <v>33</v>
      </c>
      <c r="I1625" t="s">
        <v>34</v>
      </c>
      <c r="J1625" t="s">
        <v>42</v>
      </c>
      <c r="K1625" t="s">
        <v>36</v>
      </c>
      <c r="L1625" t="s">
        <v>43</v>
      </c>
      <c r="M1625">
        <v>0</v>
      </c>
      <c r="N1625">
        <v>1</v>
      </c>
      <c r="O1625" s="5">
        <v>50761</v>
      </c>
      <c r="P1625" s="5">
        <v>50760</v>
      </c>
      <c r="R1625" t="s">
        <v>65</v>
      </c>
      <c r="T1625">
        <v>20</v>
      </c>
      <c r="U1625">
        <v>81</v>
      </c>
      <c r="V1625">
        <v>10</v>
      </c>
      <c r="W1625">
        <v>12.8</v>
      </c>
      <c r="X1625">
        <v>27.4</v>
      </c>
      <c r="Z1625" t="s">
        <v>39</v>
      </c>
      <c r="AB1625" t="s">
        <v>87</v>
      </c>
      <c r="AC1625" t="s">
        <v>137</v>
      </c>
    </row>
    <row r="1626" spans="1:30" x14ac:dyDescent="0.25">
      <c r="A1626" s="4">
        <v>42565</v>
      </c>
      <c r="B1626" t="s">
        <v>30</v>
      </c>
      <c r="C1626">
        <v>701</v>
      </c>
      <c r="D1626">
        <v>6</v>
      </c>
      <c r="E1626">
        <v>2</v>
      </c>
      <c r="F1626" t="s">
        <v>41</v>
      </c>
      <c r="G1626" t="s">
        <v>32</v>
      </c>
      <c r="H1626" t="s">
        <v>33</v>
      </c>
      <c r="I1626" t="s">
        <v>34</v>
      </c>
      <c r="J1626" t="s">
        <v>35</v>
      </c>
      <c r="K1626" t="s">
        <v>36</v>
      </c>
      <c r="L1626" t="s">
        <v>43</v>
      </c>
      <c r="M1626">
        <v>0</v>
      </c>
      <c r="N1626">
        <v>0</v>
      </c>
      <c r="O1626" s="5">
        <v>50468</v>
      </c>
      <c r="P1626" s="5">
        <v>50467</v>
      </c>
      <c r="Q1626">
        <f>36-13</f>
        <v>23</v>
      </c>
      <c r="R1626" t="s">
        <v>47</v>
      </c>
      <c r="T1626">
        <v>21</v>
      </c>
      <c r="U1626">
        <v>91</v>
      </c>
      <c r="V1626">
        <v>17</v>
      </c>
      <c r="W1626">
        <v>13.3</v>
      </c>
      <c r="X1626">
        <v>28.6</v>
      </c>
      <c r="Z1626" t="s">
        <v>39</v>
      </c>
      <c r="AB1626" t="s">
        <v>87</v>
      </c>
      <c r="AC1626" t="s">
        <v>137</v>
      </c>
    </row>
    <row r="1627" spans="1:30" x14ac:dyDescent="0.25">
      <c r="A1627" s="4">
        <v>42565</v>
      </c>
      <c r="B1627" t="s">
        <v>30</v>
      </c>
      <c r="C1627">
        <v>701</v>
      </c>
      <c r="D1627">
        <v>7</v>
      </c>
      <c r="E1627">
        <v>1</v>
      </c>
      <c r="F1627" t="s">
        <v>41</v>
      </c>
      <c r="G1627" t="s">
        <v>32</v>
      </c>
      <c r="H1627" t="s">
        <v>33</v>
      </c>
      <c r="I1627" t="s">
        <v>57</v>
      </c>
      <c r="O1627" s="5"/>
      <c r="P1627" s="5"/>
    </row>
    <row r="1628" spans="1:30" x14ac:dyDescent="0.25">
      <c r="A1628" s="4">
        <v>42565</v>
      </c>
      <c r="B1628" t="s">
        <v>30</v>
      </c>
      <c r="C1628">
        <v>701</v>
      </c>
      <c r="D1628">
        <v>7</v>
      </c>
      <c r="E1628">
        <v>2</v>
      </c>
      <c r="F1628" t="s">
        <v>41</v>
      </c>
      <c r="G1628" t="s">
        <v>32</v>
      </c>
      <c r="H1628" t="s">
        <v>33</v>
      </c>
      <c r="I1628" t="s">
        <v>58</v>
      </c>
      <c r="J1628" t="s">
        <v>42</v>
      </c>
      <c r="K1628" t="s">
        <v>36</v>
      </c>
      <c r="L1628" t="s">
        <v>37</v>
      </c>
      <c r="M1628">
        <v>0</v>
      </c>
      <c r="N1628">
        <v>1</v>
      </c>
      <c r="O1628" s="5">
        <v>50769</v>
      </c>
      <c r="P1628" s="5"/>
      <c r="Q1628">
        <f>33.5-9</f>
        <v>24.5</v>
      </c>
      <c r="R1628" t="s">
        <v>143</v>
      </c>
      <c r="S1628" t="s">
        <v>97</v>
      </c>
      <c r="T1628">
        <v>17</v>
      </c>
      <c r="W1628">
        <v>12.9</v>
      </c>
      <c r="Z1628" t="s">
        <v>97</v>
      </c>
      <c r="AA1628" t="s">
        <v>219</v>
      </c>
      <c r="AB1628" t="s">
        <v>87</v>
      </c>
      <c r="AC1628" t="s">
        <v>137</v>
      </c>
    </row>
    <row r="1629" spans="1:30" x14ac:dyDescent="0.25">
      <c r="A1629" s="4">
        <v>42565</v>
      </c>
      <c r="B1629" t="s">
        <v>30</v>
      </c>
      <c r="C1629">
        <v>701</v>
      </c>
      <c r="D1629">
        <v>8</v>
      </c>
      <c r="E1629">
        <v>1</v>
      </c>
      <c r="F1629" t="s">
        <v>41</v>
      </c>
      <c r="G1629" t="s">
        <v>32</v>
      </c>
      <c r="H1629" t="s">
        <v>33</v>
      </c>
      <c r="I1629" t="s">
        <v>34</v>
      </c>
      <c r="J1629" t="s">
        <v>42</v>
      </c>
      <c r="K1629" t="s">
        <v>36</v>
      </c>
      <c r="L1629" t="s">
        <v>37</v>
      </c>
      <c r="M1629">
        <v>0</v>
      </c>
      <c r="N1629">
        <v>1</v>
      </c>
      <c r="O1629" s="5">
        <v>50758</v>
      </c>
      <c r="P1629" s="5">
        <v>50757</v>
      </c>
      <c r="Q1629">
        <v>21</v>
      </c>
      <c r="R1629" t="s">
        <v>143</v>
      </c>
      <c r="S1629" t="s">
        <v>97</v>
      </c>
      <c r="T1629">
        <v>19</v>
      </c>
      <c r="U1629">
        <v>81</v>
      </c>
      <c r="V1629">
        <v>16</v>
      </c>
      <c r="X1629">
        <v>27.4</v>
      </c>
      <c r="Z1629" t="s">
        <v>97</v>
      </c>
      <c r="AA1629" t="s">
        <v>220</v>
      </c>
      <c r="AB1629" t="s">
        <v>87</v>
      </c>
      <c r="AC1629" t="s">
        <v>137</v>
      </c>
    </row>
    <row r="1630" spans="1:30" x14ac:dyDescent="0.25">
      <c r="A1630" s="4">
        <v>42565</v>
      </c>
      <c r="B1630" t="s">
        <v>30</v>
      </c>
      <c r="C1630">
        <v>701</v>
      </c>
      <c r="D1630">
        <v>8</v>
      </c>
      <c r="E1630">
        <v>2</v>
      </c>
      <c r="F1630" t="s">
        <v>41</v>
      </c>
      <c r="G1630" t="s">
        <v>32</v>
      </c>
      <c r="H1630" t="s">
        <v>33</v>
      </c>
      <c r="I1630" t="s">
        <v>34</v>
      </c>
      <c r="J1630" t="s">
        <v>35</v>
      </c>
      <c r="K1630" t="s">
        <v>89</v>
      </c>
      <c r="L1630" t="s">
        <v>43</v>
      </c>
      <c r="M1630">
        <v>0</v>
      </c>
      <c r="N1630">
        <v>0</v>
      </c>
      <c r="O1630" s="5">
        <v>50470</v>
      </c>
      <c r="P1630" s="5">
        <v>50469</v>
      </c>
      <c r="Q1630">
        <f>26-11</f>
        <v>15</v>
      </c>
      <c r="R1630" t="s">
        <v>38</v>
      </c>
      <c r="S1630" t="s">
        <v>39</v>
      </c>
      <c r="T1630">
        <v>19</v>
      </c>
      <c r="U1630">
        <v>71</v>
      </c>
      <c r="V1630">
        <v>16</v>
      </c>
      <c r="W1630">
        <v>12.7</v>
      </c>
      <c r="X1630">
        <v>26.6</v>
      </c>
      <c r="Z1630" t="s">
        <v>39</v>
      </c>
      <c r="AB1630" t="s">
        <v>87</v>
      </c>
      <c r="AC1630" t="s">
        <v>137</v>
      </c>
    </row>
    <row r="1631" spans="1:30" x14ac:dyDescent="0.25">
      <c r="A1631" s="4">
        <v>42565</v>
      </c>
      <c r="B1631" t="s">
        <v>30</v>
      </c>
      <c r="C1631">
        <v>701</v>
      </c>
      <c r="D1631">
        <v>9</v>
      </c>
      <c r="E1631">
        <v>1</v>
      </c>
      <c r="F1631" t="s">
        <v>41</v>
      </c>
      <c r="G1631" t="s">
        <v>32</v>
      </c>
      <c r="H1631" t="s">
        <v>33</v>
      </c>
      <c r="I1631" t="s">
        <v>34</v>
      </c>
      <c r="J1631" t="s">
        <v>35</v>
      </c>
      <c r="K1631" t="s">
        <v>89</v>
      </c>
      <c r="L1631" t="s">
        <v>37</v>
      </c>
      <c r="M1631">
        <v>0</v>
      </c>
      <c r="N1631">
        <v>0</v>
      </c>
      <c r="O1631" s="5">
        <v>50610</v>
      </c>
      <c r="P1631" s="5">
        <v>50609</v>
      </c>
      <c r="Q1631">
        <v>13</v>
      </c>
      <c r="R1631" t="s">
        <v>38</v>
      </c>
      <c r="S1631" t="s">
        <v>39</v>
      </c>
      <c r="T1631">
        <v>18</v>
      </c>
      <c r="U1631">
        <v>65</v>
      </c>
      <c r="V1631">
        <v>13</v>
      </c>
      <c r="W1631">
        <v>12.9</v>
      </c>
      <c r="X1631">
        <v>26.8</v>
      </c>
      <c r="Z1631" t="s">
        <v>39</v>
      </c>
      <c r="AB1631" t="s">
        <v>87</v>
      </c>
      <c r="AC1631" t="s">
        <v>137</v>
      </c>
    </row>
    <row r="1632" spans="1:30" x14ac:dyDescent="0.25">
      <c r="A1632" s="4">
        <v>42565</v>
      </c>
      <c r="B1632" t="s">
        <v>30</v>
      </c>
      <c r="C1632">
        <v>701</v>
      </c>
      <c r="D1632">
        <v>9</v>
      </c>
      <c r="E1632">
        <v>2</v>
      </c>
      <c r="F1632" t="s">
        <v>41</v>
      </c>
      <c r="G1632" t="s">
        <v>32</v>
      </c>
      <c r="H1632" t="s">
        <v>33</v>
      </c>
      <c r="I1632" t="s">
        <v>34</v>
      </c>
      <c r="J1632" t="s">
        <v>35</v>
      </c>
      <c r="K1632" t="s">
        <v>114</v>
      </c>
      <c r="L1632" t="s">
        <v>43</v>
      </c>
      <c r="M1632">
        <v>0</v>
      </c>
      <c r="N1632">
        <v>0</v>
      </c>
      <c r="O1632" s="5">
        <v>50584</v>
      </c>
      <c r="P1632" s="5">
        <v>50583</v>
      </c>
      <c r="Q1632">
        <v>18</v>
      </c>
      <c r="R1632" t="s">
        <v>47</v>
      </c>
      <c r="T1632">
        <v>19</v>
      </c>
      <c r="U1632">
        <v>80</v>
      </c>
      <c r="V1632">
        <v>16</v>
      </c>
      <c r="W1632">
        <v>13.1</v>
      </c>
      <c r="X1632">
        <v>26.8</v>
      </c>
      <c r="Z1632" t="s">
        <v>39</v>
      </c>
      <c r="AB1632" t="s">
        <v>87</v>
      </c>
      <c r="AC1632" t="s">
        <v>137</v>
      </c>
    </row>
    <row r="1633" spans="1:30" x14ac:dyDescent="0.25">
      <c r="A1633" s="4">
        <v>42565</v>
      </c>
      <c r="B1633" t="s">
        <v>30</v>
      </c>
      <c r="C1633">
        <v>701</v>
      </c>
      <c r="D1633">
        <v>10</v>
      </c>
      <c r="E1633">
        <v>1</v>
      </c>
      <c r="F1633" t="s">
        <v>41</v>
      </c>
      <c r="G1633" t="s">
        <v>32</v>
      </c>
      <c r="H1633" t="s">
        <v>33</v>
      </c>
      <c r="I1633" t="s">
        <v>57</v>
      </c>
      <c r="O1633" s="5"/>
      <c r="P1633" s="5"/>
    </row>
    <row r="1634" spans="1:30" x14ac:dyDescent="0.25">
      <c r="A1634" s="4">
        <v>42565</v>
      </c>
      <c r="B1634" t="s">
        <v>30</v>
      </c>
      <c r="C1634">
        <v>801</v>
      </c>
      <c r="D1634">
        <v>1</v>
      </c>
      <c r="E1634">
        <v>1</v>
      </c>
      <c r="F1634" t="s">
        <v>41</v>
      </c>
      <c r="G1634" t="s">
        <v>32</v>
      </c>
      <c r="H1634" t="s">
        <v>33</v>
      </c>
      <c r="I1634" t="s">
        <v>53</v>
      </c>
      <c r="J1634" t="s">
        <v>62</v>
      </c>
      <c r="O1634" s="5"/>
      <c r="P1634" s="5"/>
    </row>
    <row r="1635" spans="1:30" x14ac:dyDescent="0.25">
      <c r="A1635" s="4">
        <v>42565</v>
      </c>
      <c r="B1635" t="s">
        <v>30</v>
      </c>
      <c r="C1635">
        <v>801</v>
      </c>
      <c r="D1635">
        <v>1</v>
      </c>
      <c r="E1635">
        <v>2</v>
      </c>
      <c r="F1635" t="s">
        <v>41</v>
      </c>
      <c r="G1635" t="s">
        <v>32</v>
      </c>
      <c r="H1635" t="s">
        <v>33</v>
      </c>
      <c r="I1635" t="s">
        <v>73</v>
      </c>
      <c r="J1635" t="s">
        <v>35</v>
      </c>
      <c r="K1635" t="s">
        <v>36</v>
      </c>
      <c r="L1635" t="s">
        <v>43</v>
      </c>
      <c r="M1635">
        <v>0</v>
      </c>
      <c r="N1635">
        <v>0</v>
      </c>
      <c r="O1635" s="5"/>
      <c r="P1635" s="5">
        <v>50392</v>
      </c>
      <c r="Q1635">
        <f>142-55</f>
        <v>87</v>
      </c>
      <c r="R1635" t="s">
        <v>47</v>
      </c>
      <c r="T1635">
        <v>30</v>
      </c>
      <c r="W1635">
        <v>22.5</v>
      </c>
      <c r="X1635">
        <v>41.2</v>
      </c>
      <c r="Z1635" t="s">
        <v>39</v>
      </c>
      <c r="AB1635" t="s">
        <v>87</v>
      </c>
      <c r="AC1635" t="s">
        <v>137</v>
      </c>
    </row>
    <row r="1636" spans="1:30" x14ac:dyDescent="0.25">
      <c r="A1636" s="4">
        <v>42565</v>
      </c>
      <c r="B1636" t="s">
        <v>30</v>
      </c>
      <c r="C1636">
        <v>801</v>
      </c>
      <c r="D1636">
        <v>2</v>
      </c>
      <c r="E1636">
        <v>1</v>
      </c>
      <c r="F1636" t="s">
        <v>41</v>
      </c>
      <c r="G1636" t="s">
        <v>32</v>
      </c>
      <c r="H1636" t="s">
        <v>33</v>
      </c>
      <c r="I1636" t="s">
        <v>57</v>
      </c>
      <c r="O1636" s="5"/>
      <c r="P1636" s="5"/>
    </row>
    <row r="1637" spans="1:30" x14ac:dyDescent="0.25">
      <c r="A1637" s="4">
        <v>42565</v>
      </c>
      <c r="B1637" t="s">
        <v>30</v>
      </c>
      <c r="C1637">
        <v>801</v>
      </c>
      <c r="D1637">
        <v>2</v>
      </c>
      <c r="E1637">
        <v>2</v>
      </c>
      <c r="F1637" t="s">
        <v>41</v>
      </c>
      <c r="G1637" t="s">
        <v>32</v>
      </c>
      <c r="H1637" t="s">
        <v>33</v>
      </c>
      <c r="I1637" t="s">
        <v>58</v>
      </c>
      <c r="J1637" t="s">
        <v>35</v>
      </c>
      <c r="K1637" t="s">
        <v>36</v>
      </c>
      <c r="L1637" t="s">
        <v>37</v>
      </c>
      <c r="M1637">
        <v>0</v>
      </c>
      <c r="N1637">
        <v>0</v>
      </c>
      <c r="O1637" s="5">
        <v>50513</v>
      </c>
      <c r="P1637" s="5"/>
      <c r="Q1637">
        <v>22</v>
      </c>
      <c r="R1637" t="s">
        <v>143</v>
      </c>
      <c r="S1637" t="s">
        <v>97</v>
      </c>
      <c r="T1637">
        <v>17</v>
      </c>
      <c r="W1637">
        <v>12.8</v>
      </c>
      <c r="X1637">
        <v>28.7</v>
      </c>
      <c r="Z1637" t="s">
        <v>39</v>
      </c>
      <c r="AB1637" t="s">
        <v>87</v>
      </c>
      <c r="AC1637" t="s">
        <v>137</v>
      </c>
    </row>
    <row r="1638" spans="1:30" x14ac:dyDescent="0.25">
      <c r="A1638" s="4">
        <v>42565</v>
      </c>
      <c r="B1638" t="s">
        <v>30</v>
      </c>
      <c r="C1638">
        <v>801</v>
      </c>
      <c r="D1638">
        <v>3</v>
      </c>
      <c r="E1638">
        <v>1</v>
      </c>
      <c r="F1638" t="s">
        <v>41</v>
      </c>
      <c r="G1638" t="s">
        <v>32</v>
      </c>
      <c r="H1638" t="s">
        <v>33</v>
      </c>
      <c r="I1638" t="s">
        <v>57</v>
      </c>
      <c r="O1638" s="5"/>
      <c r="P1638" s="5"/>
    </row>
    <row r="1639" spans="1:30" x14ac:dyDescent="0.25">
      <c r="A1639" s="4">
        <v>42565</v>
      </c>
      <c r="B1639" t="s">
        <v>30</v>
      </c>
      <c r="C1639">
        <v>801</v>
      </c>
      <c r="D1639">
        <v>3</v>
      </c>
      <c r="E1639">
        <v>2</v>
      </c>
      <c r="F1639" t="s">
        <v>41</v>
      </c>
      <c r="G1639" t="s">
        <v>32</v>
      </c>
      <c r="H1639" t="s">
        <v>33</v>
      </c>
      <c r="I1639" t="s">
        <v>58</v>
      </c>
      <c r="J1639" t="s">
        <v>35</v>
      </c>
      <c r="K1639" t="s">
        <v>114</v>
      </c>
      <c r="L1639" t="s">
        <v>43</v>
      </c>
      <c r="M1639">
        <v>0</v>
      </c>
      <c r="N1639">
        <v>0</v>
      </c>
      <c r="O1639" s="5">
        <v>50514</v>
      </c>
      <c r="P1639" s="5"/>
      <c r="Q1639">
        <f>28-11</f>
        <v>17</v>
      </c>
      <c r="R1639" t="s">
        <v>47</v>
      </c>
      <c r="T1639">
        <v>16</v>
      </c>
      <c r="W1639">
        <v>12.2</v>
      </c>
      <c r="X1639">
        <v>24.8</v>
      </c>
      <c r="Z1639" t="s">
        <v>39</v>
      </c>
      <c r="AB1639" t="s">
        <v>87</v>
      </c>
      <c r="AC1639" t="s">
        <v>137</v>
      </c>
    </row>
    <row r="1640" spans="1:30" x14ac:dyDescent="0.25">
      <c r="A1640" s="4">
        <v>42565</v>
      </c>
      <c r="B1640" t="s">
        <v>30</v>
      </c>
      <c r="C1640">
        <v>801</v>
      </c>
      <c r="D1640">
        <v>4</v>
      </c>
      <c r="E1640">
        <v>1</v>
      </c>
      <c r="F1640" t="s">
        <v>41</v>
      </c>
      <c r="G1640" t="s">
        <v>32</v>
      </c>
      <c r="H1640" t="s">
        <v>33</v>
      </c>
      <c r="I1640" t="s">
        <v>57</v>
      </c>
      <c r="O1640" s="5"/>
      <c r="P1640" s="5"/>
    </row>
    <row r="1641" spans="1:30" x14ac:dyDescent="0.25">
      <c r="A1641" s="4">
        <v>42565</v>
      </c>
      <c r="B1641" t="s">
        <v>30</v>
      </c>
      <c r="C1641">
        <v>801</v>
      </c>
      <c r="D1641">
        <v>4</v>
      </c>
      <c r="E1641">
        <v>2</v>
      </c>
      <c r="F1641" t="s">
        <v>41</v>
      </c>
      <c r="G1641" t="s">
        <v>32</v>
      </c>
      <c r="H1641" t="s">
        <v>33</v>
      </c>
      <c r="I1641" t="s">
        <v>58</v>
      </c>
      <c r="J1641" t="s">
        <v>42</v>
      </c>
      <c r="K1641" t="s">
        <v>36</v>
      </c>
      <c r="L1641" t="s">
        <v>37</v>
      </c>
      <c r="M1641">
        <v>0</v>
      </c>
      <c r="N1641">
        <v>1</v>
      </c>
      <c r="O1641" s="5">
        <v>50756</v>
      </c>
      <c r="P1641" s="5"/>
      <c r="Q1641">
        <f>44-11</f>
        <v>33</v>
      </c>
      <c r="R1641" t="s">
        <v>143</v>
      </c>
      <c r="S1641" t="s">
        <v>97</v>
      </c>
      <c r="T1641">
        <v>18</v>
      </c>
      <c r="W1641">
        <v>12.8</v>
      </c>
      <c r="X1641">
        <v>27.6</v>
      </c>
      <c r="Z1641" t="s">
        <v>39</v>
      </c>
      <c r="AB1641" t="s">
        <v>87</v>
      </c>
      <c r="AC1641" t="s">
        <v>137</v>
      </c>
      <c r="AD1641" t="s">
        <v>221</v>
      </c>
    </row>
    <row r="1642" spans="1:30" x14ac:dyDescent="0.25">
      <c r="A1642" s="4">
        <v>42565</v>
      </c>
      <c r="B1642" t="s">
        <v>30</v>
      </c>
      <c r="C1642">
        <v>801</v>
      </c>
      <c r="D1642">
        <v>5</v>
      </c>
      <c r="E1642">
        <v>1</v>
      </c>
      <c r="F1642" t="s">
        <v>41</v>
      </c>
      <c r="G1642" t="s">
        <v>32</v>
      </c>
      <c r="H1642" t="s">
        <v>33</v>
      </c>
      <c r="I1642" t="s">
        <v>34</v>
      </c>
      <c r="J1642" t="s">
        <v>35</v>
      </c>
      <c r="K1642" t="s">
        <v>36</v>
      </c>
      <c r="L1642" t="s">
        <v>37</v>
      </c>
      <c r="M1642">
        <v>0</v>
      </c>
      <c r="N1642">
        <v>0</v>
      </c>
      <c r="O1642" s="5">
        <v>50614</v>
      </c>
      <c r="P1642" s="5">
        <v>50613</v>
      </c>
      <c r="Q1642">
        <v>23</v>
      </c>
      <c r="R1642" t="s">
        <v>143</v>
      </c>
      <c r="S1642" t="s">
        <v>97</v>
      </c>
      <c r="T1642">
        <v>20</v>
      </c>
      <c r="U1642">
        <v>80</v>
      </c>
      <c r="V1642">
        <v>14</v>
      </c>
      <c r="W1642">
        <v>12.8</v>
      </c>
      <c r="X1642">
        <v>26.5</v>
      </c>
      <c r="Z1642" t="s">
        <v>39</v>
      </c>
      <c r="AB1642" t="s">
        <v>87</v>
      </c>
      <c r="AC1642" t="s">
        <v>137</v>
      </c>
    </row>
    <row r="1643" spans="1:30" x14ac:dyDescent="0.25">
      <c r="A1643" s="4">
        <v>42565</v>
      </c>
      <c r="B1643" t="s">
        <v>30</v>
      </c>
      <c r="C1643">
        <v>801</v>
      </c>
      <c r="D1643">
        <v>5</v>
      </c>
      <c r="E1643">
        <v>2</v>
      </c>
      <c r="F1643" t="s">
        <v>41</v>
      </c>
      <c r="G1643" t="s">
        <v>32</v>
      </c>
      <c r="H1643" t="s">
        <v>33</v>
      </c>
      <c r="I1643" t="s">
        <v>34</v>
      </c>
      <c r="J1643" t="s">
        <v>35</v>
      </c>
      <c r="K1643" t="s">
        <v>36</v>
      </c>
      <c r="L1643" t="s">
        <v>43</v>
      </c>
      <c r="M1643">
        <v>0</v>
      </c>
      <c r="N1643">
        <v>0</v>
      </c>
      <c r="O1643" s="5">
        <v>50697</v>
      </c>
      <c r="P1643" s="5">
        <v>50696</v>
      </c>
      <c r="Q1643">
        <v>20</v>
      </c>
      <c r="R1643" t="s">
        <v>47</v>
      </c>
      <c r="T1643">
        <v>18</v>
      </c>
      <c r="U1643">
        <v>72</v>
      </c>
      <c r="V1643">
        <v>16</v>
      </c>
      <c r="W1643">
        <v>12.8</v>
      </c>
      <c r="X1643">
        <v>26.8</v>
      </c>
      <c r="Z1643" t="s">
        <v>39</v>
      </c>
      <c r="AB1643" t="s">
        <v>87</v>
      </c>
      <c r="AC1643" t="s">
        <v>137</v>
      </c>
      <c r="AD1643" t="s">
        <v>222</v>
      </c>
    </row>
    <row r="1644" spans="1:30" x14ac:dyDescent="0.25">
      <c r="A1644" s="4">
        <v>42565</v>
      </c>
      <c r="B1644" t="s">
        <v>30</v>
      </c>
      <c r="C1644">
        <v>801</v>
      </c>
      <c r="D1644">
        <v>6</v>
      </c>
      <c r="E1644">
        <v>1</v>
      </c>
      <c r="F1644" t="s">
        <v>41</v>
      </c>
      <c r="G1644" t="s">
        <v>32</v>
      </c>
      <c r="H1644" t="s">
        <v>33</v>
      </c>
      <c r="I1644" t="s">
        <v>34</v>
      </c>
      <c r="J1644" t="s">
        <v>35</v>
      </c>
      <c r="K1644" t="s">
        <v>36</v>
      </c>
      <c r="L1644" t="s">
        <v>43</v>
      </c>
      <c r="M1644">
        <v>0</v>
      </c>
      <c r="N1644">
        <v>0</v>
      </c>
      <c r="O1644" s="5">
        <v>50677</v>
      </c>
      <c r="P1644" s="5">
        <v>50676</v>
      </c>
      <c r="Q1644">
        <v>19</v>
      </c>
      <c r="R1644" t="s">
        <v>47</v>
      </c>
      <c r="T1644">
        <v>19</v>
      </c>
      <c r="U1644">
        <v>85</v>
      </c>
      <c r="V1644">
        <v>15</v>
      </c>
      <c r="W1644">
        <v>13</v>
      </c>
      <c r="X1644">
        <v>27.6</v>
      </c>
      <c r="Z1644" t="s">
        <v>39</v>
      </c>
      <c r="AB1644" t="s">
        <v>87</v>
      </c>
      <c r="AC1644" t="s">
        <v>137</v>
      </c>
      <c r="AD1644" t="s">
        <v>223</v>
      </c>
    </row>
    <row r="1645" spans="1:30" x14ac:dyDescent="0.25">
      <c r="A1645" s="4">
        <v>42565</v>
      </c>
      <c r="B1645" t="s">
        <v>30</v>
      </c>
      <c r="C1645">
        <v>801</v>
      </c>
      <c r="D1645">
        <v>6</v>
      </c>
      <c r="E1645">
        <v>2</v>
      </c>
      <c r="F1645" t="s">
        <v>41</v>
      </c>
      <c r="G1645" t="s">
        <v>32</v>
      </c>
      <c r="H1645" t="s">
        <v>33</v>
      </c>
      <c r="I1645" t="s">
        <v>58</v>
      </c>
      <c r="J1645" t="s">
        <v>42</v>
      </c>
      <c r="K1645" t="s">
        <v>36</v>
      </c>
      <c r="L1645" t="s">
        <v>43</v>
      </c>
      <c r="M1645">
        <v>0</v>
      </c>
      <c r="N1645">
        <v>1</v>
      </c>
      <c r="O1645" s="5">
        <v>50755</v>
      </c>
      <c r="P1645" s="5"/>
      <c r="Q1645">
        <v>20</v>
      </c>
      <c r="R1645" t="s">
        <v>47</v>
      </c>
      <c r="T1645">
        <v>18</v>
      </c>
      <c r="W1645">
        <v>12.8</v>
      </c>
      <c r="X1645">
        <v>27.6</v>
      </c>
      <c r="Z1645" t="s">
        <v>97</v>
      </c>
      <c r="AB1645" t="s">
        <v>87</v>
      </c>
      <c r="AC1645" t="s">
        <v>137</v>
      </c>
    </row>
    <row r="1646" spans="1:30" x14ac:dyDescent="0.25">
      <c r="A1646" s="4">
        <v>42565</v>
      </c>
      <c r="B1646" t="s">
        <v>30</v>
      </c>
      <c r="C1646">
        <v>801</v>
      </c>
      <c r="D1646">
        <v>7</v>
      </c>
      <c r="E1646">
        <v>1</v>
      </c>
      <c r="F1646" t="s">
        <v>41</v>
      </c>
      <c r="G1646" t="s">
        <v>32</v>
      </c>
      <c r="H1646" t="s">
        <v>33</v>
      </c>
      <c r="I1646" t="s">
        <v>57</v>
      </c>
      <c r="O1646" s="5"/>
      <c r="P1646" s="5"/>
    </row>
    <row r="1647" spans="1:30" x14ac:dyDescent="0.25">
      <c r="A1647" s="4">
        <v>42565</v>
      </c>
      <c r="B1647" t="s">
        <v>30</v>
      </c>
      <c r="C1647">
        <v>801</v>
      </c>
      <c r="D1647">
        <v>7</v>
      </c>
      <c r="E1647">
        <v>2</v>
      </c>
      <c r="F1647" t="s">
        <v>41</v>
      </c>
      <c r="G1647" t="s">
        <v>32</v>
      </c>
      <c r="H1647" t="s">
        <v>33</v>
      </c>
      <c r="I1647" t="s">
        <v>91</v>
      </c>
      <c r="J1647" t="s">
        <v>35</v>
      </c>
      <c r="K1647" t="s">
        <v>36</v>
      </c>
      <c r="L1647" t="s">
        <v>37</v>
      </c>
      <c r="M1647">
        <v>0</v>
      </c>
      <c r="N1647">
        <v>0</v>
      </c>
      <c r="O1647" s="5"/>
      <c r="P1647" s="5">
        <v>50510</v>
      </c>
      <c r="Q1647">
        <f>32-9</f>
        <v>23</v>
      </c>
      <c r="R1647" t="s">
        <v>143</v>
      </c>
      <c r="S1647" t="s">
        <v>97</v>
      </c>
      <c r="T1647">
        <v>29</v>
      </c>
      <c r="W1647">
        <v>12.8</v>
      </c>
      <c r="X1647">
        <v>26.4</v>
      </c>
      <c r="Z1647" t="s">
        <v>39</v>
      </c>
      <c r="AB1647" t="s">
        <v>87</v>
      </c>
      <c r="AC1647" t="s">
        <v>137</v>
      </c>
    </row>
    <row r="1648" spans="1:30" x14ac:dyDescent="0.25">
      <c r="A1648" s="4">
        <v>42565</v>
      </c>
      <c r="B1648" t="s">
        <v>30</v>
      </c>
      <c r="C1648">
        <v>801</v>
      </c>
      <c r="D1648">
        <v>8</v>
      </c>
      <c r="E1648">
        <v>1</v>
      </c>
      <c r="F1648" t="s">
        <v>41</v>
      </c>
      <c r="G1648" t="s">
        <v>32</v>
      </c>
      <c r="H1648" t="s">
        <v>33</v>
      </c>
      <c r="I1648" t="s">
        <v>73</v>
      </c>
      <c r="J1648" t="s">
        <v>42</v>
      </c>
      <c r="K1648" t="s">
        <v>89</v>
      </c>
      <c r="L1648" t="s">
        <v>37</v>
      </c>
      <c r="M1648">
        <v>0</v>
      </c>
      <c r="N1648">
        <v>1</v>
      </c>
      <c r="O1648" s="5">
        <v>50754</v>
      </c>
      <c r="P1648" s="5"/>
      <c r="Q1648">
        <f>110-56</f>
        <v>54</v>
      </c>
      <c r="R1648" t="s">
        <v>38</v>
      </c>
      <c r="S1648" t="s">
        <v>39</v>
      </c>
      <c r="T1648">
        <v>31</v>
      </c>
      <c r="W1648">
        <v>20.8</v>
      </c>
      <c r="X1648">
        <v>37.5</v>
      </c>
      <c r="Z1648" t="s">
        <v>39</v>
      </c>
      <c r="AB1648" t="s">
        <v>87</v>
      </c>
      <c r="AC1648" t="s">
        <v>137</v>
      </c>
    </row>
    <row r="1649" spans="1:30" x14ac:dyDescent="0.25">
      <c r="A1649" s="4">
        <v>42565</v>
      </c>
      <c r="B1649" t="s">
        <v>30</v>
      </c>
      <c r="C1649">
        <v>801</v>
      </c>
      <c r="D1649">
        <v>9</v>
      </c>
      <c r="E1649">
        <v>1</v>
      </c>
      <c r="F1649" t="s">
        <v>41</v>
      </c>
      <c r="G1649" t="s">
        <v>32</v>
      </c>
      <c r="H1649" t="s">
        <v>33</v>
      </c>
      <c r="I1649" t="s">
        <v>57</v>
      </c>
      <c r="O1649" s="5"/>
      <c r="P1649" s="5"/>
    </row>
    <row r="1650" spans="1:30" x14ac:dyDescent="0.25">
      <c r="A1650" s="4">
        <v>42565</v>
      </c>
      <c r="B1650" t="s">
        <v>30</v>
      </c>
      <c r="C1650">
        <v>801</v>
      </c>
      <c r="D1650">
        <v>9</v>
      </c>
      <c r="E1650">
        <v>2</v>
      </c>
      <c r="F1650" t="s">
        <v>41</v>
      </c>
      <c r="G1650" t="s">
        <v>32</v>
      </c>
      <c r="H1650" t="s">
        <v>33</v>
      </c>
      <c r="I1650" t="s">
        <v>34</v>
      </c>
      <c r="J1650" t="s">
        <v>35</v>
      </c>
      <c r="K1650" t="s">
        <v>36</v>
      </c>
      <c r="L1650" t="s">
        <v>43</v>
      </c>
      <c r="M1650">
        <v>0</v>
      </c>
      <c r="N1650">
        <v>0</v>
      </c>
      <c r="O1650" s="5">
        <v>50773</v>
      </c>
      <c r="P1650" s="5">
        <v>50772</v>
      </c>
      <c r="Q1650">
        <f>33-13</f>
        <v>20</v>
      </c>
      <c r="R1650" t="s">
        <v>47</v>
      </c>
      <c r="T1650">
        <v>19</v>
      </c>
      <c r="U1650">
        <v>75</v>
      </c>
      <c r="V1650">
        <v>16</v>
      </c>
      <c r="W1650">
        <v>12.9</v>
      </c>
      <c r="X1650">
        <v>26.4</v>
      </c>
      <c r="Z1650" t="s">
        <v>97</v>
      </c>
      <c r="AB1650" t="s">
        <v>87</v>
      </c>
      <c r="AC1650" t="s">
        <v>137</v>
      </c>
    </row>
    <row r="1651" spans="1:30" x14ac:dyDescent="0.25">
      <c r="A1651" s="4">
        <v>42565</v>
      </c>
      <c r="B1651" t="s">
        <v>30</v>
      </c>
      <c r="C1651">
        <v>801</v>
      </c>
      <c r="D1651">
        <v>10</v>
      </c>
      <c r="E1651">
        <v>1</v>
      </c>
      <c r="F1651" t="s">
        <v>41</v>
      </c>
      <c r="G1651" t="s">
        <v>32</v>
      </c>
      <c r="H1651" t="s">
        <v>33</v>
      </c>
      <c r="I1651" t="s">
        <v>73</v>
      </c>
      <c r="J1651" t="s">
        <v>35</v>
      </c>
      <c r="K1651" t="s">
        <v>36</v>
      </c>
      <c r="L1651" t="s">
        <v>37</v>
      </c>
      <c r="M1651">
        <v>0</v>
      </c>
      <c r="N1651">
        <v>0</v>
      </c>
      <c r="O1651" s="5">
        <v>50501</v>
      </c>
      <c r="P1651" s="5"/>
      <c r="Q1651">
        <f>142-56</f>
        <v>86</v>
      </c>
      <c r="R1651" t="s">
        <v>74</v>
      </c>
      <c r="S1651" t="s">
        <v>97</v>
      </c>
      <c r="T1651">
        <v>32</v>
      </c>
      <c r="W1651">
        <v>20.9</v>
      </c>
      <c r="X1651">
        <v>41.6</v>
      </c>
      <c r="Z1651" t="s">
        <v>39</v>
      </c>
      <c r="AB1651" t="s">
        <v>87</v>
      </c>
      <c r="AC1651" t="s">
        <v>137</v>
      </c>
    </row>
    <row r="1652" spans="1:30" x14ac:dyDescent="0.25">
      <c r="A1652" s="4">
        <v>42565</v>
      </c>
      <c r="B1652" t="s">
        <v>30</v>
      </c>
      <c r="C1652">
        <v>801</v>
      </c>
      <c r="D1652">
        <v>10</v>
      </c>
      <c r="E1652">
        <v>2</v>
      </c>
      <c r="F1652" t="s">
        <v>41</v>
      </c>
      <c r="G1652" t="s">
        <v>32</v>
      </c>
      <c r="H1652" t="s">
        <v>33</v>
      </c>
      <c r="I1652" t="s">
        <v>73</v>
      </c>
      <c r="J1652" t="s">
        <v>35</v>
      </c>
      <c r="K1652" t="s">
        <v>89</v>
      </c>
      <c r="L1652" t="s">
        <v>37</v>
      </c>
      <c r="M1652">
        <v>0</v>
      </c>
      <c r="N1652">
        <v>0</v>
      </c>
      <c r="O1652" s="5">
        <v>50512</v>
      </c>
      <c r="P1652" s="5"/>
      <c r="Q1652">
        <f>130-58</f>
        <v>72</v>
      </c>
      <c r="R1652" t="s">
        <v>38</v>
      </c>
      <c r="S1652" t="s">
        <v>39</v>
      </c>
      <c r="T1652">
        <v>30</v>
      </c>
      <c r="W1652">
        <v>20.8</v>
      </c>
      <c r="X1652">
        <v>38.9</v>
      </c>
      <c r="Z1652" t="s">
        <v>39</v>
      </c>
      <c r="AB1652" t="s">
        <v>87</v>
      </c>
      <c r="AC1652" t="s">
        <v>137</v>
      </c>
    </row>
    <row r="1653" spans="1:30" x14ac:dyDescent="0.25">
      <c r="A1653" s="4">
        <v>42565</v>
      </c>
      <c r="B1653" t="s">
        <v>30</v>
      </c>
      <c r="C1653">
        <v>803</v>
      </c>
      <c r="D1653">
        <v>10</v>
      </c>
      <c r="E1653">
        <v>1</v>
      </c>
      <c r="F1653" t="s">
        <v>41</v>
      </c>
      <c r="G1653" t="s">
        <v>32</v>
      </c>
      <c r="H1653" t="s">
        <v>33</v>
      </c>
      <c r="I1653" t="s">
        <v>57</v>
      </c>
      <c r="O1653" s="5"/>
      <c r="P1653" s="5"/>
    </row>
    <row r="1654" spans="1:30" x14ac:dyDescent="0.25">
      <c r="A1654" s="4">
        <v>42565</v>
      </c>
      <c r="B1654" t="s">
        <v>30</v>
      </c>
      <c r="C1654">
        <v>803</v>
      </c>
      <c r="D1654">
        <v>10</v>
      </c>
      <c r="E1654">
        <v>2</v>
      </c>
      <c r="F1654" t="s">
        <v>41</v>
      </c>
      <c r="G1654" t="s">
        <v>32</v>
      </c>
      <c r="H1654" t="s">
        <v>33</v>
      </c>
      <c r="I1654" t="s">
        <v>57</v>
      </c>
      <c r="O1654" s="5"/>
      <c r="P1654" s="5"/>
    </row>
    <row r="1655" spans="1:30" x14ac:dyDescent="0.25">
      <c r="A1655" s="4">
        <v>42565</v>
      </c>
      <c r="B1655" t="s">
        <v>30</v>
      </c>
      <c r="C1655">
        <v>803</v>
      </c>
      <c r="D1655">
        <v>9</v>
      </c>
      <c r="E1655">
        <v>1</v>
      </c>
      <c r="F1655" t="s">
        <v>41</v>
      </c>
      <c r="G1655" t="s">
        <v>32</v>
      </c>
      <c r="H1655" t="s">
        <v>33</v>
      </c>
      <c r="I1655" t="s">
        <v>57</v>
      </c>
      <c r="O1655" s="5"/>
      <c r="P1655" s="5"/>
    </row>
    <row r="1656" spans="1:30" x14ac:dyDescent="0.25">
      <c r="A1656" s="4">
        <v>42565</v>
      </c>
      <c r="B1656" t="s">
        <v>30</v>
      </c>
      <c r="C1656">
        <v>803</v>
      </c>
      <c r="D1656">
        <v>8</v>
      </c>
      <c r="E1656">
        <v>1</v>
      </c>
      <c r="F1656" t="s">
        <v>41</v>
      </c>
      <c r="G1656" t="s">
        <v>32</v>
      </c>
      <c r="H1656" t="s">
        <v>33</v>
      </c>
      <c r="I1656" t="s">
        <v>34</v>
      </c>
      <c r="J1656" t="s">
        <v>35</v>
      </c>
      <c r="K1656" t="s">
        <v>36</v>
      </c>
      <c r="L1656" t="s">
        <v>37</v>
      </c>
      <c r="M1656">
        <v>0</v>
      </c>
      <c r="N1656">
        <v>0</v>
      </c>
      <c r="O1656" s="5">
        <v>50451</v>
      </c>
      <c r="P1656" s="5">
        <v>50450</v>
      </c>
      <c r="Q1656">
        <f>30.5-12</f>
        <v>18.5</v>
      </c>
      <c r="R1656" t="s">
        <v>164</v>
      </c>
      <c r="S1656" t="s">
        <v>97</v>
      </c>
      <c r="T1656">
        <v>20</v>
      </c>
      <c r="U1656">
        <v>82</v>
      </c>
      <c r="V1656">
        <v>15</v>
      </c>
      <c r="W1656">
        <v>12.7</v>
      </c>
      <c r="X1656">
        <v>26.6</v>
      </c>
      <c r="Z1656" t="s">
        <v>39</v>
      </c>
      <c r="AB1656" t="s">
        <v>87</v>
      </c>
      <c r="AC1656" t="s">
        <v>137</v>
      </c>
    </row>
    <row r="1657" spans="1:30" x14ac:dyDescent="0.25">
      <c r="A1657" s="4">
        <v>42565</v>
      </c>
      <c r="B1657" t="s">
        <v>30</v>
      </c>
      <c r="C1657">
        <v>803</v>
      </c>
      <c r="D1657">
        <v>8</v>
      </c>
      <c r="E1657">
        <v>2</v>
      </c>
      <c r="F1657" t="s">
        <v>41</v>
      </c>
      <c r="G1657" t="s">
        <v>32</v>
      </c>
      <c r="H1657" t="s">
        <v>33</v>
      </c>
      <c r="I1657" t="s">
        <v>91</v>
      </c>
      <c r="J1657" t="s">
        <v>42</v>
      </c>
      <c r="K1657" t="s">
        <v>36</v>
      </c>
      <c r="L1657" t="s">
        <v>37</v>
      </c>
      <c r="M1657">
        <v>0</v>
      </c>
      <c r="N1657">
        <v>1</v>
      </c>
      <c r="O1657" s="5">
        <v>50751</v>
      </c>
      <c r="P1657" s="5"/>
      <c r="Q1657">
        <f>36-9.5</f>
        <v>26.5</v>
      </c>
      <c r="R1657" t="s">
        <v>143</v>
      </c>
      <c r="S1657" t="s">
        <v>97</v>
      </c>
      <c r="T1657">
        <v>29</v>
      </c>
      <c r="W1657">
        <v>12.9</v>
      </c>
      <c r="X1657">
        <v>37.5</v>
      </c>
      <c r="Z1657" t="s">
        <v>39</v>
      </c>
      <c r="AB1657" t="s">
        <v>87</v>
      </c>
      <c r="AC1657" t="s">
        <v>137</v>
      </c>
    </row>
    <row r="1658" spans="1:30" x14ac:dyDescent="0.25">
      <c r="A1658" s="4">
        <v>42565</v>
      </c>
      <c r="B1658" t="s">
        <v>30</v>
      </c>
      <c r="C1658">
        <v>803</v>
      </c>
      <c r="D1658">
        <v>7</v>
      </c>
      <c r="E1658">
        <v>1</v>
      </c>
      <c r="F1658" t="s">
        <v>41</v>
      </c>
      <c r="G1658" t="s">
        <v>32</v>
      </c>
      <c r="H1658" t="s">
        <v>33</v>
      </c>
      <c r="I1658" t="s">
        <v>91</v>
      </c>
      <c r="J1658" t="s">
        <v>42</v>
      </c>
      <c r="K1658" t="s">
        <v>36</v>
      </c>
      <c r="L1658" t="s">
        <v>37</v>
      </c>
      <c r="M1658">
        <v>0</v>
      </c>
      <c r="N1658">
        <v>1</v>
      </c>
      <c r="O1658" s="5">
        <v>50752</v>
      </c>
      <c r="P1658" s="5"/>
      <c r="Q1658">
        <v>23</v>
      </c>
      <c r="R1658" t="s">
        <v>143</v>
      </c>
      <c r="S1658" t="s">
        <v>97</v>
      </c>
      <c r="Z1658" t="s">
        <v>39</v>
      </c>
      <c r="AB1658" t="s">
        <v>87</v>
      </c>
      <c r="AC1658" t="s">
        <v>137</v>
      </c>
    </row>
    <row r="1659" spans="1:30" x14ac:dyDescent="0.25">
      <c r="A1659" s="4">
        <v>42565</v>
      </c>
      <c r="B1659" t="s">
        <v>30</v>
      </c>
      <c r="C1659">
        <v>803</v>
      </c>
      <c r="D1659">
        <v>7</v>
      </c>
      <c r="E1659">
        <v>2</v>
      </c>
      <c r="F1659" t="s">
        <v>41</v>
      </c>
      <c r="G1659" t="s">
        <v>32</v>
      </c>
      <c r="H1659" t="s">
        <v>33</v>
      </c>
      <c r="I1659" t="s">
        <v>73</v>
      </c>
      <c r="J1659" t="s">
        <v>35</v>
      </c>
      <c r="K1659" t="s">
        <v>36</v>
      </c>
      <c r="L1659" t="s">
        <v>43</v>
      </c>
      <c r="M1659">
        <v>0</v>
      </c>
      <c r="N1659">
        <v>0</v>
      </c>
      <c r="O1659" s="5">
        <v>50391</v>
      </c>
      <c r="P1659" s="5"/>
      <c r="Q1659">
        <f>152-56</f>
        <v>96</v>
      </c>
      <c r="R1659" t="s">
        <v>47</v>
      </c>
      <c r="Z1659" t="s">
        <v>39</v>
      </c>
      <c r="AB1659" t="s">
        <v>87</v>
      </c>
      <c r="AC1659" t="s">
        <v>137</v>
      </c>
    </row>
    <row r="1660" spans="1:30" x14ac:dyDescent="0.25">
      <c r="A1660" s="4">
        <v>42565</v>
      </c>
      <c r="B1660" t="s">
        <v>30</v>
      </c>
      <c r="C1660">
        <v>803</v>
      </c>
      <c r="D1660">
        <v>6</v>
      </c>
      <c r="E1660">
        <v>1</v>
      </c>
      <c r="F1660" t="s">
        <v>41</v>
      </c>
      <c r="G1660" t="s">
        <v>32</v>
      </c>
      <c r="H1660" t="s">
        <v>33</v>
      </c>
      <c r="I1660" t="s">
        <v>57</v>
      </c>
      <c r="O1660" s="5"/>
      <c r="P1660" s="5"/>
    </row>
    <row r="1661" spans="1:30" x14ac:dyDescent="0.25">
      <c r="A1661" s="4">
        <v>42565</v>
      </c>
      <c r="B1661" t="s">
        <v>30</v>
      </c>
      <c r="C1661">
        <v>803</v>
      </c>
      <c r="D1661">
        <v>6</v>
      </c>
      <c r="E1661">
        <v>2</v>
      </c>
      <c r="F1661" t="s">
        <v>41</v>
      </c>
      <c r="G1661" t="s">
        <v>32</v>
      </c>
      <c r="H1661" t="s">
        <v>33</v>
      </c>
      <c r="I1661" t="s">
        <v>57</v>
      </c>
      <c r="O1661" s="5"/>
      <c r="P1661" s="5"/>
    </row>
    <row r="1662" spans="1:30" x14ac:dyDescent="0.25">
      <c r="A1662" s="4">
        <v>42565</v>
      </c>
      <c r="B1662" t="s">
        <v>30</v>
      </c>
      <c r="C1662">
        <v>803</v>
      </c>
      <c r="D1662">
        <v>5</v>
      </c>
      <c r="E1662">
        <v>1</v>
      </c>
      <c r="F1662" t="s">
        <v>41</v>
      </c>
      <c r="G1662" t="s">
        <v>32</v>
      </c>
      <c r="H1662" t="s">
        <v>33</v>
      </c>
      <c r="I1662" t="s">
        <v>57</v>
      </c>
      <c r="O1662" s="5"/>
      <c r="P1662" s="5"/>
    </row>
    <row r="1663" spans="1:30" x14ac:dyDescent="0.25">
      <c r="A1663" s="4">
        <v>42565</v>
      </c>
      <c r="B1663" t="s">
        <v>30</v>
      </c>
      <c r="C1663">
        <v>803</v>
      </c>
      <c r="D1663">
        <v>4</v>
      </c>
      <c r="E1663">
        <v>1</v>
      </c>
      <c r="F1663" t="s">
        <v>41</v>
      </c>
      <c r="G1663" t="s">
        <v>32</v>
      </c>
      <c r="H1663" t="s">
        <v>33</v>
      </c>
      <c r="I1663" t="s">
        <v>91</v>
      </c>
      <c r="J1663" t="s">
        <v>35</v>
      </c>
      <c r="K1663" t="s">
        <v>36</v>
      </c>
      <c r="L1663" t="s">
        <v>37</v>
      </c>
      <c r="M1663">
        <v>0</v>
      </c>
      <c r="N1663">
        <v>0</v>
      </c>
      <c r="O1663" s="5"/>
      <c r="P1663" s="5">
        <v>50771</v>
      </c>
      <c r="Q1663">
        <f>43.5-13</f>
        <v>30.5</v>
      </c>
      <c r="R1663" t="s">
        <v>143</v>
      </c>
      <c r="S1663" t="s">
        <v>97</v>
      </c>
      <c r="T1663">
        <v>31</v>
      </c>
      <c r="W1663">
        <v>13.2</v>
      </c>
      <c r="X1663">
        <v>28</v>
      </c>
      <c r="Z1663" t="s">
        <v>39</v>
      </c>
      <c r="AB1663" t="s">
        <v>87</v>
      </c>
      <c r="AC1663" t="s">
        <v>137</v>
      </c>
    </row>
    <row r="1664" spans="1:30" x14ac:dyDescent="0.25">
      <c r="A1664" s="4">
        <v>42565</v>
      </c>
      <c r="B1664" t="s">
        <v>30</v>
      </c>
      <c r="C1664">
        <v>803</v>
      </c>
      <c r="D1664">
        <v>4</v>
      </c>
      <c r="E1664">
        <v>2</v>
      </c>
      <c r="F1664" t="s">
        <v>41</v>
      </c>
      <c r="G1664" t="s">
        <v>32</v>
      </c>
      <c r="H1664" t="s">
        <v>33</v>
      </c>
      <c r="I1664" t="s">
        <v>91</v>
      </c>
      <c r="J1664" t="s">
        <v>42</v>
      </c>
      <c r="K1664" t="s">
        <v>36</v>
      </c>
      <c r="L1664" t="s">
        <v>37</v>
      </c>
      <c r="M1664">
        <v>0</v>
      </c>
      <c r="N1664">
        <v>1</v>
      </c>
      <c r="O1664" s="5"/>
      <c r="P1664" s="5">
        <v>50753</v>
      </c>
      <c r="Q1664">
        <v>24</v>
      </c>
      <c r="R1664" t="s">
        <v>143</v>
      </c>
      <c r="S1664" t="s">
        <v>97</v>
      </c>
      <c r="T1664">
        <v>28</v>
      </c>
      <c r="W1664">
        <v>12.9</v>
      </c>
      <c r="X1664">
        <v>26.6</v>
      </c>
      <c r="Z1664" t="s">
        <v>39</v>
      </c>
      <c r="AB1664" t="s">
        <v>87</v>
      </c>
      <c r="AC1664" t="s">
        <v>137</v>
      </c>
      <c r="AD1664" t="s">
        <v>224</v>
      </c>
    </row>
    <row r="1665" spans="1:30" x14ac:dyDescent="0.25">
      <c r="A1665" s="4">
        <v>42565</v>
      </c>
      <c r="B1665" t="s">
        <v>30</v>
      </c>
      <c r="C1665">
        <v>803</v>
      </c>
      <c r="D1665">
        <v>3</v>
      </c>
      <c r="E1665">
        <v>1</v>
      </c>
      <c r="F1665" t="s">
        <v>41</v>
      </c>
      <c r="G1665" t="s">
        <v>32</v>
      </c>
      <c r="H1665" t="s">
        <v>33</v>
      </c>
      <c r="I1665" t="s">
        <v>57</v>
      </c>
      <c r="O1665" s="5"/>
      <c r="P1665" s="5"/>
    </row>
    <row r="1666" spans="1:30" x14ac:dyDescent="0.25">
      <c r="A1666" s="4">
        <v>42565</v>
      </c>
      <c r="B1666" t="s">
        <v>30</v>
      </c>
      <c r="C1666">
        <v>803</v>
      </c>
      <c r="D1666">
        <v>3</v>
      </c>
      <c r="E1666">
        <v>2</v>
      </c>
      <c r="F1666" t="s">
        <v>41</v>
      </c>
      <c r="G1666" t="s">
        <v>32</v>
      </c>
      <c r="H1666" t="s">
        <v>33</v>
      </c>
      <c r="I1666" t="s">
        <v>73</v>
      </c>
      <c r="J1666" t="s">
        <v>35</v>
      </c>
      <c r="K1666" t="s">
        <v>36</v>
      </c>
      <c r="L1666" t="s">
        <v>43</v>
      </c>
      <c r="M1666">
        <v>0</v>
      </c>
      <c r="N1666">
        <v>0</v>
      </c>
      <c r="O1666" s="5">
        <v>50463</v>
      </c>
      <c r="P1666" s="5"/>
      <c r="Q1666">
        <f>142-62</f>
        <v>80</v>
      </c>
      <c r="R1666" t="s">
        <v>47</v>
      </c>
      <c r="Z1666" t="s">
        <v>39</v>
      </c>
      <c r="AB1666" t="s">
        <v>87</v>
      </c>
      <c r="AC1666" t="s">
        <v>137</v>
      </c>
    </row>
    <row r="1667" spans="1:30" x14ac:dyDescent="0.25">
      <c r="A1667" s="4">
        <v>42565</v>
      </c>
      <c r="B1667" t="s">
        <v>30</v>
      </c>
      <c r="C1667">
        <v>803</v>
      </c>
      <c r="D1667">
        <v>2</v>
      </c>
      <c r="E1667">
        <v>1</v>
      </c>
      <c r="F1667" t="s">
        <v>41</v>
      </c>
      <c r="G1667" t="s">
        <v>32</v>
      </c>
      <c r="H1667" t="s">
        <v>33</v>
      </c>
      <c r="I1667" t="s">
        <v>57</v>
      </c>
      <c r="O1667" s="5"/>
      <c r="P1667" s="5"/>
    </row>
    <row r="1668" spans="1:30" x14ac:dyDescent="0.25">
      <c r="A1668" s="4">
        <v>42565</v>
      </c>
      <c r="B1668" t="s">
        <v>30</v>
      </c>
      <c r="C1668">
        <v>803</v>
      </c>
      <c r="D1668">
        <v>1</v>
      </c>
      <c r="E1668">
        <v>1</v>
      </c>
      <c r="F1668" t="s">
        <v>41</v>
      </c>
      <c r="G1668" t="s">
        <v>32</v>
      </c>
      <c r="H1668" t="s">
        <v>33</v>
      </c>
      <c r="I1668" t="s">
        <v>91</v>
      </c>
      <c r="J1668" t="s">
        <v>35</v>
      </c>
      <c r="K1668" t="s">
        <v>36</v>
      </c>
      <c r="L1668" t="s">
        <v>37</v>
      </c>
      <c r="M1668">
        <v>0</v>
      </c>
      <c r="N1668">
        <v>0</v>
      </c>
      <c r="O1668" s="5"/>
      <c r="P1668" s="5">
        <v>50615</v>
      </c>
      <c r="Q1668">
        <v>31</v>
      </c>
      <c r="R1668" t="s">
        <v>143</v>
      </c>
      <c r="S1668" t="s">
        <v>97</v>
      </c>
      <c r="T1668">
        <v>30</v>
      </c>
      <c r="W1668">
        <v>13</v>
      </c>
      <c r="X1668">
        <v>28.1</v>
      </c>
      <c r="Z1668" t="s">
        <v>39</v>
      </c>
      <c r="AB1668" t="s">
        <v>87</v>
      </c>
      <c r="AC1668" t="s">
        <v>137</v>
      </c>
    </row>
    <row r="1669" spans="1:30" x14ac:dyDescent="0.25">
      <c r="A1669" s="4">
        <v>42565</v>
      </c>
      <c r="B1669" t="s">
        <v>30</v>
      </c>
      <c r="C1669">
        <v>803</v>
      </c>
      <c r="D1669">
        <v>1</v>
      </c>
      <c r="E1669">
        <v>2</v>
      </c>
      <c r="F1669" t="s">
        <v>41</v>
      </c>
      <c r="G1669" t="s">
        <v>32</v>
      </c>
      <c r="H1669" t="s">
        <v>33</v>
      </c>
      <c r="I1669" t="s">
        <v>73</v>
      </c>
      <c r="J1669" t="s">
        <v>35</v>
      </c>
      <c r="K1669" t="s">
        <v>114</v>
      </c>
      <c r="L1669" t="s">
        <v>37</v>
      </c>
      <c r="M1669">
        <v>0</v>
      </c>
      <c r="N1669">
        <v>0</v>
      </c>
      <c r="O1669" s="5"/>
      <c r="P1669" s="5">
        <v>50770</v>
      </c>
      <c r="Q1669">
        <f>114-58</f>
        <v>56</v>
      </c>
      <c r="R1669" t="s">
        <v>38</v>
      </c>
      <c r="S1669" t="s">
        <v>97</v>
      </c>
      <c r="Z1669" t="s">
        <v>39</v>
      </c>
      <c r="AB1669" t="s">
        <v>87</v>
      </c>
      <c r="AC1669" t="s">
        <v>137</v>
      </c>
    </row>
    <row r="1670" spans="1:30" x14ac:dyDescent="0.25">
      <c r="A1670" s="4">
        <v>42565</v>
      </c>
      <c r="B1670" t="s">
        <v>30</v>
      </c>
      <c r="C1670">
        <v>901</v>
      </c>
      <c r="D1670">
        <v>1</v>
      </c>
      <c r="E1670">
        <v>1</v>
      </c>
      <c r="F1670" t="s">
        <v>41</v>
      </c>
      <c r="G1670" t="s">
        <v>32</v>
      </c>
      <c r="H1670" t="s">
        <v>33</v>
      </c>
      <c r="I1670" t="s">
        <v>57</v>
      </c>
      <c r="O1670" s="5"/>
      <c r="P1670" s="5"/>
    </row>
    <row r="1671" spans="1:30" x14ac:dyDescent="0.25">
      <c r="A1671" s="4">
        <v>42565</v>
      </c>
      <c r="B1671" t="s">
        <v>30</v>
      </c>
      <c r="C1671">
        <v>901</v>
      </c>
      <c r="D1671">
        <v>1</v>
      </c>
      <c r="E1671">
        <v>2</v>
      </c>
      <c r="F1671" t="s">
        <v>41</v>
      </c>
      <c r="G1671" t="s">
        <v>32</v>
      </c>
      <c r="H1671" t="s">
        <v>33</v>
      </c>
      <c r="I1671" t="s">
        <v>34</v>
      </c>
      <c r="J1671" t="s">
        <v>35</v>
      </c>
      <c r="K1671" t="s">
        <v>36</v>
      </c>
      <c r="L1671" t="s">
        <v>37</v>
      </c>
      <c r="M1671">
        <v>0</v>
      </c>
      <c r="N1671">
        <v>0</v>
      </c>
      <c r="O1671" s="5" t="s">
        <v>202</v>
      </c>
      <c r="P1671" s="5" t="s">
        <v>171</v>
      </c>
      <c r="Q1671">
        <v>27</v>
      </c>
      <c r="R1671" t="s">
        <v>143</v>
      </c>
      <c r="S1671" t="s">
        <v>97</v>
      </c>
      <c r="T1671">
        <v>20</v>
      </c>
      <c r="U1671">
        <v>85</v>
      </c>
      <c r="V1671">
        <v>15</v>
      </c>
      <c r="W1671">
        <v>13</v>
      </c>
      <c r="X1671">
        <v>27.3</v>
      </c>
      <c r="Z1671" t="s">
        <v>39</v>
      </c>
      <c r="AB1671" t="s">
        <v>87</v>
      </c>
      <c r="AC1671" t="s">
        <v>137</v>
      </c>
    </row>
    <row r="1672" spans="1:30" x14ac:dyDescent="0.25">
      <c r="A1672" s="4">
        <v>42565</v>
      </c>
      <c r="B1672" t="s">
        <v>30</v>
      </c>
      <c r="C1672">
        <v>901</v>
      </c>
      <c r="D1672">
        <v>2</v>
      </c>
      <c r="E1672">
        <v>1</v>
      </c>
      <c r="F1672" t="s">
        <v>41</v>
      </c>
      <c r="G1672" t="s">
        <v>32</v>
      </c>
      <c r="H1672" t="s">
        <v>33</v>
      </c>
      <c r="I1672" t="s">
        <v>57</v>
      </c>
      <c r="O1672" s="5"/>
      <c r="P1672" s="5"/>
    </row>
    <row r="1673" spans="1:30" x14ac:dyDescent="0.25">
      <c r="A1673" s="4">
        <v>42565</v>
      </c>
      <c r="B1673" t="s">
        <v>30</v>
      </c>
      <c r="C1673">
        <v>901</v>
      </c>
      <c r="D1673">
        <v>2</v>
      </c>
      <c r="E1673">
        <v>2</v>
      </c>
      <c r="F1673" t="s">
        <v>41</v>
      </c>
      <c r="G1673" t="s">
        <v>32</v>
      </c>
      <c r="H1673" t="s">
        <v>33</v>
      </c>
      <c r="I1673" t="s">
        <v>34</v>
      </c>
      <c r="J1673" t="s">
        <v>42</v>
      </c>
      <c r="K1673" t="s">
        <v>114</v>
      </c>
      <c r="L1673" t="s">
        <v>43</v>
      </c>
      <c r="M1673">
        <v>0</v>
      </c>
      <c r="N1673">
        <v>1</v>
      </c>
      <c r="O1673" s="5">
        <v>50799</v>
      </c>
      <c r="P1673" s="5">
        <v>50798</v>
      </c>
      <c r="Q1673">
        <v>16</v>
      </c>
      <c r="R1673" t="s">
        <v>47</v>
      </c>
      <c r="T1673">
        <v>19</v>
      </c>
      <c r="U1673">
        <v>81</v>
      </c>
      <c r="V1673">
        <v>14</v>
      </c>
      <c r="W1673">
        <v>12.8</v>
      </c>
      <c r="X1673">
        <v>25.8</v>
      </c>
      <c r="Z1673" t="s">
        <v>39</v>
      </c>
      <c r="AB1673" t="s">
        <v>87</v>
      </c>
      <c r="AC1673" t="s">
        <v>137</v>
      </c>
    </row>
    <row r="1674" spans="1:30" x14ac:dyDescent="0.25">
      <c r="A1674" s="4">
        <v>42565</v>
      </c>
      <c r="B1674" t="s">
        <v>30</v>
      </c>
      <c r="C1674">
        <v>901</v>
      </c>
      <c r="D1674">
        <v>3</v>
      </c>
      <c r="E1674">
        <v>1</v>
      </c>
      <c r="F1674" t="s">
        <v>41</v>
      </c>
      <c r="G1674" t="s">
        <v>32</v>
      </c>
      <c r="H1674" t="s">
        <v>33</v>
      </c>
      <c r="I1674" t="s">
        <v>34</v>
      </c>
      <c r="J1674" t="s">
        <v>42</v>
      </c>
      <c r="K1674" t="s">
        <v>89</v>
      </c>
      <c r="L1674" t="s">
        <v>37</v>
      </c>
      <c r="M1674">
        <v>0</v>
      </c>
      <c r="N1674">
        <v>1</v>
      </c>
      <c r="O1674" s="5">
        <v>50797</v>
      </c>
      <c r="P1674" s="5">
        <v>50796</v>
      </c>
      <c r="Q1674">
        <v>14</v>
      </c>
      <c r="R1674" t="s">
        <v>38</v>
      </c>
      <c r="S1674" t="s">
        <v>39</v>
      </c>
      <c r="T1674">
        <v>18</v>
      </c>
      <c r="U1674">
        <v>77</v>
      </c>
      <c r="V1674">
        <v>15</v>
      </c>
      <c r="W1674">
        <v>12.8</v>
      </c>
      <c r="X1674">
        <v>26.8</v>
      </c>
      <c r="Z1674" t="s">
        <v>39</v>
      </c>
      <c r="AB1674" t="s">
        <v>87</v>
      </c>
      <c r="AC1674" t="s">
        <v>137</v>
      </c>
    </row>
    <row r="1675" spans="1:30" x14ac:dyDescent="0.25">
      <c r="A1675" s="4">
        <v>42565</v>
      </c>
      <c r="B1675" t="s">
        <v>30</v>
      </c>
      <c r="C1675">
        <v>901</v>
      </c>
      <c r="D1675">
        <v>5</v>
      </c>
      <c r="E1675">
        <v>1</v>
      </c>
      <c r="F1675" t="s">
        <v>41</v>
      </c>
      <c r="G1675" t="s">
        <v>32</v>
      </c>
      <c r="H1675" t="s">
        <v>33</v>
      </c>
      <c r="I1675" t="s">
        <v>57</v>
      </c>
      <c r="O1675" s="5"/>
      <c r="P1675" s="5"/>
    </row>
    <row r="1676" spans="1:30" x14ac:dyDescent="0.25">
      <c r="A1676" s="4">
        <v>42565</v>
      </c>
      <c r="B1676" t="s">
        <v>30</v>
      </c>
      <c r="C1676">
        <v>901</v>
      </c>
      <c r="D1676">
        <v>5</v>
      </c>
      <c r="E1676">
        <v>2</v>
      </c>
      <c r="F1676" t="s">
        <v>41</v>
      </c>
      <c r="G1676" t="s">
        <v>32</v>
      </c>
      <c r="H1676" t="s">
        <v>33</v>
      </c>
      <c r="I1676" t="s">
        <v>73</v>
      </c>
      <c r="J1676" t="s">
        <v>35</v>
      </c>
      <c r="K1676" t="s">
        <v>36</v>
      </c>
      <c r="L1676" t="s">
        <v>43</v>
      </c>
      <c r="M1676">
        <v>0</v>
      </c>
      <c r="N1676">
        <v>0</v>
      </c>
      <c r="O1676" s="5">
        <v>50767</v>
      </c>
      <c r="P1676" s="5"/>
      <c r="Q1676">
        <f>146-58</f>
        <v>88</v>
      </c>
      <c r="R1676" t="s">
        <v>47</v>
      </c>
      <c r="Z1676" t="s">
        <v>39</v>
      </c>
      <c r="AB1676" t="s">
        <v>87</v>
      </c>
      <c r="AC1676" t="s">
        <v>137</v>
      </c>
    </row>
    <row r="1677" spans="1:30" x14ac:dyDescent="0.25">
      <c r="A1677" s="4">
        <v>42565</v>
      </c>
      <c r="B1677" t="s">
        <v>30</v>
      </c>
      <c r="C1677">
        <v>901</v>
      </c>
      <c r="D1677">
        <v>8</v>
      </c>
      <c r="E1677">
        <v>1</v>
      </c>
      <c r="F1677" t="s">
        <v>41</v>
      </c>
      <c r="G1677" t="s">
        <v>32</v>
      </c>
      <c r="H1677" t="s">
        <v>33</v>
      </c>
      <c r="I1677" t="s">
        <v>34</v>
      </c>
      <c r="J1677" t="s">
        <v>35</v>
      </c>
      <c r="K1677" t="s">
        <v>114</v>
      </c>
      <c r="L1677" t="s">
        <v>43</v>
      </c>
      <c r="M1677">
        <v>0</v>
      </c>
      <c r="N1677">
        <v>0</v>
      </c>
      <c r="O1677" s="5">
        <v>50766</v>
      </c>
      <c r="P1677" s="5">
        <v>50765</v>
      </c>
      <c r="Q1677">
        <f>27-9</f>
        <v>18</v>
      </c>
      <c r="R1677" t="s">
        <v>47</v>
      </c>
      <c r="T1677">
        <v>19</v>
      </c>
      <c r="U1677">
        <v>79</v>
      </c>
      <c r="V1677">
        <v>14</v>
      </c>
      <c r="W1677">
        <v>12.8</v>
      </c>
      <c r="X1677">
        <v>25.9</v>
      </c>
      <c r="Z1677" t="s">
        <v>39</v>
      </c>
      <c r="AB1677" t="s">
        <v>87</v>
      </c>
      <c r="AC1677" t="s">
        <v>137</v>
      </c>
    </row>
    <row r="1678" spans="1:30" x14ac:dyDescent="0.25">
      <c r="A1678" s="4">
        <v>42565</v>
      </c>
      <c r="B1678" t="s">
        <v>30</v>
      </c>
      <c r="C1678">
        <v>901</v>
      </c>
      <c r="D1678">
        <v>9</v>
      </c>
      <c r="E1678">
        <v>1</v>
      </c>
      <c r="F1678" t="s">
        <v>41</v>
      </c>
      <c r="G1678" t="s">
        <v>32</v>
      </c>
      <c r="H1678" t="s">
        <v>33</v>
      </c>
      <c r="I1678" t="s">
        <v>34</v>
      </c>
      <c r="J1678" t="s">
        <v>35</v>
      </c>
      <c r="K1678" t="s">
        <v>36</v>
      </c>
      <c r="L1678" t="s">
        <v>37</v>
      </c>
      <c r="M1678">
        <v>0</v>
      </c>
      <c r="N1678">
        <v>0</v>
      </c>
      <c r="O1678" s="5">
        <v>50617</v>
      </c>
      <c r="P1678" s="5">
        <v>50616</v>
      </c>
      <c r="Q1678">
        <f>30-11.5</f>
        <v>18.5</v>
      </c>
      <c r="R1678" t="s">
        <v>143</v>
      </c>
      <c r="S1678" t="s">
        <v>97</v>
      </c>
      <c r="T1678">
        <v>20</v>
      </c>
      <c r="U1678">
        <v>88</v>
      </c>
      <c r="V1678">
        <v>15</v>
      </c>
      <c r="W1678">
        <v>12.8</v>
      </c>
      <c r="X1678">
        <v>27</v>
      </c>
      <c r="Z1678" t="s">
        <v>39</v>
      </c>
      <c r="AB1678" t="s">
        <v>87</v>
      </c>
      <c r="AC1678" t="s">
        <v>137</v>
      </c>
    </row>
    <row r="1679" spans="1:30" x14ac:dyDescent="0.25">
      <c r="A1679" s="4">
        <v>42570</v>
      </c>
      <c r="B1679" t="s">
        <v>30</v>
      </c>
      <c r="C1679">
        <v>201</v>
      </c>
      <c r="D1679">
        <v>2</v>
      </c>
      <c r="E1679">
        <v>1</v>
      </c>
      <c r="F1679" t="s">
        <v>41</v>
      </c>
      <c r="G1679" t="s">
        <v>32</v>
      </c>
      <c r="H1679" t="s">
        <v>33</v>
      </c>
      <c r="I1679" t="s">
        <v>34</v>
      </c>
      <c r="J1679" t="s">
        <v>35</v>
      </c>
      <c r="K1679" t="s">
        <v>36</v>
      </c>
      <c r="L1679" t="s">
        <v>37</v>
      </c>
      <c r="M1679">
        <v>0</v>
      </c>
      <c r="N1679">
        <v>0</v>
      </c>
      <c r="O1679" s="5">
        <v>50627</v>
      </c>
      <c r="P1679" s="5">
        <v>50628</v>
      </c>
      <c r="Q1679">
        <f>33.5-13</f>
        <v>20.5</v>
      </c>
      <c r="R1679" t="s">
        <v>164</v>
      </c>
      <c r="S1679" t="s">
        <v>97</v>
      </c>
      <c r="T1679">
        <v>20</v>
      </c>
      <c r="U1679">
        <v>86</v>
      </c>
      <c r="V1679">
        <v>15</v>
      </c>
      <c r="W1679">
        <v>12.8</v>
      </c>
      <c r="X1679">
        <v>26.7</v>
      </c>
      <c r="Z1679" t="s">
        <v>97</v>
      </c>
      <c r="AA1679" t="s">
        <v>199</v>
      </c>
      <c r="AB1679" t="s">
        <v>87</v>
      </c>
      <c r="AC1679" t="s">
        <v>56</v>
      </c>
      <c r="AD1679" t="s">
        <v>225</v>
      </c>
    </row>
    <row r="1680" spans="1:30" x14ac:dyDescent="0.25">
      <c r="A1680" s="4">
        <v>42570</v>
      </c>
      <c r="B1680" t="s">
        <v>30</v>
      </c>
      <c r="C1680">
        <v>201</v>
      </c>
      <c r="D1680">
        <v>2</v>
      </c>
      <c r="E1680">
        <v>2</v>
      </c>
      <c r="F1680" t="s">
        <v>41</v>
      </c>
      <c r="G1680" t="s">
        <v>32</v>
      </c>
      <c r="H1680" t="s">
        <v>33</v>
      </c>
      <c r="I1680" t="s">
        <v>34</v>
      </c>
      <c r="J1680" t="s">
        <v>35</v>
      </c>
      <c r="K1680" t="s">
        <v>36</v>
      </c>
      <c r="L1680" t="s">
        <v>43</v>
      </c>
      <c r="M1680">
        <v>0</v>
      </c>
      <c r="N1680">
        <v>0</v>
      </c>
      <c r="O1680" s="5">
        <v>50335</v>
      </c>
      <c r="P1680" s="5">
        <v>50334</v>
      </c>
      <c r="Q1680">
        <f>35.5-14</f>
        <v>21.5</v>
      </c>
      <c r="R1680" t="s">
        <v>47</v>
      </c>
      <c r="T1680">
        <v>20</v>
      </c>
      <c r="U1680">
        <v>85</v>
      </c>
      <c r="V1680">
        <v>16</v>
      </c>
      <c r="W1680">
        <v>13</v>
      </c>
      <c r="X1680">
        <v>27.3</v>
      </c>
      <c r="Y1680" t="s">
        <v>226</v>
      </c>
      <c r="Z1680" t="s">
        <v>97</v>
      </c>
      <c r="AA1680" t="s">
        <v>199</v>
      </c>
      <c r="AB1680" t="s">
        <v>87</v>
      </c>
      <c r="AC1680" t="s">
        <v>56</v>
      </c>
    </row>
    <row r="1681" spans="1:29" x14ac:dyDescent="0.25">
      <c r="A1681" s="4">
        <v>42570</v>
      </c>
      <c r="B1681" t="s">
        <v>30</v>
      </c>
      <c r="C1681">
        <v>201</v>
      </c>
      <c r="D1681">
        <v>4</v>
      </c>
      <c r="E1681">
        <v>1</v>
      </c>
      <c r="F1681" t="s">
        <v>41</v>
      </c>
      <c r="G1681" t="s">
        <v>32</v>
      </c>
      <c r="H1681" t="s">
        <v>33</v>
      </c>
      <c r="I1681" t="s">
        <v>57</v>
      </c>
      <c r="O1681" s="5"/>
      <c r="P1681" s="5"/>
    </row>
    <row r="1682" spans="1:29" x14ac:dyDescent="0.25">
      <c r="A1682" s="4">
        <v>42570</v>
      </c>
      <c r="B1682" t="s">
        <v>30</v>
      </c>
      <c r="C1682">
        <v>201</v>
      </c>
      <c r="D1682">
        <v>4</v>
      </c>
      <c r="E1682">
        <v>2</v>
      </c>
      <c r="F1682" t="s">
        <v>41</v>
      </c>
      <c r="G1682" t="s">
        <v>32</v>
      </c>
      <c r="H1682" t="s">
        <v>33</v>
      </c>
      <c r="I1682" t="s">
        <v>57</v>
      </c>
      <c r="O1682" s="5"/>
      <c r="P1682" s="5"/>
    </row>
    <row r="1683" spans="1:29" x14ac:dyDescent="0.25">
      <c r="A1683" s="4">
        <v>42570</v>
      </c>
      <c r="B1683" t="s">
        <v>30</v>
      </c>
      <c r="C1683">
        <v>201</v>
      </c>
      <c r="D1683">
        <v>5</v>
      </c>
      <c r="E1683">
        <v>1</v>
      </c>
      <c r="F1683" t="s">
        <v>41</v>
      </c>
      <c r="G1683" t="s">
        <v>32</v>
      </c>
      <c r="H1683" t="s">
        <v>33</v>
      </c>
      <c r="I1683" t="s">
        <v>57</v>
      </c>
      <c r="O1683" s="5"/>
      <c r="P1683" s="5"/>
    </row>
    <row r="1684" spans="1:29" x14ac:dyDescent="0.25">
      <c r="A1684" s="4">
        <v>42570</v>
      </c>
      <c r="B1684" t="s">
        <v>30</v>
      </c>
      <c r="C1684">
        <v>201</v>
      </c>
      <c r="D1684">
        <v>5</v>
      </c>
      <c r="E1684">
        <v>2</v>
      </c>
      <c r="F1684" t="s">
        <v>41</v>
      </c>
      <c r="G1684" t="s">
        <v>32</v>
      </c>
      <c r="H1684" t="s">
        <v>33</v>
      </c>
      <c r="I1684" t="s">
        <v>57</v>
      </c>
      <c r="O1684" s="5"/>
      <c r="P1684" s="5"/>
    </row>
    <row r="1685" spans="1:29" x14ac:dyDescent="0.25">
      <c r="A1685" s="4">
        <v>42570</v>
      </c>
      <c r="B1685" t="s">
        <v>30</v>
      </c>
      <c r="C1685">
        <v>201</v>
      </c>
      <c r="D1685">
        <v>6</v>
      </c>
      <c r="E1685">
        <v>1</v>
      </c>
      <c r="F1685" t="s">
        <v>41</v>
      </c>
      <c r="G1685" t="s">
        <v>32</v>
      </c>
      <c r="H1685" t="s">
        <v>33</v>
      </c>
      <c r="I1685" t="s">
        <v>57</v>
      </c>
      <c r="O1685" s="5"/>
      <c r="P1685" s="5"/>
    </row>
    <row r="1686" spans="1:29" x14ac:dyDescent="0.25">
      <c r="A1686" s="4">
        <v>42570</v>
      </c>
      <c r="B1686" t="s">
        <v>30</v>
      </c>
      <c r="C1686">
        <v>201</v>
      </c>
      <c r="D1686">
        <v>6</v>
      </c>
      <c r="E1686">
        <v>2</v>
      </c>
      <c r="F1686" t="s">
        <v>41</v>
      </c>
      <c r="G1686" t="s">
        <v>32</v>
      </c>
      <c r="H1686" t="s">
        <v>33</v>
      </c>
      <c r="I1686" t="s">
        <v>57</v>
      </c>
      <c r="O1686" s="5"/>
      <c r="P1686" s="5"/>
    </row>
    <row r="1687" spans="1:29" x14ac:dyDescent="0.25">
      <c r="A1687" s="4">
        <v>42570</v>
      </c>
      <c r="B1687" t="s">
        <v>30</v>
      </c>
      <c r="C1687">
        <v>201</v>
      </c>
      <c r="D1687">
        <v>7</v>
      </c>
      <c r="E1687">
        <v>1</v>
      </c>
      <c r="F1687" t="s">
        <v>41</v>
      </c>
      <c r="G1687" t="s">
        <v>32</v>
      </c>
      <c r="H1687" t="s">
        <v>33</v>
      </c>
      <c r="I1687" t="s">
        <v>57</v>
      </c>
      <c r="O1687" s="5"/>
      <c r="P1687" s="5"/>
    </row>
    <row r="1688" spans="1:29" x14ac:dyDescent="0.25">
      <c r="A1688" s="4">
        <v>42570</v>
      </c>
      <c r="B1688" t="s">
        <v>30</v>
      </c>
      <c r="C1688">
        <v>201</v>
      </c>
      <c r="D1688">
        <v>7</v>
      </c>
      <c r="E1688">
        <v>2</v>
      </c>
      <c r="F1688" t="s">
        <v>41</v>
      </c>
      <c r="G1688" t="s">
        <v>32</v>
      </c>
      <c r="H1688" t="s">
        <v>33</v>
      </c>
      <c r="I1688" t="s">
        <v>34</v>
      </c>
      <c r="J1688" t="s">
        <v>42</v>
      </c>
      <c r="K1688" t="s">
        <v>36</v>
      </c>
      <c r="L1688" t="s">
        <v>43</v>
      </c>
      <c r="M1688">
        <v>0</v>
      </c>
      <c r="N1688">
        <v>1</v>
      </c>
      <c r="O1688" s="5">
        <v>50792</v>
      </c>
      <c r="P1688" s="5">
        <v>50791</v>
      </c>
      <c r="Q1688">
        <f>35-9</f>
        <v>26</v>
      </c>
      <c r="R1688" t="s">
        <v>47</v>
      </c>
      <c r="T1688">
        <v>20</v>
      </c>
      <c r="U1688">
        <v>103</v>
      </c>
      <c r="V1688">
        <v>16</v>
      </c>
      <c r="W1688">
        <v>13</v>
      </c>
      <c r="X1688">
        <v>26.8</v>
      </c>
      <c r="Z1688" t="s">
        <v>39</v>
      </c>
      <c r="AB1688" t="s">
        <v>87</v>
      </c>
      <c r="AC1688" t="s">
        <v>56</v>
      </c>
    </row>
    <row r="1689" spans="1:29" x14ac:dyDescent="0.25">
      <c r="A1689" s="4">
        <v>42570</v>
      </c>
      <c r="B1689" t="s">
        <v>30</v>
      </c>
      <c r="C1689">
        <v>201</v>
      </c>
      <c r="D1689">
        <v>8</v>
      </c>
      <c r="E1689">
        <v>1</v>
      </c>
      <c r="F1689" t="s">
        <v>41</v>
      </c>
      <c r="G1689" t="s">
        <v>32</v>
      </c>
      <c r="H1689" t="s">
        <v>33</v>
      </c>
      <c r="I1689" t="s">
        <v>57</v>
      </c>
      <c r="O1689" s="5"/>
      <c r="P1689" s="5"/>
    </row>
    <row r="1690" spans="1:29" x14ac:dyDescent="0.25">
      <c r="A1690" s="4">
        <v>42570</v>
      </c>
      <c r="B1690" t="s">
        <v>30</v>
      </c>
      <c r="C1690">
        <v>201</v>
      </c>
      <c r="D1690">
        <v>8</v>
      </c>
      <c r="E1690">
        <v>2</v>
      </c>
      <c r="F1690" t="s">
        <v>41</v>
      </c>
      <c r="G1690" t="s">
        <v>32</v>
      </c>
      <c r="H1690" t="s">
        <v>33</v>
      </c>
      <c r="I1690" t="s">
        <v>57</v>
      </c>
      <c r="O1690" s="5"/>
      <c r="P1690" s="5"/>
    </row>
    <row r="1691" spans="1:29" x14ac:dyDescent="0.25">
      <c r="A1691" s="4">
        <v>42570</v>
      </c>
      <c r="B1691" t="s">
        <v>30</v>
      </c>
      <c r="C1691">
        <v>203</v>
      </c>
      <c r="D1691">
        <v>1</v>
      </c>
      <c r="E1691">
        <v>1</v>
      </c>
      <c r="F1691" t="s">
        <v>41</v>
      </c>
      <c r="G1691" t="s">
        <v>32</v>
      </c>
      <c r="H1691" t="s">
        <v>33</v>
      </c>
      <c r="I1691" t="s">
        <v>57</v>
      </c>
      <c r="O1691" s="5"/>
      <c r="P1691" s="5"/>
    </row>
    <row r="1692" spans="1:29" x14ac:dyDescent="0.25">
      <c r="A1692" s="4">
        <v>42570</v>
      </c>
      <c r="B1692" t="s">
        <v>30</v>
      </c>
      <c r="C1692">
        <v>203</v>
      </c>
      <c r="D1692">
        <v>2</v>
      </c>
      <c r="E1692">
        <v>1</v>
      </c>
      <c r="F1692" t="s">
        <v>41</v>
      </c>
      <c r="G1692" t="s">
        <v>32</v>
      </c>
      <c r="H1692" t="s">
        <v>33</v>
      </c>
      <c r="I1692" t="s">
        <v>57</v>
      </c>
      <c r="O1692" s="5"/>
      <c r="P1692" s="5"/>
    </row>
    <row r="1693" spans="1:29" x14ac:dyDescent="0.25">
      <c r="A1693" s="4">
        <v>42570</v>
      </c>
      <c r="B1693" t="s">
        <v>30</v>
      </c>
      <c r="C1693">
        <v>203</v>
      </c>
      <c r="D1693">
        <v>2</v>
      </c>
      <c r="E1693">
        <v>2</v>
      </c>
      <c r="F1693" t="s">
        <v>41</v>
      </c>
      <c r="G1693" t="s">
        <v>32</v>
      </c>
      <c r="H1693" t="s">
        <v>33</v>
      </c>
      <c r="I1693" t="s">
        <v>57</v>
      </c>
      <c r="O1693" s="5"/>
      <c r="P1693" s="5"/>
    </row>
    <row r="1694" spans="1:29" x14ac:dyDescent="0.25">
      <c r="A1694" s="4">
        <v>42570</v>
      </c>
      <c r="B1694" t="s">
        <v>30</v>
      </c>
      <c r="C1694">
        <v>203</v>
      </c>
      <c r="D1694">
        <v>4</v>
      </c>
      <c r="E1694">
        <v>1</v>
      </c>
      <c r="F1694" t="s">
        <v>41</v>
      </c>
      <c r="G1694" t="s">
        <v>32</v>
      </c>
      <c r="H1694" t="s">
        <v>33</v>
      </c>
      <c r="I1694" t="s">
        <v>57</v>
      </c>
      <c r="O1694" s="5"/>
      <c r="P1694" s="5"/>
    </row>
    <row r="1695" spans="1:29" x14ac:dyDescent="0.25">
      <c r="A1695" s="4">
        <v>42570</v>
      </c>
      <c r="B1695" t="s">
        <v>30</v>
      </c>
      <c r="C1695">
        <v>203</v>
      </c>
      <c r="D1695">
        <v>4</v>
      </c>
      <c r="E1695">
        <v>2</v>
      </c>
      <c r="F1695" t="s">
        <v>41</v>
      </c>
      <c r="G1695" t="s">
        <v>32</v>
      </c>
      <c r="H1695" t="s">
        <v>33</v>
      </c>
      <c r="I1695" t="s">
        <v>34</v>
      </c>
      <c r="J1695" t="s">
        <v>35</v>
      </c>
      <c r="K1695" t="s">
        <v>36</v>
      </c>
      <c r="L1695" t="s">
        <v>37</v>
      </c>
      <c r="M1695">
        <v>0</v>
      </c>
      <c r="N1695">
        <v>0</v>
      </c>
      <c r="O1695" s="5">
        <v>50668</v>
      </c>
      <c r="P1695" s="5">
        <v>50667</v>
      </c>
      <c r="Q1695">
        <f>33-9</f>
        <v>24</v>
      </c>
      <c r="R1695" t="s">
        <v>143</v>
      </c>
      <c r="S1695" t="s">
        <v>97</v>
      </c>
      <c r="T1695">
        <v>20</v>
      </c>
      <c r="U1695">
        <v>105</v>
      </c>
      <c r="V1695">
        <v>15</v>
      </c>
      <c r="W1695">
        <v>12.9</v>
      </c>
      <c r="X1695">
        <v>26.9</v>
      </c>
      <c r="Z1695" t="s">
        <v>97</v>
      </c>
      <c r="AA1695" t="s">
        <v>227</v>
      </c>
      <c r="AB1695" t="s">
        <v>87</v>
      </c>
      <c r="AC1695" t="s">
        <v>56</v>
      </c>
    </row>
    <row r="1696" spans="1:29" x14ac:dyDescent="0.25">
      <c r="A1696" s="4">
        <v>42570</v>
      </c>
      <c r="B1696" t="s">
        <v>30</v>
      </c>
      <c r="C1696">
        <v>203</v>
      </c>
      <c r="D1696">
        <v>5</v>
      </c>
      <c r="E1696">
        <v>1</v>
      </c>
      <c r="F1696" t="s">
        <v>41</v>
      </c>
      <c r="G1696" t="s">
        <v>32</v>
      </c>
      <c r="H1696" t="s">
        <v>33</v>
      </c>
      <c r="I1696" t="s">
        <v>57</v>
      </c>
      <c r="O1696" s="5"/>
      <c r="P1696" s="5"/>
    </row>
    <row r="1697" spans="1:29" x14ac:dyDescent="0.25">
      <c r="A1697" s="4">
        <v>42570</v>
      </c>
      <c r="B1697" t="s">
        <v>30</v>
      </c>
      <c r="C1697">
        <v>203</v>
      </c>
      <c r="D1697">
        <v>7</v>
      </c>
      <c r="E1697">
        <v>1</v>
      </c>
      <c r="F1697" t="s">
        <v>41</v>
      </c>
      <c r="G1697" t="s">
        <v>32</v>
      </c>
      <c r="H1697" t="s">
        <v>33</v>
      </c>
      <c r="I1697" t="s">
        <v>34</v>
      </c>
      <c r="J1697" t="s">
        <v>35</v>
      </c>
      <c r="K1697" t="s">
        <v>36</v>
      </c>
      <c r="L1697" t="s">
        <v>37</v>
      </c>
      <c r="M1697">
        <v>0</v>
      </c>
      <c r="N1697">
        <v>0</v>
      </c>
      <c r="O1697" s="5">
        <v>50633</v>
      </c>
      <c r="P1697" s="5">
        <v>50634</v>
      </c>
      <c r="Q1697">
        <f>36.5-14.5</f>
        <v>22</v>
      </c>
      <c r="R1697" t="s">
        <v>143</v>
      </c>
      <c r="S1697" t="s">
        <v>97</v>
      </c>
      <c r="T1697">
        <v>20</v>
      </c>
      <c r="U1697">
        <v>85</v>
      </c>
      <c r="V1697">
        <v>14</v>
      </c>
      <c r="W1697">
        <v>12.9</v>
      </c>
      <c r="X1697">
        <v>27.1</v>
      </c>
      <c r="Z1697" t="s">
        <v>97</v>
      </c>
      <c r="AA1697" t="s">
        <v>199</v>
      </c>
      <c r="AB1697" t="s">
        <v>87</v>
      </c>
      <c r="AC1697" t="s">
        <v>56</v>
      </c>
    </row>
    <row r="1698" spans="1:29" x14ac:dyDescent="0.25">
      <c r="A1698" s="4">
        <v>42570</v>
      </c>
      <c r="B1698" t="s">
        <v>30</v>
      </c>
      <c r="C1698">
        <v>203</v>
      </c>
      <c r="D1698">
        <v>8</v>
      </c>
      <c r="E1698">
        <v>1</v>
      </c>
      <c r="F1698" t="s">
        <v>41</v>
      </c>
      <c r="G1698" t="s">
        <v>32</v>
      </c>
      <c r="H1698" t="s">
        <v>33</v>
      </c>
      <c r="I1698" t="s">
        <v>57</v>
      </c>
      <c r="O1698" s="5"/>
      <c r="P1698" s="5"/>
    </row>
    <row r="1699" spans="1:29" x14ac:dyDescent="0.25">
      <c r="A1699" s="4">
        <v>42570</v>
      </c>
      <c r="B1699" t="s">
        <v>30</v>
      </c>
      <c r="C1699">
        <v>203</v>
      </c>
      <c r="D1699">
        <v>9</v>
      </c>
      <c r="E1699">
        <v>1</v>
      </c>
      <c r="F1699" t="s">
        <v>41</v>
      </c>
      <c r="G1699" t="s">
        <v>32</v>
      </c>
      <c r="H1699" t="s">
        <v>33</v>
      </c>
      <c r="I1699" t="s">
        <v>34</v>
      </c>
      <c r="J1699" t="s">
        <v>35</v>
      </c>
      <c r="K1699" t="s">
        <v>36</v>
      </c>
      <c r="L1699" t="s">
        <v>43</v>
      </c>
      <c r="M1699">
        <v>0</v>
      </c>
      <c r="N1699">
        <v>0</v>
      </c>
      <c r="O1699" s="5">
        <v>50491</v>
      </c>
      <c r="P1699" s="5">
        <v>50357</v>
      </c>
      <c r="Q1699">
        <f>32-12</f>
        <v>20</v>
      </c>
      <c r="R1699" t="s">
        <v>47</v>
      </c>
      <c r="T1699">
        <v>21</v>
      </c>
      <c r="U1699">
        <v>100</v>
      </c>
      <c r="V1699">
        <v>15</v>
      </c>
      <c r="W1699">
        <v>12.8</v>
      </c>
      <c r="Z1699" t="s">
        <v>97</v>
      </c>
      <c r="AA1699" t="s">
        <v>199</v>
      </c>
      <c r="AB1699" t="s">
        <v>87</v>
      </c>
      <c r="AC1699" t="s">
        <v>56</v>
      </c>
    </row>
    <row r="1700" spans="1:29" x14ac:dyDescent="0.25">
      <c r="A1700" s="4">
        <v>42570</v>
      </c>
      <c r="B1700" t="s">
        <v>30</v>
      </c>
      <c r="C1700">
        <v>203</v>
      </c>
      <c r="D1700">
        <v>10</v>
      </c>
      <c r="E1700">
        <v>1</v>
      </c>
      <c r="F1700" t="s">
        <v>41</v>
      </c>
      <c r="G1700" t="s">
        <v>32</v>
      </c>
      <c r="H1700" t="s">
        <v>33</v>
      </c>
      <c r="I1700" t="s">
        <v>57</v>
      </c>
      <c r="O1700" s="5"/>
      <c r="P1700" s="5"/>
    </row>
    <row r="1701" spans="1:29" x14ac:dyDescent="0.25">
      <c r="A1701" s="4">
        <v>42570</v>
      </c>
      <c r="B1701" t="s">
        <v>30</v>
      </c>
      <c r="C1701">
        <v>203</v>
      </c>
      <c r="D1701">
        <v>10</v>
      </c>
      <c r="E1701">
        <v>2</v>
      </c>
      <c r="F1701" t="s">
        <v>41</v>
      </c>
      <c r="G1701" t="s">
        <v>32</v>
      </c>
      <c r="H1701" t="s">
        <v>33</v>
      </c>
      <c r="I1701" t="s">
        <v>57</v>
      </c>
      <c r="O1701" s="5"/>
      <c r="P1701" s="5"/>
    </row>
    <row r="1702" spans="1:29" x14ac:dyDescent="0.25">
      <c r="A1702" s="4">
        <v>42570</v>
      </c>
      <c r="B1702" t="s">
        <v>30</v>
      </c>
      <c r="C1702">
        <v>202</v>
      </c>
      <c r="D1702">
        <v>2</v>
      </c>
      <c r="E1702">
        <v>1</v>
      </c>
      <c r="F1702" t="s">
        <v>41</v>
      </c>
      <c r="G1702" t="s">
        <v>32</v>
      </c>
      <c r="H1702" t="s">
        <v>33</v>
      </c>
      <c r="I1702" t="s">
        <v>34</v>
      </c>
      <c r="J1702" t="s">
        <v>42</v>
      </c>
      <c r="K1702" t="s">
        <v>89</v>
      </c>
      <c r="L1702" t="s">
        <v>37</v>
      </c>
      <c r="M1702">
        <v>0</v>
      </c>
      <c r="N1702">
        <v>1</v>
      </c>
      <c r="O1702" s="5">
        <v>50790</v>
      </c>
      <c r="P1702" s="5">
        <v>50789</v>
      </c>
      <c r="Q1702">
        <f>26.5-13</f>
        <v>13.5</v>
      </c>
      <c r="R1702" t="s">
        <v>38</v>
      </c>
      <c r="S1702" t="s">
        <v>39</v>
      </c>
      <c r="T1702">
        <v>20</v>
      </c>
      <c r="V1702">
        <v>15</v>
      </c>
      <c r="W1702">
        <v>12.7</v>
      </c>
      <c r="X1702">
        <v>26.6</v>
      </c>
      <c r="Z1702" t="s">
        <v>39</v>
      </c>
      <c r="AB1702" t="s">
        <v>87</v>
      </c>
      <c r="AC1702" t="s">
        <v>56</v>
      </c>
    </row>
    <row r="1703" spans="1:29" x14ac:dyDescent="0.25">
      <c r="A1703" s="4">
        <v>42570</v>
      </c>
      <c r="B1703" t="s">
        <v>30</v>
      </c>
      <c r="C1703">
        <v>202</v>
      </c>
      <c r="D1703">
        <v>3</v>
      </c>
      <c r="E1703">
        <v>1</v>
      </c>
      <c r="F1703" t="s">
        <v>41</v>
      </c>
      <c r="G1703" t="s">
        <v>32</v>
      </c>
      <c r="H1703" t="s">
        <v>33</v>
      </c>
      <c r="I1703" t="s">
        <v>57</v>
      </c>
      <c r="O1703" s="5"/>
      <c r="P1703" s="5"/>
    </row>
    <row r="1704" spans="1:29" x14ac:dyDescent="0.25">
      <c r="A1704" s="4">
        <v>42570</v>
      </c>
      <c r="B1704" t="s">
        <v>30</v>
      </c>
      <c r="C1704">
        <v>202</v>
      </c>
      <c r="D1704">
        <v>3</v>
      </c>
      <c r="E1704">
        <v>2</v>
      </c>
      <c r="F1704" t="s">
        <v>41</v>
      </c>
      <c r="G1704" t="s">
        <v>32</v>
      </c>
      <c r="H1704" t="s">
        <v>33</v>
      </c>
      <c r="I1704" t="s">
        <v>57</v>
      </c>
      <c r="O1704" s="5"/>
      <c r="P1704" s="5"/>
    </row>
    <row r="1705" spans="1:29" x14ac:dyDescent="0.25">
      <c r="A1705" s="4">
        <v>42570</v>
      </c>
      <c r="B1705" t="s">
        <v>30</v>
      </c>
      <c r="C1705">
        <v>202</v>
      </c>
      <c r="D1705">
        <v>5</v>
      </c>
      <c r="E1705">
        <v>1</v>
      </c>
      <c r="F1705" t="s">
        <v>41</v>
      </c>
      <c r="G1705" t="s">
        <v>32</v>
      </c>
      <c r="H1705" t="s">
        <v>33</v>
      </c>
      <c r="I1705" t="s">
        <v>57</v>
      </c>
      <c r="O1705" s="5"/>
      <c r="P1705" s="5"/>
    </row>
    <row r="1706" spans="1:29" x14ac:dyDescent="0.25">
      <c r="A1706" s="4">
        <v>42570</v>
      </c>
      <c r="B1706" t="s">
        <v>30</v>
      </c>
      <c r="C1706">
        <v>202</v>
      </c>
      <c r="D1706">
        <v>5</v>
      </c>
      <c r="E1706">
        <v>2</v>
      </c>
      <c r="F1706" t="s">
        <v>41</v>
      </c>
      <c r="G1706" t="s">
        <v>32</v>
      </c>
      <c r="H1706" t="s">
        <v>33</v>
      </c>
      <c r="I1706" t="s">
        <v>34</v>
      </c>
      <c r="J1706" t="s">
        <v>42</v>
      </c>
      <c r="K1706" t="s">
        <v>114</v>
      </c>
      <c r="L1706" t="s">
        <v>43</v>
      </c>
      <c r="M1706">
        <v>0</v>
      </c>
      <c r="N1706">
        <v>1</v>
      </c>
      <c r="O1706" s="5">
        <v>50788</v>
      </c>
      <c r="P1706" s="5">
        <v>50787</v>
      </c>
      <c r="Q1706">
        <f>28-9.5</f>
        <v>18.5</v>
      </c>
      <c r="R1706" t="s">
        <v>65</v>
      </c>
      <c r="T1706">
        <v>19</v>
      </c>
      <c r="U1706">
        <v>87</v>
      </c>
      <c r="V1706">
        <v>15</v>
      </c>
      <c r="W1706">
        <v>12.8</v>
      </c>
      <c r="X1706">
        <v>26.4</v>
      </c>
      <c r="Z1706" t="s">
        <v>97</v>
      </c>
      <c r="AA1706" t="s">
        <v>199</v>
      </c>
      <c r="AB1706" t="s">
        <v>87</v>
      </c>
      <c r="AC1706" t="s">
        <v>56</v>
      </c>
    </row>
    <row r="1707" spans="1:29" x14ac:dyDescent="0.25">
      <c r="A1707" s="4">
        <v>42570</v>
      </c>
      <c r="B1707" t="s">
        <v>30</v>
      </c>
      <c r="C1707">
        <v>202</v>
      </c>
      <c r="D1707">
        <v>6</v>
      </c>
      <c r="E1707">
        <v>1</v>
      </c>
      <c r="F1707" t="s">
        <v>41</v>
      </c>
      <c r="G1707" t="s">
        <v>32</v>
      </c>
      <c r="H1707" t="s">
        <v>33</v>
      </c>
      <c r="I1707" t="s">
        <v>34</v>
      </c>
      <c r="J1707" t="s">
        <v>35</v>
      </c>
      <c r="K1707" t="s">
        <v>36</v>
      </c>
      <c r="L1707" t="s">
        <v>43</v>
      </c>
      <c r="M1707">
        <v>0</v>
      </c>
      <c r="N1707">
        <v>0</v>
      </c>
      <c r="O1707" s="5">
        <v>50410</v>
      </c>
      <c r="P1707" s="5">
        <v>50412</v>
      </c>
      <c r="Q1707">
        <f>37-14</f>
        <v>23</v>
      </c>
      <c r="R1707" t="s">
        <v>47</v>
      </c>
      <c r="T1707">
        <v>20</v>
      </c>
      <c r="U1707">
        <v>95</v>
      </c>
      <c r="V1707">
        <v>14</v>
      </c>
      <c r="W1707">
        <v>13</v>
      </c>
      <c r="X1707">
        <v>27.2</v>
      </c>
      <c r="Z1707" t="s">
        <v>97</v>
      </c>
      <c r="AA1707" t="s">
        <v>199</v>
      </c>
      <c r="AB1707" t="s">
        <v>87</v>
      </c>
      <c r="AC1707" t="s">
        <v>56</v>
      </c>
    </row>
    <row r="1708" spans="1:29" x14ac:dyDescent="0.25">
      <c r="A1708" s="4">
        <v>42570</v>
      </c>
      <c r="B1708" t="s">
        <v>30</v>
      </c>
      <c r="C1708">
        <v>202</v>
      </c>
      <c r="D1708">
        <v>6</v>
      </c>
      <c r="E1708">
        <v>2</v>
      </c>
      <c r="F1708" t="s">
        <v>41</v>
      </c>
      <c r="G1708" t="s">
        <v>32</v>
      </c>
      <c r="H1708" t="s">
        <v>33</v>
      </c>
      <c r="I1708" t="s">
        <v>34</v>
      </c>
      <c r="J1708" t="s">
        <v>42</v>
      </c>
      <c r="K1708" t="s">
        <v>89</v>
      </c>
      <c r="L1708" t="s">
        <v>43</v>
      </c>
      <c r="M1708">
        <v>0</v>
      </c>
      <c r="N1708">
        <v>1</v>
      </c>
      <c r="O1708" s="5">
        <v>50786</v>
      </c>
      <c r="P1708" s="5">
        <v>50785</v>
      </c>
      <c r="Q1708">
        <f>27.5-16</f>
        <v>11.5</v>
      </c>
      <c r="R1708" t="s">
        <v>65</v>
      </c>
      <c r="T1708">
        <v>19</v>
      </c>
      <c r="V1708">
        <v>14</v>
      </c>
      <c r="W1708">
        <v>12.6</v>
      </c>
      <c r="X1708">
        <v>25.6</v>
      </c>
      <c r="Z1708" t="s">
        <v>97</v>
      </c>
      <c r="AA1708" t="s">
        <v>228</v>
      </c>
      <c r="AB1708" t="s">
        <v>87</v>
      </c>
      <c r="AC1708" t="s">
        <v>56</v>
      </c>
    </row>
    <row r="1709" spans="1:29" x14ac:dyDescent="0.25">
      <c r="A1709" s="4">
        <v>42570</v>
      </c>
      <c r="B1709" t="s">
        <v>30</v>
      </c>
      <c r="C1709">
        <v>304</v>
      </c>
      <c r="D1709">
        <v>1</v>
      </c>
      <c r="E1709">
        <v>1</v>
      </c>
      <c r="F1709" t="s">
        <v>41</v>
      </c>
      <c r="G1709" t="s">
        <v>32</v>
      </c>
      <c r="H1709" t="s">
        <v>33</v>
      </c>
      <c r="I1709" t="s">
        <v>34</v>
      </c>
      <c r="J1709" t="s">
        <v>42</v>
      </c>
      <c r="K1709" t="s">
        <v>36</v>
      </c>
      <c r="L1709" t="s">
        <v>37</v>
      </c>
      <c r="M1709">
        <v>0</v>
      </c>
      <c r="N1709">
        <v>1</v>
      </c>
      <c r="O1709" s="5">
        <v>50784</v>
      </c>
      <c r="P1709" s="5">
        <v>50783</v>
      </c>
      <c r="Q1709">
        <f>35-13.5</f>
        <v>21.5</v>
      </c>
      <c r="R1709" t="s">
        <v>143</v>
      </c>
      <c r="S1709" t="s">
        <v>97</v>
      </c>
      <c r="T1709">
        <v>20</v>
      </c>
      <c r="U1709">
        <v>89</v>
      </c>
      <c r="V1709">
        <v>15</v>
      </c>
      <c r="W1709">
        <v>12.9</v>
      </c>
      <c r="X1709">
        <v>27.5</v>
      </c>
      <c r="Z1709" t="s">
        <v>39</v>
      </c>
      <c r="AB1709" t="s">
        <v>87</v>
      </c>
      <c r="AC1709" t="s">
        <v>56</v>
      </c>
    </row>
    <row r="1710" spans="1:29" x14ac:dyDescent="0.25">
      <c r="A1710" s="4">
        <v>42570</v>
      </c>
      <c r="B1710" t="s">
        <v>30</v>
      </c>
      <c r="C1710">
        <v>304</v>
      </c>
      <c r="D1710">
        <v>2</v>
      </c>
      <c r="E1710">
        <v>1</v>
      </c>
      <c r="F1710" t="s">
        <v>41</v>
      </c>
      <c r="G1710" t="s">
        <v>32</v>
      </c>
      <c r="H1710" t="s">
        <v>33</v>
      </c>
      <c r="I1710" t="s">
        <v>57</v>
      </c>
      <c r="O1710" s="5"/>
      <c r="P1710" s="5"/>
    </row>
    <row r="1711" spans="1:29" x14ac:dyDescent="0.25">
      <c r="A1711" s="4">
        <v>42570</v>
      </c>
      <c r="B1711" t="s">
        <v>30</v>
      </c>
      <c r="C1711">
        <v>304</v>
      </c>
      <c r="D1711">
        <v>2</v>
      </c>
      <c r="E1711">
        <v>2</v>
      </c>
      <c r="F1711" t="s">
        <v>41</v>
      </c>
      <c r="G1711" t="s">
        <v>32</v>
      </c>
      <c r="H1711" t="s">
        <v>33</v>
      </c>
      <c r="I1711" t="s">
        <v>57</v>
      </c>
      <c r="O1711" s="5"/>
      <c r="P1711" s="5"/>
    </row>
    <row r="1712" spans="1:29" x14ac:dyDescent="0.25">
      <c r="A1712" s="4">
        <v>42570</v>
      </c>
      <c r="B1712" t="s">
        <v>30</v>
      </c>
      <c r="C1712">
        <v>304</v>
      </c>
      <c r="D1712">
        <v>3</v>
      </c>
      <c r="E1712">
        <v>1</v>
      </c>
      <c r="F1712" t="s">
        <v>41</v>
      </c>
      <c r="G1712" t="s">
        <v>32</v>
      </c>
      <c r="H1712" t="s">
        <v>33</v>
      </c>
      <c r="I1712" t="s">
        <v>57</v>
      </c>
      <c r="O1712" s="5"/>
      <c r="P1712" s="5"/>
    </row>
    <row r="1713" spans="1:30" x14ac:dyDescent="0.25">
      <c r="A1713" s="4">
        <v>42570</v>
      </c>
      <c r="B1713" t="s">
        <v>30</v>
      </c>
      <c r="C1713">
        <v>304</v>
      </c>
      <c r="D1713">
        <v>3</v>
      </c>
      <c r="E1713">
        <v>2</v>
      </c>
      <c r="F1713" t="s">
        <v>41</v>
      </c>
      <c r="G1713" t="s">
        <v>32</v>
      </c>
      <c r="H1713" t="s">
        <v>33</v>
      </c>
      <c r="I1713" t="s">
        <v>57</v>
      </c>
      <c r="O1713" s="5"/>
      <c r="P1713" s="5"/>
    </row>
    <row r="1714" spans="1:30" x14ac:dyDescent="0.25">
      <c r="A1714" s="4">
        <v>42570</v>
      </c>
      <c r="B1714" t="s">
        <v>30</v>
      </c>
      <c r="C1714">
        <v>304</v>
      </c>
      <c r="D1714">
        <v>4</v>
      </c>
      <c r="E1714">
        <v>1</v>
      </c>
      <c r="F1714" t="s">
        <v>41</v>
      </c>
      <c r="G1714" t="s">
        <v>32</v>
      </c>
      <c r="H1714" t="s">
        <v>33</v>
      </c>
      <c r="I1714" t="s">
        <v>57</v>
      </c>
      <c r="O1714" s="5"/>
      <c r="P1714" s="5"/>
    </row>
    <row r="1715" spans="1:30" x14ac:dyDescent="0.25">
      <c r="A1715" s="4">
        <v>42570</v>
      </c>
      <c r="B1715" t="s">
        <v>30</v>
      </c>
      <c r="C1715">
        <v>304</v>
      </c>
      <c r="D1715">
        <v>4</v>
      </c>
      <c r="E1715">
        <v>2</v>
      </c>
      <c r="F1715" t="s">
        <v>41</v>
      </c>
      <c r="G1715" t="s">
        <v>32</v>
      </c>
      <c r="H1715" t="s">
        <v>33</v>
      </c>
      <c r="I1715" t="s">
        <v>34</v>
      </c>
      <c r="J1715" t="s">
        <v>35</v>
      </c>
      <c r="K1715" t="s">
        <v>114</v>
      </c>
      <c r="L1715" t="s">
        <v>43</v>
      </c>
      <c r="M1715">
        <v>0</v>
      </c>
      <c r="N1715">
        <v>0</v>
      </c>
      <c r="O1715" s="5">
        <v>50560</v>
      </c>
      <c r="P1715" s="5">
        <v>50565</v>
      </c>
      <c r="Q1715">
        <f>29-13.5</f>
        <v>15.5</v>
      </c>
      <c r="R1715" t="s">
        <v>65</v>
      </c>
      <c r="T1715">
        <v>20</v>
      </c>
      <c r="U1715">
        <v>81</v>
      </c>
      <c r="V1715">
        <v>14</v>
      </c>
      <c r="W1715">
        <v>12.8</v>
      </c>
      <c r="X1715" t="s">
        <v>229</v>
      </c>
      <c r="Z1715" t="s">
        <v>39</v>
      </c>
      <c r="AB1715" t="s">
        <v>87</v>
      </c>
      <c r="AC1715" t="s">
        <v>56</v>
      </c>
    </row>
    <row r="1716" spans="1:30" x14ac:dyDescent="0.25">
      <c r="A1716" s="4">
        <v>42570</v>
      </c>
      <c r="B1716" t="s">
        <v>30</v>
      </c>
      <c r="C1716">
        <v>304</v>
      </c>
      <c r="D1716">
        <v>5</v>
      </c>
      <c r="E1716">
        <v>1</v>
      </c>
      <c r="F1716" t="s">
        <v>41</v>
      </c>
      <c r="G1716" t="s">
        <v>32</v>
      </c>
      <c r="H1716" t="s">
        <v>33</v>
      </c>
      <c r="I1716" t="s">
        <v>57</v>
      </c>
      <c r="O1716" s="5"/>
      <c r="P1716" s="5"/>
    </row>
    <row r="1717" spans="1:30" x14ac:dyDescent="0.25">
      <c r="A1717" s="4">
        <v>42570</v>
      </c>
      <c r="B1717" t="s">
        <v>30</v>
      </c>
      <c r="C1717">
        <v>304</v>
      </c>
      <c r="D1717">
        <v>5</v>
      </c>
      <c r="E1717">
        <v>2</v>
      </c>
      <c r="F1717" t="s">
        <v>41</v>
      </c>
      <c r="G1717" t="s">
        <v>32</v>
      </c>
      <c r="H1717" t="s">
        <v>33</v>
      </c>
      <c r="I1717" t="s">
        <v>73</v>
      </c>
      <c r="J1717" t="s">
        <v>42</v>
      </c>
      <c r="K1717" t="s">
        <v>36</v>
      </c>
      <c r="L1717" t="s">
        <v>37</v>
      </c>
      <c r="M1717">
        <v>0</v>
      </c>
      <c r="N1717">
        <v>1</v>
      </c>
      <c r="O1717" s="5">
        <v>50782</v>
      </c>
      <c r="P1717" s="5"/>
      <c r="Q1717">
        <f>130-49</f>
        <v>81</v>
      </c>
      <c r="R1717" t="s">
        <v>63</v>
      </c>
      <c r="S1717" t="s">
        <v>39</v>
      </c>
      <c r="T1717">
        <v>35</v>
      </c>
      <c r="Z1717" t="s">
        <v>39</v>
      </c>
      <c r="AB1717" t="s">
        <v>87</v>
      </c>
      <c r="AC1717" t="s">
        <v>56</v>
      </c>
    </row>
    <row r="1718" spans="1:30" x14ac:dyDescent="0.25">
      <c r="A1718" s="4">
        <v>42570</v>
      </c>
      <c r="B1718" t="s">
        <v>30</v>
      </c>
      <c r="C1718">
        <v>304</v>
      </c>
      <c r="D1718">
        <v>6</v>
      </c>
      <c r="E1718">
        <v>1</v>
      </c>
      <c r="F1718" t="s">
        <v>41</v>
      </c>
      <c r="G1718" t="s">
        <v>32</v>
      </c>
      <c r="H1718" t="s">
        <v>33</v>
      </c>
      <c r="I1718" t="s">
        <v>57</v>
      </c>
      <c r="O1718" s="5"/>
      <c r="P1718" s="5"/>
    </row>
    <row r="1719" spans="1:30" x14ac:dyDescent="0.25">
      <c r="A1719" s="4">
        <v>42570</v>
      </c>
      <c r="B1719" t="s">
        <v>30</v>
      </c>
      <c r="C1719">
        <v>304</v>
      </c>
      <c r="D1719">
        <v>6</v>
      </c>
      <c r="E1719">
        <v>2</v>
      </c>
      <c r="F1719" t="s">
        <v>41</v>
      </c>
      <c r="G1719" t="s">
        <v>32</v>
      </c>
      <c r="H1719" t="s">
        <v>33</v>
      </c>
      <c r="I1719" t="s">
        <v>57</v>
      </c>
      <c r="O1719" s="5"/>
      <c r="P1719" s="5"/>
    </row>
    <row r="1720" spans="1:30" x14ac:dyDescent="0.25">
      <c r="A1720" s="4">
        <v>42570</v>
      </c>
      <c r="B1720" t="s">
        <v>30</v>
      </c>
      <c r="C1720">
        <v>304</v>
      </c>
      <c r="D1720">
        <v>7</v>
      </c>
      <c r="E1720">
        <v>1</v>
      </c>
      <c r="F1720" t="s">
        <v>41</v>
      </c>
      <c r="G1720" t="s">
        <v>32</v>
      </c>
      <c r="H1720" t="s">
        <v>33</v>
      </c>
      <c r="I1720" t="s">
        <v>57</v>
      </c>
      <c r="O1720" s="5"/>
      <c r="P1720" s="5"/>
    </row>
    <row r="1721" spans="1:30" x14ac:dyDescent="0.25">
      <c r="A1721" s="4">
        <v>42570</v>
      </c>
      <c r="B1721" t="s">
        <v>30</v>
      </c>
      <c r="C1721">
        <v>304</v>
      </c>
      <c r="D1721">
        <v>7</v>
      </c>
      <c r="E1721">
        <v>2</v>
      </c>
      <c r="F1721" t="s">
        <v>41</v>
      </c>
      <c r="G1721" t="s">
        <v>32</v>
      </c>
      <c r="H1721" t="s">
        <v>33</v>
      </c>
      <c r="I1721" t="s">
        <v>57</v>
      </c>
      <c r="O1721" s="5"/>
      <c r="P1721" s="5"/>
    </row>
    <row r="1722" spans="1:30" x14ac:dyDescent="0.25">
      <c r="A1722" s="4">
        <v>42570</v>
      </c>
      <c r="B1722" t="s">
        <v>30</v>
      </c>
      <c r="C1722">
        <v>304</v>
      </c>
      <c r="D1722">
        <v>8</v>
      </c>
      <c r="E1722">
        <v>1</v>
      </c>
      <c r="F1722" t="s">
        <v>41</v>
      </c>
      <c r="G1722" t="s">
        <v>32</v>
      </c>
      <c r="H1722" t="s">
        <v>33</v>
      </c>
      <c r="I1722" t="s">
        <v>57</v>
      </c>
      <c r="O1722" s="5"/>
      <c r="P1722" s="5"/>
    </row>
    <row r="1723" spans="1:30" x14ac:dyDescent="0.25">
      <c r="A1723" s="4">
        <v>42570</v>
      </c>
      <c r="B1723" t="s">
        <v>30</v>
      </c>
      <c r="C1723">
        <v>304</v>
      </c>
      <c r="D1723">
        <v>8</v>
      </c>
      <c r="E1723">
        <v>2</v>
      </c>
      <c r="F1723" t="s">
        <v>41</v>
      </c>
      <c r="G1723" t="s">
        <v>32</v>
      </c>
      <c r="H1723" t="s">
        <v>33</v>
      </c>
      <c r="I1723" t="s">
        <v>34</v>
      </c>
      <c r="J1723" t="s">
        <v>35</v>
      </c>
      <c r="K1723" t="s">
        <v>89</v>
      </c>
      <c r="L1723" t="s">
        <v>43</v>
      </c>
      <c r="M1723">
        <v>0</v>
      </c>
      <c r="N1723">
        <v>0</v>
      </c>
      <c r="O1723" s="5">
        <v>50650</v>
      </c>
      <c r="P1723" s="5">
        <v>50649</v>
      </c>
      <c r="Q1723">
        <f>24-9</f>
        <v>15</v>
      </c>
      <c r="R1723" t="s">
        <v>65</v>
      </c>
      <c r="T1723">
        <v>19</v>
      </c>
      <c r="U1723">
        <v>82</v>
      </c>
      <c r="V1723">
        <v>13</v>
      </c>
      <c r="W1723">
        <v>12.8</v>
      </c>
      <c r="X1723">
        <v>26.4</v>
      </c>
      <c r="Z1723" t="s">
        <v>97</v>
      </c>
      <c r="AA1723" t="s">
        <v>199</v>
      </c>
      <c r="AB1723" t="s">
        <v>87</v>
      </c>
      <c r="AC1723" t="s">
        <v>56</v>
      </c>
    </row>
    <row r="1724" spans="1:30" x14ac:dyDescent="0.25">
      <c r="A1724" s="4">
        <v>42570</v>
      </c>
      <c r="B1724" t="s">
        <v>30</v>
      </c>
      <c r="C1724">
        <v>304</v>
      </c>
      <c r="D1724">
        <v>9</v>
      </c>
      <c r="E1724">
        <v>1</v>
      </c>
      <c r="F1724" t="s">
        <v>41</v>
      </c>
      <c r="G1724" t="s">
        <v>32</v>
      </c>
      <c r="H1724" t="s">
        <v>33</v>
      </c>
      <c r="I1724" t="s">
        <v>58</v>
      </c>
      <c r="J1724" t="s">
        <v>42</v>
      </c>
      <c r="K1724" t="s">
        <v>36</v>
      </c>
      <c r="L1724" t="s">
        <v>37</v>
      </c>
      <c r="M1724">
        <v>0</v>
      </c>
      <c r="N1724">
        <v>1</v>
      </c>
      <c r="O1724" s="5">
        <v>50781</v>
      </c>
      <c r="P1724" s="5"/>
      <c r="Q1724">
        <f>40-9</f>
        <v>31</v>
      </c>
      <c r="R1724" t="s">
        <v>143</v>
      </c>
      <c r="S1724" t="s">
        <v>97</v>
      </c>
      <c r="T1724">
        <v>19</v>
      </c>
      <c r="W1724">
        <v>12.9</v>
      </c>
      <c r="X1724">
        <v>28.7</v>
      </c>
      <c r="Z1724" t="s">
        <v>97</v>
      </c>
      <c r="AA1724" t="s">
        <v>230</v>
      </c>
      <c r="AB1724" t="s">
        <v>87</v>
      </c>
      <c r="AC1724" t="s">
        <v>56</v>
      </c>
    </row>
    <row r="1725" spans="1:30" x14ac:dyDescent="0.25">
      <c r="A1725" s="4">
        <v>42570</v>
      </c>
      <c r="B1725" t="s">
        <v>30</v>
      </c>
      <c r="C1725">
        <v>111</v>
      </c>
      <c r="D1725">
        <v>1</v>
      </c>
      <c r="E1725">
        <v>1</v>
      </c>
      <c r="F1725" t="s">
        <v>31</v>
      </c>
      <c r="G1725" t="s">
        <v>32</v>
      </c>
      <c r="H1725" t="s">
        <v>33</v>
      </c>
      <c r="I1725" t="s">
        <v>57</v>
      </c>
      <c r="O1725" s="5"/>
      <c r="P1725" s="5"/>
    </row>
    <row r="1726" spans="1:30" x14ac:dyDescent="0.25">
      <c r="A1726" s="4">
        <v>42570</v>
      </c>
      <c r="B1726" t="s">
        <v>30</v>
      </c>
      <c r="C1726">
        <v>111</v>
      </c>
      <c r="D1726">
        <v>2</v>
      </c>
      <c r="E1726">
        <v>1</v>
      </c>
      <c r="F1726" t="s">
        <v>31</v>
      </c>
      <c r="G1726" t="s">
        <v>32</v>
      </c>
      <c r="H1726" t="s">
        <v>33</v>
      </c>
      <c r="I1726" t="s">
        <v>57</v>
      </c>
      <c r="O1726" s="5"/>
      <c r="P1726" s="5"/>
    </row>
    <row r="1727" spans="1:30" x14ac:dyDescent="0.25">
      <c r="A1727" s="4">
        <v>42570</v>
      </c>
      <c r="B1727" t="s">
        <v>30</v>
      </c>
      <c r="C1727">
        <v>111</v>
      </c>
      <c r="D1727">
        <v>2</v>
      </c>
      <c r="E1727">
        <v>2</v>
      </c>
      <c r="F1727" t="s">
        <v>31</v>
      </c>
      <c r="G1727" t="s">
        <v>32</v>
      </c>
      <c r="H1727" t="s">
        <v>33</v>
      </c>
      <c r="I1727" t="s">
        <v>34</v>
      </c>
      <c r="J1727" t="s">
        <v>35</v>
      </c>
      <c r="K1727" t="s">
        <v>36</v>
      </c>
      <c r="L1727" t="s">
        <v>43</v>
      </c>
      <c r="M1727">
        <v>0</v>
      </c>
      <c r="N1727">
        <v>0</v>
      </c>
      <c r="O1727" s="5">
        <v>50602</v>
      </c>
      <c r="P1727" s="5">
        <v>50601</v>
      </c>
      <c r="Q1727">
        <v>22</v>
      </c>
      <c r="R1727" t="s">
        <v>47</v>
      </c>
      <c r="T1727">
        <v>18</v>
      </c>
      <c r="U1727">
        <v>90.5</v>
      </c>
      <c r="V1727">
        <v>16</v>
      </c>
      <c r="W1727">
        <v>13.3</v>
      </c>
      <c r="X1727">
        <v>27.4</v>
      </c>
      <c r="Z1727" t="s">
        <v>39</v>
      </c>
      <c r="AB1727" t="s">
        <v>231</v>
      </c>
      <c r="AC1727" t="s">
        <v>56</v>
      </c>
    </row>
    <row r="1728" spans="1:30" x14ac:dyDescent="0.25">
      <c r="A1728" s="4">
        <v>42570</v>
      </c>
      <c r="B1728" t="s">
        <v>30</v>
      </c>
      <c r="C1728">
        <v>111</v>
      </c>
      <c r="D1728">
        <v>3</v>
      </c>
      <c r="E1728">
        <v>1</v>
      </c>
      <c r="F1728" t="s">
        <v>31</v>
      </c>
      <c r="G1728" t="s">
        <v>32</v>
      </c>
      <c r="H1728" t="s">
        <v>33</v>
      </c>
      <c r="I1728" t="s">
        <v>34</v>
      </c>
      <c r="J1728" t="s">
        <v>35</v>
      </c>
      <c r="K1728" t="s">
        <v>36</v>
      </c>
      <c r="L1728" t="s">
        <v>43</v>
      </c>
      <c r="M1728">
        <v>0</v>
      </c>
      <c r="N1728">
        <v>0</v>
      </c>
      <c r="O1728" s="5">
        <v>50475</v>
      </c>
      <c r="P1728" s="5">
        <v>50308</v>
      </c>
      <c r="Q1728">
        <v>21</v>
      </c>
      <c r="R1728" t="s">
        <v>47</v>
      </c>
      <c r="T1728">
        <v>16</v>
      </c>
      <c r="U1728">
        <v>85</v>
      </c>
      <c r="V1728">
        <v>16</v>
      </c>
      <c r="W1728">
        <v>13.4</v>
      </c>
      <c r="X1728">
        <v>27</v>
      </c>
      <c r="Z1728" t="s">
        <v>39</v>
      </c>
      <c r="AB1728" t="s">
        <v>231</v>
      </c>
      <c r="AC1728" t="s">
        <v>56</v>
      </c>
      <c r="AD1728" t="s">
        <v>232</v>
      </c>
    </row>
    <row r="1729" spans="1:29" x14ac:dyDescent="0.25">
      <c r="A1729" s="4">
        <v>42570</v>
      </c>
      <c r="B1729" t="s">
        <v>30</v>
      </c>
      <c r="C1729">
        <v>111</v>
      </c>
      <c r="D1729">
        <v>4</v>
      </c>
      <c r="E1729">
        <v>1</v>
      </c>
      <c r="F1729" t="s">
        <v>31</v>
      </c>
      <c r="G1729" t="s">
        <v>32</v>
      </c>
      <c r="H1729" t="s">
        <v>33</v>
      </c>
      <c r="I1729" t="s">
        <v>34</v>
      </c>
      <c r="J1729" t="s">
        <v>35</v>
      </c>
      <c r="K1729" t="s">
        <v>36</v>
      </c>
      <c r="L1729" t="s">
        <v>37</v>
      </c>
      <c r="M1729">
        <v>0</v>
      </c>
      <c r="N1729">
        <v>0</v>
      </c>
      <c r="O1729" s="5">
        <v>50348</v>
      </c>
      <c r="P1729" s="5">
        <v>50347</v>
      </c>
      <c r="Q1729">
        <f>31.5-9</f>
        <v>22.5</v>
      </c>
      <c r="R1729" t="s">
        <v>81</v>
      </c>
      <c r="S1729" t="s">
        <v>39</v>
      </c>
      <c r="T1729">
        <v>17.5</v>
      </c>
      <c r="U1729">
        <v>87</v>
      </c>
      <c r="V1729">
        <v>16</v>
      </c>
      <c r="W1729">
        <v>12.6</v>
      </c>
      <c r="X1729">
        <v>26.2</v>
      </c>
      <c r="Z1729" t="s">
        <v>39</v>
      </c>
      <c r="AB1729" t="s">
        <v>231</v>
      </c>
      <c r="AC1729" t="s">
        <v>56</v>
      </c>
    </row>
    <row r="1730" spans="1:29" x14ac:dyDescent="0.25">
      <c r="A1730" s="4">
        <v>42570</v>
      </c>
      <c r="B1730" t="s">
        <v>30</v>
      </c>
      <c r="C1730">
        <v>111</v>
      </c>
      <c r="D1730">
        <v>5</v>
      </c>
      <c r="E1730">
        <v>1</v>
      </c>
      <c r="F1730" t="s">
        <v>31</v>
      </c>
      <c r="G1730" t="s">
        <v>32</v>
      </c>
      <c r="H1730" t="s">
        <v>33</v>
      </c>
      <c r="I1730" t="s">
        <v>57</v>
      </c>
      <c r="O1730" s="5"/>
      <c r="P1730" s="5"/>
    </row>
    <row r="1731" spans="1:29" x14ac:dyDescent="0.25">
      <c r="A1731" s="4">
        <v>42570</v>
      </c>
      <c r="B1731" t="s">
        <v>30</v>
      </c>
      <c r="C1731">
        <v>111</v>
      </c>
      <c r="D1731">
        <v>7</v>
      </c>
      <c r="E1731">
        <v>1</v>
      </c>
      <c r="F1731" t="s">
        <v>31</v>
      </c>
      <c r="G1731" t="s">
        <v>32</v>
      </c>
      <c r="H1731" t="s">
        <v>33</v>
      </c>
      <c r="I1731" t="s">
        <v>57</v>
      </c>
      <c r="O1731" s="5"/>
      <c r="P1731" s="5"/>
    </row>
    <row r="1732" spans="1:29" x14ac:dyDescent="0.25">
      <c r="A1732" s="4">
        <v>42570</v>
      </c>
      <c r="B1732" t="s">
        <v>30</v>
      </c>
      <c r="C1732">
        <v>111</v>
      </c>
      <c r="D1732">
        <v>7</v>
      </c>
      <c r="E1732">
        <v>2</v>
      </c>
      <c r="F1732" t="s">
        <v>31</v>
      </c>
      <c r="G1732" t="s">
        <v>32</v>
      </c>
      <c r="H1732" t="s">
        <v>33</v>
      </c>
      <c r="I1732" t="s">
        <v>57</v>
      </c>
      <c r="O1732" s="5"/>
      <c r="P1732" s="5"/>
    </row>
    <row r="1733" spans="1:29" x14ac:dyDescent="0.25">
      <c r="A1733" s="4">
        <v>42570</v>
      </c>
      <c r="B1733" t="s">
        <v>30</v>
      </c>
      <c r="C1733">
        <v>111</v>
      </c>
      <c r="D1733">
        <v>8</v>
      </c>
      <c r="E1733">
        <v>1</v>
      </c>
      <c r="F1733" t="s">
        <v>31</v>
      </c>
      <c r="G1733" t="s">
        <v>32</v>
      </c>
      <c r="H1733" t="s">
        <v>33</v>
      </c>
      <c r="I1733" t="s">
        <v>34</v>
      </c>
      <c r="J1733" t="s">
        <v>35</v>
      </c>
      <c r="K1733" t="s">
        <v>114</v>
      </c>
      <c r="L1733" t="s">
        <v>43</v>
      </c>
      <c r="M1733">
        <v>0</v>
      </c>
      <c r="N1733">
        <v>0</v>
      </c>
      <c r="O1733" s="5">
        <v>50530</v>
      </c>
      <c r="P1733" s="5">
        <v>50529</v>
      </c>
      <c r="Q1733">
        <v>18</v>
      </c>
      <c r="R1733" t="s">
        <v>65</v>
      </c>
      <c r="T1733">
        <v>19</v>
      </c>
      <c r="V1733">
        <v>18</v>
      </c>
      <c r="W1733">
        <v>12.9</v>
      </c>
      <c r="X1733">
        <v>27.7</v>
      </c>
      <c r="Z1733" t="s">
        <v>39</v>
      </c>
      <c r="AB1733" t="s">
        <v>233</v>
      </c>
      <c r="AC1733" t="s">
        <v>56</v>
      </c>
    </row>
    <row r="1734" spans="1:29" x14ac:dyDescent="0.25">
      <c r="A1734" s="4">
        <v>42570</v>
      </c>
      <c r="B1734" t="s">
        <v>30</v>
      </c>
      <c r="C1734">
        <v>111</v>
      </c>
      <c r="D1734">
        <v>9</v>
      </c>
      <c r="E1734">
        <v>1</v>
      </c>
      <c r="F1734" t="s">
        <v>31</v>
      </c>
      <c r="G1734" t="s">
        <v>32</v>
      </c>
      <c r="H1734" t="s">
        <v>33</v>
      </c>
      <c r="I1734" t="s">
        <v>57</v>
      </c>
      <c r="O1734" s="5"/>
      <c r="P1734" s="5"/>
    </row>
    <row r="1735" spans="1:29" x14ac:dyDescent="0.25">
      <c r="A1735" s="4">
        <v>42570</v>
      </c>
      <c r="B1735" t="s">
        <v>30</v>
      </c>
      <c r="C1735">
        <v>111</v>
      </c>
      <c r="D1735">
        <v>9</v>
      </c>
      <c r="E1735">
        <v>2</v>
      </c>
      <c r="F1735" t="s">
        <v>31</v>
      </c>
      <c r="G1735" t="s">
        <v>32</v>
      </c>
      <c r="H1735" t="s">
        <v>33</v>
      </c>
      <c r="I1735" t="s">
        <v>57</v>
      </c>
      <c r="O1735" s="5"/>
      <c r="P1735" s="5"/>
    </row>
    <row r="1736" spans="1:29" x14ac:dyDescent="0.25">
      <c r="A1736" s="4">
        <v>42570</v>
      </c>
      <c r="B1736" t="s">
        <v>30</v>
      </c>
      <c r="C1736">
        <v>111</v>
      </c>
      <c r="D1736">
        <v>10</v>
      </c>
      <c r="E1736">
        <v>1</v>
      </c>
      <c r="F1736" t="s">
        <v>31</v>
      </c>
      <c r="G1736" t="s">
        <v>32</v>
      </c>
      <c r="H1736" t="s">
        <v>33</v>
      </c>
      <c r="I1736" t="s">
        <v>57</v>
      </c>
      <c r="O1736" s="5"/>
      <c r="P1736" s="5"/>
    </row>
    <row r="1737" spans="1:29" x14ac:dyDescent="0.25">
      <c r="A1737" s="4">
        <v>42570</v>
      </c>
      <c r="B1737" t="s">
        <v>30</v>
      </c>
      <c r="C1737">
        <v>112</v>
      </c>
      <c r="D1737">
        <v>1</v>
      </c>
      <c r="E1737">
        <v>1</v>
      </c>
      <c r="F1737" t="s">
        <v>31</v>
      </c>
      <c r="G1737" t="s">
        <v>32</v>
      </c>
      <c r="H1737" t="s">
        <v>33</v>
      </c>
      <c r="I1737" t="s">
        <v>57</v>
      </c>
      <c r="O1737" s="5"/>
      <c r="P1737" s="5"/>
    </row>
    <row r="1738" spans="1:29" x14ac:dyDescent="0.25">
      <c r="A1738" s="4">
        <v>42570</v>
      </c>
      <c r="B1738" t="s">
        <v>30</v>
      </c>
      <c r="C1738">
        <v>112</v>
      </c>
      <c r="D1738">
        <v>1</v>
      </c>
      <c r="E1738">
        <v>2</v>
      </c>
      <c r="F1738" t="s">
        <v>31</v>
      </c>
      <c r="G1738" t="s">
        <v>32</v>
      </c>
      <c r="H1738" t="s">
        <v>33</v>
      </c>
      <c r="I1738" t="s">
        <v>57</v>
      </c>
      <c r="O1738" s="5"/>
      <c r="P1738" s="5"/>
    </row>
    <row r="1739" spans="1:29" x14ac:dyDescent="0.25">
      <c r="A1739" s="4">
        <v>42570</v>
      </c>
      <c r="B1739" t="s">
        <v>30</v>
      </c>
      <c r="C1739">
        <v>112</v>
      </c>
      <c r="D1739">
        <v>2</v>
      </c>
      <c r="E1739">
        <v>1</v>
      </c>
      <c r="F1739" t="s">
        <v>31</v>
      </c>
      <c r="G1739" t="s">
        <v>32</v>
      </c>
      <c r="H1739" t="s">
        <v>33</v>
      </c>
      <c r="I1739" t="s">
        <v>57</v>
      </c>
      <c r="O1739" s="5"/>
      <c r="P1739" s="5"/>
    </row>
    <row r="1740" spans="1:29" x14ac:dyDescent="0.25">
      <c r="A1740" s="4">
        <v>42570</v>
      </c>
      <c r="B1740" t="s">
        <v>30</v>
      </c>
      <c r="C1740">
        <v>112</v>
      </c>
      <c r="D1740">
        <v>2</v>
      </c>
      <c r="E1740">
        <v>2</v>
      </c>
      <c r="F1740" t="s">
        <v>31</v>
      </c>
      <c r="G1740" t="s">
        <v>32</v>
      </c>
      <c r="H1740" t="s">
        <v>33</v>
      </c>
      <c r="I1740" t="s">
        <v>57</v>
      </c>
      <c r="O1740" s="5"/>
      <c r="P1740" s="5"/>
    </row>
    <row r="1741" spans="1:29" x14ac:dyDescent="0.25">
      <c r="A1741" s="4">
        <v>42570</v>
      </c>
      <c r="B1741" t="s">
        <v>30</v>
      </c>
      <c r="C1741">
        <v>112</v>
      </c>
      <c r="D1741">
        <v>3</v>
      </c>
      <c r="E1741">
        <v>1</v>
      </c>
      <c r="F1741" t="s">
        <v>31</v>
      </c>
      <c r="G1741" t="s">
        <v>32</v>
      </c>
      <c r="H1741" t="s">
        <v>33</v>
      </c>
      <c r="I1741" t="s">
        <v>57</v>
      </c>
      <c r="O1741" s="5"/>
      <c r="P1741" s="5"/>
    </row>
    <row r="1742" spans="1:29" x14ac:dyDescent="0.25">
      <c r="A1742" s="4">
        <v>42570</v>
      </c>
      <c r="B1742" t="s">
        <v>30</v>
      </c>
      <c r="C1742">
        <v>112</v>
      </c>
      <c r="D1742">
        <v>3</v>
      </c>
      <c r="E1742">
        <v>2</v>
      </c>
      <c r="F1742" t="s">
        <v>31</v>
      </c>
      <c r="G1742" t="s">
        <v>32</v>
      </c>
      <c r="H1742" t="s">
        <v>33</v>
      </c>
      <c r="I1742" t="s">
        <v>57</v>
      </c>
      <c r="O1742" s="5"/>
      <c r="P1742" s="5"/>
    </row>
    <row r="1743" spans="1:29" x14ac:dyDescent="0.25">
      <c r="A1743" s="4">
        <v>42570</v>
      </c>
      <c r="B1743" t="s">
        <v>30</v>
      </c>
      <c r="C1743">
        <v>112</v>
      </c>
      <c r="D1743">
        <v>4</v>
      </c>
      <c r="E1743">
        <v>1</v>
      </c>
      <c r="F1743" t="s">
        <v>31</v>
      </c>
      <c r="G1743" t="s">
        <v>32</v>
      </c>
      <c r="H1743" t="s">
        <v>33</v>
      </c>
      <c r="I1743" t="s">
        <v>57</v>
      </c>
      <c r="O1743" s="5"/>
      <c r="P1743" s="5"/>
    </row>
    <row r="1744" spans="1:29" x14ac:dyDescent="0.25">
      <c r="A1744" s="4">
        <v>42570</v>
      </c>
      <c r="B1744" t="s">
        <v>30</v>
      </c>
      <c r="C1744">
        <v>112</v>
      </c>
      <c r="D1744">
        <v>4</v>
      </c>
      <c r="E1744">
        <v>2</v>
      </c>
      <c r="F1744" t="s">
        <v>31</v>
      </c>
      <c r="G1744" t="s">
        <v>32</v>
      </c>
      <c r="H1744" t="s">
        <v>33</v>
      </c>
      <c r="I1744" t="s">
        <v>53</v>
      </c>
      <c r="J1744" t="s">
        <v>62</v>
      </c>
      <c r="O1744" s="5"/>
      <c r="P1744" s="5"/>
    </row>
    <row r="1745" spans="1:29" x14ac:dyDescent="0.25">
      <c r="A1745" s="4">
        <v>42570</v>
      </c>
      <c r="B1745" t="s">
        <v>30</v>
      </c>
      <c r="C1745">
        <v>112</v>
      </c>
      <c r="D1745">
        <v>5</v>
      </c>
      <c r="E1745">
        <v>1</v>
      </c>
      <c r="F1745" t="s">
        <v>31</v>
      </c>
      <c r="G1745" t="s">
        <v>32</v>
      </c>
      <c r="H1745" t="s">
        <v>33</v>
      </c>
      <c r="I1745" t="s">
        <v>57</v>
      </c>
      <c r="O1745" s="5"/>
      <c r="P1745" s="5"/>
    </row>
    <row r="1746" spans="1:29" x14ac:dyDescent="0.25">
      <c r="A1746" s="4">
        <v>42570</v>
      </c>
      <c r="B1746" t="s">
        <v>30</v>
      </c>
      <c r="C1746">
        <v>112</v>
      </c>
      <c r="D1746">
        <v>5</v>
      </c>
      <c r="E1746">
        <v>2</v>
      </c>
      <c r="F1746" t="s">
        <v>31</v>
      </c>
      <c r="G1746" t="s">
        <v>32</v>
      </c>
      <c r="H1746" t="s">
        <v>33</v>
      </c>
      <c r="I1746" t="s">
        <v>57</v>
      </c>
      <c r="O1746" s="5"/>
      <c r="P1746" s="5"/>
    </row>
    <row r="1747" spans="1:29" x14ac:dyDescent="0.25">
      <c r="A1747" s="4">
        <v>42570</v>
      </c>
      <c r="B1747" t="s">
        <v>30</v>
      </c>
      <c r="C1747">
        <v>112</v>
      </c>
      <c r="D1747">
        <v>6</v>
      </c>
      <c r="E1747">
        <v>1</v>
      </c>
      <c r="F1747" t="s">
        <v>31</v>
      </c>
      <c r="G1747" t="s">
        <v>32</v>
      </c>
      <c r="H1747" t="s">
        <v>33</v>
      </c>
      <c r="I1747" t="s">
        <v>57</v>
      </c>
      <c r="O1747" s="5"/>
      <c r="P1747" s="5"/>
    </row>
    <row r="1748" spans="1:29" x14ac:dyDescent="0.25">
      <c r="A1748" s="4">
        <v>42570</v>
      </c>
      <c r="B1748" t="s">
        <v>30</v>
      </c>
      <c r="C1748">
        <v>112</v>
      </c>
      <c r="D1748">
        <v>6</v>
      </c>
      <c r="E1748">
        <v>2</v>
      </c>
      <c r="F1748" t="s">
        <v>31</v>
      </c>
      <c r="G1748" t="s">
        <v>32</v>
      </c>
      <c r="H1748" t="s">
        <v>33</v>
      </c>
      <c r="I1748" t="s">
        <v>34</v>
      </c>
      <c r="J1748" t="s">
        <v>42</v>
      </c>
      <c r="K1748" t="s">
        <v>114</v>
      </c>
      <c r="L1748" t="s">
        <v>37</v>
      </c>
      <c r="M1748">
        <v>0</v>
      </c>
      <c r="N1748">
        <v>1</v>
      </c>
      <c r="O1748" s="5">
        <v>50709</v>
      </c>
      <c r="P1748" s="5">
        <v>50708</v>
      </c>
      <c r="Q1748">
        <f>28-11.5</f>
        <v>16.5</v>
      </c>
      <c r="R1748" t="s">
        <v>38</v>
      </c>
      <c r="S1748" t="s">
        <v>39</v>
      </c>
      <c r="T1748">
        <v>17</v>
      </c>
      <c r="U1748">
        <v>85</v>
      </c>
      <c r="V1748">
        <v>17</v>
      </c>
      <c r="W1748">
        <v>13.2</v>
      </c>
      <c r="X1748">
        <v>28.7</v>
      </c>
      <c r="Z1748" t="s">
        <v>39</v>
      </c>
      <c r="AB1748" t="s">
        <v>233</v>
      </c>
      <c r="AC1748" t="s">
        <v>56</v>
      </c>
    </row>
    <row r="1749" spans="1:29" x14ac:dyDescent="0.25">
      <c r="A1749" s="4">
        <v>42570</v>
      </c>
      <c r="B1749" t="s">
        <v>30</v>
      </c>
      <c r="C1749">
        <v>112</v>
      </c>
      <c r="D1749">
        <v>7</v>
      </c>
      <c r="E1749">
        <v>1</v>
      </c>
      <c r="F1749" t="s">
        <v>31</v>
      </c>
      <c r="G1749" t="s">
        <v>32</v>
      </c>
      <c r="H1749" t="s">
        <v>33</v>
      </c>
      <c r="I1749" t="s">
        <v>34</v>
      </c>
      <c r="J1749" t="s">
        <v>35</v>
      </c>
      <c r="K1749" t="s">
        <v>36</v>
      </c>
      <c r="L1749" t="s">
        <v>43</v>
      </c>
      <c r="M1749">
        <v>0</v>
      </c>
      <c r="N1749">
        <v>0</v>
      </c>
      <c r="O1749" s="5">
        <v>50497</v>
      </c>
      <c r="P1749" s="5">
        <v>50496</v>
      </c>
      <c r="Q1749">
        <f>31.5-11.5</f>
        <v>20</v>
      </c>
      <c r="R1749" t="s">
        <v>47</v>
      </c>
      <c r="T1749">
        <v>19</v>
      </c>
      <c r="U1749">
        <v>75</v>
      </c>
      <c r="V1749">
        <v>15.5</v>
      </c>
      <c r="W1749">
        <v>13</v>
      </c>
      <c r="X1749">
        <v>26.75</v>
      </c>
      <c r="Z1749" t="s">
        <v>39</v>
      </c>
      <c r="AB1749" t="s">
        <v>233</v>
      </c>
      <c r="AC1749" t="s">
        <v>56</v>
      </c>
    </row>
    <row r="1750" spans="1:29" x14ac:dyDescent="0.25">
      <c r="A1750" s="4">
        <v>42570</v>
      </c>
      <c r="B1750" t="s">
        <v>30</v>
      </c>
      <c r="C1750">
        <v>112</v>
      </c>
      <c r="D1750">
        <v>7</v>
      </c>
      <c r="E1750">
        <v>2</v>
      </c>
      <c r="F1750" t="s">
        <v>31</v>
      </c>
      <c r="G1750" t="s">
        <v>32</v>
      </c>
      <c r="H1750" t="s">
        <v>33</v>
      </c>
      <c r="I1750" t="s">
        <v>53</v>
      </c>
      <c r="J1750" t="s">
        <v>62</v>
      </c>
      <c r="O1750" s="5"/>
      <c r="P1750" s="5"/>
    </row>
    <row r="1751" spans="1:29" x14ac:dyDescent="0.25">
      <c r="A1751" s="4">
        <v>42570</v>
      </c>
      <c r="B1751" t="s">
        <v>30</v>
      </c>
      <c r="C1751">
        <v>112</v>
      </c>
      <c r="D1751">
        <v>8</v>
      </c>
      <c r="E1751">
        <v>1</v>
      </c>
      <c r="F1751" t="s">
        <v>31</v>
      </c>
      <c r="G1751" t="s">
        <v>32</v>
      </c>
      <c r="H1751" t="s">
        <v>33</v>
      </c>
      <c r="I1751" t="s">
        <v>57</v>
      </c>
      <c r="O1751" s="5"/>
      <c r="P1751" s="5"/>
    </row>
    <row r="1752" spans="1:29" x14ac:dyDescent="0.25">
      <c r="A1752" s="4">
        <v>42570</v>
      </c>
      <c r="B1752" t="s">
        <v>30</v>
      </c>
      <c r="C1752">
        <v>112</v>
      </c>
      <c r="D1752">
        <v>8</v>
      </c>
      <c r="E1752">
        <v>2</v>
      </c>
      <c r="F1752" t="s">
        <v>31</v>
      </c>
      <c r="G1752" t="s">
        <v>32</v>
      </c>
      <c r="H1752" t="s">
        <v>33</v>
      </c>
      <c r="I1752" t="s">
        <v>58</v>
      </c>
      <c r="J1752" t="s">
        <v>42</v>
      </c>
      <c r="K1752" t="s">
        <v>36</v>
      </c>
      <c r="L1752" t="s">
        <v>37</v>
      </c>
      <c r="M1752">
        <v>0</v>
      </c>
      <c r="N1752">
        <v>1</v>
      </c>
      <c r="O1752" s="5">
        <v>50710</v>
      </c>
      <c r="P1752" s="5"/>
      <c r="Q1752">
        <f>47-9.5</f>
        <v>37.5</v>
      </c>
      <c r="R1752" t="s">
        <v>81</v>
      </c>
      <c r="S1752" t="s">
        <v>39</v>
      </c>
      <c r="T1752">
        <v>18</v>
      </c>
      <c r="W1752">
        <v>13.7</v>
      </c>
      <c r="X1752">
        <v>26.3</v>
      </c>
      <c r="Z1752" t="s">
        <v>39</v>
      </c>
      <c r="AB1752" t="s">
        <v>233</v>
      </c>
      <c r="AC1752" t="s">
        <v>56</v>
      </c>
    </row>
    <row r="1753" spans="1:29" x14ac:dyDescent="0.25">
      <c r="A1753" s="4">
        <v>42570</v>
      </c>
      <c r="B1753" t="s">
        <v>30</v>
      </c>
      <c r="C1753">
        <v>112</v>
      </c>
      <c r="D1753">
        <v>9</v>
      </c>
      <c r="E1753">
        <v>1</v>
      </c>
      <c r="F1753" t="s">
        <v>31</v>
      </c>
      <c r="G1753" t="s">
        <v>32</v>
      </c>
      <c r="H1753" t="s">
        <v>33</v>
      </c>
      <c r="I1753" t="s">
        <v>57</v>
      </c>
      <c r="O1753" s="5"/>
      <c r="P1753" s="5"/>
    </row>
    <row r="1754" spans="1:29" x14ac:dyDescent="0.25">
      <c r="A1754" s="4">
        <v>42570</v>
      </c>
      <c r="B1754" t="s">
        <v>30</v>
      </c>
      <c r="C1754">
        <v>112</v>
      </c>
      <c r="D1754">
        <v>9</v>
      </c>
      <c r="E1754">
        <v>2</v>
      </c>
      <c r="F1754" t="s">
        <v>31</v>
      </c>
      <c r="G1754" t="s">
        <v>32</v>
      </c>
      <c r="H1754" t="s">
        <v>33</v>
      </c>
      <c r="I1754" t="s">
        <v>57</v>
      </c>
      <c r="O1754" s="5"/>
      <c r="P1754" s="5"/>
    </row>
    <row r="1755" spans="1:29" x14ac:dyDescent="0.25">
      <c r="A1755" s="4">
        <v>42570</v>
      </c>
      <c r="B1755" t="s">
        <v>30</v>
      </c>
      <c r="C1755">
        <v>112</v>
      </c>
      <c r="D1755">
        <v>10</v>
      </c>
      <c r="E1755">
        <v>1</v>
      </c>
      <c r="F1755" t="s">
        <v>31</v>
      </c>
      <c r="G1755" t="s">
        <v>32</v>
      </c>
      <c r="H1755" t="s">
        <v>33</v>
      </c>
      <c r="I1755" t="s">
        <v>57</v>
      </c>
      <c r="O1755" s="5"/>
      <c r="P1755" s="5"/>
    </row>
    <row r="1756" spans="1:29" x14ac:dyDescent="0.25">
      <c r="A1756" s="4">
        <v>42570</v>
      </c>
      <c r="B1756" t="s">
        <v>30</v>
      </c>
      <c r="C1756">
        <v>112</v>
      </c>
      <c r="D1756">
        <v>10</v>
      </c>
      <c r="E1756">
        <v>2</v>
      </c>
      <c r="F1756" t="s">
        <v>31</v>
      </c>
      <c r="G1756" t="s">
        <v>32</v>
      </c>
      <c r="H1756" t="s">
        <v>33</v>
      </c>
      <c r="I1756" t="s">
        <v>34</v>
      </c>
      <c r="J1756" t="s">
        <v>35</v>
      </c>
      <c r="K1756" t="s">
        <v>36</v>
      </c>
      <c r="L1756" t="s">
        <v>43</v>
      </c>
      <c r="M1756">
        <v>0</v>
      </c>
      <c r="N1756">
        <v>0</v>
      </c>
      <c r="O1756" s="5">
        <v>50595</v>
      </c>
      <c r="P1756" s="5">
        <v>50594</v>
      </c>
      <c r="Q1756">
        <v>22</v>
      </c>
      <c r="R1756" t="s">
        <v>47</v>
      </c>
      <c r="T1756">
        <v>19</v>
      </c>
      <c r="U1756">
        <v>82</v>
      </c>
      <c r="V1756">
        <v>13</v>
      </c>
      <c r="Z1756" t="s">
        <v>39</v>
      </c>
      <c r="AB1756" t="s">
        <v>233</v>
      </c>
      <c r="AC1756" t="s">
        <v>56</v>
      </c>
    </row>
    <row r="1757" spans="1:29" x14ac:dyDescent="0.25">
      <c r="A1757" s="4">
        <v>42570</v>
      </c>
      <c r="B1757" t="s">
        <v>30</v>
      </c>
      <c r="C1757">
        <v>113</v>
      </c>
      <c r="D1757">
        <v>1</v>
      </c>
      <c r="E1757">
        <v>1</v>
      </c>
      <c r="F1757" t="s">
        <v>31</v>
      </c>
      <c r="G1757" t="s">
        <v>32</v>
      </c>
      <c r="H1757" t="s">
        <v>33</v>
      </c>
      <c r="I1757" t="s">
        <v>91</v>
      </c>
      <c r="J1757" t="s">
        <v>35</v>
      </c>
      <c r="K1757" t="s">
        <v>36</v>
      </c>
      <c r="L1757" t="s">
        <v>43</v>
      </c>
      <c r="M1757">
        <v>0</v>
      </c>
      <c r="N1757">
        <v>0</v>
      </c>
      <c r="O1757" s="5"/>
      <c r="P1757" s="5" t="s">
        <v>234</v>
      </c>
      <c r="Q1757">
        <v>20</v>
      </c>
      <c r="R1757" t="s">
        <v>47</v>
      </c>
      <c r="T1757">
        <v>29.5</v>
      </c>
      <c r="W1757">
        <v>12.5</v>
      </c>
      <c r="X1757">
        <v>26.5</v>
      </c>
      <c r="Z1757" t="s">
        <v>39</v>
      </c>
      <c r="AB1757" t="s">
        <v>233</v>
      </c>
      <c r="AC1757" t="s">
        <v>56</v>
      </c>
    </row>
    <row r="1758" spans="1:29" x14ac:dyDescent="0.25">
      <c r="A1758" s="4">
        <v>42570</v>
      </c>
      <c r="B1758" t="s">
        <v>30</v>
      </c>
      <c r="C1758">
        <v>113</v>
      </c>
      <c r="D1758">
        <v>1</v>
      </c>
      <c r="E1758">
        <v>2</v>
      </c>
      <c r="F1758" t="s">
        <v>31</v>
      </c>
      <c r="G1758" t="s">
        <v>32</v>
      </c>
      <c r="H1758" t="s">
        <v>33</v>
      </c>
      <c r="I1758" t="s">
        <v>34</v>
      </c>
      <c r="J1758" t="s">
        <v>42</v>
      </c>
      <c r="K1758" t="s">
        <v>114</v>
      </c>
      <c r="L1758" t="s">
        <v>37</v>
      </c>
      <c r="M1758">
        <v>0</v>
      </c>
      <c r="N1758">
        <v>1</v>
      </c>
      <c r="O1758" s="5">
        <v>50712</v>
      </c>
      <c r="P1758" s="5">
        <v>50711</v>
      </c>
      <c r="Q1758">
        <v>18</v>
      </c>
      <c r="R1758" t="s">
        <v>38</v>
      </c>
      <c r="S1758" t="s">
        <v>39</v>
      </c>
      <c r="T1758">
        <v>18</v>
      </c>
      <c r="U1758">
        <v>89</v>
      </c>
      <c r="V1758">
        <v>14</v>
      </c>
      <c r="W1758">
        <v>12.7</v>
      </c>
      <c r="X1758">
        <v>27.9</v>
      </c>
      <c r="Z1758" t="s">
        <v>39</v>
      </c>
      <c r="AB1758" t="s">
        <v>233</v>
      </c>
      <c r="AC1758" t="s">
        <v>56</v>
      </c>
    </row>
    <row r="1759" spans="1:29" x14ac:dyDescent="0.25">
      <c r="A1759" s="4">
        <v>42570</v>
      </c>
      <c r="B1759" t="s">
        <v>30</v>
      </c>
      <c r="C1759">
        <v>113</v>
      </c>
      <c r="D1759">
        <v>5</v>
      </c>
      <c r="E1759">
        <v>1</v>
      </c>
      <c r="F1759" t="s">
        <v>31</v>
      </c>
      <c r="G1759" t="s">
        <v>32</v>
      </c>
      <c r="H1759" t="s">
        <v>33</v>
      </c>
      <c r="I1759" t="s">
        <v>70</v>
      </c>
      <c r="J1759" t="s">
        <v>123</v>
      </c>
      <c r="O1759" s="5"/>
      <c r="P1759" s="5"/>
    </row>
    <row r="1760" spans="1:29" x14ac:dyDescent="0.25">
      <c r="A1760" s="4">
        <v>42570</v>
      </c>
      <c r="B1760" t="s">
        <v>30</v>
      </c>
      <c r="C1760">
        <v>113</v>
      </c>
      <c r="D1760">
        <v>7</v>
      </c>
      <c r="E1760">
        <v>1</v>
      </c>
      <c r="F1760" t="s">
        <v>31</v>
      </c>
      <c r="G1760" t="s">
        <v>32</v>
      </c>
      <c r="H1760" t="s">
        <v>33</v>
      </c>
      <c r="I1760" t="s">
        <v>73</v>
      </c>
      <c r="J1760" t="s">
        <v>122</v>
      </c>
      <c r="O1760" s="5"/>
      <c r="P1760" s="5"/>
    </row>
    <row r="1761" spans="1:29" x14ac:dyDescent="0.25">
      <c r="A1761" s="4">
        <v>42570</v>
      </c>
      <c r="B1761" t="s">
        <v>30</v>
      </c>
      <c r="C1761">
        <v>113</v>
      </c>
      <c r="D1761">
        <v>7</v>
      </c>
      <c r="E1761">
        <v>2</v>
      </c>
      <c r="F1761" t="s">
        <v>31</v>
      </c>
      <c r="G1761" t="s">
        <v>32</v>
      </c>
      <c r="H1761" t="s">
        <v>33</v>
      </c>
      <c r="I1761" t="s">
        <v>34</v>
      </c>
      <c r="J1761" t="s">
        <v>35</v>
      </c>
      <c r="K1761" t="s">
        <v>36</v>
      </c>
      <c r="L1761" t="s">
        <v>37</v>
      </c>
      <c r="M1761">
        <v>0</v>
      </c>
      <c r="N1761">
        <v>0</v>
      </c>
      <c r="O1761" s="5">
        <v>50520</v>
      </c>
      <c r="P1761" s="5">
        <v>50519</v>
      </c>
      <c r="Q1761">
        <v>22</v>
      </c>
      <c r="R1761" t="s">
        <v>143</v>
      </c>
      <c r="S1761" t="s">
        <v>97</v>
      </c>
      <c r="T1761">
        <v>18</v>
      </c>
      <c r="U1761">
        <v>83</v>
      </c>
      <c r="V1761">
        <v>15</v>
      </c>
      <c r="W1761">
        <v>12.2</v>
      </c>
      <c r="X1761">
        <v>28</v>
      </c>
      <c r="Z1761" t="s">
        <v>39</v>
      </c>
      <c r="AB1761" t="s">
        <v>233</v>
      </c>
      <c r="AC1761" t="s">
        <v>56</v>
      </c>
    </row>
    <row r="1762" spans="1:29" x14ac:dyDescent="0.25">
      <c r="A1762" s="4">
        <v>42570</v>
      </c>
      <c r="B1762" t="s">
        <v>30</v>
      </c>
      <c r="C1762">
        <v>113</v>
      </c>
      <c r="D1762">
        <v>8</v>
      </c>
      <c r="E1762">
        <v>1</v>
      </c>
      <c r="F1762" t="s">
        <v>31</v>
      </c>
      <c r="G1762" t="s">
        <v>32</v>
      </c>
      <c r="H1762" t="s">
        <v>33</v>
      </c>
      <c r="I1762" t="s">
        <v>57</v>
      </c>
      <c r="O1762" s="5"/>
      <c r="P1762" s="5"/>
    </row>
    <row r="1763" spans="1:29" x14ac:dyDescent="0.25">
      <c r="A1763" s="4">
        <v>42570</v>
      </c>
      <c r="B1763" t="s">
        <v>30</v>
      </c>
      <c r="C1763">
        <v>113</v>
      </c>
      <c r="D1763">
        <v>8</v>
      </c>
      <c r="E1763">
        <v>2</v>
      </c>
      <c r="F1763" t="s">
        <v>31</v>
      </c>
      <c r="G1763" t="s">
        <v>32</v>
      </c>
      <c r="H1763" t="s">
        <v>33</v>
      </c>
      <c r="I1763" t="s">
        <v>34</v>
      </c>
      <c r="J1763" t="s">
        <v>42</v>
      </c>
      <c r="K1763" t="s">
        <v>114</v>
      </c>
      <c r="L1763" t="s">
        <v>43</v>
      </c>
      <c r="M1763">
        <v>0</v>
      </c>
      <c r="N1763">
        <v>1</v>
      </c>
      <c r="O1763" s="5">
        <v>50716</v>
      </c>
      <c r="P1763" s="5">
        <v>50715</v>
      </c>
      <c r="Q1763">
        <f>30-12</f>
        <v>18</v>
      </c>
      <c r="R1763" t="s">
        <v>65</v>
      </c>
      <c r="T1763">
        <v>19</v>
      </c>
      <c r="U1763">
        <v>85</v>
      </c>
      <c r="V1763">
        <v>16</v>
      </c>
      <c r="W1763">
        <v>12.8</v>
      </c>
      <c r="X1763">
        <v>24</v>
      </c>
      <c r="Z1763" t="s">
        <v>39</v>
      </c>
      <c r="AB1763" t="s">
        <v>233</v>
      </c>
      <c r="AC1763" t="s">
        <v>56</v>
      </c>
    </row>
    <row r="1764" spans="1:29" x14ac:dyDescent="0.25">
      <c r="A1764" s="4">
        <v>42570</v>
      </c>
      <c r="B1764" t="s">
        <v>30</v>
      </c>
      <c r="C1764">
        <v>113</v>
      </c>
      <c r="D1764">
        <v>9</v>
      </c>
      <c r="E1764">
        <v>1</v>
      </c>
      <c r="F1764" t="s">
        <v>31</v>
      </c>
      <c r="G1764" t="s">
        <v>32</v>
      </c>
      <c r="H1764" t="s">
        <v>33</v>
      </c>
      <c r="I1764" t="s">
        <v>57</v>
      </c>
      <c r="O1764" s="5"/>
      <c r="P1764" s="5"/>
    </row>
    <row r="1765" spans="1:29" x14ac:dyDescent="0.25">
      <c r="A1765" s="4">
        <v>42570</v>
      </c>
      <c r="B1765" t="s">
        <v>30</v>
      </c>
      <c r="C1765">
        <v>113</v>
      </c>
      <c r="D1765">
        <v>9</v>
      </c>
      <c r="E1765">
        <v>2</v>
      </c>
      <c r="F1765" t="s">
        <v>31</v>
      </c>
      <c r="G1765" t="s">
        <v>32</v>
      </c>
      <c r="H1765" t="s">
        <v>33</v>
      </c>
      <c r="I1765" t="s">
        <v>34</v>
      </c>
      <c r="J1765" t="s">
        <v>35</v>
      </c>
      <c r="K1765" t="s">
        <v>36</v>
      </c>
      <c r="L1765" t="s">
        <v>43</v>
      </c>
      <c r="M1765">
        <v>0</v>
      </c>
      <c r="N1765">
        <v>0</v>
      </c>
      <c r="O1765" s="5">
        <v>50559</v>
      </c>
      <c r="P1765" s="5">
        <v>50558</v>
      </c>
      <c r="Q1765">
        <v>21</v>
      </c>
      <c r="R1765" t="s">
        <v>47</v>
      </c>
      <c r="T1765">
        <v>19</v>
      </c>
      <c r="U1765">
        <v>84.5</v>
      </c>
      <c r="V1765">
        <v>17</v>
      </c>
      <c r="W1765">
        <v>13.5</v>
      </c>
      <c r="X1765">
        <v>29</v>
      </c>
      <c r="Z1765" t="s">
        <v>39</v>
      </c>
      <c r="AB1765" t="s">
        <v>233</v>
      </c>
      <c r="AC1765" t="s">
        <v>56</v>
      </c>
    </row>
    <row r="1766" spans="1:29" x14ac:dyDescent="0.25">
      <c r="A1766" s="4">
        <v>42570</v>
      </c>
      <c r="B1766" t="s">
        <v>30</v>
      </c>
      <c r="C1766">
        <v>113</v>
      </c>
      <c r="D1766">
        <v>10</v>
      </c>
      <c r="E1766">
        <v>1</v>
      </c>
      <c r="F1766" t="s">
        <v>31</v>
      </c>
      <c r="G1766" t="s">
        <v>32</v>
      </c>
      <c r="H1766" t="s">
        <v>33</v>
      </c>
      <c r="I1766" t="s">
        <v>57</v>
      </c>
      <c r="O1766" s="5"/>
      <c r="P1766" s="5"/>
    </row>
    <row r="1767" spans="1:29" x14ac:dyDescent="0.25">
      <c r="A1767" s="4">
        <v>42570</v>
      </c>
      <c r="B1767" t="s">
        <v>30</v>
      </c>
      <c r="C1767">
        <v>113</v>
      </c>
      <c r="D1767">
        <v>10</v>
      </c>
      <c r="E1767">
        <v>2</v>
      </c>
      <c r="F1767" t="s">
        <v>31</v>
      </c>
      <c r="G1767" t="s">
        <v>32</v>
      </c>
      <c r="H1767" t="s">
        <v>33</v>
      </c>
      <c r="I1767" t="s">
        <v>57</v>
      </c>
      <c r="O1767" s="5"/>
      <c r="P1767" s="5"/>
    </row>
    <row r="1768" spans="1:29" x14ac:dyDescent="0.25">
      <c r="A1768" s="4">
        <v>42570</v>
      </c>
      <c r="B1768" t="s">
        <v>30</v>
      </c>
      <c r="C1768">
        <v>402</v>
      </c>
      <c r="D1768">
        <v>1</v>
      </c>
      <c r="E1768">
        <v>1</v>
      </c>
      <c r="F1768" t="s">
        <v>31</v>
      </c>
      <c r="G1768" t="s">
        <v>32</v>
      </c>
      <c r="H1768" t="s">
        <v>33</v>
      </c>
      <c r="I1768" t="s">
        <v>91</v>
      </c>
      <c r="J1768" t="s">
        <v>35</v>
      </c>
      <c r="K1768" t="s">
        <v>36</v>
      </c>
      <c r="L1768" t="s">
        <v>37</v>
      </c>
      <c r="M1768">
        <v>0</v>
      </c>
      <c r="N1768">
        <v>0</v>
      </c>
      <c r="O1768" s="5"/>
      <c r="P1768" s="5">
        <v>50554</v>
      </c>
      <c r="Q1768">
        <f>37-13</f>
        <v>24</v>
      </c>
      <c r="R1768" t="s">
        <v>38</v>
      </c>
      <c r="T1768">
        <v>28</v>
      </c>
      <c r="W1768">
        <v>12.5</v>
      </c>
      <c r="X1768">
        <v>27</v>
      </c>
      <c r="Y1768" t="s">
        <v>235</v>
      </c>
      <c r="Z1768" t="s">
        <v>39</v>
      </c>
      <c r="AB1768" t="s">
        <v>233</v>
      </c>
      <c r="AC1768" t="s">
        <v>56</v>
      </c>
    </row>
    <row r="1769" spans="1:29" x14ac:dyDescent="0.25">
      <c r="A1769" s="4">
        <v>42570</v>
      </c>
      <c r="B1769" t="s">
        <v>30</v>
      </c>
      <c r="C1769">
        <v>402</v>
      </c>
      <c r="D1769">
        <v>1</v>
      </c>
      <c r="E1769">
        <v>2</v>
      </c>
      <c r="F1769" t="s">
        <v>31</v>
      </c>
      <c r="G1769" t="s">
        <v>32</v>
      </c>
      <c r="H1769" t="s">
        <v>33</v>
      </c>
      <c r="I1769" t="s">
        <v>58</v>
      </c>
      <c r="J1769" t="s">
        <v>42</v>
      </c>
      <c r="K1769" t="s">
        <v>89</v>
      </c>
      <c r="L1769" t="s">
        <v>43</v>
      </c>
      <c r="M1769">
        <v>0</v>
      </c>
      <c r="N1769">
        <v>1</v>
      </c>
      <c r="O1769" s="5"/>
      <c r="P1769" s="5">
        <v>50717</v>
      </c>
      <c r="Q1769">
        <f>31-13</f>
        <v>18</v>
      </c>
      <c r="R1769" t="s">
        <v>65</v>
      </c>
      <c r="T1769">
        <v>17</v>
      </c>
      <c r="W1769">
        <v>12.6</v>
      </c>
      <c r="X1769">
        <v>28</v>
      </c>
      <c r="Z1769" t="s">
        <v>97</v>
      </c>
      <c r="AA1769" t="s">
        <v>236</v>
      </c>
      <c r="AB1769" t="s">
        <v>233</v>
      </c>
      <c r="AC1769" t="s">
        <v>56</v>
      </c>
    </row>
    <row r="1770" spans="1:29" x14ac:dyDescent="0.25">
      <c r="A1770" s="4">
        <v>42570</v>
      </c>
      <c r="B1770" t="s">
        <v>30</v>
      </c>
      <c r="C1770">
        <v>402</v>
      </c>
      <c r="D1770">
        <v>5</v>
      </c>
      <c r="E1770">
        <v>1</v>
      </c>
      <c r="F1770" t="s">
        <v>31</v>
      </c>
      <c r="G1770" t="s">
        <v>32</v>
      </c>
      <c r="H1770" t="s">
        <v>33</v>
      </c>
      <c r="I1770" t="s">
        <v>64</v>
      </c>
      <c r="J1770" t="s">
        <v>35</v>
      </c>
      <c r="K1770" t="s">
        <v>36</v>
      </c>
      <c r="L1770" t="s">
        <v>37</v>
      </c>
      <c r="M1770">
        <v>0</v>
      </c>
      <c r="N1770">
        <v>0</v>
      </c>
      <c r="O1770" s="5">
        <v>50801</v>
      </c>
      <c r="P1770" s="5"/>
      <c r="Q1770">
        <f>280-110</f>
        <v>170</v>
      </c>
      <c r="R1770" t="s">
        <v>74</v>
      </c>
      <c r="S1770" t="s">
        <v>97</v>
      </c>
      <c r="Z1770" t="s">
        <v>39</v>
      </c>
      <c r="AB1770" t="s">
        <v>233</v>
      </c>
      <c r="AC1770" t="s">
        <v>56</v>
      </c>
    </row>
    <row r="1771" spans="1:29" x14ac:dyDescent="0.25">
      <c r="A1771" s="4">
        <v>42570</v>
      </c>
      <c r="B1771" t="s">
        <v>30</v>
      </c>
      <c r="C1771">
        <v>402</v>
      </c>
      <c r="D1771">
        <v>6</v>
      </c>
      <c r="E1771">
        <v>1</v>
      </c>
      <c r="F1771" t="s">
        <v>31</v>
      </c>
      <c r="G1771" t="s">
        <v>32</v>
      </c>
      <c r="H1771" t="s">
        <v>33</v>
      </c>
      <c r="I1771" t="s">
        <v>58</v>
      </c>
      <c r="J1771" t="s">
        <v>35</v>
      </c>
      <c r="K1771" t="s">
        <v>36</v>
      </c>
      <c r="L1771" t="s">
        <v>37</v>
      </c>
      <c r="M1771">
        <v>0</v>
      </c>
      <c r="N1771">
        <v>0</v>
      </c>
      <c r="O1771" s="5">
        <v>50483</v>
      </c>
      <c r="P1771" s="5"/>
      <c r="R1771" t="s">
        <v>74</v>
      </c>
      <c r="S1771" t="s">
        <v>97</v>
      </c>
      <c r="Z1771" t="s">
        <v>97</v>
      </c>
      <c r="AB1771" t="s">
        <v>233</v>
      </c>
      <c r="AC1771" t="s">
        <v>56</v>
      </c>
    </row>
    <row r="1772" spans="1:29" x14ac:dyDescent="0.25">
      <c r="A1772" s="4">
        <v>42570</v>
      </c>
      <c r="B1772" t="s">
        <v>30</v>
      </c>
      <c r="C1772">
        <v>402</v>
      </c>
      <c r="D1772">
        <v>6</v>
      </c>
      <c r="E1772">
        <v>2</v>
      </c>
      <c r="F1772" t="s">
        <v>31</v>
      </c>
      <c r="G1772" t="s">
        <v>32</v>
      </c>
      <c r="H1772" t="s">
        <v>33</v>
      </c>
      <c r="I1772" t="s">
        <v>57</v>
      </c>
      <c r="O1772" s="5"/>
      <c r="P1772" s="5"/>
    </row>
    <row r="1773" spans="1:29" x14ac:dyDescent="0.25">
      <c r="A1773" s="4">
        <v>42570</v>
      </c>
      <c r="B1773" t="s">
        <v>30</v>
      </c>
      <c r="C1773">
        <v>402</v>
      </c>
      <c r="D1773">
        <v>7</v>
      </c>
      <c r="E1773">
        <v>1</v>
      </c>
      <c r="F1773" t="s">
        <v>31</v>
      </c>
      <c r="G1773" t="s">
        <v>32</v>
      </c>
      <c r="H1773" t="s">
        <v>33</v>
      </c>
      <c r="I1773" t="s">
        <v>57</v>
      </c>
      <c r="O1773" s="5"/>
      <c r="P1773" s="5"/>
    </row>
    <row r="1774" spans="1:29" x14ac:dyDescent="0.25">
      <c r="A1774" s="4">
        <v>42570</v>
      </c>
      <c r="B1774" t="s">
        <v>30</v>
      </c>
      <c r="C1774">
        <v>402</v>
      </c>
      <c r="D1774">
        <v>7</v>
      </c>
      <c r="E1774">
        <v>2</v>
      </c>
      <c r="F1774" t="s">
        <v>31</v>
      </c>
      <c r="G1774" t="s">
        <v>32</v>
      </c>
      <c r="H1774" t="s">
        <v>33</v>
      </c>
      <c r="I1774" t="s">
        <v>57</v>
      </c>
      <c r="O1774" s="5"/>
      <c r="P1774" s="5"/>
    </row>
    <row r="1775" spans="1:29" x14ac:dyDescent="0.25">
      <c r="A1775" s="4">
        <v>42570</v>
      </c>
      <c r="B1775" t="s">
        <v>30</v>
      </c>
      <c r="C1775">
        <v>402</v>
      </c>
      <c r="D1775">
        <v>8</v>
      </c>
      <c r="E1775">
        <v>1</v>
      </c>
      <c r="F1775" t="s">
        <v>31</v>
      </c>
      <c r="G1775" t="s">
        <v>32</v>
      </c>
      <c r="H1775" t="s">
        <v>33</v>
      </c>
      <c r="I1775" t="s">
        <v>57</v>
      </c>
      <c r="O1775" s="5"/>
      <c r="P1775" s="5"/>
    </row>
    <row r="1776" spans="1:29" x14ac:dyDescent="0.25">
      <c r="A1776" s="4">
        <v>42570</v>
      </c>
      <c r="B1776" t="s">
        <v>30</v>
      </c>
      <c r="C1776">
        <v>402</v>
      </c>
      <c r="D1776">
        <v>8</v>
      </c>
      <c r="E1776">
        <v>2</v>
      </c>
      <c r="F1776" t="s">
        <v>31</v>
      </c>
      <c r="G1776" t="s">
        <v>32</v>
      </c>
      <c r="H1776" t="s">
        <v>33</v>
      </c>
      <c r="I1776" t="s">
        <v>57</v>
      </c>
      <c r="O1776" s="5"/>
      <c r="P1776" s="5"/>
    </row>
    <row r="1777" spans="1:29" x14ac:dyDescent="0.25">
      <c r="A1777" s="4">
        <v>42570</v>
      </c>
      <c r="B1777" t="s">
        <v>30</v>
      </c>
      <c r="C1777">
        <v>402</v>
      </c>
      <c r="D1777">
        <v>9</v>
      </c>
      <c r="E1777">
        <v>1</v>
      </c>
      <c r="F1777" t="s">
        <v>31</v>
      </c>
      <c r="G1777" t="s">
        <v>32</v>
      </c>
      <c r="H1777" t="s">
        <v>33</v>
      </c>
      <c r="I1777" t="s">
        <v>57</v>
      </c>
      <c r="O1777" s="5"/>
      <c r="P1777" s="5"/>
    </row>
    <row r="1778" spans="1:29" x14ac:dyDescent="0.25">
      <c r="A1778" s="4">
        <v>42570</v>
      </c>
      <c r="B1778" t="s">
        <v>30</v>
      </c>
      <c r="C1778">
        <v>402</v>
      </c>
      <c r="D1778">
        <v>9</v>
      </c>
      <c r="E1778">
        <v>2</v>
      </c>
      <c r="F1778" t="s">
        <v>31</v>
      </c>
      <c r="G1778" t="s">
        <v>32</v>
      </c>
      <c r="H1778" t="s">
        <v>33</v>
      </c>
      <c r="I1778" t="s">
        <v>57</v>
      </c>
      <c r="O1778" s="5"/>
      <c r="P1778" s="5"/>
    </row>
    <row r="1779" spans="1:29" x14ac:dyDescent="0.25">
      <c r="A1779" s="4">
        <v>42570</v>
      </c>
      <c r="B1779" t="s">
        <v>30</v>
      </c>
      <c r="C1779">
        <v>402</v>
      </c>
      <c r="D1779">
        <v>10</v>
      </c>
      <c r="E1779">
        <v>1</v>
      </c>
      <c r="F1779" t="s">
        <v>31</v>
      </c>
      <c r="G1779" t="s">
        <v>32</v>
      </c>
      <c r="H1779" t="s">
        <v>33</v>
      </c>
      <c r="I1779" t="s">
        <v>57</v>
      </c>
      <c r="O1779" s="5"/>
      <c r="P1779" s="5"/>
    </row>
    <row r="1780" spans="1:29" x14ac:dyDescent="0.25">
      <c r="A1780" s="4">
        <v>42570</v>
      </c>
      <c r="B1780" t="s">
        <v>30</v>
      </c>
      <c r="C1780">
        <v>402</v>
      </c>
      <c r="D1780">
        <v>10</v>
      </c>
      <c r="E1780">
        <v>2</v>
      </c>
      <c r="F1780" t="s">
        <v>31</v>
      </c>
      <c r="G1780" t="s">
        <v>32</v>
      </c>
      <c r="H1780" t="s">
        <v>33</v>
      </c>
      <c r="I1780" t="s">
        <v>57</v>
      </c>
      <c r="O1780" s="5"/>
      <c r="P1780" s="5"/>
    </row>
    <row r="1781" spans="1:29" x14ac:dyDescent="0.25">
      <c r="A1781" s="4">
        <v>42571</v>
      </c>
      <c r="B1781" t="s">
        <v>30</v>
      </c>
      <c r="C1781">
        <v>201</v>
      </c>
      <c r="D1781">
        <v>1</v>
      </c>
      <c r="E1781">
        <v>1</v>
      </c>
      <c r="F1781" t="s">
        <v>41</v>
      </c>
      <c r="G1781" t="s">
        <v>32</v>
      </c>
      <c r="H1781" t="s">
        <v>33</v>
      </c>
      <c r="I1781" t="s">
        <v>57</v>
      </c>
      <c r="O1781" s="5"/>
      <c r="P1781" s="5"/>
    </row>
    <row r="1782" spans="1:29" x14ac:dyDescent="0.25">
      <c r="A1782" s="4">
        <v>42571</v>
      </c>
      <c r="B1782" t="s">
        <v>30</v>
      </c>
      <c r="C1782">
        <v>201</v>
      </c>
      <c r="D1782">
        <v>1</v>
      </c>
      <c r="E1782">
        <v>2</v>
      </c>
      <c r="F1782" t="s">
        <v>41</v>
      </c>
      <c r="G1782" t="s">
        <v>32</v>
      </c>
      <c r="H1782" t="s">
        <v>33</v>
      </c>
      <c r="I1782" t="s">
        <v>57</v>
      </c>
      <c r="O1782" s="5"/>
      <c r="P1782" s="5"/>
    </row>
    <row r="1783" spans="1:29" x14ac:dyDescent="0.25">
      <c r="A1783" s="4">
        <v>42571</v>
      </c>
      <c r="B1783" t="s">
        <v>30</v>
      </c>
      <c r="C1783">
        <v>201</v>
      </c>
      <c r="D1783">
        <v>2</v>
      </c>
      <c r="E1783">
        <v>1</v>
      </c>
      <c r="F1783" t="s">
        <v>41</v>
      </c>
      <c r="G1783" t="s">
        <v>32</v>
      </c>
      <c r="H1783" t="s">
        <v>33</v>
      </c>
      <c r="I1783" t="s">
        <v>57</v>
      </c>
      <c r="O1783" s="5"/>
      <c r="P1783" s="5"/>
    </row>
    <row r="1784" spans="1:29" x14ac:dyDescent="0.25">
      <c r="A1784" s="4">
        <v>42571</v>
      </c>
      <c r="B1784" t="s">
        <v>30</v>
      </c>
      <c r="C1784">
        <v>201</v>
      </c>
      <c r="D1784">
        <v>2</v>
      </c>
      <c r="E1784">
        <v>2</v>
      </c>
      <c r="F1784" t="s">
        <v>41</v>
      </c>
      <c r="G1784" t="s">
        <v>32</v>
      </c>
      <c r="H1784" t="s">
        <v>33</v>
      </c>
      <c r="I1784" t="s">
        <v>34</v>
      </c>
      <c r="J1784" t="s">
        <v>35</v>
      </c>
      <c r="K1784" t="s">
        <v>36</v>
      </c>
      <c r="L1784" t="s">
        <v>43</v>
      </c>
      <c r="M1784">
        <v>0</v>
      </c>
      <c r="N1784">
        <v>0</v>
      </c>
      <c r="O1784" s="5">
        <v>50335</v>
      </c>
      <c r="P1784" s="5">
        <v>50334</v>
      </c>
      <c r="Q1784">
        <f>36-15</f>
        <v>21</v>
      </c>
      <c r="R1784" t="s">
        <v>47</v>
      </c>
      <c r="T1784">
        <v>21</v>
      </c>
      <c r="U1784">
        <v>82</v>
      </c>
      <c r="V1784">
        <v>14</v>
      </c>
      <c r="W1784">
        <v>12.9</v>
      </c>
      <c r="X1784">
        <v>26.8</v>
      </c>
      <c r="Z1784" t="s">
        <v>97</v>
      </c>
      <c r="AA1784" t="s">
        <v>199</v>
      </c>
      <c r="AB1784" t="s">
        <v>87</v>
      </c>
      <c r="AC1784" t="s">
        <v>78</v>
      </c>
    </row>
    <row r="1785" spans="1:29" x14ac:dyDescent="0.25">
      <c r="A1785" s="4">
        <v>42571</v>
      </c>
      <c r="B1785" t="s">
        <v>30</v>
      </c>
      <c r="C1785">
        <v>201</v>
      </c>
      <c r="D1785">
        <v>3</v>
      </c>
      <c r="E1785">
        <v>1</v>
      </c>
      <c r="F1785" t="s">
        <v>41</v>
      </c>
      <c r="G1785" t="s">
        <v>32</v>
      </c>
      <c r="H1785" t="s">
        <v>33</v>
      </c>
      <c r="I1785" t="s">
        <v>57</v>
      </c>
      <c r="O1785" s="5"/>
      <c r="P1785" s="5"/>
    </row>
    <row r="1786" spans="1:29" x14ac:dyDescent="0.25">
      <c r="A1786" s="4">
        <v>42571</v>
      </c>
      <c r="B1786" t="s">
        <v>30</v>
      </c>
      <c r="C1786">
        <v>201</v>
      </c>
      <c r="D1786">
        <v>4</v>
      </c>
      <c r="E1786">
        <v>1</v>
      </c>
      <c r="F1786" t="s">
        <v>41</v>
      </c>
      <c r="G1786" t="s">
        <v>32</v>
      </c>
      <c r="H1786" t="s">
        <v>33</v>
      </c>
      <c r="I1786" t="s">
        <v>57</v>
      </c>
      <c r="O1786" s="5"/>
      <c r="P1786" s="5"/>
    </row>
    <row r="1787" spans="1:29" x14ac:dyDescent="0.25">
      <c r="A1787" s="4">
        <v>42571</v>
      </c>
      <c r="B1787" t="s">
        <v>30</v>
      </c>
      <c r="C1787">
        <v>201</v>
      </c>
      <c r="D1787">
        <v>4</v>
      </c>
      <c r="E1787">
        <v>2</v>
      </c>
      <c r="F1787" t="s">
        <v>41</v>
      </c>
      <c r="G1787" t="s">
        <v>32</v>
      </c>
      <c r="H1787" t="s">
        <v>33</v>
      </c>
      <c r="I1787" t="s">
        <v>57</v>
      </c>
      <c r="O1787" s="5"/>
      <c r="P1787" s="5"/>
    </row>
    <row r="1788" spans="1:29" x14ac:dyDescent="0.25">
      <c r="A1788" s="4">
        <v>42571</v>
      </c>
      <c r="B1788" t="s">
        <v>30</v>
      </c>
      <c r="C1788">
        <v>201</v>
      </c>
      <c r="D1788">
        <v>5</v>
      </c>
      <c r="E1788">
        <v>1</v>
      </c>
      <c r="F1788" t="s">
        <v>41</v>
      </c>
      <c r="G1788" t="s">
        <v>32</v>
      </c>
      <c r="H1788" t="s">
        <v>33</v>
      </c>
      <c r="I1788" t="s">
        <v>57</v>
      </c>
      <c r="O1788" s="5"/>
      <c r="P1788" s="5"/>
    </row>
    <row r="1789" spans="1:29" x14ac:dyDescent="0.25">
      <c r="A1789" s="4">
        <v>42571</v>
      </c>
      <c r="B1789" t="s">
        <v>30</v>
      </c>
      <c r="C1789">
        <v>201</v>
      </c>
      <c r="D1789">
        <v>5</v>
      </c>
      <c r="E1789">
        <v>2</v>
      </c>
      <c r="F1789" t="s">
        <v>41</v>
      </c>
      <c r="G1789" t="s">
        <v>32</v>
      </c>
      <c r="H1789" t="s">
        <v>33</v>
      </c>
      <c r="I1789" t="s">
        <v>34</v>
      </c>
      <c r="J1789" t="s">
        <v>237</v>
      </c>
      <c r="K1789" t="s">
        <v>238</v>
      </c>
      <c r="O1789" s="5"/>
      <c r="P1789" s="5"/>
    </row>
    <row r="1790" spans="1:29" x14ac:dyDescent="0.25">
      <c r="A1790" s="4">
        <v>42571</v>
      </c>
      <c r="B1790" t="s">
        <v>30</v>
      </c>
      <c r="C1790">
        <v>201</v>
      </c>
      <c r="D1790">
        <v>6</v>
      </c>
      <c r="E1790">
        <v>1</v>
      </c>
      <c r="F1790" t="s">
        <v>41</v>
      </c>
      <c r="G1790" t="s">
        <v>32</v>
      </c>
      <c r="H1790" t="s">
        <v>33</v>
      </c>
      <c r="I1790" t="s">
        <v>57</v>
      </c>
      <c r="O1790" s="5"/>
      <c r="P1790" s="5"/>
    </row>
    <row r="1791" spans="1:29" x14ac:dyDescent="0.25">
      <c r="A1791" s="4">
        <v>42571</v>
      </c>
      <c r="B1791" t="s">
        <v>30</v>
      </c>
      <c r="C1791">
        <v>201</v>
      </c>
      <c r="D1791">
        <v>6</v>
      </c>
      <c r="E1791">
        <v>2</v>
      </c>
      <c r="F1791" t="s">
        <v>41</v>
      </c>
      <c r="G1791" t="s">
        <v>32</v>
      </c>
      <c r="H1791" t="s">
        <v>33</v>
      </c>
      <c r="I1791" t="s">
        <v>57</v>
      </c>
      <c r="O1791" s="5"/>
      <c r="P1791" s="5"/>
    </row>
    <row r="1792" spans="1:29" x14ac:dyDescent="0.25">
      <c r="A1792" s="4">
        <v>42571</v>
      </c>
      <c r="B1792" t="s">
        <v>30</v>
      </c>
      <c r="C1792">
        <v>201</v>
      </c>
      <c r="D1792">
        <v>7</v>
      </c>
      <c r="E1792">
        <v>1</v>
      </c>
      <c r="F1792" t="s">
        <v>41</v>
      </c>
      <c r="G1792" t="s">
        <v>32</v>
      </c>
      <c r="H1792" t="s">
        <v>33</v>
      </c>
      <c r="I1792" t="s">
        <v>57</v>
      </c>
      <c r="O1792" s="5"/>
      <c r="P1792" s="5"/>
    </row>
    <row r="1793" spans="1:16" x14ac:dyDescent="0.25">
      <c r="A1793" s="4">
        <v>42571</v>
      </c>
      <c r="B1793" t="s">
        <v>30</v>
      </c>
      <c r="C1793">
        <v>201</v>
      </c>
      <c r="D1793">
        <v>7</v>
      </c>
      <c r="E1793">
        <v>2</v>
      </c>
      <c r="F1793" t="s">
        <v>41</v>
      </c>
      <c r="G1793" t="s">
        <v>32</v>
      </c>
      <c r="H1793" t="s">
        <v>33</v>
      </c>
      <c r="I1793" t="s">
        <v>57</v>
      </c>
      <c r="O1793" s="5"/>
      <c r="P1793" s="5"/>
    </row>
    <row r="1794" spans="1:16" x14ac:dyDescent="0.25">
      <c r="A1794" s="4">
        <v>42571</v>
      </c>
      <c r="B1794" t="s">
        <v>30</v>
      </c>
      <c r="C1794">
        <v>201</v>
      </c>
      <c r="D1794">
        <v>8</v>
      </c>
      <c r="E1794">
        <v>1</v>
      </c>
      <c r="F1794" t="s">
        <v>41</v>
      </c>
      <c r="G1794" t="s">
        <v>32</v>
      </c>
      <c r="H1794" t="s">
        <v>33</v>
      </c>
      <c r="I1794" t="s">
        <v>57</v>
      </c>
      <c r="O1794" s="5"/>
      <c r="P1794" s="5"/>
    </row>
    <row r="1795" spans="1:16" x14ac:dyDescent="0.25">
      <c r="A1795" s="4">
        <v>42571</v>
      </c>
      <c r="B1795" t="s">
        <v>30</v>
      </c>
      <c r="C1795">
        <v>201</v>
      </c>
      <c r="D1795">
        <v>8</v>
      </c>
      <c r="E1795">
        <v>2</v>
      </c>
      <c r="F1795" t="s">
        <v>41</v>
      </c>
      <c r="G1795" t="s">
        <v>32</v>
      </c>
      <c r="H1795" t="s">
        <v>33</v>
      </c>
      <c r="I1795" t="s">
        <v>84</v>
      </c>
      <c r="O1795" s="5"/>
      <c r="P1795" s="5"/>
    </row>
    <row r="1796" spans="1:16" x14ac:dyDescent="0.25">
      <c r="A1796" s="4">
        <v>42571</v>
      </c>
      <c r="B1796" t="s">
        <v>30</v>
      </c>
      <c r="C1796">
        <v>201</v>
      </c>
      <c r="D1796">
        <v>9</v>
      </c>
      <c r="E1796">
        <v>1</v>
      </c>
      <c r="F1796" t="s">
        <v>41</v>
      </c>
      <c r="G1796" t="s">
        <v>32</v>
      </c>
      <c r="H1796" t="s">
        <v>33</v>
      </c>
      <c r="I1796" t="s">
        <v>57</v>
      </c>
      <c r="O1796" s="5"/>
      <c r="P1796" s="5"/>
    </row>
    <row r="1797" spans="1:16" x14ac:dyDescent="0.25">
      <c r="A1797" s="4">
        <v>42571</v>
      </c>
      <c r="B1797" t="s">
        <v>30</v>
      </c>
      <c r="C1797">
        <v>201</v>
      </c>
      <c r="D1797">
        <v>9</v>
      </c>
      <c r="E1797">
        <v>2</v>
      </c>
      <c r="F1797" t="s">
        <v>41</v>
      </c>
      <c r="G1797" t="s">
        <v>32</v>
      </c>
      <c r="H1797" t="s">
        <v>33</v>
      </c>
      <c r="I1797" t="s">
        <v>57</v>
      </c>
      <c r="O1797" s="5"/>
      <c r="P1797" s="5"/>
    </row>
    <row r="1798" spans="1:16" x14ac:dyDescent="0.25">
      <c r="A1798" s="4">
        <v>42571</v>
      </c>
      <c r="B1798" t="s">
        <v>30</v>
      </c>
      <c r="C1798">
        <v>201</v>
      </c>
      <c r="D1798">
        <v>10</v>
      </c>
      <c r="E1798">
        <v>1</v>
      </c>
      <c r="F1798" t="s">
        <v>41</v>
      </c>
      <c r="G1798" t="s">
        <v>32</v>
      </c>
      <c r="H1798" t="s">
        <v>33</v>
      </c>
      <c r="I1798" t="s">
        <v>57</v>
      </c>
      <c r="O1798" s="5"/>
      <c r="P1798" s="5"/>
    </row>
    <row r="1799" spans="1:16" x14ac:dyDescent="0.25">
      <c r="A1799" s="4">
        <v>42571</v>
      </c>
      <c r="B1799" t="s">
        <v>30</v>
      </c>
      <c r="C1799">
        <v>201</v>
      </c>
      <c r="D1799">
        <v>10</v>
      </c>
      <c r="E1799">
        <v>2</v>
      </c>
      <c r="F1799" t="s">
        <v>41</v>
      </c>
      <c r="G1799" t="s">
        <v>32</v>
      </c>
      <c r="H1799" t="s">
        <v>33</v>
      </c>
      <c r="I1799" t="s">
        <v>57</v>
      </c>
      <c r="O1799" s="5"/>
      <c r="P1799" s="5"/>
    </row>
    <row r="1800" spans="1:16" x14ac:dyDescent="0.25">
      <c r="A1800" s="4">
        <v>42571</v>
      </c>
      <c r="B1800" t="s">
        <v>30</v>
      </c>
      <c r="C1800">
        <v>203</v>
      </c>
      <c r="D1800">
        <v>1</v>
      </c>
      <c r="E1800">
        <v>1</v>
      </c>
      <c r="F1800" t="s">
        <v>41</v>
      </c>
      <c r="G1800" t="s">
        <v>32</v>
      </c>
      <c r="H1800" t="s">
        <v>33</v>
      </c>
      <c r="I1800" t="s">
        <v>53</v>
      </c>
      <c r="J1800" t="s">
        <v>62</v>
      </c>
      <c r="O1800" s="5"/>
      <c r="P1800" s="5"/>
    </row>
    <row r="1801" spans="1:16" x14ac:dyDescent="0.25">
      <c r="A1801" s="4">
        <v>42571</v>
      </c>
      <c r="B1801" t="s">
        <v>30</v>
      </c>
      <c r="C1801">
        <v>203</v>
      </c>
      <c r="D1801">
        <v>1</v>
      </c>
      <c r="E1801">
        <v>2</v>
      </c>
      <c r="F1801" t="s">
        <v>41</v>
      </c>
      <c r="G1801" t="s">
        <v>32</v>
      </c>
      <c r="H1801" t="s">
        <v>33</v>
      </c>
      <c r="I1801" t="s">
        <v>57</v>
      </c>
      <c r="O1801" s="5"/>
      <c r="P1801" s="5"/>
    </row>
    <row r="1802" spans="1:16" x14ac:dyDescent="0.25">
      <c r="A1802" s="4">
        <v>42571</v>
      </c>
      <c r="B1802" t="s">
        <v>30</v>
      </c>
      <c r="C1802">
        <v>203</v>
      </c>
      <c r="D1802">
        <v>2</v>
      </c>
      <c r="E1802">
        <v>1</v>
      </c>
      <c r="F1802" t="s">
        <v>41</v>
      </c>
      <c r="G1802" t="s">
        <v>32</v>
      </c>
      <c r="H1802" t="s">
        <v>33</v>
      </c>
      <c r="I1802" t="s">
        <v>57</v>
      </c>
      <c r="O1802" s="5"/>
      <c r="P1802" s="5"/>
    </row>
    <row r="1803" spans="1:16" x14ac:dyDescent="0.25">
      <c r="A1803" s="4">
        <v>42571</v>
      </c>
      <c r="B1803" t="s">
        <v>30</v>
      </c>
      <c r="C1803">
        <v>203</v>
      </c>
      <c r="D1803">
        <v>2</v>
      </c>
      <c r="E1803">
        <v>2</v>
      </c>
      <c r="F1803" t="s">
        <v>41</v>
      </c>
      <c r="G1803" t="s">
        <v>32</v>
      </c>
      <c r="H1803" t="s">
        <v>33</v>
      </c>
      <c r="I1803" t="s">
        <v>57</v>
      </c>
      <c r="O1803" s="5"/>
      <c r="P1803" s="5"/>
    </row>
    <row r="1804" spans="1:16" x14ac:dyDescent="0.25">
      <c r="A1804" s="4">
        <v>42571</v>
      </c>
      <c r="B1804" t="s">
        <v>30</v>
      </c>
      <c r="C1804">
        <v>203</v>
      </c>
      <c r="D1804">
        <v>3</v>
      </c>
      <c r="E1804">
        <v>1</v>
      </c>
      <c r="F1804" t="s">
        <v>41</v>
      </c>
      <c r="G1804" t="s">
        <v>32</v>
      </c>
      <c r="H1804" t="s">
        <v>33</v>
      </c>
      <c r="I1804" t="s">
        <v>57</v>
      </c>
      <c r="O1804" s="5"/>
      <c r="P1804" s="5"/>
    </row>
    <row r="1805" spans="1:16" x14ac:dyDescent="0.25">
      <c r="A1805" s="4">
        <v>42571</v>
      </c>
      <c r="B1805" t="s">
        <v>30</v>
      </c>
      <c r="C1805">
        <v>203</v>
      </c>
      <c r="D1805">
        <v>3</v>
      </c>
      <c r="E1805">
        <v>2</v>
      </c>
      <c r="F1805" t="s">
        <v>41</v>
      </c>
      <c r="G1805" t="s">
        <v>32</v>
      </c>
      <c r="H1805" t="s">
        <v>33</v>
      </c>
      <c r="I1805" t="s">
        <v>57</v>
      </c>
      <c r="O1805" s="5"/>
      <c r="P1805" s="5"/>
    </row>
    <row r="1806" spans="1:16" x14ac:dyDescent="0.25">
      <c r="A1806" s="4">
        <v>42571</v>
      </c>
      <c r="B1806" t="s">
        <v>30</v>
      </c>
      <c r="C1806">
        <v>203</v>
      </c>
      <c r="D1806">
        <v>4</v>
      </c>
      <c r="E1806">
        <v>1</v>
      </c>
      <c r="F1806" t="s">
        <v>41</v>
      </c>
      <c r="G1806" t="s">
        <v>32</v>
      </c>
      <c r="H1806" t="s">
        <v>33</v>
      </c>
      <c r="I1806" t="s">
        <v>57</v>
      </c>
      <c r="O1806" s="5"/>
      <c r="P1806" s="5"/>
    </row>
    <row r="1807" spans="1:16" x14ac:dyDescent="0.25">
      <c r="A1807" s="4">
        <v>42571</v>
      </c>
      <c r="B1807" t="s">
        <v>30</v>
      </c>
      <c r="C1807">
        <v>203</v>
      </c>
      <c r="D1807">
        <v>4</v>
      </c>
      <c r="E1807">
        <v>2</v>
      </c>
      <c r="F1807" t="s">
        <v>41</v>
      </c>
      <c r="G1807" t="s">
        <v>32</v>
      </c>
      <c r="H1807" t="s">
        <v>33</v>
      </c>
      <c r="I1807" t="s">
        <v>84</v>
      </c>
      <c r="O1807" s="5"/>
      <c r="P1807" s="5"/>
    </row>
    <row r="1808" spans="1:16" x14ac:dyDescent="0.25">
      <c r="A1808" s="4">
        <v>42571</v>
      </c>
      <c r="B1808" t="s">
        <v>30</v>
      </c>
      <c r="C1808">
        <v>203</v>
      </c>
      <c r="D1808">
        <v>5</v>
      </c>
      <c r="E1808">
        <v>1</v>
      </c>
      <c r="F1808" t="s">
        <v>41</v>
      </c>
      <c r="G1808" t="s">
        <v>32</v>
      </c>
      <c r="H1808" t="s">
        <v>33</v>
      </c>
      <c r="I1808" t="s">
        <v>57</v>
      </c>
      <c r="O1808" s="5"/>
      <c r="P1808" s="5"/>
    </row>
    <row r="1809" spans="1:29" x14ac:dyDescent="0.25">
      <c r="A1809" s="4">
        <v>42571</v>
      </c>
      <c r="B1809" t="s">
        <v>30</v>
      </c>
      <c r="C1809">
        <v>203</v>
      </c>
      <c r="D1809">
        <v>5</v>
      </c>
      <c r="E1809">
        <v>2</v>
      </c>
      <c r="F1809" t="s">
        <v>41</v>
      </c>
      <c r="G1809" t="s">
        <v>32</v>
      </c>
      <c r="H1809" t="s">
        <v>33</v>
      </c>
      <c r="I1809" t="s">
        <v>57</v>
      </c>
      <c r="O1809" s="5"/>
      <c r="P1809" s="5"/>
    </row>
    <row r="1810" spans="1:29" x14ac:dyDescent="0.25">
      <c r="A1810" s="4">
        <v>42571</v>
      </c>
      <c r="B1810" t="s">
        <v>30</v>
      </c>
      <c r="C1810">
        <v>203</v>
      </c>
      <c r="D1810">
        <v>6</v>
      </c>
      <c r="E1810">
        <v>1</v>
      </c>
      <c r="F1810" t="s">
        <v>41</v>
      </c>
      <c r="G1810" t="s">
        <v>32</v>
      </c>
      <c r="H1810" t="s">
        <v>33</v>
      </c>
      <c r="I1810" t="s">
        <v>57</v>
      </c>
      <c r="O1810" s="5"/>
      <c r="P1810" s="5"/>
    </row>
    <row r="1811" spans="1:29" x14ac:dyDescent="0.25">
      <c r="A1811" s="4">
        <v>42571</v>
      </c>
      <c r="B1811" t="s">
        <v>30</v>
      </c>
      <c r="C1811">
        <v>203</v>
      </c>
      <c r="D1811">
        <v>6</v>
      </c>
      <c r="E1811">
        <v>2</v>
      </c>
      <c r="F1811" t="s">
        <v>41</v>
      </c>
      <c r="G1811" t="s">
        <v>32</v>
      </c>
      <c r="H1811" t="s">
        <v>33</v>
      </c>
      <c r="I1811" t="s">
        <v>84</v>
      </c>
      <c r="O1811" s="5"/>
      <c r="P1811" s="5"/>
    </row>
    <row r="1812" spans="1:29" x14ac:dyDescent="0.25">
      <c r="A1812" s="4">
        <v>42571</v>
      </c>
      <c r="B1812" t="s">
        <v>30</v>
      </c>
      <c r="C1812">
        <v>203</v>
      </c>
      <c r="D1812">
        <v>7</v>
      </c>
      <c r="E1812">
        <v>1</v>
      </c>
      <c r="F1812" t="s">
        <v>41</v>
      </c>
      <c r="G1812" t="s">
        <v>32</v>
      </c>
      <c r="H1812" t="s">
        <v>33</v>
      </c>
      <c r="I1812" t="s">
        <v>57</v>
      </c>
      <c r="O1812" s="5"/>
      <c r="P1812" s="5"/>
    </row>
    <row r="1813" spans="1:29" x14ac:dyDescent="0.25">
      <c r="A1813" s="4">
        <v>42571</v>
      </c>
      <c r="B1813" t="s">
        <v>30</v>
      </c>
      <c r="C1813">
        <v>203</v>
      </c>
      <c r="D1813">
        <v>7</v>
      </c>
      <c r="E1813">
        <v>2</v>
      </c>
      <c r="F1813" t="s">
        <v>41</v>
      </c>
      <c r="G1813" t="s">
        <v>32</v>
      </c>
      <c r="H1813" t="s">
        <v>33</v>
      </c>
      <c r="I1813" t="s">
        <v>57</v>
      </c>
      <c r="O1813" s="5"/>
      <c r="P1813" s="5"/>
    </row>
    <row r="1814" spans="1:29" x14ac:dyDescent="0.25">
      <c r="A1814" s="4">
        <v>42571</v>
      </c>
      <c r="B1814" t="s">
        <v>30</v>
      </c>
      <c r="C1814">
        <v>203</v>
      </c>
      <c r="D1814">
        <v>8</v>
      </c>
      <c r="E1814">
        <v>1</v>
      </c>
      <c r="F1814" t="s">
        <v>41</v>
      </c>
      <c r="G1814" t="s">
        <v>32</v>
      </c>
      <c r="H1814" t="s">
        <v>33</v>
      </c>
      <c r="I1814" t="s">
        <v>57</v>
      </c>
      <c r="O1814" s="5"/>
      <c r="P1814" s="5"/>
    </row>
    <row r="1815" spans="1:29" x14ac:dyDescent="0.25">
      <c r="A1815" s="4">
        <v>42571</v>
      </c>
      <c r="B1815" t="s">
        <v>30</v>
      </c>
      <c r="C1815">
        <v>203</v>
      </c>
      <c r="D1815">
        <v>8</v>
      </c>
      <c r="E1815">
        <v>2</v>
      </c>
      <c r="F1815" t="s">
        <v>41</v>
      </c>
      <c r="G1815" t="s">
        <v>32</v>
      </c>
      <c r="H1815" t="s">
        <v>33</v>
      </c>
      <c r="I1815" t="s">
        <v>57</v>
      </c>
      <c r="O1815" s="5"/>
      <c r="P1815" s="5"/>
    </row>
    <row r="1816" spans="1:29" x14ac:dyDescent="0.25">
      <c r="A1816" s="4">
        <v>42571</v>
      </c>
      <c r="B1816" t="s">
        <v>30</v>
      </c>
      <c r="C1816">
        <v>203</v>
      </c>
      <c r="D1816">
        <v>9</v>
      </c>
      <c r="E1816">
        <v>1</v>
      </c>
      <c r="F1816" t="s">
        <v>41</v>
      </c>
      <c r="G1816" t="s">
        <v>32</v>
      </c>
      <c r="H1816" t="s">
        <v>33</v>
      </c>
      <c r="I1816" t="s">
        <v>57</v>
      </c>
      <c r="O1816" s="5"/>
      <c r="P1816" s="5"/>
    </row>
    <row r="1817" spans="1:29" x14ac:dyDescent="0.25">
      <c r="A1817" s="4">
        <v>42571</v>
      </c>
      <c r="B1817" t="s">
        <v>30</v>
      </c>
      <c r="C1817">
        <v>203</v>
      </c>
      <c r="D1817">
        <v>9</v>
      </c>
      <c r="E1817">
        <v>2</v>
      </c>
      <c r="F1817" t="s">
        <v>41</v>
      </c>
      <c r="G1817" t="s">
        <v>32</v>
      </c>
      <c r="H1817" t="s">
        <v>33</v>
      </c>
      <c r="I1817" t="s">
        <v>57</v>
      </c>
      <c r="O1817" s="5"/>
      <c r="P1817" s="5"/>
    </row>
    <row r="1818" spans="1:29" x14ac:dyDescent="0.25">
      <c r="A1818" s="4">
        <v>42571</v>
      </c>
      <c r="B1818" t="s">
        <v>30</v>
      </c>
      <c r="C1818">
        <v>203</v>
      </c>
      <c r="D1818">
        <v>10</v>
      </c>
      <c r="E1818">
        <v>1</v>
      </c>
      <c r="F1818" t="s">
        <v>41</v>
      </c>
      <c r="G1818" t="s">
        <v>32</v>
      </c>
      <c r="H1818" t="s">
        <v>33</v>
      </c>
      <c r="I1818" t="s">
        <v>57</v>
      </c>
      <c r="O1818" s="5"/>
      <c r="P1818" s="5"/>
    </row>
    <row r="1819" spans="1:29" x14ac:dyDescent="0.25">
      <c r="A1819" s="4">
        <v>42571</v>
      </c>
      <c r="B1819" t="s">
        <v>30</v>
      </c>
      <c r="C1819">
        <v>203</v>
      </c>
      <c r="D1819">
        <v>10</v>
      </c>
      <c r="E1819">
        <v>2</v>
      </c>
      <c r="F1819" t="s">
        <v>41</v>
      </c>
      <c r="G1819" t="s">
        <v>32</v>
      </c>
      <c r="H1819" t="s">
        <v>33</v>
      </c>
      <c r="I1819" t="s">
        <v>57</v>
      </c>
      <c r="O1819" s="5"/>
      <c r="P1819" s="5"/>
    </row>
    <row r="1820" spans="1:29" x14ac:dyDescent="0.25">
      <c r="A1820" s="4">
        <v>42571</v>
      </c>
      <c r="B1820" t="s">
        <v>30</v>
      </c>
      <c r="C1820">
        <v>202</v>
      </c>
      <c r="D1820">
        <v>1</v>
      </c>
      <c r="E1820">
        <v>1</v>
      </c>
      <c r="F1820" t="s">
        <v>41</v>
      </c>
      <c r="G1820" t="s">
        <v>32</v>
      </c>
      <c r="H1820" t="s">
        <v>33</v>
      </c>
      <c r="I1820" t="s">
        <v>57</v>
      </c>
      <c r="O1820" s="5"/>
      <c r="P1820" s="5"/>
    </row>
    <row r="1821" spans="1:29" x14ac:dyDescent="0.25">
      <c r="A1821" s="4">
        <v>42571</v>
      </c>
      <c r="B1821" t="s">
        <v>30</v>
      </c>
      <c r="C1821">
        <v>202</v>
      </c>
      <c r="D1821">
        <v>2</v>
      </c>
      <c r="E1821">
        <v>1</v>
      </c>
      <c r="F1821" t="s">
        <v>41</v>
      </c>
      <c r="G1821" t="s">
        <v>32</v>
      </c>
      <c r="H1821" t="s">
        <v>33</v>
      </c>
      <c r="I1821" t="s">
        <v>34</v>
      </c>
      <c r="J1821" t="s">
        <v>42</v>
      </c>
      <c r="K1821" t="s">
        <v>89</v>
      </c>
      <c r="L1821" t="s">
        <v>37</v>
      </c>
      <c r="M1821">
        <v>0</v>
      </c>
      <c r="N1821">
        <v>1</v>
      </c>
      <c r="O1821" s="5">
        <v>50778</v>
      </c>
      <c r="P1821" s="5">
        <v>50777</v>
      </c>
      <c r="Q1821">
        <f>26.5-11.5</f>
        <v>15</v>
      </c>
      <c r="R1821" t="s">
        <v>38</v>
      </c>
      <c r="S1821" t="s">
        <v>39</v>
      </c>
      <c r="T1821">
        <v>19</v>
      </c>
      <c r="V1821">
        <v>14</v>
      </c>
      <c r="W1821">
        <v>12.7</v>
      </c>
      <c r="X1821">
        <v>26.5</v>
      </c>
      <c r="Z1821" t="s">
        <v>39</v>
      </c>
      <c r="AB1821" t="s">
        <v>87</v>
      </c>
      <c r="AC1821" t="s">
        <v>78</v>
      </c>
    </row>
    <row r="1822" spans="1:29" x14ac:dyDescent="0.25">
      <c r="A1822" s="4">
        <v>42571</v>
      </c>
      <c r="B1822" t="s">
        <v>30</v>
      </c>
      <c r="C1822">
        <v>202</v>
      </c>
      <c r="D1822">
        <v>3</v>
      </c>
      <c r="E1822">
        <v>1</v>
      </c>
      <c r="F1822" t="s">
        <v>41</v>
      </c>
      <c r="G1822" t="s">
        <v>32</v>
      </c>
      <c r="H1822" t="s">
        <v>33</v>
      </c>
      <c r="I1822" t="s">
        <v>57</v>
      </c>
      <c r="O1822" s="5"/>
      <c r="P1822" s="5"/>
    </row>
    <row r="1823" spans="1:29" x14ac:dyDescent="0.25">
      <c r="A1823" s="4">
        <v>42571</v>
      </c>
      <c r="B1823" t="s">
        <v>30</v>
      </c>
      <c r="C1823">
        <v>202</v>
      </c>
      <c r="D1823">
        <v>3</v>
      </c>
      <c r="E1823">
        <v>2</v>
      </c>
      <c r="F1823" t="s">
        <v>41</v>
      </c>
      <c r="G1823" t="s">
        <v>32</v>
      </c>
      <c r="H1823" t="s">
        <v>33</v>
      </c>
      <c r="I1823" t="s">
        <v>57</v>
      </c>
      <c r="O1823" s="5"/>
      <c r="P1823" s="5"/>
    </row>
    <row r="1824" spans="1:29" x14ac:dyDescent="0.25">
      <c r="A1824" s="4">
        <v>42571</v>
      </c>
      <c r="B1824" t="s">
        <v>30</v>
      </c>
      <c r="C1824">
        <v>202</v>
      </c>
      <c r="D1824">
        <v>5</v>
      </c>
      <c r="E1824">
        <v>1</v>
      </c>
      <c r="F1824" t="s">
        <v>41</v>
      </c>
      <c r="G1824" t="s">
        <v>32</v>
      </c>
      <c r="H1824" t="s">
        <v>33</v>
      </c>
      <c r="I1824" t="s">
        <v>57</v>
      </c>
      <c r="O1824" s="5"/>
      <c r="P1824" s="5"/>
    </row>
    <row r="1825" spans="1:29" x14ac:dyDescent="0.25">
      <c r="A1825" s="4">
        <v>42571</v>
      </c>
      <c r="B1825" t="s">
        <v>30</v>
      </c>
      <c r="C1825">
        <v>202</v>
      </c>
      <c r="D1825">
        <v>5</v>
      </c>
      <c r="E1825">
        <v>2</v>
      </c>
      <c r="F1825" t="s">
        <v>41</v>
      </c>
      <c r="G1825" t="s">
        <v>32</v>
      </c>
      <c r="H1825" t="s">
        <v>33</v>
      </c>
      <c r="I1825" t="s">
        <v>34</v>
      </c>
      <c r="J1825" t="s">
        <v>35</v>
      </c>
      <c r="K1825" t="s">
        <v>114</v>
      </c>
      <c r="L1825" t="s">
        <v>43</v>
      </c>
      <c r="M1825">
        <v>0</v>
      </c>
      <c r="N1825">
        <v>0</v>
      </c>
      <c r="O1825" s="5">
        <v>50788</v>
      </c>
      <c r="P1825" s="5">
        <v>50787</v>
      </c>
      <c r="Q1825">
        <f>24.5-9</f>
        <v>15.5</v>
      </c>
      <c r="R1825" t="s">
        <v>65</v>
      </c>
      <c r="T1825">
        <v>20</v>
      </c>
      <c r="U1825">
        <v>77</v>
      </c>
      <c r="V1825">
        <v>14</v>
      </c>
      <c r="W1825">
        <v>12.8</v>
      </c>
      <c r="X1825">
        <v>26.4</v>
      </c>
      <c r="Z1825" t="s">
        <v>39</v>
      </c>
      <c r="AB1825" t="s">
        <v>87</v>
      </c>
      <c r="AC1825" t="s">
        <v>78</v>
      </c>
    </row>
    <row r="1826" spans="1:29" x14ac:dyDescent="0.25">
      <c r="A1826" s="4">
        <v>42571</v>
      </c>
      <c r="B1826" t="s">
        <v>30</v>
      </c>
      <c r="C1826">
        <v>202</v>
      </c>
      <c r="D1826">
        <v>6</v>
      </c>
      <c r="E1826">
        <v>1</v>
      </c>
      <c r="F1826" t="s">
        <v>41</v>
      </c>
      <c r="G1826" t="s">
        <v>32</v>
      </c>
      <c r="H1826" t="s">
        <v>33</v>
      </c>
      <c r="I1826" t="s">
        <v>57</v>
      </c>
      <c r="O1826" s="5"/>
      <c r="P1826" s="5"/>
    </row>
    <row r="1827" spans="1:29" x14ac:dyDescent="0.25">
      <c r="A1827" s="4">
        <v>42571</v>
      </c>
      <c r="B1827" t="s">
        <v>30</v>
      </c>
      <c r="C1827">
        <v>202</v>
      </c>
      <c r="D1827">
        <v>6</v>
      </c>
      <c r="E1827">
        <v>2</v>
      </c>
      <c r="F1827" t="s">
        <v>41</v>
      </c>
      <c r="G1827" t="s">
        <v>32</v>
      </c>
      <c r="H1827" t="s">
        <v>33</v>
      </c>
      <c r="I1827" t="s">
        <v>57</v>
      </c>
      <c r="O1827" s="5"/>
      <c r="P1827" s="5"/>
    </row>
    <row r="1828" spans="1:29" x14ac:dyDescent="0.25">
      <c r="A1828" s="4">
        <v>42571</v>
      </c>
      <c r="B1828" t="s">
        <v>30</v>
      </c>
      <c r="C1828">
        <v>202</v>
      </c>
      <c r="D1828">
        <v>8</v>
      </c>
      <c r="E1828">
        <v>1</v>
      </c>
      <c r="F1828" t="s">
        <v>41</v>
      </c>
      <c r="G1828" t="s">
        <v>32</v>
      </c>
      <c r="H1828" t="s">
        <v>33</v>
      </c>
      <c r="I1828" t="s">
        <v>57</v>
      </c>
      <c r="O1828" s="5"/>
      <c r="P1828" s="5"/>
    </row>
    <row r="1829" spans="1:29" x14ac:dyDescent="0.25">
      <c r="A1829" s="4">
        <v>42571</v>
      </c>
      <c r="B1829" t="s">
        <v>30</v>
      </c>
      <c r="C1829">
        <v>202</v>
      </c>
      <c r="D1829">
        <v>8</v>
      </c>
      <c r="E1829">
        <v>2</v>
      </c>
      <c r="F1829" t="s">
        <v>41</v>
      </c>
      <c r="G1829" t="s">
        <v>32</v>
      </c>
      <c r="H1829" t="s">
        <v>33</v>
      </c>
      <c r="I1829" t="s">
        <v>57</v>
      </c>
      <c r="O1829" s="5"/>
      <c r="P1829" s="5"/>
    </row>
    <row r="1830" spans="1:29" x14ac:dyDescent="0.25">
      <c r="A1830" s="4">
        <v>42571</v>
      </c>
      <c r="B1830" t="s">
        <v>30</v>
      </c>
      <c r="C1830">
        <v>304</v>
      </c>
      <c r="D1830">
        <v>1</v>
      </c>
      <c r="E1830">
        <v>1</v>
      </c>
      <c r="F1830" t="s">
        <v>41</v>
      </c>
      <c r="G1830" t="s">
        <v>32</v>
      </c>
      <c r="H1830" t="s">
        <v>33</v>
      </c>
      <c r="I1830" t="s">
        <v>84</v>
      </c>
      <c r="O1830" s="5"/>
      <c r="P1830" s="5"/>
    </row>
    <row r="1831" spans="1:29" x14ac:dyDescent="0.25">
      <c r="A1831" s="4">
        <v>42571</v>
      </c>
      <c r="B1831" t="s">
        <v>30</v>
      </c>
      <c r="C1831">
        <v>304</v>
      </c>
      <c r="D1831">
        <v>2</v>
      </c>
      <c r="E1831">
        <v>1</v>
      </c>
      <c r="F1831" t="s">
        <v>41</v>
      </c>
      <c r="G1831" t="s">
        <v>32</v>
      </c>
      <c r="H1831" t="s">
        <v>33</v>
      </c>
      <c r="I1831" t="s">
        <v>84</v>
      </c>
      <c r="O1831" s="5"/>
      <c r="P1831" s="5"/>
    </row>
    <row r="1832" spans="1:29" x14ac:dyDescent="0.25">
      <c r="A1832" s="4">
        <v>42571</v>
      </c>
      <c r="B1832" t="s">
        <v>30</v>
      </c>
      <c r="C1832">
        <v>304</v>
      </c>
      <c r="D1832">
        <v>3</v>
      </c>
      <c r="E1832">
        <v>1</v>
      </c>
      <c r="F1832" t="s">
        <v>41</v>
      </c>
      <c r="G1832" t="s">
        <v>32</v>
      </c>
      <c r="H1832" t="s">
        <v>33</v>
      </c>
      <c r="I1832" t="s">
        <v>53</v>
      </c>
      <c r="J1832" t="s">
        <v>62</v>
      </c>
      <c r="O1832" s="5"/>
      <c r="P1832" s="5"/>
    </row>
    <row r="1833" spans="1:29" x14ac:dyDescent="0.25">
      <c r="A1833" s="4">
        <v>42571</v>
      </c>
      <c r="B1833" t="s">
        <v>30</v>
      </c>
      <c r="C1833">
        <v>304</v>
      </c>
      <c r="D1833">
        <v>3</v>
      </c>
      <c r="E1833">
        <v>2</v>
      </c>
      <c r="F1833" t="s">
        <v>41</v>
      </c>
      <c r="G1833" t="s">
        <v>32</v>
      </c>
      <c r="H1833" t="s">
        <v>33</v>
      </c>
      <c r="I1833" t="s">
        <v>57</v>
      </c>
      <c r="O1833" s="5"/>
      <c r="P1833" s="5"/>
    </row>
    <row r="1834" spans="1:29" x14ac:dyDescent="0.25">
      <c r="A1834" s="4">
        <v>42571</v>
      </c>
      <c r="B1834" t="s">
        <v>30</v>
      </c>
      <c r="C1834">
        <v>304</v>
      </c>
      <c r="D1834">
        <v>4</v>
      </c>
      <c r="E1834">
        <v>1</v>
      </c>
      <c r="F1834" t="s">
        <v>41</v>
      </c>
      <c r="G1834" t="s">
        <v>32</v>
      </c>
      <c r="H1834" t="s">
        <v>33</v>
      </c>
      <c r="I1834" t="s">
        <v>75</v>
      </c>
      <c r="J1834" t="s">
        <v>237</v>
      </c>
      <c r="K1834" t="s">
        <v>239</v>
      </c>
      <c r="O1834" s="5"/>
      <c r="P1834" s="5"/>
    </row>
    <row r="1835" spans="1:29" x14ac:dyDescent="0.25">
      <c r="A1835" s="4">
        <v>42571</v>
      </c>
      <c r="B1835" t="s">
        <v>30</v>
      </c>
      <c r="C1835">
        <v>304</v>
      </c>
      <c r="D1835">
        <v>5</v>
      </c>
      <c r="E1835">
        <v>1</v>
      </c>
      <c r="F1835" t="s">
        <v>41</v>
      </c>
      <c r="G1835" t="s">
        <v>32</v>
      </c>
      <c r="H1835" t="s">
        <v>33</v>
      </c>
      <c r="I1835" t="s">
        <v>57</v>
      </c>
      <c r="O1835" s="5"/>
      <c r="P1835" s="5"/>
    </row>
    <row r="1836" spans="1:29" x14ac:dyDescent="0.25">
      <c r="A1836" s="4">
        <v>42571</v>
      </c>
      <c r="B1836" t="s">
        <v>30</v>
      </c>
      <c r="C1836">
        <v>304</v>
      </c>
      <c r="D1836">
        <v>6</v>
      </c>
      <c r="E1836">
        <v>1</v>
      </c>
      <c r="F1836" t="s">
        <v>41</v>
      </c>
      <c r="G1836" t="s">
        <v>32</v>
      </c>
      <c r="H1836" t="s">
        <v>33</v>
      </c>
      <c r="I1836" t="s">
        <v>57</v>
      </c>
      <c r="O1836" s="5"/>
      <c r="P1836" s="5"/>
    </row>
    <row r="1837" spans="1:29" x14ac:dyDescent="0.25">
      <c r="A1837" s="4">
        <v>42571</v>
      </c>
      <c r="B1837" t="s">
        <v>30</v>
      </c>
      <c r="C1837">
        <v>304</v>
      </c>
      <c r="D1837">
        <v>6</v>
      </c>
      <c r="E1837">
        <v>2</v>
      </c>
      <c r="F1837" t="s">
        <v>41</v>
      </c>
      <c r="G1837" t="s">
        <v>32</v>
      </c>
      <c r="H1837" t="s">
        <v>33</v>
      </c>
      <c r="I1837" t="s">
        <v>57</v>
      </c>
      <c r="O1837" s="5"/>
      <c r="P1837" s="5"/>
    </row>
    <row r="1838" spans="1:29" x14ac:dyDescent="0.25">
      <c r="A1838" s="4">
        <v>42571</v>
      </c>
      <c r="B1838" t="s">
        <v>30</v>
      </c>
      <c r="C1838">
        <v>304</v>
      </c>
      <c r="D1838">
        <v>7</v>
      </c>
      <c r="E1838">
        <v>1</v>
      </c>
      <c r="F1838" t="s">
        <v>41</v>
      </c>
      <c r="G1838" t="s">
        <v>32</v>
      </c>
      <c r="H1838" t="s">
        <v>33</v>
      </c>
      <c r="I1838" t="s">
        <v>57</v>
      </c>
      <c r="O1838" s="5"/>
      <c r="P1838" s="5"/>
    </row>
    <row r="1839" spans="1:29" x14ac:dyDescent="0.25">
      <c r="A1839" s="4">
        <v>42571</v>
      </c>
      <c r="B1839" t="s">
        <v>30</v>
      </c>
      <c r="C1839">
        <v>304</v>
      </c>
      <c r="D1839">
        <v>7</v>
      </c>
      <c r="E1839">
        <v>2</v>
      </c>
      <c r="F1839" t="s">
        <v>41</v>
      </c>
      <c r="G1839" t="s">
        <v>32</v>
      </c>
      <c r="H1839" t="s">
        <v>33</v>
      </c>
      <c r="I1839" t="s">
        <v>57</v>
      </c>
      <c r="O1839" s="5"/>
      <c r="P1839" s="5"/>
    </row>
    <row r="1840" spans="1:29" x14ac:dyDescent="0.25">
      <c r="A1840" s="4">
        <v>42571</v>
      </c>
      <c r="B1840" t="s">
        <v>30</v>
      </c>
      <c r="C1840">
        <v>304</v>
      </c>
      <c r="D1840">
        <v>8</v>
      </c>
      <c r="E1840">
        <v>1</v>
      </c>
      <c r="F1840" t="s">
        <v>41</v>
      </c>
      <c r="G1840" t="s">
        <v>32</v>
      </c>
      <c r="H1840" t="s">
        <v>33</v>
      </c>
      <c r="I1840" t="s">
        <v>84</v>
      </c>
      <c r="O1840" s="5"/>
      <c r="P1840" s="5"/>
    </row>
    <row r="1841" spans="1:29" x14ac:dyDescent="0.25">
      <c r="A1841" s="4">
        <v>42571</v>
      </c>
      <c r="B1841" t="s">
        <v>30</v>
      </c>
      <c r="C1841">
        <v>304</v>
      </c>
      <c r="D1841">
        <v>8</v>
      </c>
      <c r="E1841">
        <v>2</v>
      </c>
      <c r="F1841" t="s">
        <v>41</v>
      </c>
      <c r="G1841" t="s">
        <v>32</v>
      </c>
      <c r="H1841" t="s">
        <v>33</v>
      </c>
      <c r="J1841" t="s">
        <v>237</v>
      </c>
      <c r="K1841" t="s">
        <v>240</v>
      </c>
      <c r="O1841" s="5"/>
      <c r="P1841" s="5"/>
    </row>
    <row r="1842" spans="1:29" x14ac:dyDescent="0.25">
      <c r="A1842" s="4">
        <v>42571</v>
      </c>
      <c r="B1842" t="s">
        <v>30</v>
      </c>
      <c r="C1842">
        <v>304</v>
      </c>
      <c r="D1842">
        <v>9</v>
      </c>
      <c r="E1842">
        <v>1</v>
      </c>
      <c r="F1842" t="s">
        <v>41</v>
      </c>
      <c r="G1842" t="s">
        <v>32</v>
      </c>
      <c r="H1842" t="s">
        <v>33</v>
      </c>
      <c r="I1842" t="s">
        <v>57</v>
      </c>
      <c r="O1842" s="5"/>
      <c r="P1842" s="5"/>
    </row>
    <row r="1843" spans="1:29" x14ac:dyDescent="0.25">
      <c r="A1843" s="4">
        <v>42571</v>
      </c>
      <c r="B1843" t="s">
        <v>30</v>
      </c>
      <c r="C1843">
        <v>304</v>
      </c>
      <c r="D1843">
        <v>9</v>
      </c>
      <c r="E1843">
        <v>2</v>
      </c>
      <c r="F1843" t="s">
        <v>41</v>
      </c>
      <c r="G1843" t="s">
        <v>32</v>
      </c>
      <c r="H1843" t="s">
        <v>33</v>
      </c>
      <c r="I1843" t="s">
        <v>57</v>
      </c>
      <c r="O1843" s="5"/>
      <c r="P1843" s="5"/>
    </row>
    <row r="1844" spans="1:29" x14ac:dyDescent="0.25">
      <c r="A1844" s="4">
        <v>42571</v>
      </c>
      <c r="B1844" t="s">
        <v>30</v>
      </c>
      <c r="C1844">
        <v>304</v>
      </c>
      <c r="D1844">
        <v>10</v>
      </c>
      <c r="E1844">
        <v>1</v>
      </c>
      <c r="F1844" t="s">
        <v>41</v>
      </c>
      <c r="G1844" t="s">
        <v>32</v>
      </c>
      <c r="H1844" t="s">
        <v>33</v>
      </c>
      <c r="I1844" t="s">
        <v>53</v>
      </c>
      <c r="J1844" t="s">
        <v>62</v>
      </c>
      <c r="O1844" s="5"/>
      <c r="P1844" s="5"/>
    </row>
    <row r="1845" spans="1:29" x14ac:dyDescent="0.25">
      <c r="A1845" s="4">
        <v>42571</v>
      </c>
      <c r="B1845" t="s">
        <v>30</v>
      </c>
      <c r="C1845">
        <v>111</v>
      </c>
      <c r="D1845">
        <v>5</v>
      </c>
      <c r="E1845">
        <v>1</v>
      </c>
      <c r="F1845" t="s">
        <v>31</v>
      </c>
      <c r="G1845" t="s">
        <v>32</v>
      </c>
      <c r="H1845" t="s">
        <v>33</v>
      </c>
      <c r="I1845" t="s">
        <v>34</v>
      </c>
      <c r="J1845" t="s">
        <v>35</v>
      </c>
      <c r="K1845" t="s">
        <v>36</v>
      </c>
      <c r="L1845" t="s">
        <v>43</v>
      </c>
      <c r="M1845">
        <v>0</v>
      </c>
      <c r="N1845">
        <v>0</v>
      </c>
      <c r="O1845" s="5">
        <v>50475</v>
      </c>
      <c r="P1845" s="5">
        <v>50308</v>
      </c>
      <c r="Q1845">
        <f>32.5-11.5</f>
        <v>21</v>
      </c>
      <c r="R1845" t="s">
        <v>47</v>
      </c>
      <c r="T1845">
        <v>18</v>
      </c>
      <c r="U1845">
        <v>85</v>
      </c>
      <c r="V1845">
        <v>17</v>
      </c>
      <c r="W1845">
        <v>13.3</v>
      </c>
      <c r="X1845">
        <v>30.1</v>
      </c>
      <c r="Z1845" t="s">
        <v>39</v>
      </c>
      <c r="AB1845" t="s">
        <v>40</v>
      </c>
      <c r="AC1845" t="s">
        <v>56</v>
      </c>
    </row>
    <row r="1846" spans="1:29" x14ac:dyDescent="0.25">
      <c r="A1846" s="4">
        <v>42571</v>
      </c>
      <c r="B1846" t="s">
        <v>30</v>
      </c>
      <c r="C1846">
        <v>111</v>
      </c>
      <c r="D1846">
        <v>3</v>
      </c>
      <c r="E1846">
        <v>1</v>
      </c>
      <c r="F1846" t="s">
        <v>31</v>
      </c>
      <c r="G1846" t="s">
        <v>32</v>
      </c>
      <c r="H1846" t="s">
        <v>33</v>
      </c>
      <c r="I1846" t="s">
        <v>57</v>
      </c>
      <c r="O1846" s="5"/>
      <c r="P1846" s="5"/>
    </row>
    <row r="1847" spans="1:29" x14ac:dyDescent="0.25">
      <c r="A1847" s="4">
        <v>42571</v>
      </c>
      <c r="B1847" t="s">
        <v>30</v>
      </c>
      <c r="C1847">
        <v>111</v>
      </c>
      <c r="D1847">
        <v>3</v>
      </c>
      <c r="E1847">
        <v>2</v>
      </c>
      <c r="F1847" t="s">
        <v>31</v>
      </c>
      <c r="G1847" t="s">
        <v>32</v>
      </c>
      <c r="H1847" t="s">
        <v>33</v>
      </c>
      <c r="I1847" t="s">
        <v>34</v>
      </c>
      <c r="J1847" t="s">
        <v>35</v>
      </c>
      <c r="K1847" t="s">
        <v>36</v>
      </c>
      <c r="L1847" t="s">
        <v>43</v>
      </c>
      <c r="M1847">
        <v>0</v>
      </c>
      <c r="N1847">
        <v>0</v>
      </c>
      <c r="O1847" s="5">
        <v>50602</v>
      </c>
      <c r="P1847" s="5">
        <v>50601</v>
      </c>
      <c r="Q1847">
        <v>22</v>
      </c>
      <c r="R1847" t="s">
        <v>47</v>
      </c>
      <c r="T1847">
        <v>18</v>
      </c>
      <c r="U1847">
        <v>91</v>
      </c>
      <c r="V1847">
        <v>17</v>
      </c>
      <c r="W1847">
        <v>13.3</v>
      </c>
      <c r="X1847">
        <v>27.5</v>
      </c>
      <c r="Z1847" t="s">
        <v>39</v>
      </c>
      <c r="AB1847" t="s">
        <v>40</v>
      </c>
      <c r="AC1847" t="s">
        <v>56</v>
      </c>
    </row>
    <row r="1848" spans="1:29" x14ac:dyDescent="0.25">
      <c r="A1848" s="4">
        <v>42571</v>
      </c>
      <c r="B1848" t="s">
        <v>30</v>
      </c>
      <c r="C1848">
        <v>111</v>
      </c>
      <c r="D1848">
        <v>2</v>
      </c>
      <c r="E1848">
        <v>1</v>
      </c>
      <c r="F1848" t="s">
        <v>31</v>
      </c>
      <c r="G1848" t="s">
        <v>32</v>
      </c>
      <c r="H1848" t="s">
        <v>33</v>
      </c>
      <c r="I1848" t="s">
        <v>34</v>
      </c>
      <c r="J1848" t="s">
        <v>35</v>
      </c>
      <c r="K1848" t="s">
        <v>36</v>
      </c>
      <c r="L1848" t="s">
        <v>37</v>
      </c>
      <c r="M1848">
        <v>0</v>
      </c>
      <c r="N1848">
        <v>0</v>
      </c>
      <c r="O1848" s="5">
        <v>50348</v>
      </c>
      <c r="P1848" s="5">
        <v>50347</v>
      </c>
      <c r="Q1848">
        <f>35-14</f>
        <v>21</v>
      </c>
      <c r="R1848" t="s">
        <v>38</v>
      </c>
      <c r="S1848" t="s">
        <v>39</v>
      </c>
      <c r="T1848">
        <v>20</v>
      </c>
      <c r="U1848">
        <v>83</v>
      </c>
      <c r="V1848">
        <v>18</v>
      </c>
      <c r="Z1848" t="s">
        <v>39</v>
      </c>
      <c r="AB1848" t="s">
        <v>40</v>
      </c>
      <c r="AC1848" t="s">
        <v>56</v>
      </c>
    </row>
    <row r="1849" spans="1:29" x14ac:dyDescent="0.25">
      <c r="A1849" s="4">
        <v>42571</v>
      </c>
      <c r="B1849" t="s">
        <v>30</v>
      </c>
      <c r="C1849">
        <v>111</v>
      </c>
      <c r="D1849">
        <v>1</v>
      </c>
      <c r="E1849">
        <v>1</v>
      </c>
      <c r="F1849" t="s">
        <v>31</v>
      </c>
      <c r="G1849" t="s">
        <v>32</v>
      </c>
      <c r="H1849" t="s">
        <v>33</v>
      </c>
      <c r="I1849" t="s">
        <v>57</v>
      </c>
      <c r="O1849" s="5"/>
      <c r="P1849" s="5"/>
    </row>
    <row r="1850" spans="1:29" x14ac:dyDescent="0.25">
      <c r="A1850" s="4">
        <v>42571</v>
      </c>
      <c r="B1850" t="s">
        <v>30</v>
      </c>
      <c r="C1850">
        <v>111</v>
      </c>
      <c r="D1850">
        <v>7</v>
      </c>
      <c r="E1850">
        <v>1</v>
      </c>
      <c r="F1850" t="s">
        <v>31</v>
      </c>
      <c r="G1850" t="s">
        <v>32</v>
      </c>
      <c r="H1850" t="s">
        <v>33</v>
      </c>
      <c r="I1850" t="s">
        <v>34</v>
      </c>
      <c r="J1850" t="s">
        <v>42</v>
      </c>
      <c r="K1850" t="s">
        <v>114</v>
      </c>
      <c r="L1850" t="s">
        <v>43</v>
      </c>
      <c r="M1850">
        <v>0</v>
      </c>
      <c r="N1850">
        <v>0</v>
      </c>
      <c r="O1850" s="5">
        <v>50719</v>
      </c>
      <c r="P1850" s="5">
        <v>50718</v>
      </c>
      <c r="Q1850">
        <f>28-11</f>
        <v>17</v>
      </c>
      <c r="R1850" t="s">
        <v>65</v>
      </c>
      <c r="T1850">
        <v>19</v>
      </c>
      <c r="U1850">
        <v>86</v>
      </c>
      <c r="V1850">
        <v>18</v>
      </c>
      <c r="W1850">
        <v>12.3</v>
      </c>
      <c r="X1850">
        <v>26.8</v>
      </c>
      <c r="Z1850" t="s">
        <v>39</v>
      </c>
      <c r="AB1850" t="s">
        <v>40</v>
      </c>
      <c r="AC1850" t="s">
        <v>56</v>
      </c>
    </row>
    <row r="1851" spans="1:29" x14ac:dyDescent="0.25">
      <c r="A1851" s="4">
        <v>42571</v>
      </c>
      <c r="B1851" t="s">
        <v>30</v>
      </c>
      <c r="C1851">
        <v>111</v>
      </c>
      <c r="D1851">
        <v>8</v>
      </c>
      <c r="E1851">
        <v>1</v>
      </c>
      <c r="F1851" t="s">
        <v>31</v>
      </c>
      <c r="G1851" t="s">
        <v>32</v>
      </c>
      <c r="H1851" t="s">
        <v>33</v>
      </c>
      <c r="I1851" t="s">
        <v>34</v>
      </c>
      <c r="J1851" t="s">
        <v>122</v>
      </c>
      <c r="O1851" s="5"/>
      <c r="P1851" s="5"/>
    </row>
    <row r="1852" spans="1:29" x14ac:dyDescent="0.25">
      <c r="A1852" s="4">
        <v>42571</v>
      </c>
      <c r="B1852" t="s">
        <v>30</v>
      </c>
      <c r="C1852">
        <v>111</v>
      </c>
      <c r="D1852">
        <v>9</v>
      </c>
      <c r="E1852">
        <v>1</v>
      </c>
      <c r="F1852" t="s">
        <v>31</v>
      </c>
      <c r="G1852" t="s">
        <v>32</v>
      </c>
      <c r="H1852" t="s">
        <v>33</v>
      </c>
      <c r="I1852" t="s">
        <v>34</v>
      </c>
      <c r="J1852" t="s">
        <v>35</v>
      </c>
      <c r="K1852" t="s">
        <v>114</v>
      </c>
      <c r="L1852" t="s">
        <v>43</v>
      </c>
      <c r="M1852">
        <v>0</v>
      </c>
      <c r="N1852">
        <v>0</v>
      </c>
      <c r="O1852" s="5">
        <v>50530</v>
      </c>
      <c r="P1852" s="5">
        <v>50529</v>
      </c>
      <c r="Q1852">
        <f>27-9.5</f>
        <v>17.5</v>
      </c>
      <c r="R1852" t="s">
        <v>65</v>
      </c>
      <c r="T1852">
        <v>18</v>
      </c>
      <c r="V1852">
        <v>17</v>
      </c>
      <c r="W1852">
        <v>12.6</v>
      </c>
      <c r="X1852">
        <v>27.7</v>
      </c>
      <c r="Y1852" t="s">
        <v>241</v>
      </c>
      <c r="Z1852" t="s">
        <v>39</v>
      </c>
      <c r="AB1852" t="s">
        <v>40</v>
      </c>
      <c r="AC1852" t="s">
        <v>56</v>
      </c>
    </row>
    <row r="1853" spans="1:29" x14ac:dyDescent="0.25">
      <c r="A1853" s="4">
        <v>42571</v>
      </c>
      <c r="B1853" t="s">
        <v>30</v>
      </c>
      <c r="C1853">
        <v>111</v>
      </c>
      <c r="D1853">
        <v>9</v>
      </c>
      <c r="E1853">
        <v>2</v>
      </c>
      <c r="F1853" t="s">
        <v>31</v>
      </c>
      <c r="G1853" t="s">
        <v>32</v>
      </c>
      <c r="H1853" t="s">
        <v>33</v>
      </c>
      <c r="I1853" t="s">
        <v>57</v>
      </c>
      <c r="O1853" s="5"/>
      <c r="P1853" s="5"/>
    </row>
    <row r="1854" spans="1:29" x14ac:dyDescent="0.25">
      <c r="A1854" s="4">
        <v>42571</v>
      </c>
      <c r="B1854" t="s">
        <v>30</v>
      </c>
      <c r="C1854">
        <v>111</v>
      </c>
      <c r="D1854">
        <v>10</v>
      </c>
      <c r="E1854">
        <v>1</v>
      </c>
      <c r="F1854" t="s">
        <v>31</v>
      </c>
      <c r="G1854" t="s">
        <v>32</v>
      </c>
      <c r="H1854" t="s">
        <v>33</v>
      </c>
      <c r="I1854" t="s">
        <v>57</v>
      </c>
      <c r="O1854" s="5"/>
      <c r="P1854" s="5"/>
    </row>
    <row r="1855" spans="1:29" x14ac:dyDescent="0.25">
      <c r="A1855" s="4">
        <v>42571</v>
      </c>
      <c r="B1855" t="s">
        <v>30</v>
      </c>
      <c r="C1855">
        <v>111</v>
      </c>
      <c r="D1855">
        <v>10</v>
      </c>
      <c r="E1855">
        <v>2</v>
      </c>
      <c r="F1855" t="s">
        <v>31</v>
      </c>
      <c r="G1855" t="s">
        <v>32</v>
      </c>
      <c r="H1855" t="s">
        <v>33</v>
      </c>
      <c r="I1855" t="s">
        <v>34</v>
      </c>
      <c r="J1855" t="s">
        <v>42</v>
      </c>
      <c r="K1855" t="s">
        <v>89</v>
      </c>
      <c r="L1855" t="s">
        <v>37</v>
      </c>
      <c r="M1855">
        <v>0</v>
      </c>
      <c r="N1855">
        <v>1</v>
      </c>
      <c r="O1855" s="5">
        <v>50721</v>
      </c>
      <c r="P1855" s="5">
        <v>50720</v>
      </c>
      <c r="Q1855">
        <f>21.5-9</f>
        <v>12.5</v>
      </c>
      <c r="R1855" t="s">
        <v>38</v>
      </c>
      <c r="S1855" t="s">
        <v>39</v>
      </c>
      <c r="T1855">
        <v>18</v>
      </c>
      <c r="V1855">
        <v>16</v>
      </c>
      <c r="W1855">
        <v>12.4</v>
      </c>
      <c r="X1855">
        <v>25.7</v>
      </c>
      <c r="Z1855" t="s">
        <v>39</v>
      </c>
      <c r="AB1855" t="s">
        <v>40</v>
      </c>
      <c r="AC1855" t="s">
        <v>56</v>
      </c>
    </row>
    <row r="1856" spans="1:29" x14ac:dyDescent="0.25">
      <c r="A1856" s="4">
        <v>42571</v>
      </c>
      <c r="B1856" t="s">
        <v>30</v>
      </c>
      <c r="C1856">
        <v>112</v>
      </c>
      <c r="D1856">
        <v>1</v>
      </c>
      <c r="E1856">
        <v>1</v>
      </c>
      <c r="F1856" t="s">
        <v>31</v>
      </c>
      <c r="G1856" t="s">
        <v>32</v>
      </c>
      <c r="H1856" t="s">
        <v>33</v>
      </c>
      <c r="I1856" t="s">
        <v>57</v>
      </c>
      <c r="O1856" s="5"/>
      <c r="P1856" s="5"/>
    </row>
    <row r="1857" spans="1:30" x14ac:dyDescent="0.25">
      <c r="A1857" s="4">
        <v>42571</v>
      </c>
      <c r="B1857" t="s">
        <v>30</v>
      </c>
      <c r="C1857">
        <v>112</v>
      </c>
      <c r="D1857">
        <v>2</v>
      </c>
      <c r="E1857">
        <v>1</v>
      </c>
      <c r="F1857" t="s">
        <v>31</v>
      </c>
      <c r="G1857" t="s">
        <v>32</v>
      </c>
      <c r="H1857" t="s">
        <v>33</v>
      </c>
      <c r="I1857" t="s">
        <v>34</v>
      </c>
      <c r="J1857" t="s">
        <v>35</v>
      </c>
      <c r="K1857" t="s">
        <v>114</v>
      </c>
      <c r="L1857" t="s">
        <v>37</v>
      </c>
      <c r="M1857">
        <v>0</v>
      </c>
      <c r="N1857">
        <v>0</v>
      </c>
      <c r="O1857" s="5">
        <v>50709</v>
      </c>
      <c r="P1857" s="5">
        <v>50708</v>
      </c>
      <c r="Q1857">
        <v>17</v>
      </c>
      <c r="R1857" t="s">
        <v>38</v>
      </c>
      <c r="S1857" t="s">
        <v>39</v>
      </c>
      <c r="T1857">
        <v>19</v>
      </c>
      <c r="U1857">
        <v>86.5</v>
      </c>
      <c r="V1857">
        <v>15</v>
      </c>
      <c r="W1857">
        <v>12.75</v>
      </c>
      <c r="X1857">
        <v>25.6</v>
      </c>
      <c r="Z1857" t="s">
        <v>39</v>
      </c>
      <c r="AB1857" t="s">
        <v>40</v>
      </c>
      <c r="AC1857" t="s">
        <v>56</v>
      </c>
    </row>
    <row r="1858" spans="1:30" x14ac:dyDescent="0.25">
      <c r="A1858" s="4">
        <v>42571</v>
      </c>
      <c r="B1858" t="s">
        <v>30</v>
      </c>
      <c r="C1858">
        <v>112</v>
      </c>
      <c r="D1858">
        <v>2</v>
      </c>
      <c r="E1858">
        <v>2</v>
      </c>
      <c r="F1858" t="s">
        <v>31</v>
      </c>
      <c r="G1858" t="s">
        <v>32</v>
      </c>
      <c r="H1858" t="s">
        <v>33</v>
      </c>
      <c r="I1858" t="s">
        <v>57</v>
      </c>
      <c r="O1858" s="5"/>
      <c r="P1858" s="5"/>
    </row>
    <row r="1859" spans="1:30" x14ac:dyDescent="0.25">
      <c r="A1859" s="4">
        <v>42571</v>
      </c>
      <c r="B1859" t="s">
        <v>30</v>
      </c>
      <c r="C1859">
        <v>112</v>
      </c>
      <c r="D1859">
        <v>3</v>
      </c>
      <c r="E1859">
        <v>1</v>
      </c>
      <c r="F1859" t="s">
        <v>31</v>
      </c>
      <c r="G1859" t="s">
        <v>32</v>
      </c>
      <c r="H1859" t="s">
        <v>33</v>
      </c>
      <c r="I1859" t="s">
        <v>57</v>
      </c>
      <c r="O1859" s="5"/>
      <c r="P1859" s="5"/>
    </row>
    <row r="1860" spans="1:30" x14ac:dyDescent="0.25">
      <c r="A1860" s="4">
        <v>42571</v>
      </c>
      <c r="B1860" t="s">
        <v>30</v>
      </c>
      <c r="C1860">
        <v>112</v>
      </c>
      <c r="D1860">
        <v>3</v>
      </c>
      <c r="E1860">
        <v>2</v>
      </c>
      <c r="F1860" t="s">
        <v>31</v>
      </c>
      <c r="G1860" t="s">
        <v>32</v>
      </c>
      <c r="H1860" t="s">
        <v>33</v>
      </c>
      <c r="I1860" t="s">
        <v>57</v>
      </c>
      <c r="O1860" s="5"/>
      <c r="P1860" s="5"/>
    </row>
    <row r="1861" spans="1:30" x14ac:dyDescent="0.25">
      <c r="A1861" s="4">
        <v>42571</v>
      </c>
      <c r="B1861" t="s">
        <v>30</v>
      </c>
      <c r="C1861">
        <v>112</v>
      </c>
      <c r="D1861">
        <v>4</v>
      </c>
      <c r="E1861">
        <v>1</v>
      </c>
      <c r="F1861" t="s">
        <v>31</v>
      </c>
      <c r="G1861" t="s">
        <v>32</v>
      </c>
      <c r="H1861" t="s">
        <v>33</v>
      </c>
      <c r="I1861" t="s">
        <v>57</v>
      </c>
      <c r="O1861" s="5"/>
      <c r="P1861" s="5"/>
    </row>
    <row r="1862" spans="1:30" x14ac:dyDescent="0.25">
      <c r="A1862" s="4">
        <v>42571</v>
      </c>
      <c r="B1862" t="s">
        <v>30</v>
      </c>
      <c r="C1862">
        <v>112</v>
      </c>
      <c r="D1862">
        <v>4</v>
      </c>
      <c r="E1862">
        <v>2</v>
      </c>
      <c r="F1862" t="s">
        <v>31</v>
      </c>
      <c r="G1862" t="s">
        <v>32</v>
      </c>
      <c r="H1862" t="s">
        <v>33</v>
      </c>
      <c r="I1862" t="s">
        <v>34</v>
      </c>
      <c r="J1862" t="s">
        <v>35</v>
      </c>
      <c r="K1862" t="s">
        <v>36</v>
      </c>
      <c r="L1862" t="s">
        <v>43</v>
      </c>
      <c r="M1862">
        <v>0</v>
      </c>
      <c r="N1862">
        <v>0</v>
      </c>
      <c r="O1862" s="5">
        <v>50574</v>
      </c>
      <c r="P1862" s="5">
        <v>50573</v>
      </c>
      <c r="Q1862">
        <f>32.5-11.5</f>
        <v>21</v>
      </c>
      <c r="R1862" t="s">
        <v>47</v>
      </c>
      <c r="T1862">
        <v>20</v>
      </c>
      <c r="U1862">
        <v>93</v>
      </c>
      <c r="V1862">
        <v>15.5</v>
      </c>
      <c r="W1862">
        <v>13.3</v>
      </c>
      <c r="X1862">
        <v>27.65</v>
      </c>
      <c r="Z1862" t="s">
        <v>39</v>
      </c>
      <c r="AB1862" t="s">
        <v>40</v>
      </c>
      <c r="AC1862" t="s">
        <v>56</v>
      </c>
    </row>
    <row r="1863" spans="1:30" x14ac:dyDescent="0.25">
      <c r="A1863" s="4">
        <v>42571</v>
      </c>
      <c r="B1863" t="s">
        <v>30</v>
      </c>
      <c r="C1863">
        <v>112</v>
      </c>
      <c r="D1863">
        <v>5</v>
      </c>
      <c r="E1863">
        <v>1</v>
      </c>
      <c r="F1863" t="s">
        <v>31</v>
      </c>
      <c r="G1863" t="s">
        <v>32</v>
      </c>
      <c r="H1863" t="s">
        <v>33</v>
      </c>
      <c r="I1863" t="s">
        <v>34</v>
      </c>
      <c r="J1863" t="s">
        <v>35</v>
      </c>
      <c r="K1863" t="s">
        <v>36</v>
      </c>
      <c r="L1863" t="s">
        <v>43</v>
      </c>
      <c r="M1863">
        <v>0</v>
      </c>
      <c r="N1863">
        <v>0</v>
      </c>
      <c r="O1863" s="5">
        <v>50595</v>
      </c>
      <c r="P1863" s="5">
        <v>50594</v>
      </c>
      <c r="Q1863">
        <f>34.5-13</f>
        <v>21.5</v>
      </c>
      <c r="R1863" t="s">
        <v>47</v>
      </c>
      <c r="T1863">
        <v>20</v>
      </c>
      <c r="U1863">
        <v>86</v>
      </c>
      <c r="V1863">
        <v>17</v>
      </c>
      <c r="Y1863" t="s">
        <v>242</v>
      </c>
      <c r="Z1863" t="s">
        <v>39</v>
      </c>
      <c r="AB1863" t="s">
        <v>40</v>
      </c>
      <c r="AC1863" t="s">
        <v>56</v>
      </c>
    </row>
    <row r="1864" spans="1:30" x14ac:dyDescent="0.25">
      <c r="A1864" s="4">
        <v>42571</v>
      </c>
      <c r="B1864" t="s">
        <v>30</v>
      </c>
      <c r="C1864">
        <v>112</v>
      </c>
      <c r="D1864">
        <v>6</v>
      </c>
      <c r="E1864">
        <v>1</v>
      </c>
      <c r="F1864" t="s">
        <v>31</v>
      </c>
      <c r="G1864" t="s">
        <v>32</v>
      </c>
      <c r="H1864" t="s">
        <v>33</v>
      </c>
      <c r="I1864" t="s">
        <v>57</v>
      </c>
      <c r="O1864" s="5"/>
      <c r="P1864" s="5"/>
    </row>
    <row r="1865" spans="1:30" x14ac:dyDescent="0.25">
      <c r="A1865" s="4">
        <v>42571</v>
      </c>
      <c r="B1865" t="s">
        <v>30</v>
      </c>
      <c r="C1865">
        <v>112</v>
      </c>
      <c r="D1865">
        <v>6</v>
      </c>
      <c r="E1865">
        <v>2</v>
      </c>
      <c r="F1865" t="s">
        <v>31</v>
      </c>
      <c r="G1865" t="s">
        <v>32</v>
      </c>
      <c r="H1865" t="s">
        <v>33</v>
      </c>
      <c r="I1865" t="s">
        <v>91</v>
      </c>
      <c r="J1865" t="s">
        <v>35</v>
      </c>
      <c r="K1865" t="s">
        <v>36</v>
      </c>
      <c r="L1865" t="s">
        <v>43</v>
      </c>
      <c r="M1865">
        <v>0</v>
      </c>
      <c r="N1865">
        <v>0</v>
      </c>
      <c r="O1865" s="5">
        <v>50495</v>
      </c>
      <c r="P1865" s="5"/>
      <c r="Q1865">
        <f>33-12</f>
        <v>21</v>
      </c>
      <c r="R1865" t="s">
        <v>47</v>
      </c>
      <c r="T1865">
        <v>30</v>
      </c>
      <c r="W1865">
        <v>12.75</v>
      </c>
      <c r="X1865">
        <v>27.3</v>
      </c>
      <c r="Z1865" t="s">
        <v>39</v>
      </c>
      <c r="AB1865" t="s">
        <v>40</v>
      </c>
      <c r="AC1865" t="s">
        <v>56</v>
      </c>
    </row>
    <row r="1866" spans="1:30" x14ac:dyDescent="0.25">
      <c r="A1866" s="4">
        <v>42571</v>
      </c>
      <c r="B1866" t="s">
        <v>30</v>
      </c>
      <c r="C1866">
        <v>112</v>
      </c>
      <c r="D1866">
        <v>7</v>
      </c>
      <c r="E1866">
        <v>1</v>
      </c>
      <c r="F1866" t="s">
        <v>31</v>
      </c>
      <c r="G1866" t="s">
        <v>32</v>
      </c>
      <c r="H1866" t="s">
        <v>33</v>
      </c>
      <c r="I1866" t="s">
        <v>91</v>
      </c>
      <c r="J1866" t="s">
        <v>51</v>
      </c>
      <c r="K1866" t="s">
        <v>36</v>
      </c>
      <c r="L1866" t="s">
        <v>37</v>
      </c>
      <c r="M1866">
        <v>1</v>
      </c>
      <c r="N1866">
        <v>0</v>
      </c>
      <c r="O1866" s="5" t="s">
        <v>165</v>
      </c>
      <c r="P1866" s="5">
        <v>50802</v>
      </c>
      <c r="Q1866">
        <v>28</v>
      </c>
      <c r="R1866" t="s">
        <v>143</v>
      </c>
      <c r="S1866" t="s">
        <v>97</v>
      </c>
      <c r="T1866">
        <v>28.5</v>
      </c>
      <c r="W1866">
        <v>13</v>
      </c>
      <c r="X1866">
        <v>25.7</v>
      </c>
      <c r="Z1866" t="s">
        <v>39</v>
      </c>
      <c r="AB1866" t="s">
        <v>40</v>
      </c>
      <c r="AC1866" t="s">
        <v>56</v>
      </c>
      <c r="AD1866" t="s">
        <v>243</v>
      </c>
    </row>
    <row r="1867" spans="1:30" x14ac:dyDescent="0.25">
      <c r="A1867" s="4">
        <v>42571</v>
      </c>
      <c r="B1867" t="s">
        <v>30</v>
      </c>
      <c r="C1867">
        <v>112</v>
      </c>
      <c r="D1867">
        <v>7</v>
      </c>
      <c r="E1867">
        <v>2</v>
      </c>
      <c r="F1867" t="s">
        <v>31</v>
      </c>
      <c r="G1867" t="s">
        <v>32</v>
      </c>
      <c r="H1867" t="s">
        <v>33</v>
      </c>
      <c r="I1867" t="s">
        <v>34</v>
      </c>
      <c r="J1867" t="s">
        <v>42</v>
      </c>
      <c r="K1867" t="s">
        <v>114</v>
      </c>
      <c r="L1867" t="s">
        <v>37</v>
      </c>
      <c r="M1867">
        <v>0</v>
      </c>
      <c r="N1867">
        <v>1</v>
      </c>
      <c r="O1867" s="5">
        <v>50804</v>
      </c>
      <c r="P1867" s="5">
        <v>50803</v>
      </c>
      <c r="Q1867">
        <f>33-10.5</f>
        <v>22.5</v>
      </c>
      <c r="R1867" t="s">
        <v>81</v>
      </c>
      <c r="S1867" t="s">
        <v>97</v>
      </c>
      <c r="T1867">
        <v>19</v>
      </c>
      <c r="U1867">
        <v>93</v>
      </c>
      <c r="V1867">
        <v>17</v>
      </c>
      <c r="W1867">
        <v>12.9</v>
      </c>
      <c r="X1867">
        <v>28</v>
      </c>
      <c r="Z1867" t="s">
        <v>39</v>
      </c>
      <c r="AB1867" t="s">
        <v>40</v>
      </c>
      <c r="AC1867" t="s">
        <v>56</v>
      </c>
    </row>
    <row r="1868" spans="1:30" x14ac:dyDescent="0.25">
      <c r="A1868" s="4">
        <v>42571</v>
      </c>
      <c r="B1868" t="s">
        <v>30</v>
      </c>
      <c r="C1868">
        <v>112</v>
      </c>
      <c r="D1868">
        <v>8</v>
      </c>
      <c r="E1868">
        <v>1</v>
      </c>
      <c r="F1868" t="s">
        <v>31</v>
      </c>
      <c r="G1868" t="s">
        <v>32</v>
      </c>
      <c r="H1868" t="s">
        <v>33</v>
      </c>
      <c r="I1868" t="s">
        <v>34</v>
      </c>
      <c r="J1868" t="s">
        <v>35</v>
      </c>
      <c r="K1868" t="s">
        <v>114</v>
      </c>
      <c r="L1868" t="s">
        <v>43</v>
      </c>
      <c r="M1868">
        <v>0</v>
      </c>
      <c r="N1868">
        <v>0</v>
      </c>
      <c r="O1868" s="5">
        <v>50497</v>
      </c>
      <c r="P1868" s="5">
        <v>50496</v>
      </c>
      <c r="Q1868">
        <f>29-11</f>
        <v>18</v>
      </c>
      <c r="R1868">
        <v>25.2</v>
      </c>
      <c r="T1868">
        <v>19</v>
      </c>
      <c r="U1868">
        <v>80</v>
      </c>
      <c r="V1868">
        <v>17</v>
      </c>
      <c r="W1868">
        <v>13.1</v>
      </c>
      <c r="X1868">
        <v>25.2</v>
      </c>
      <c r="Z1868" t="s">
        <v>39</v>
      </c>
      <c r="AB1868" t="s">
        <v>40</v>
      </c>
      <c r="AC1868" t="s">
        <v>56</v>
      </c>
    </row>
    <row r="1869" spans="1:30" x14ac:dyDescent="0.25">
      <c r="A1869" s="4">
        <v>42571</v>
      </c>
      <c r="B1869" t="s">
        <v>30</v>
      </c>
      <c r="C1869">
        <v>112</v>
      </c>
      <c r="D1869">
        <v>9</v>
      </c>
      <c r="E1869">
        <v>1</v>
      </c>
      <c r="F1869" t="s">
        <v>31</v>
      </c>
      <c r="G1869" t="s">
        <v>32</v>
      </c>
      <c r="H1869" t="s">
        <v>33</v>
      </c>
      <c r="I1869" t="s">
        <v>57</v>
      </c>
      <c r="O1869" s="5"/>
      <c r="P1869" s="5"/>
    </row>
    <row r="1870" spans="1:30" x14ac:dyDescent="0.25">
      <c r="A1870" s="4">
        <v>42571</v>
      </c>
      <c r="B1870" t="s">
        <v>30</v>
      </c>
      <c r="C1870">
        <v>112</v>
      </c>
      <c r="D1870">
        <v>9</v>
      </c>
      <c r="E1870">
        <v>2</v>
      </c>
      <c r="F1870" t="s">
        <v>31</v>
      </c>
      <c r="G1870" t="s">
        <v>32</v>
      </c>
      <c r="H1870" t="s">
        <v>33</v>
      </c>
      <c r="I1870" t="s">
        <v>91</v>
      </c>
      <c r="J1870" t="s">
        <v>42</v>
      </c>
      <c r="K1870" t="s">
        <v>89</v>
      </c>
      <c r="L1870" t="s">
        <v>43</v>
      </c>
      <c r="M1870">
        <v>0</v>
      </c>
      <c r="N1870">
        <v>1</v>
      </c>
      <c r="O1870" s="5">
        <v>50805</v>
      </c>
      <c r="P1870" s="5"/>
      <c r="Q1870">
        <f>29.5-11</f>
        <v>18.5</v>
      </c>
      <c r="R1870" t="s">
        <v>47</v>
      </c>
      <c r="T1870">
        <v>27</v>
      </c>
      <c r="W1870">
        <v>12.4</v>
      </c>
      <c r="X1870">
        <v>26.3</v>
      </c>
      <c r="Z1870" t="s">
        <v>39</v>
      </c>
      <c r="AB1870" t="s">
        <v>40</v>
      </c>
      <c r="AC1870" t="s">
        <v>56</v>
      </c>
    </row>
    <row r="1871" spans="1:30" x14ac:dyDescent="0.25">
      <c r="A1871" s="4">
        <v>42571</v>
      </c>
      <c r="B1871" t="s">
        <v>30</v>
      </c>
      <c r="C1871">
        <v>113</v>
      </c>
      <c r="D1871">
        <v>3</v>
      </c>
      <c r="E1871">
        <v>1</v>
      </c>
      <c r="F1871" t="s">
        <v>31</v>
      </c>
      <c r="G1871" t="s">
        <v>32</v>
      </c>
      <c r="H1871" t="s">
        <v>33</v>
      </c>
      <c r="I1871" t="s">
        <v>34</v>
      </c>
      <c r="J1871" t="s">
        <v>35</v>
      </c>
      <c r="K1871" t="s">
        <v>114</v>
      </c>
      <c r="L1871" t="s">
        <v>37</v>
      </c>
      <c r="M1871">
        <v>0</v>
      </c>
      <c r="N1871">
        <v>0</v>
      </c>
      <c r="O1871" s="5">
        <v>50712</v>
      </c>
      <c r="P1871" s="5">
        <v>50711</v>
      </c>
      <c r="Q1871">
        <f>26.5-9.5</f>
        <v>17</v>
      </c>
      <c r="R1871" t="s">
        <v>38</v>
      </c>
      <c r="S1871" t="s">
        <v>39</v>
      </c>
      <c r="T1871">
        <v>18</v>
      </c>
      <c r="U1871">
        <v>90.5</v>
      </c>
      <c r="V1871">
        <v>17</v>
      </c>
      <c r="W1871">
        <v>12.6</v>
      </c>
      <c r="X1871">
        <v>25.9</v>
      </c>
      <c r="Z1871" t="s">
        <v>39</v>
      </c>
      <c r="AB1871" t="s">
        <v>40</v>
      </c>
      <c r="AC1871" t="s">
        <v>56</v>
      </c>
    </row>
    <row r="1872" spans="1:30" x14ac:dyDescent="0.25">
      <c r="A1872" s="4">
        <v>42571</v>
      </c>
      <c r="B1872" t="s">
        <v>30</v>
      </c>
      <c r="C1872">
        <v>113</v>
      </c>
      <c r="D1872">
        <v>6</v>
      </c>
      <c r="E1872">
        <v>1</v>
      </c>
      <c r="F1872" t="s">
        <v>31</v>
      </c>
      <c r="G1872" t="s">
        <v>32</v>
      </c>
      <c r="H1872" t="s">
        <v>33</v>
      </c>
      <c r="I1872" t="s">
        <v>57</v>
      </c>
      <c r="O1872" s="5"/>
      <c r="P1872" s="5"/>
    </row>
    <row r="1873" spans="1:29" x14ac:dyDescent="0.25">
      <c r="A1873" s="4">
        <v>42571</v>
      </c>
      <c r="B1873" t="s">
        <v>30</v>
      </c>
      <c r="C1873">
        <v>113</v>
      </c>
      <c r="D1873">
        <v>7</v>
      </c>
      <c r="E1873">
        <v>1</v>
      </c>
      <c r="F1873" t="s">
        <v>31</v>
      </c>
      <c r="G1873" t="s">
        <v>32</v>
      </c>
      <c r="H1873" t="s">
        <v>33</v>
      </c>
      <c r="I1873" t="s">
        <v>34</v>
      </c>
      <c r="J1873" t="s">
        <v>35</v>
      </c>
      <c r="K1873" t="s">
        <v>114</v>
      </c>
      <c r="L1873" t="s">
        <v>37</v>
      </c>
      <c r="M1873">
        <v>0</v>
      </c>
      <c r="N1873">
        <v>0</v>
      </c>
      <c r="O1873" s="5">
        <v>50520</v>
      </c>
      <c r="P1873" s="5">
        <v>50519</v>
      </c>
      <c r="Q1873">
        <f>28-9.5</f>
        <v>18.5</v>
      </c>
      <c r="R1873" t="s">
        <v>74</v>
      </c>
      <c r="S1873" t="s">
        <v>97</v>
      </c>
      <c r="T1873">
        <v>18</v>
      </c>
      <c r="U1873">
        <v>84</v>
      </c>
      <c r="V1873">
        <v>17</v>
      </c>
      <c r="W1873">
        <v>12.65</v>
      </c>
      <c r="X1873">
        <v>27.25</v>
      </c>
      <c r="Z1873" t="s">
        <v>39</v>
      </c>
      <c r="AB1873" t="s">
        <v>40</v>
      </c>
      <c r="AC1873" t="s">
        <v>56</v>
      </c>
    </row>
    <row r="1874" spans="1:29" x14ac:dyDescent="0.25">
      <c r="A1874" s="4">
        <v>42571</v>
      </c>
      <c r="B1874" t="s">
        <v>30</v>
      </c>
      <c r="C1874">
        <v>113</v>
      </c>
      <c r="D1874">
        <v>7</v>
      </c>
      <c r="E1874">
        <v>2</v>
      </c>
      <c r="F1874" t="s">
        <v>31</v>
      </c>
      <c r="G1874" t="s">
        <v>32</v>
      </c>
      <c r="H1874" t="s">
        <v>33</v>
      </c>
      <c r="I1874" t="s">
        <v>57</v>
      </c>
      <c r="O1874" s="5"/>
      <c r="P1874" s="5"/>
    </row>
    <row r="1875" spans="1:29" x14ac:dyDescent="0.25">
      <c r="A1875" s="4">
        <v>42571</v>
      </c>
      <c r="B1875" t="s">
        <v>30</v>
      </c>
      <c r="C1875">
        <v>113</v>
      </c>
      <c r="D1875">
        <v>8</v>
      </c>
      <c r="E1875">
        <v>1</v>
      </c>
      <c r="F1875" t="s">
        <v>31</v>
      </c>
      <c r="G1875" t="s">
        <v>32</v>
      </c>
      <c r="H1875" t="s">
        <v>33</v>
      </c>
      <c r="I1875" t="s">
        <v>57</v>
      </c>
      <c r="O1875" s="5"/>
      <c r="P1875" s="5"/>
    </row>
    <row r="1876" spans="1:29" x14ac:dyDescent="0.25">
      <c r="A1876" s="4">
        <v>42571</v>
      </c>
      <c r="B1876" t="s">
        <v>30</v>
      </c>
      <c r="C1876">
        <v>113</v>
      </c>
      <c r="D1876">
        <v>9</v>
      </c>
      <c r="E1876">
        <v>1</v>
      </c>
      <c r="F1876" t="s">
        <v>31</v>
      </c>
      <c r="G1876" t="s">
        <v>32</v>
      </c>
      <c r="H1876" t="s">
        <v>33</v>
      </c>
      <c r="I1876" t="s">
        <v>34</v>
      </c>
      <c r="J1876" t="s">
        <v>35</v>
      </c>
      <c r="K1876" t="s">
        <v>36</v>
      </c>
      <c r="L1876" t="s">
        <v>43</v>
      </c>
      <c r="M1876">
        <v>0</v>
      </c>
      <c r="N1876">
        <v>0</v>
      </c>
      <c r="O1876" s="5">
        <v>50559</v>
      </c>
      <c r="P1876" s="5">
        <v>50558</v>
      </c>
      <c r="Q1876">
        <v>20</v>
      </c>
      <c r="R1876" t="s">
        <v>47</v>
      </c>
      <c r="T1876">
        <v>20</v>
      </c>
      <c r="U1876">
        <v>82</v>
      </c>
      <c r="V1876">
        <v>18.5</v>
      </c>
      <c r="W1876">
        <v>13.4</v>
      </c>
      <c r="X1876">
        <v>29.2</v>
      </c>
      <c r="Z1876" t="s">
        <v>39</v>
      </c>
      <c r="AB1876" t="s">
        <v>40</v>
      </c>
      <c r="AC1876" t="s">
        <v>56</v>
      </c>
    </row>
    <row r="1877" spans="1:29" x14ac:dyDescent="0.25">
      <c r="A1877" s="4">
        <v>42571</v>
      </c>
      <c r="B1877" t="s">
        <v>30</v>
      </c>
      <c r="C1877">
        <v>113</v>
      </c>
      <c r="D1877">
        <v>9</v>
      </c>
      <c r="E1877">
        <v>2</v>
      </c>
      <c r="F1877" t="s">
        <v>31</v>
      </c>
      <c r="G1877" t="s">
        <v>32</v>
      </c>
      <c r="H1877" t="s">
        <v>33</v>
      </c>
      <c r="I1877" t="s">
        <v>73</v>
      </c>
      <c r="J1877" t="s">
        <v>35</v>
      </c>
      <c r="K1877" t="s">
        <v>36</v>
      </c>
      <c r="L1877" t="s">
        <v>43</v>
      </c>
      <c r="M1877">
        <v>0</v>
      </c>
      <c r="N1877">
        <v>0</v>
      </c>
      <c r="O1877" s="5">
        <v>50482</v>
      </c>
      <c r="P1877" s="5"/>
      <c r="Q1877">
        <f>190-117</f>
        <v>73</v>
      </c>
      <c r="R1877" t="s">
        <v>47</v>
      </c>
      <c r="T1877">
        <v>27</v>
      </c>
      <c r="W1877">
        <v>21.8</v>
      </c>
      <c r="X1877">
        <v>41.2</v>
      </c>
      <c r="Z1877" t="s">
        <v>39</v>
      </c>
      <c r="AB1877" t="s">
        <v>40</v>
      </c>
      <c r="AC1877" t="s">
        <v>56</v>
      </c>
    </row>
    <row r="1878" spans="1:29" x14ac:dyDescent="0.25">
      <c r="A1878" s="4">
        <v>42571</v>
      </c>
      <c r="B1878" t="s">
        <v>30</v>
      </c>
      <c r="C1878">
        <v>113</v>
      </c>
      <c r="D1878">
        <v>10</v>
      </c>
      <c r="E1878">
        <v>1</v>
      </c>
      <c r="F1878" t="s">
        <v>31</v>
      </c>
      <c r="G1878" t="s">
        <v>32</v>
      </c>
      <c r="H1878" t="s">
        <v>33</v>
      </c>
      <c r="I1878" t="s">
        <v>57</v>
      </c>
      <c r="O1878" s="5"/>
      <c r="P1878" s="5"/>
    </row>
    <row r="1879" spans="1:29" x14ac:dyDescent="0.25">
      <c r="A1879" s="4">
        <v>42571</v>
      </c>
      <c r="B1879" t="s">
        <v>30</v>
      </c>
      <c r="C1879">
        <v>113</v>
      </c>
      <c r="D1879">
        <v>10</v>
      </c>
      <c r="E1879">
        <v>2</v>
      </c>
      <c r="F1879" t="s">
        <v>31</v>
      </c>
      <c r="G1879" t="s">
        <v>32</v>
      </c>
      <c r="H1879" t="s">
        <v>33</v>
      </c>
      <c r="I1879" t="s">
        <v>34</v>
      </c>
      <c r="J1879" t="s">
        <v>35</v>
      </c>
      <c r="K1879" t="s">
        <v>114</v>
      </c>
      <c r="L1879" t="s">
        <v>43</v>
      </c>
      <c r="M1879">
        <v>0</v>
      </c>
      <c r="N1879">
        <v>0</v>
      </c>
      <c r="O1879" s="5">
        <v>50716</v>
      </c>
      <c r="P1879" s="5">
        <v>50715</v>
      </c>
      <c r="Q1879">
        <f>28-10.5</f>
        <v>17.5</v>
      </c>
      <c r="R1879" t="s">
        <v>65</v>
      </c>
      <c r="T1879">
        <v>18</v>
      </c>
      <c r="U1879">
        <v>82</v>
      </c>
      <c r="V1879">
        <v>15</v>
      </c>
      <c r="W1879">
        <v>13</v>
      </c>
      <c r="X1879">
        <v>25.6</v>
      </c>
      <c r="Z1879" t="s">
        <v>39</v>
      </c>
      <c r="AB1879" t="s">
        <v>40</v>
      </c>
      <c r="AC1879" t="s">
        <v>56</v>
      </c>
    </row>
    <row r="1880" spans="1:29" x14ac:dyDescent="0.25">
      <c r="A1880" s="4">
        <v>42571</v>
      </c>
      <c r="B1880" t="s">
        <v>30</v>
      </c>
      <c r="C1880">
        <v>402</v>
      </c>
      <c r="D1880">
        <v>1</v>
      </c>
      <c r="E1880">
        <v>1</v>
      </c>
      <c r="F1880" t="s">
        <v>31</v>
      </c>
      <c r="G1880" t="s">
        <v>32</v>
      </c>
      <c r="H1880" t="s">
        <v>33</v>
      </c>
      <c r="I1880" t="s">
        <v>58</v>
      </c>
      <c r="J1880" t="s">
        <v>42</v>
      </c>
      <c r="K1880" t="s">
        <v>36</v>
      </c>
      <c r="L1880" t="s">
        <v>37</v>
      </c>
      <c r="M1880">
        <v>0</v>
      </c>
      <c r="N1880">
        <v>1</v>
      </c>
      <c r="O1880" s="5">
        <v>50806</v>
      </c>
      <c r="P1880" s="5"/>
      <c r="Q1880">
        <f>33-12.5</f>
        <v>20.5</v>
      </c>
      <c r="R1880" t="s">
        <v>83</v>
      </c>
      <c r="S1880" t="s">
        <v>39</v>
      </c>
      <c r="T1880">
        <v>16</v>
      </c>
      <c r="W1880">
        <v>12.55</v>
      </c>
      <c r="X1880">
        <v>24.6</v>
      </c>
      <c r="Z1880" t="s">
        <v>97</v>
      </c>
      <c r="AA1880" t="s">
        <v>244</v>
      </c>
      <c r="AB1880" t="s">
        <v>40</v>
      </c>
      <c r="AC1880" t="s">
        <v>56</v>
      </c>
    </row>
    <row r="1881" spans="1:29" x14ac:dyDescent="0.25">
      <c r="A1881" s="4">
        <v>42571</v>
      </c>
      <c r="B1881" t="s">
        <v>30</v>
      </c>
      <c r="C1881">
        <v>402</v>
      </c>
      <c r="D1881">
        <v>1</v>
      </c>
      <c r="E1881">
        <v>2</v>
      </c>
      <c r="F1881" t="s">
        <v>31</v>
      </c>
      <c r="G1881" t="s">
        <v>32</v>
      </c>
      <c r="H1881" t="s">
        <v>33</v>
      </c>
      <c r="I1881" t="s">
        <v>58</v>
      </c>
      <c r="J1881" t="s">
        <v>42</v>
      </c>
      <c r="K1881" t="s">
        <v>36</v>
      </c>
      <c r="L1881" t="s">
        <v>43</v>
      </c>
      <c r="M1881">
        <v>0</v>
      </c>
      <c r="N1881">
        <v>1</v>
      </c>
      <c r="O1881" s="5">
        <v>50807</v>
      </c>
      <c r="P1881" s="5"/>
      <c r="Q1881">
        <v>22</v>
      </c>
      <c r="R1881" t="s">
        <v>65</v>
      </c>
      <c r="T1881">
        <v>16</v>
      </c>
      <c r="Z1881" t="s">
        <v>97</v>
      </c>
      <c r="AA1881" t="s">
        <v>245</v>
      </c>
      <c r="AB1881" t="s">
        <v>40</v>
      </c>
      <c r="AC1881" t="s">
        <v>56</v>
      </c>
    </row>
    <row r="1882" spans="1:29" x14ac:dyDescent="0.25">
      <c r="A1882" s="4">
        <v>42571</v>
      </c>
      <c r="B1882" t="s">
        <v>30</v>
      </c>
      <c r="C1882">
        <v>402</v>
      </c>
      <c r="D1882">
        <v>3</v>
      </c>
      <c r="E1882">
        <v>1</v>
      </c>
      <c r="F1882" t="s">
        <v>31</v>
      </c>
      <c r="G1882" t="s">
        <v>32</v>
      </c>
      <c r="H1882" t="s">
        <v>33</v>
      </c>
      <c r="I1882" t="s">
        <v>57</v>
      </c>
      <c r="O1882" s="5"/>
      <c r="P1882" s="5"/>
    </row>
    <row r="1883" spans="1:29" x14ac:dyDescent="0.25">
      <c r="A1883" s="4">
        <v>42571</v>
      </c>
      <c r="B1883" t="s">
        <v>30</v>
      </c>
      <c r="C1883">
        <v>402</v>
      </c>
      <c r="D1883">
        <v>5</v>
      </c>
      <c r="E1883">
        <v>1</v>
      </c>
      <c r="F1883" t="s">
        <v>31</v>
      </c>
      <c r="G1883" t="s">
        <v>32</v>
      </c>
      <c r="H1883" t="s">
        <v>33</v>
      </c>
      <c r="I1883" t="s">
        <v>57</v>
      </c>
      <c r="O1883" s="5"/>
      <c r="P1883" s="5"/>
    </row>
    <row r="1884" spans="1:29" x14ac:dyDescent="0.25">
      <c r="A1884" s="4">
        <v>42571</v>
      </c>
      <c r="B1884" t="s">
        <v>30</v>
      </c>
      <c r="C1884">
        <v>402</v>
      </c>
      <c r="D1884">
        <v>6</v>
      </c>
      <c r="E1884">
        <v>1</v>
      </c>
      <c r="F1884" t="s">
        <v>31</v>
      </c>
      <c r="G1884" t="s">
        <v>32</v>
      </c>
      <c r="H1884" t="s">
        <v>33</v>
      </c>
      <c r="I1884" t="s">
        <v>84</v>
      </c>
      <c r="O1884" s="5"/>
      <c r="P1884" s="5"/>
    </row>
    <row r="1885" spans="1:29" x14ac:dyDescent="0.25">
      <c r="A1885" s="4">
        <v>42571</v>
      </c>
      <c r="B1885" t="s">
        <v>30</v>
      </c>
      <c r="C1885">
        <v>402</v>
      </c>
      <c r="D1885">
        <v>7</v>
      </c>
      <c r="E1885">
        <v>1</v>
      </c>
      <c r="F1885" t="s">
        <v>31</v>
      </c>
      <c r="G1885" t="s">
        <v>32</v>
      </c>
      <c r="H1885" t="s">
        <v>33</v>
      </c>
      <c r="I1885" t="s">
        <v>84</v>
      </c>
      <c r="O1885" s="5"/>
      <c r="P1885" s="5"/>
    </row>
    <row r="1886" spans="1:29" x14ac:dyDescent="0.25">
      <c r="A1886" s="4">
        <v>42571</v>
      </c>
      <c r="B1886" t="s">
        <v>30</v>
      </c>
      <c r="C1886">
        <v>402</v>
      </c>
      <c r="D1886">
        <v>8</v>
      </c>
      <c r="E1886">
        <v>1</v>
      </c>
      <c r="F1886" t="s">
        <v>31</v>
      </c>
      <c r="G1886" t="s">
        <v>32</v>
      </c>
      <c r="H1886" t="s">
        <v>33</v>
      </c>
      <c r="I1886" t="s">
        <v>84</v>
      </c>
      <c r="O1886" s="5"/>
      <c r="P1886" s="5"/>
    </row>
    <row r="1887" spans="1:29" x14ac:dyDescent="0.25">
      <c r="A1887" s="4">
        <v>42571</v>
      </c>
      <c r="B1887" t="s">
        <v>30</v>
      </c>
      <c r="C1887">
        <v>402</v>
      </c>
      <c r="D1887">
        <v>8</v>
      </c>
      <c r="E1887">
        <v>2</v>
      </c>
      <c r="F1887" t="s">
        <v>31</v>
      </c>
      <c r="G1887" t="s">
        <v>32</v>
      </c>
      <c r="H1887" t="s">
        <v>33</v>
      </c>
      <c r="I1887" t="s">
        <v>84</v>
      </c>
      <c r="O1887" s="5"/>
      <c r="P1887" s="5"/>
    </row>
    <row r="1888" spans="1:29" x14ac:dyDescent="0.25">
      <c r="A1888" s="4">
        <v>42571</v>
      </c>
      <c r="B1888" t="s">
        <v>30</v>
      </c>
      <c r="C1888">
        <v>402</v>
      </c>
      <c r="D1888">
        <v>9</v>
      </c>
      <c r="E1888">
        <v>1</v>
      </c>
      <c r="F1888" t="s">
        <v>31</v>
      </c>
      <c r="G1888" t="s">
        <v>32</v>
      </c>
      <c r="H1888" t="s">
        <v>33</v>
      </c>
      <c r="I1888" t="s">
        <v>34</v>
      </c>
      <c r="J1888" t="s">
        <v>237</v>
      </c>
      <c r="O1888" s="5"/>
      <c r="P1888" s="5"/>
    </row>
    <row r="1889" spans="1:29" x14ac:dyDescent="0.25">
      <c r="A1889" s="4">
        <v>42571</v>
      </c>
      <c r="B1889" t="s">
        <v>30</v>
      </c>
      <c r="C1889">
        <v>402</v>
      </c>
      <c r="D1889">
        <v>9</v>
      </c>
      <c r="E1889">
        <v>2</v>
      </c>
      <c r="F1889" t="s">
        <v>31</v>
      </c>
      <c r="G1889" t="s">
        <v>32</v>
      </c>
      <c r="H1889" t="s">
        <v>33</v>
      </c>
      <c r="I1889" t="s">
        <v>84</v>
      </c>
      <c r="O1889" s="5"/>
      <c r="P1889" s="5"/>
    </row>
    <row r="1890" spans="1:29" x14ac:dyDescent="0.25">
      <c r="A1890" s="4">
        <v>42571</v>
      </c>
      <c r="B1890" t="s">
        <v>30</v>
      </c>
      <c r="C1890">
        <v>402</v>
      </c>
      <c r="D1890">
        <v>10</v>
      </c>
      <c r="E1890">
        <v>1</v>
      </c>
      <c r="F1890" t="s">
        <v>31</v>
      </c>
      <c r="G1890" t="s">
        <v>32</v>
      </c>
      <c r="H1890" t="s">
        <v>33</v>
      </c>
      <c r="I1890" t="s">
        <v>84</v>
      </c>
      <c r="O1890" s="5"/>
      <c r="P1890" s="5"/>
    </row>
    <row r="1891" spans="1:29" x14ac:dyDescent="0.25">
      <c r="A1891" s="4">
        <v>42571</v>
      </c>
      <c r="B1891" t="s">
        <v>30</v>
      </c>
      <c r="C1891">
        <v>402</v>
      </c>
      <c r="D1891">
        <v>10</v>
      </c>
      <c r="E1891">
        <v>2</v>
      </c>
      <c r="F1891" t="s">
        <v>31</v>
      </c>
      <c r="G1891" t="s">
        <v>32</v>
      </c>
      <c r="H1891" t="s">
        <v>33</v>
      </c>
      <c r="I1891" t="s">
        <v>84</v>
      </c>
      <c r="O1891" s="5"/>
      <c r="P1891" s="5"/>
    </row>
    <row r="1892" spans="1:29" x14ac:dyDescent="0.25">
      <c r="A1892" s="4">
        <v>42572</v>
      </c>
      <c r="B1892" t="s">
        <v>30</v>
      </c>
      <c r="C1892">
        <v>201</v>
      </c>
      <c r="D1892">
        <v>1</v>
      </c>
      <c r="E1892">
        <v>1</v>
      </c>
      <c r="F1892" t="s">
        <v>41</v>
      </c>
      <c r="G1892" t="s">
        <v>32</v>
      </c>
      <c r="H1892" t="s">
        <v>33</v>
      </c>
      <c r="I1892" t="s">
        <v>58</v>
      </c>
      <c r="J1892" t="s">
        <v>42</v>
      </c>
      <c r="K1892" t="s">
        <v>36</v>
      </c>
      <c r="L1892" t="s">
        <v>37</v>
      </c>
      <c r="M1892">
        <v>0</v>
      </c>
      <c r="N1892">
        <v>1</v>
      </c>
      <c r="O1892" s="5">
        <v>50794</v>
      </c>
      <c r="P1892" s="5"/>
      <c r="Q1892">
        <f>37-10.5</f>
        <v>26.5</v>
      </c>
      <c r="R1892" t="s">
        <v>143</v>
      </c>
      <c r="S1892" t="s">
        <v>97</v>
      </c>
      <c r="T1892">
        <v>18</v>
      </c>
      <c r="X1892">
        <v>26.6</v>
      </c>
      <c r="Z1892" t="s">
        <v>97</v>
      </c>
      <c r="AA1892" t="s">
        <v>199</v>
      </c>
      <c r="AB1892" t="s">
        <v>87</v>
      </c>
      <c r="AC1892" t="s">
        <v>56</v>
      </c>
    </row>
    <row r="1893" spans="1:29" x14ac:dyDescent="0.25">
      <c r="A1893" s="4">
        <v>42572</v>
      </c>
      <c r="B1893" t="s">
        <v>30</v>
      </c>
      <c r="C1893">
        <v>201</v>
      </c>
      <c r="D1893">
        <v>1</v>
      </c>
      <c r="E1893">
        <v>2</v>
      </c>
      <c r="F1893" t="s">
        <v>41</v>
      </c>
      <c r="G1893" t="s">
        <v>32</v>
      </c>
      <c r="H1893" t="s">
        <v>33</v>
      </c>
      <c r="I1893" t="s">
        <v>57</v>
      </c>
      <c r="O1893" s="5"/>
      <c r="P1893" s="5"/>
    </row>
    <row r="1894" spans="1:29" x14ac:dyDescent="0.25">
      <c r="A1894" s="4">
        <v>42572</v>
      </c>
      <c r="B1894" t="s">
        <v>30</v>
      </c>
      <c r="C1894">
        <v>201</v>
      </c>
      <c r="D1894">
        <v>2</v>
      </c>
      <c r="E1894">
        <v>1</v>
      </c>
      <c r="F1894" t="s">
        <v>41</v>
      </c>
      <c r="G1894" t="s">
        <v>32</v>
      </c>
      <c r="H1894" t="s">
        <v>33</v>
      </c>
      <c r="I1894" t="s">
        <v>34</v>
      </c>
      <c r="J1894" t="s">
        <v>42</v>
      </c>
      <c r="K1894" t="s">
        <v>36</v>
      </c>
      <c r="L1894" t="s">
        <v>37</v>
      </c>
      <c r="M1894">
        <v>0</v>
      </c>
      <c r="N1894">
        <v>1</v>
      </c>
      <c r="O1894" s="5">
        <v>50780</v>
      </c>
      <c r="P1894" s="5">
        <v>50779</v>
      </c>
      <c r="Q1894">
        <f>33-11</f>
        <v>22</v>
      </c>
      <c r="R1894" t="s">
        <v>143</v>
      </c>
      <c r="S1894" t="s">
        <v>97</v>
      </c>
      <c r="T1894">
        <v>18</v>
      </c>
      <c r="U1894">
        <v>85</v>
      </c>
      <c r="V1894">
        <v>14</v>
      </c>
      <c r="W1894">
        <v>12.9</v>
      </c>
      <c r="X1894">
        <v>27.4</v>
      </c>
      <c r="Z1894" t="s">
        <v>97</v>
      </c>
      <c r="AA1894" t="s">
        <v>246</v>
      </c>
      <c r="AB1894" t="s">
        <v>87</v>
      </c>
      <c r="AC1894" t="s">
        <v>56</v>
      </c>
    </row>
    <row r="1895" spans="1:29" x14ac:dyDescent="0.25">
      <c r="A1895" s="4">
        <v>42572</v>
      </c>
      <c r="B1895" t="s">
        <v>30</v>
      </c>
      <c r="C1895">
        <v>201</v>
      </c>
      <c r="D1895">
        <v>3</v>
      </c>
      <c r="E1895">
        <v>1</v>
      </c>
      <c r="F1895" t="s">
        <v>41</v>
      </c>
      <c r="G1895" t="s">
        <v>32</v>
      </c>
      <c r="H1895" t="s">
        <v>33</v>
      </c>
      <c r="I1895" t="s">
        <v>57</v>
      </c>
      <c r="O1895" s="5"/>
      <c r="P1895" s="5"/>
    </row>
    <row r="1896" spans="1:29" x14ac:dyDescent="0.25">
      <c r="A1896" s="4">
        <v>42572</v>
      </c>
      <c r="B1896" t="s">
        <v>30</v>
      </c>
      <c r="C1896">
        <v>201</v>
      </c>
      <c r="D1896">
        <v>4</v>
      </c>
      <c r="E1896">
        <v>1</v>
      </c>
      <c r="F1896" t="s">
        <v>41</v>
      </c>
      <c r="G1896" t="s">
        <v>32</v>
      </c>
      <c r="H1896" t="s">
        <v>33</v>
      </c>
      <c r="I1896" t="s">
        <v>34</v>
      </c>
      <c r="J1896" t="s">
        <v>42</v>
      </c>
      <c r="K1896" t="s">
        <v>114</v>
      </c>
      <c r="L1896" t="s">
        <v>43</v>
      </c>
      <c r="M1896">
        <v>0</v>
      </c>
      <c r="N1896">
        <v>1</v>
      </c>
      <c r="O1896" s="5">
        <v>50850</v>
      </c>
      <c r="P1896" s="5">
        <v>50849</v>
      </c>
      <c r="Q1896">
        <f>27-10.5</f>
        <v>16.5</v>
      </c>
      <c r="R1896" t="s">
        <v>47</v>
      </c>
      <c r="T1896">
        <v>19</v>
      </c>
      <c r="U1896">
        <v>82</v>
      </c>
      <c r="V1896">
        <v>17</v>
      </c>
      <c r="W1896">
        <v>12.9</v>
      </c>
      <c r="X1896">
        <v>27.7</v>
      </c>
      <c r="Z1896" t="s">
        <v>39</v>
      </c>
      <c r="AB1896" t="s">
        <v>87</v>
      </c>
      <c r="AC1896" t="s">
        <v>56</v>
      </c>
    </row>
    <row r="1897" spans="1:29" x14ac:dyDescent="0.25">
      <c r="A1897" s="4">
        <v>42572</v>
      </c>
      <c r="B1897" t="s">
        <v>30</v>
      </c>
      <c r="C1897">
        <v>201</v>
      </c>
      <c r="D1897">
        <v>5</v>
      </c>
      <c r="E1897">
        <v>1</v>
      </c>
      <c r="F1897" t="s">
        <v>41</v>
      </c>
      <c r="G1897" t="s">
        <v>32</v>
      </c>
      <c r="H1897" t="s">
        <v>33</v>
      </c>
      <c r="I1897" t="s">
        <v>57</v>
      </c>
      <c r="O1897" s="5"/>
      <c r="P1897" s="5"/>
    </row>
    <row r="1898" spans="1:29" x14ac:dyDescent="0.25">
      <c r="A1898" s="4">
        <v>42572</v>
      </c>
      <c r="B1898" t="s">
        <v>30</v>
      </c>
      <c r="C1898">
        <v>201</v>
      </c>
      <c r="D1898">
        <v>5</v>
      </c>
      <c r="E1898">
        <v>2</v>
      </c>
      <c r="F1898" t="s">
        <v>41</v>
      </c>
      <c r="G1898" t="s">
        <v>32</v>
      </c>
      <c r="H1898" t="s">
        <v>33</v>
      </c>
      <c r="I1898" t="s">
        <v>64</v>
      </c>
      <c r="J1898" t="s">
        <v>42</v>
      </c>
      <c r="K1898" t="s">
        <v>36</v>
      </c>
      <c r="L1898" t="s">
        <v>37</v>
      </c>
      <c r="M1898">
        <v>0</v>
      </c>
      <c r="N1898">
        <v>1</v>
      </c>
      <c r="O1898" s="5">
        <v>50426</v>
      </c>
      <c r="P1898" s="5"/>
      <c r="Q1898">
        <f>224-44</f>
        <v>180</v>
      </c>
      <c r="R1898" t="s">
        <v>143</v>
      </c>
      <c r="S1898" t="s">
        <v>97</v>
      </c>
      <c r="T1898">
        <v>42</v>
      </c>
      <c r="Z1898" t="s">
        <v>39</v>
      </c>
      <c r="AB1898" t="s">
        <v>87</v>
      </c>
      <c r="AC1898" t="s">
        <v>56</v>
      </c>
    </row>
    <row r="1899" spans="1:29" x14ac:dyDescent="0.25">
      <c r="A1899" s="4">
        <v>42572</v>
      </c>
      <c r="B1899" t="s">
        <v>30</v>
      </c>
      <c r="C1899">
        <v>201</v>
      </c>
      <c r="D1899">
        <v>6</v>
      </c>
      <c r="E1899">
        <v>1</v>
      </c>
      <c r="F1899" t="s">
        <v>41</v>
      </c>
      <c r="G1899" t="s">
        <v>32</v>
      </c>
      <c r="H1899" t="s">
        <v>33</v>
      </c>
      <c r="I1899" t="s">
        <v>57</v>
      </c>
      <c r="O1899" s="5"/>
      <c r="P1899" s="5"/>
    </row>
    <row r="1900" spans="1:29" x14ac:dyDescent="0.25">
      <c r="A1900" s="4">
        <v>42572</v>
      </c>
      <c r="B1900" t="s">
        <v>30</v>
      </c>
      <c r="C1900">
        <v>201</v>
      </c>
      <c r="D1900">
        <v>6</v>
      </c>
      <c r="E1900">
        <v>2</v>
      </c>
      <c r="F1900" t="s">
        <v>41</v>
      </c>
      <c r="G1900" t="s">
        <v>32</v>
      </c>
      <c r="H1900" t="s">
        <v>33</v>
      </c>
      <c r="I1900" t="s">
        <v>57</v>
      </c>
      <c r="O1900" s="5"/>
      <c r="P1900" s="5"/>
    </row>
    <row r="1901" spans="1:29" x14ac:dyDescent="0.25">
      <c r="A1901" s="4">
        <v>42572</v>
      </c>
      <c r="B1901" t="s">
        <v>30</v>
      </c>
      <c r="C1901">
        <v>201</v>
      </c>
      <c r="D1901">
        <v>7</v>
      </c>
      <c r="E1901">
        <v>1</v>
      </c>
      <c r="F1901" t="s">
        <v>41</v>
      </c>
      <c r="G1901" t="s">
        <v>32</v>
      </c>
      <c r="H1901" t="s">
        <v>33</v>
      </c>
      <c r="I1901" t="s">
        <v>34</v>
      </c>
      <c r="J1901" t="s">
        <v>42</v>
      </c>
      <c r="K1901" t="s">
        <v>114</v>
      </c>
      <c r="L1901" t="s">
        <v>43</v>
      </c>
      <c r="M1901">
        <v>0</v>
      </c>
      <c r="N1901">
        <v>1</v>
      </c>
      <c r="O1901" s="5">
        <v>50848</v>
      </c>
      <c r="P1901" s="5">
        <v>50847</v>
      </c>
      <c r="Q1901">
        <v>18</v>
      </c>
      <c r="R1901" t="s">
        <v>47</v>
      </c>
      <c r="T1901">
        <v>18</v>
      </c>
      <c r="U1901">
        <v>82</v>
      </c>
      <c r="V1901">
        <v>16</v>
      </c>
      <c r="W1901">
        <v>12.7</v>
      </c>
      <c r="X1901">
        <v>26.8</v>
      </c>
      <c r="Z1901" t="s">
        <v>39</v>
      </c>
      <c r="AB1901" t="s">
        <v>87</v>
      </c>
      <c r="AC1901" t="s">
        <v>56</v>
      </c>
    </row>
    <row r="1902" spans="1:29" x14ac:dyDescent="0.25">
      <c r="A1902" s="4">
        <v>42572</v>
      </c>
      <c r="B1902" t="s">
        <v>30</v>
      </c>
      <c r="C1902">
        <v>201</v>
      </c>
      <c r="D1902">
        <v>7</v>
      </c>
      <c r="E1902">
        <v>2</v>
      </c>
      <c r="F1902" t="s">
        <v>41</v>
      </c>
      <c r="G1902" t="s">
        <v>32</v>
      </c>
      <c r="H1902" t="s">
        <v>33</v>
      </c>
      <c r="I1902" t="s">
        <v>34</v>
      </c>
      <c r="J1902" t="s">
        <v>35</v>
      </c>
      <c r="K1902" t="s">
        <v>36</v>
      </c>
      <c r="L1902" t="s">
        <v>43</v>
      </c>
      <c r="M1902">
        <v>0</v>
      </c>
      <c r="N1902">
        <v>0</v>
      </c>
      <c r="O1902" s="5">
        <v>50335</v>
      </c>
      <c r="P1902" s="5">
        <v>50334</v>
      </c>
      <c r="Q1902">
        <v>23</v>
      </c>
      <c r="R1902" t="s">
        <v>47</v>
      </c>
      <c r="T1902">
        <v>21</v>
      </c>
      <c r="U1902">
        <v>79</v>
      </c>
      <c r="V1902">
        <v>16</v>
      </c>
      <c r="W1902">
        <v>13.1</v>
      </c>
      <c r="X1902">
        <v>27.5</v>
      </c>
      <c r="Z1902" t="s">
        <v>39</v>
      </c>
      <c r="AB1902" t="s">
        <v>87</v>
      </c>
      <c r="AC1902" t="s">
        <v>56</v>
      </c>
    </row>
    <row r="1903" spans="1:29" x14ac:dyDescent="0.25">
      <c r="A1903" s="4">
        <v>42572</v>
      </c>
      <c r="B1903" t="s">
        <v>30</v>
      </c>
      <c r="C1903">
        <v>201</v>
      </c>
      <c r="D1903">
        <v>8</v>
      </c>
      <c r="E1903">
        <v>1</v>
      </c>
      <c r="F1903" t="s">
        <v>41</v>
      </c>
      <c r="G1903" t="s">
        <v>32</v>
      </c>
      <c r="H1903" t="s">
        <v>33</v>
      </c>
      <c r="I1903" t="s">
        <v>34</v>
      </c>
      <c r="J1903" t="s">
        <v>42</v>
      </c>
      <c r="K1903" t="s">
        <v>89</v>
      </c>
      <c r="L1903" t="s">
        <v>37</v>
      </c>
      <c r="M1903">
        <v>0</v>
      </c>
      <c r="N1903">
        <v>1</v>
      </c>
      <c r="O1903" s="5">
        <v>50846</v>
      </c>
      <c r="P1903" s="5">
        <v>50845</v>
      </c>
      <c r="Q1903">
        <v>11</v>
      </c>
      <c r="R1903" t="s">
        <v>38</v>
      </c>
      <c r="S1903" t="s">
        <v>39</v>
      </c>
      <c r="T1903">
        <v>19</v>
      </c>
      <c r="V1903">
        <v>13</v>
      </c>
      <c r="W1903">
        <v>12.5</v>
      </c>
      <c r="X1903">
        <v>25.5</v>
      </c>
      <c r="Z1903" t="s">
        <v>39</v>
      </c>
      <c r="AB1903" t="s">
        <v>87</v>
      </c>
      <c r="AC1903" t="s">
        <v>56</v>
      </c>
    </row>
    <row r="1904" spans="1:29" x14ac:dyDescent="0.25">
      <c r="A1904" s="4">
        <v>42572</v>
      </c>
      <c r="B1904" t="s">
        <v>30</v>
      </c>
      <c r="C1904">
        <v>201</v>
      </c>
      <c r="D1904">
        <v>8</v>
      </c>
      <c r="E1904">
        <v>2</v>
      </c>
      <c r="F1904" t="s">
        <v>41</v>
      </c>
      <c r="G1904" t="s">
        <v>32</v>
      </c>
      <c r="H1904" t="s">
        <v>33</v>
      </c>
      <c r="I1904" t="s">
        <v>34</v>
      </c>
      <c r="J1904" t="s">
        <v>35</v>
      </c>
      <c r="K1904" t="s">
        <v>36</v>
      </c>
      <c r="L1904" t="s">
        <v>37</v>
      </c>
      <c r="M1904">
        <v>0</v>
      </c>
      <c r="N1904">
        <v>0</v>
      </c>
      <c r="O1904" s="5">
        <v>50359</v>
      </c>
      <c r="P1904" s="5">
        <v>50358</v>
      </c>
      <c r="Q1904">
        <f>42-11</f>
        <v>31</v>
      </c>
      <c r="R1904" t="s">
        <v>143</v>
      </c>
      <c r="S1904" t="s">
        <v>97</v>
      </c>
      <c r="T1904">
        <v>19</v>
      </c>
      <c r="U1904">
        <v>91</v>
      </c>
      <c r="V1904">
        <v>16</v>
      </c>
      <c r="W1904">
        <v>13.1</v>
      </c>
      <c r="X1904">
        <v>26.6</v>
      </c>
      <c r="Z1904" t="s">
        <v>39</v>
      </c>
      <c r="AB1904" t="s">
        <v>87</v>
      </c>
      <c r="AC1904" t="s">
        <v>56</v>
      </c>
    </row>
    <row r="1905" spans="1:30" x14ac:dyDescent="0.25">
      <c r="A1905" s="4">
        <v>42572</v>
      </c>
      <c r="B1905" t="s">
        <v>30</v>
      </c>
      <c r="C1905">
        <v>201</v>
      </c>
      <c r="D1905">
        <v>9</v>
      </c>
      <c r="E1905">
        <v>1</v>
      </c>
      <c r="F1905" t="s">
        <v>41</v>
      </c>
      <c r="G1905" t="s">
        <v>32</v>
      </c>
      <c r="H1905" t="s">
        <v>33</v>
      </c>
      <c r="I1905" t="s">
        <v>34</v>
      </c>
      <c r="J1905" t="s">
        <v>122</v>
      </c>
      <c r="K1905" t="s">
        <v>89</v>
      </c>
      <c r="L1905" t="s">
        <v>37</v>
      </c>
      <c r="O1905" s="5"/>
      <c r="P1905" s="5"/>
    </row>
    <row r="1906" spans="1:30" x14ac:dyDescent="0.25">
      <c r="A1906" s="4">
        <v>42572</v>
      </c>
      <c r="B1906" t="s">
        <v>30</v>
      </c>
      <c r="C1906">
        <v>201</v>
      </c>
      <c r="D1906">
        <v>10</v>
      </c>
      <c r="E1906">
        <v>1</v>
      </c>
      <c r="F1906" t="s">
        <v>41</v>
      </c>
      <c r="G1906" t="s">
        <v>32</v>
      </c>
      <c r="H1906" t="s">
        <v>33</v>
      </c>
      <c r="I1906" t="s">
        <v>34</v>
      </c>
      <c r="J1906" t="s">
        <v>42</v>
      </c>
      <c r="K1906" t="s">
        <v>89</v>
      </c>
      <c r="L1906" t="s">
        <v>43</v>
      </c>
      <c r="M1906">
        <v>0</v>
      </c>
      <c r="N1906">
        <v>1</v>
      </c>
      <c r="O1906" s="5">
        <v>50844</v>
      </c>
      <c r="P1906" s="5">
        <v>50843</v>
      </c>
      <c r="Q1906">
        <f>24.5-12</f>
        <v>12.5</v>
      </c>
      <c r="R1906" t="s">
        <v>65</v>
      </c>
      <c r="T1906">
        <v>18.5</v>
      </c>
      <c r="U1906">
        <v>14</v>
      </c>
      <c r="W1906">
        <v>12.7</v>
      </c>
      <c r="X1906">
        <v>26.9</v>
      </c>
      <c r="Z1906" t="s">
        <v>97</v>
      </c>
      <c r="AA1906" t="s">
        <v>199</v>
      </c>
      <c r="AB1906" t="s">
        <v>87</v>
      </c>
      <c r="AC1906" t="s">
        <v>56</v>
      </c>
    </row>
    <row r="1907" spans="1:30" x14ac:dyDescent="0.25">
      <c r="A1907" s="4">
        <v>42572</v>
      </c>
      <c r="B1907" t="s">
        <v>30</v>
      </c>
      <c r="C1907">
        <v>203</v>
      </c>
      <c r="D1907">
        <v>1</v>
      </c>
      <c r="E1907">
        <v>1</v>
      </c>
      <c r="F1907" t="s">
        <v>41</v>
      </c>
      <c r="G1907" t="s">
        <v>32</v>
      </c>
      <c r="H1907" t="s">
        <v>33</v>
      </c>
      <c r="I1907" t="s">
        <v>57</v>
      </c>
      <c r="O1907" s="5"/>
      <c r="P1907" s="5"/>
    </row>
    <row r="1908" spans="1:30" x14ac:dyDescent="0.25">
      <c r="A1908" s="4">
        <v>42572</v>
      </c>
      <c r="B1908" t="s">
        <v>30</v>
      </c>
      <c r="C1908">
        <v>203</v>
      </c>
      <c r="D1908">
        <v>1</v>
      </c>
      <c r="E1908">
        <v>2</v>
      </c>
      <c r="F1908" t="s">
        <v>41</v>
      </c>
      <c r="G1908" t="s">
        <v>32</v>
      </c>
      <c r="H1908" t="s">
        <v>33</v>
      </c>
      <c r="I1908" t="s">
        <v>84</v>
      </c>
      <c r="O1908" s="5"/>
      <c r="P1908" s="5"/>
    </row>
    <row r="1909" spans="1:30" x14ac:dyDescent="0.25">
      <c r="A1909" s="4">
        <v>42572</v>
      </c>
      <c r="B1909" t="s">
        <v>30</v>
      </c>
      <c r="C1909">
        <v>203</v>
      </c>
      <c r="D1909">
        <v>2</v>
      </c>
      <c r="E1909">
        <v>1</v>
      </c>
      <c r="F1909" t="s">
        <v>41</v>
      </c>
      <c r="G1909" t="s">
        <v>32</v>
      </c>
      <c r="H1909" t="s">
        <v>33</v>
      </c>
      <c r="I1909" t="s">
        <v>34</v>
      </c>
      <c r="J1909" t="s">
        <v>42</v>
      </c>
      <c r="K1909" t="s">
        <v>89</v>
      </c>
      <c r="L1909" t="s">
        <v>37</v>
      </c>
      <c r="M1909">
        <v>0</v>
      </c>
      <c r="N1909">
        <v>1</v>
      </c>
      <c r="O1909" s="5">
        <v>50842</v>
      </c>
      <c r="P1909" s="5"/>
      <c r="Q1909">
        <f>28-13</f>
        <v>15</v>
      </c>
      <c r="R1909" t="s">
        <v>38</v>
      </c>
      <c r="S1909" t="s">
        <v>39</v>
      </c>
      <c r="T1909">
        <v>19</v>
      </c>
      <c r="U1909">
        <v>89</v>
      </c>
      <c r="V1909">
        <v>13</v>
      </c>
      <c r="W1909">
        <v>12.8</v>
      </c>
      <c r="X1909">
        <v>26.7</v>
      </c>
      <c r="Z1909" t="s">
        <v>39</v>
      </c>
      <c r="AB1909" t="s">
        <v>87</v>
      </c>
      <c r="AC1909" t="s">
        <v>56</v>
      </c>
    </row>
    <row r="1910" spans="1:30" x14ac:dyDescent="0.25">
      <c r="A1910" s="4">
        <v>42572</v>
      </c>
      <c r="B1910" t="s">
        <v>30</v>
      </c>
      <c r="C1910">
        <v>203</v>
      </c>
      <c r="D1910">
        <v>2</v>
      </c>
      <c r="E1910">
        <v>2</v>
      </c>
      <c r="F1910" t="s">
        <v>41</v>
      </c>
      <c r="G1910" t="s">
        <v>32</v>
      </c>
      <c r="H1910" t="s">
        <v>33</v>
      </c>
      <c r="I1910" t="s">
        <v>34</v>
      </c>
      <c r="J1910" t="s">
        <v>42</v>
      </c>
      <c r="K1910" t="s">
        <v>89</v>
      </c>
      <c r="L1910" t="s">
        <v>37</v>
      </c>
      <c r="M1910">
        <v>0</v>
      </c>
      <c r="N1910">
        <v>1</v>
      </c>
      <c r="O1910" s="5">
        <v>50841</v>
      </c>
      <c r="P1910" s="5"/>
      <c r="Q1910">
        <v>15</v>
      </c>
      <c r="R1910" t="s">
        <v>38</v>
      </c>
      <c r="S1910" t="s">
        <v>39</v>
      </c>
      <c r="T1910">
        <v>19</v>
      </c>
      <c r="U1910">
        <v>90</v>
      </c>
      <c r="V1910">
        <v>14</v>
      </c>
      <c r="Z1910" t="s">
        <v>39</v>
      </c>
      <c r="AB1910" t="s">
        <v>87</v>
      </c>
      <c r="AC1910" t="s">
        <v>56</v>
      </c>
    </row>
    <row r="1911" spans="1:30" x14ac:dyDescent="0.25">
      <c r="A1911" s="4">
        <v>42572</v>
      </c>
      <c r="B1911" t="s">
        <v>30</v>
      </c>
      <c r="C1911">
        <v>203</v>
      </c>
      <c r="D1911">
        <v>3</v>
      </c>
      <c r="E1911">
        <v>1</v>
      </c>
      <c r="F1911" t="s">
        <v>41</v>
      </c>
      <c r="G1911" t="s">
        <v>32</v>
      </c>
      <c r="H1911" t="s">
        <v>33</v>
      </c>
      <c r="I1911" t="s">
        <v>34</v>
      </c>
      <c r="J1911" t="s">
        <v>42</v>
      </c>
      <c r="K1911" t="s">
        <v>114</v>
      </c>
      <c r="L1911" t="s">
        <v>43</v>
      </c>
      <c r="M1911">
        <v>0</v>
      </c>
      <c r="N1911">
        <v>1</v>
      </c>
      <c r="O1911" s="5" t="s">
        <v>247</v>
      </c>
      <c r="P1911" s="5"/>
      <c r="Q1911">
        <f>29-11</f>
        <v>18</v>
      </c>
      <c r="R1911" t="s">
        <v>47</v>
      </c>
      <c r="T1911">
        <v>19</v>
      </c>
      <c r="U1911">
        <v>80</v>
      </c>
      <c r="V1911">
        <v>13</v>
      </c>
      <c r="W1911">
        <v>12.9</v>
      </c>
      <c r="X1911">
        <v>26.8</v>
      </c>
      <c r="Z1911" t="s">
        <v>39</v>
      </c>
      <c r="AB1911" t="s">
        <v>87</v>
      </c>
      <c r="AC1911" t="s">
        <v>56</v>
      </c>
    </row>
    <row r="1912" spans="1:30" x14ac:dyDescent="0.25">
      <c r="A1912" s="4">
        <v>42572</v>
      </c>
      <c r="B1912" t="s">
        <v>30</v>
      </c>
      <c r="C1912">
        <v>203</v>
      </c>
      <c r="D1912">
        <v>3</v>
      </c>
      <c r="E1912">
        <v>2</v>
      </c>
      <c r="F1912" t="s">
        <v>41</v>
      </c>
      <c r="G1912" t="s">
        <v>32</v>
      </c>
      <c r="H1912" t="s">
        <v>33</v>
      </c>
      <c r="I1912" t="s">
        <v>58</v>
      </c>
      <c r="J1912" t="s">
        <v>42</v>
      </c>
      <c r="K1912" t="s">
        <v>114</v>
      </c>
      <c r="L1912" t="s">
        <v>43</v>
      </c>
      <c r="M1912">
        <v>0</v>
      </c>
      <c r="N1912">
        <v>1</v>
      </c>
      <c r="O1912" s="5">
        <v>50839</v>
      </c>
      <c r="P1912" s="5"/>
      <c r="Q1912">
        <f>28-12</f>
        <v>16</v>
      </c>
      <c r="R1912" t="s">
        <v>47</v>
      </c>
      <c r="T1912">
        <v>18</v>
      </c>
      <c r="W1912">
        <v>12.8</v>
      </c>
      <c r="X1912">
        <v>26.6</v>
      </c>
      <c r="Z1912" t="s">
        <v>97</v>
      </c>
      <c r="AA1912" t="s">
        <v>248</v>
      </c>
      <c r="AB1912" t="s">
        <v>87</v>
      </c>
      <c r="AC1912" t="s">
        <v>56</v>
      </c>
    </row>
    <row r="1913" spans="1:30" x14ac:dyDescent="0.25">
      <c r="A1913" s="4">
        <v>42572</v>
      </c>
      <c r="B1913" t="s">
        <v>30</v>
      </c>
      <c r="C1913">
        <v>203</v>
      </c>
      <c r="D1913">
        <v>4</v>
      </c>
      <c r="E1913">
        <v>1</v>
      </c>
      <c r="F1913" t="s">
        <v>41</v>
      </c>
      <c r="G1913" t="s">
        <v>32</v>
      </c>
      <c r="H1913" t="s">
        <v>33</v>
      </c>
      <c r="I1913" t="s">
        <v>91</v>
      </c>
      <c r="J1913" t="s">
        <v>35</v>
      </c>
      <c r="K1913" t="s">
        <v>36</v>
      </c>
      <c r="L1913" t="s">
        <v>37</v>
      </c>
      <c r="M1913">
        <v>0</v>
      </c>
      <c r="N1913">
        <v>0</v>
      </c>
      <c r="O1913" s="5"/>
      <c r="P1913" s="5">
        <v>50656</v>
      </c>
      <c r="Q1913">
        <f>30-10.5</f>
        <v>19.5</v>
      </c>
      <c r="R1913" t="s">
        <v>74</v>
      </c>
      <c r="S1913" t="s">
        <v>97</v>
      </c>
      <c r="T1913">
        <v>29</v>
      </c>
      <c r="W1913">
        <v>12.9</v>
      </c>
      <c r="X1913">
        <v>26.4</v>
      </c>
      <c r="Z1913" t="s">
        <v>39</v>
      </c>
      <c r="AB1913" t="s">
        <v>87</v>
      </c>
      <c r="AC1913" t="s">
        <v>56</v>
      </c>
    </row>
    <row r="1914" spans="1:30" x14ac:dyDescent="0.25">
      <c r="A1914" s="4">
        <v>42572</v>
      </c>
      <c r="B1914" t="s">
        <v>30</v>
      </c>
      <c r="C1914">
        <v>203</v>
      </c>
      <c r="D1914">
        <v>4</v>
      </c>
      <c r="E1914">
        <v>2</v>
      </c>
      <c r="F1914" t="s">
        <v>41</v>
      </c>
      <c r="G1914" t="s">
        <v>32</v>
      </c>
      <c r="H1914" t="s">
        <v>33</v>
      </c>
      <c r="I1914" t="s">
        <v>64</v>
      </c>
      <c r="J1914" t="s">
        <v>35</v>
      </c>
      <c r="K1914" t="s">
        <v>36</v>
      </c>
      <c r="L1914" t="s">
        <v>43</v>
      </c>
      <c r="M1914">
        <v>0</v>
      </c>
      <c r="N1914">
        <v>0</v>
      </c>
      <c r="O1914" s="5">
        <v>50660</v>
      </c>
      <c r="P1914" s="5"/>
      <c r="Q1914">
        <f>211-50</f>
        <v>161</v>
      </c>
      <c r="R1914" t="s">
        <v>47</v>
      </c>
      <c r="T1914">
        <v>43</v>
      </c>
      <c r="W1914">
        <v>25.9</v>
      </c>
      <c r="X1914">
        <v>42</v>
      </c>
      <c r="Z1914" t="s">
        <v>39</v>
      </c>
      <c r="AB1914" t="s">
        <v>87</v>
      </c>
      <c r="AC1914" t="s">
        <v>56</v>
      </c>
    </row>
    <row r="1915" spans="1:30" x14ac:dyDescent="0.25">
      <c r="A1915" s="4">
        <v>42572</v>
      </c>
      <c r="B1915" t="s">
        <v>30</v>
      </c>
      <c r="C1915">
        <v>203</v>
      </c>
      <c r="D1915">
        <v>5</v>
      </c>
      <c r="E1915">
        <v>1</v>
      </c>
      <c r="F1915" t="s">
        <v>41</v>
      </c>
      <c r="G1915" t="s">
        <v>32</v>
      </c>
      <c r="H1915" t="s">
        <v>33</v>
      </c>
      <c r="I1915" t="s">
        <v>91</v>
      </c>
      <c r="J1915" t="s">
        <v>42</v>
      </c>
      <c r="K1915" t="s">
        <v>36</v>
      </c>
      <c r="L1915" t="s">
        <v>37</v>
      </c>
      <c r="M1915">
        <v>0</v>
      </c>
      <c r="N1915">
        <v>1</v>
      </c>
      <c r="O1915" s="5"/>
      <c r="P1915" s="5">
        <v>50838</v>
      </c>
      <c r="Q1915">
        <f>32-9.5</f>
        <v>22.5</v>
      </c>
      <c r="R1915" t="s">
        <v>143</v>
      </c>
      <c r="S1915" t="s">
        <v>97</v>
      </c>
      <c r="T1915">
        <v>28</v>
      </c>
      <c r="W1915">
        <v>12.8</v>
      </c>
      <c r="X1915">
        <v>25.4</v>
      </c>
      <c r="Z1915" t="s">
        <v>39</v>
      </c>
      <c r="AB1915" t="s">
        <v>87</v>
      </c>
      <c r="AC1915" t="s">
        <v>56</v>
      </c>
      <c r="AD1915" t="s">
        <v>249</v>
      </c>
    </row>
    <row r="1916" spans="1:30" x14ac:dyDescent="0.25">
      <c r="A1916" s="4">
        <v>42572</v>
      </c>
      <c r="B1916" t="s">
        <v>30</v>
      </c>
      <c r="C1916">
        <v>203</v>
      </c>
      <c r="D1916">
        <v>5</v>
      </c>
      <c r="E1916">
        <v>2</v>
      </c>
      <c r="F1916" t="s">
        <v>41</v>
      </c>
      <c r="G1916" t="s">
        <v>32</v>
      </c>
      <c r="H1916" t="s">
        <v>33</v>
      </c>
      <c r="I1916" t="s">
        <v>91</v>
      </c>
      <c r="J1916" t="s">
        <v>42</v>
      </c>
      <c r="K1916" t="s">
        <v>36</v>
      </c>
      <c r="L1916" t="s">
        <v>37</v>
      </c>
      <c r="M1916">
        <v>0</v>
      </c>
      <c r="N1916">
        <v>1</v>
      </c>
      <c r="O1916" s="5">
        <v>50837</v>
      </c>
      <c r="P1916" s="5"/>
      <c r="Q1916">
        <f>34-9.5</f>
        <v>24.5</v>
      </c>
      <c r="R1916" t="s">
        <v>143</v>
      </c>
      <c r="S1916" t="s">
        <v>97</v>
      </c>
      <c r="T1916">
        <v>30</v>
      </c>
      <c r="Z1916" t="s">
        <v>39</v>
      </c>
      <c r="AB1916" t="s">
        <v>87</v>
      </c>
      <c r="AC1916" t="s">
        <v>56</v>
      </c>
    </row>
    <row r="1917" spans="1:30" x14ac:dyDescent="0.25">
      <c r="A1917" s="4">
        <v>42572</v>
      </c>
      <c r="B1917" t="s">
        <v>30</v>
      </c>
      <c r="C1917">
        <v>203</v>
      </c>
      <c r="D1917">
        <v>6</v>
      </c>
      <c r="E1917">
        <v>1</v>
      </c>
      <c r="F1917" t="s">
        <v>41</v>
      </c>
      <c r="G1917" t="s">
        <v>32</v>
      </c>
      <c r="H1917" t="s">
        <v>33</v>
      </c>
      <c r="I1917" t="s">
        <v>34</v>
      </c>
      <c r="J1917" t="s">
        <v>35</v>
      </c>
      <c r="K1917" t="s">
        <v>89</v>
      </c>
      <c r="L1917" t="s">
        <v>43</v>
      </c>
      <c r="M1917">
        <v>0</v>
      </c>
      <c r="N1917">
        <v>0</v>
      </c>
      <c r="O1917" s="5">
        <v>50665</v>
      </c>
      <c r="P1917" s="5">
        <v>50664</v>
      </c>
      <c r="Q1917">
        <v>15</v>
      </c>
      <c r="R1917" t="s">
        <v>65</v>
      </c>
      <c r="T1917">
        <v>19</v>
      </c>
      <c r="U1917">
        <v>96</v>
      </c>
      <c r="V1917">
        <v>13</v>
      </c>
      <c r="W1917">
        <v>12.9</v>
      </c>
      <c r="X1917">
        <v>26.7</v>
      </c>
      <c r="Z1917" t="s">
        <v>39</v>
      </c>
      <c r="AB1917" t="s">
        <v>87</v>
      </c>
      <c r="AC1917" t="s">
        <v>56</v>
      </c>
    </row>
    <row r="1918" spans="1:30" x14ac:dyDescent="0.25">
      <c r="A1918" s="4">
        <v>42572</v>
      </c>
      <c r="B1918" t="s">
        <v>30</v>
      </c>
      <c r="C1918">
        <v>203</v>
      </c>
      <c r="D1918">
        <v>6</v>
      </c>
      <c r="E1918">
        <v>2</v>
      </c>
      <c r="F1918" t="s">
        <v>41</v>
      </c>
      <c r="G1918" t="s">
        <v>32</v>
      </c>
      <c r="H1918" t="s">
        <v>33</v>
      </c>
      <c r="I1918" t="s">
        <v>57</v>
      </c>
      <c r="O1918" s="5"/>
      <c r="P1918" s="5"/>
    </row>
    <row r="1919" spans="1:30" x14ac:dyDescent="0.25">
      <c r="A1919" s="4">
        <v>42572</v>
      </c>
      <c r="B1919" t="s">
        <v>30</v>
      </c>
      <c r="C1919">
        <v>203</v>
      </c>
      <c r="D1919">
        <v>7</v>
      </c>
      <c r="E1919">
        <v>1</v>
      </c>
      <c r="F1919" t="s">
        <v>41</v>
      </c>
      <c r="G1919" t="s">
        <v>32</v>
      </c>
      <c r="H1919" t="s">
        <v>33</v>
      </c>
      <c r="I1919" t="s">
        <v>34</v>
      </c>
      <c r="J1919" t="s">
        <v>42</v>
      </c>
      <c r="K1919" t="s">
        <v>89</v>
      </c>
      <c r="L1919" t="s">
        <v>37</v>
      </c>
      <c r="M1919">
        <v>0</v>
      </c>
      <c r="N1919">
        <v>1</v>
      </c>
      <c r="O1919" s="5">
        <v>508336</v>
      </c>
      <c r="P1919" s="5"/>
      <c r="Q1919">
        <v>15</v>
      </c>
      <c r="R1919" t="s">
        <v>38</v>
      </c>
      <c r="S1919" t="s">
        <v>39</v>
      </c>
      <c r="T1919">
        <v>18</v>
      </c>
      <c r="U1919">
        <v>87</v>
      </c>
      <c r="V1919">
        <v>14</v>
      </c>
      <c r="W1919">
        <v>12.8</v>
      </c>
      <c r="X1919">
        <v>26.5</v>
      </c>
      <c r="Z1919" t="s">
        <v>39</v>
      </c>
      <c r="AB1919" t="s">
        <v>87</v>
      </c>
      <c r="AC1919" t="s">
        <v>56</v>
      </c>
    </row>
    <row r="1920" spans="1:30" x14ac:dyDescent="0.25">
      <c r="A1920" s="4">
        <v>42572</v>
      </c>
      <c r="B1920" t="s">
        <v>30</v>
      </c>
      <c r="C1920">
        <v>203</v>
      </c>
      <c r="D1920">
        <v>7</v>
      </c>
      <c r="E1920">
        <v>2</v>
      </c>
      <c r="F1920" t="s">
        <v>41</v>
      </c>
      <c r="G1920" t="s">
        <v>32</v>
      </c>
      <c r="H1920" t="s">
        <v>33</v>
      </c>
      <c r="I1920" t="s">
        <v>64</v>
      </c>
      <c r="J1920" t="s">
        <v>42</v>
      </c>
      <c r="K1920" t="s">
        <v>36</v>
      </c>
      <c r="L1920" t="s">
        <v>43</v>
      </c>
      <c r="M1920">
        <v>0</v>
      </c>
      <c r="N1920">
        <v>1</v>
      </c>
      <c r="O1920" s="5">
        <v>50835</v>
      </c>
      <c r="P1920" s="5"/>
      <c r="Q1920">
        <f>234-48</f>
        <v>186</v>
      </c>
      <c r="R1920" t="s">
        <v>47</v>
      </c>
      <c r="T1920">
        <v>44</v>
      </c>
      <c r="W1920">
        <v>26.2</v>
      </c>
      <c r="X1920">
        <v>47.3</v>
      </c>
      <c r="Z1920" t="s">
        <v>39</v>
      </c>
      <c r="AB1920" t="s">
        <v>87</v>
      </c>
      <c r="AC1920" t="s">
        <v>56</v>
      </c>
    </row>
    <row r="1921" spans="1:29" x14ac:dyDescent="0.25">
      <c r="A1921" s="4">
        <v>42572</v>
      </c>
      <c r="B1921" t="s">
        <v>30</v>
      </c>
      <c r="C1921">
        <v>203</v>
      </c>
      <c r="D1921">
        <v>8</v>
      </c>
      <c r="E1921">
        <v>1</v>
      </c>
      <c r="F1921" t="s">
        <v>41</v>
      </c>
      <c r="G1921" t="s">
        <v>32</v>
      </c>
      <c r="H1921" t="s">
        <v>33</v>
      </c>
      <c r="I1921" t="s">
        <v>34</v>
      </c>
      <c r="J1921" t="s">
        <v>35</v>
      </c>
      <c r="K1921" t="s">
        <v>114</v>
      </c>
      <c r="L1921" t="s">
        <v>37</v>
      </c>
      <c r="M1921">
        <v>0</v>
      </c>
      <c r="N1921">
        <v>0</v>
      </c>
      <c r="O1921" s="5">
        <v>50633</v>
      </c>
      <c r="P1921" s="5">
        <v>50634</v>
      </c>
      <c r="Q1921">
        <f>29.5-10</f>
        <v>19.5</v>
      </c>
      <c r="R1921" t="s">
        <v>164</v>
      </c>
      <c r="S1921" t="s">
        <v>97</v>
      </c>
      <c r="T1921">
        <v>20</v>
      </c>
      <c r="U1921">
        <v>84</v>
      </c>
      <c r="V1921">
        <v>16</v>
      </c>
      <c r="Z1921" t="s">
        <v>97</v>
      </c>
      <c r="AA1921" t="s">
        <v>199</v>
      </c>
      <c r="AB1921" t="s">
        <v>87</v>
      </c>
      <c r="AC1921" t="s">
        <v>56</v>
      </c>
    </row>
    <row r="1922" spans="1:29" x14ac:dyDescent="0.25">
      <c r="A1922" s="4">
        <v>42572</v>
      </c>
      <c r="B1922" t="s">
        <v>30</v>
      </c>
      <c r="C1922">
        <v>203</v>
      </c>
      <c r="D1922">
        <v>9</v>
      </c>
      <c r="E1922">
        <v>1</v>
      </c>
      <c r="F1922" t="s">
        <v>41</v>
      </c>
      <c r="G1922" t="s">
        <v>32</v>
      </c>
      <c r="H1922" t="s">
        <v>33</v>
      </c>
      <c r="I1922" t="s">
        <v>34</v>
      </c>
      <c r="J1922" t="s">
        <v>42</v>
      </c>
      <c r="K1922" t="s">
        <v>89</v>
      </c>
      <c r="L1922" t="s">
        <v>43</v>
      </c>
      <c r="M1922">
        <v>0</v>
      </c>
      <c r="N1922">
        <v>1</v>
      </c>
      <c r="O1922" s="5">
        <v>50834</v>
      </c>
      <c r="P1922" s="5"/>
      <c r="Q1922">
        <f>23-9.5</f>
        <v>13.5</v>
      </c>
      <c r="R1922" t="s">
        <v>65</v>
      </c>
      <c r="T1922">
        <v>19</v>
      </c>
      <c r="U1922">
        <v>85</v>
      </c>
      <c r="V1922">
        <v>13</v>
      </c>
      <c r="W1922">
        <v>12.9</v>
      </c>
      <c r="X1922">
        <v>26.9</v>
      </c>
      <c r="Z1922" t="s">
        <v>39</v>
      </c>
      <c r="AB1922" t="s">
        <v>87</v>
      </c>
      <c r="AC1922" t="s">
        <v>56</v>
      </c>
    </row>
    <row r="1923" spans="1:29" x14ac:dyDescent="0.25">
      <c r="A1923" s="4">
        <v>42572</v>
      </c>
      <c r="B1923" t="s">
        <v>30</v>
      </c>
      <c r="C1923">
        <v>203</v>
      </c>
      <c r="D1923">
        <v>9</v>
      </c>
      <c r="E1923">
        <v>2</v>
      </c>
      <c r="F1923" t="s">
        <v>41</v>
      </c>
      <c r="G1923" t="s">
        <v>32</v>
      </c>
      <c r="H1923" t="s">
        <v>33</v>
      </c>
      <c r="I1923" t="s">
        <v>57</v>
      </c>
      <c r="O1923" s="5"/>
      <c r="P1923" s="5"/>
    </row>
    <row r="1924" spans="1:29" x14ac:dyDescent="0.25">
      <c r="A1924" s="4">
        <v>42572</v>
      </c>
      <c r="B1924" t="s">
        <v>30</v>
      </c>
      <c r="C1924">
        <v>202</v>
      </c>
      <c r="D1924">
        <v>1</v>
      </c>
      <c r="E1924">
        <v>1</v>
      </c>
      <c r="F1924" t="s">
        <v>41</v>
      </c>
      <c r="G1924" t="s">
        <v>32</v>
      </c>
      <c r="H1924" t="s">
        <v>33</v>
      </c>
      <c r="I1924" t="s">
        <v>57</v>
      </c>
      <c r="O1924" s="5"/>
      <c r="P1924" s="5"/>
    </row>
    <row r="1925" spans="1:29" x14ac:dyDescent="0.25">
      <c r="A1925" s="4">
        <v>42572</v>
      </c>
      <c r="B1925" t="s">
        <v>30</v>
      </c>
      <c r="C1925">
        <v>202</v>
      </c>
      <c r="D1925">
        <v>2</v>
      </c>
      <c r="E1925">
        <v>1</v>
      </c>
      <c r="F1925" t="s">
        <v>41</v>
      </c>
      <c r="G1925" t="s">
        <v>32</v>
      </c>
      <c r="H1925" t="s">
        <v>33</v>
      </c>
      <c r="I1925" t="s">
        <v>57</v>
      </c>
      <c r="O1925" s="5"/>
      <c r="P1925" s="5"/>
    </row>
    <row r="1926" spans="1:29" x14ac:dyDescent="0.25">
      <c r="A1926" s="4">
        <v>42572</v>
      </c>
      <c r="B1926" t="s">
        <v>30</v>
      </c>
      <c r="C1926">
        <v>202</v>
      </c>
      <c r="D1926">
        <v>2</v>
      </c>
      <c r="E1926">
        <v>2</v>
      </c>
      <c r="F1926" t="s">
        <v>41</v>
      </c>
      <c r="G1926" t="s">
        <v>32</v>
      </c>
      <c r="H1926" t="s">
        <v>33</v>
      </c>
      <c r="I1926" t="s">
        <v>57</v>
      </c>
      <c r="O1926" s="5"/>
      <c r="P1926" s="5"/>
    </row>
    <row r="1927" spans="1:29" x14ac:dyDescent="0.25">
      <c r="A1927" s="4">
        <v>42572</v>
      </c>
      <c r="B1927" t="s">
        <v>30</v>
      </c>
      <c r="C1927">
        <v>202</v>
      </c>
      <c r="D1927">
        <v>3</v>
      </c>
      <c r="E1927">
        <v>1</v>
      </c>
      <c r="F1927" t="s">
        <v>41</v>
      </c>
      <c r="G1927" t="s">
        <v>32</v>
      </c>
      <c r="H1927" t="s">
        <v>33</v>
      </c>
      <c r="I1927" t="s">
        <v>57</v>
      </c>
      <c r="O1927" s="5"/>
      <c r="P1927" s="5"/>
    </row>
    <row r="1928" spans="1:29" x14ac:dyDescent="0.25">
      <c r="A1928" s="4">
        <v>42572</v>
      </c>
      <c r="B1928" t="s">
        <v>30</v>
      </c>
      <c r="C1928">
        <v>202</v>
      </c>
      <c r="D1928">
        <v>3</v>
      </c>
      <c r="E1928">
        <v>2</v>
      </c>
      <c r="F1928" t="s">
        <v>41</v>
      </c>
      <c r="G1928" t="s">
        <v>32</v>
      </c>
      <c r="H1928" t="s">
        <v>33</v>
      </c>
      <c r="I1928" t="s">
        <v>57</v>
      </c>
      <c r="O1928" s="5"/>
      <c r="P1928" s="5"/>
    </row>
    <row r="1929" spans="1:29" x14ac:dyDescent="0.25">
      <c r="A1929" s="4">
        <v>42572</v>
      </c>
      <c r="B1929" t="s">
        <v>30</v>
      </c>
      <c r="C1929">
        <v>202</v>
      </c>
      <c r="D1929">
        <v>5</v>
      </c>
      <c r="E1929">
        <v>1</v>
      </c>
      <c r="F1929" t="s">
        <v>41</v>
      </c>
      <c r="G1929" t="s">
        <v>32</v>
      </c>
      <c r="H1929" t="s">
        <v>33</v>
      </c>
      <c r="I1929" t="s">
        <v>34</v>
      </c>
      <c r="J1929" t="s">
        <v>35</v>
      </c>
      <c r="K1929" t="s">
        <v>89</v>
      </c>
      <c r="L1929" t="s">
        <v>37</v>
      </c>
      <c r="M1929">
        <v>0</v>
      </c>
      <c r="N1929">
        <v>0</v>
      </c>
      <c r="O1929" s="5">
        <v>50778</v>
      </c>
      <c r="P1929" s="5">
        <v>50777</v>
      </c>
      <c r="Q1929">
        <f>26-12</f>
        <v>14</v>
      </c>
      <c r="R1929" t="s">
        <v>38</v>
      </c>
      <c r="S1929" t="s">
        <v>39</v>
      </c>
      <c r="T1929">
        <v>19</v>
      </c>
      <c r="V1929">
        <v>14</v>
      </c>
      <c r="W1929">
        <v>12.6</v>
      </c>
      <c r="X1929">
        <v>26.6</v>
      </c>
      <c r="Z1929" t="s">
        <v>97</v>
      </c>
      <c r="AA1929" t="s">
        <v>199</v>
      </c>
      <c r="AB1929" t="s">
        <v>87</v>
      </c>
      <c r="AC1929" t="s">
        <v>56</v>
      </c>
    </row>
    <row r="1930" spans="1:29" x14ac:dyDescent="0.25">
      <c r="A1930" s="4">
        <v>42572</v>
      </c>
      <c r="B1930" t="s">
        <v>30</v>
      </c>
      <c r="C1930">
        <v>202</v>
      </c>
      <c r="D1930">
        <v>5</v>
      </c>
      <c r="E1930">
        <v>2</v>
      </c>
      <c r="F1930" t="s">
        <v>41</v>
      </c>
      <c r="G1930" t="s">
        <v>32</v>
      </c>
      <c r="H1930" t="s">
        <v>33</v>
      </c>
      <c r="I1930" t="s">
        <v>34</v>
      </c>
      <c r="J1930" t="s">
        <v>42</v>
      </c>
      <c r="K1930" t="s">
        <v>36</v>
      </c>
      <c r="L1930" t="s">
        <v>43</v>
      </c>
      <c r="M1930">
        <v>0</v>
      </c>
      <c r="N1930">
        <v>1</v>
      </c>
      <c r="O1930" s="5">
        <v>50833</v>
      </c>
      <c r="P1930" s="5"/>
      <c r="Q1930">
        <f>33-13</f>
        <v>20</v>
      </c>
      <c r="R1930" t="s">
        <v>47</v>
      </c>
      <c r="T1930">
        <v>19</v>
      </c>
      <c r="U1930">
        <v>93</v>
      </c>
      <c r="V1930">
        <v>14</v>
      </c>
      <c r="W1930">
        <v>12.8</v>
      </c>
      <c r="X1930">
        <v>27.4</v>
      </c>
      <c r="Z1930" t="s">
        <v>97</v>
      </c>
      <c r="AA1930" t="s">
        <v>199</v>
      </c>
      <c r="AB1930" t="s">
        <v>87</v>
      </c>
      <c r="AC1930" t="s">
        <v>56</v>
      </c>
    </row>
    <row r="1931" spans="1:29" x14ac:dyDescent="0.25">
      <c r="A1931" s="4">
        <v>42572</v>
      </c>
      <c r="B1931" t="s">
        <v>30</v>
      </c>
      <c r="C1931">
        <v>202</v>
      </c>
      <c r="D1931">
        <v>6</v>
      </c>
      <c r="E1931">
        <v>1</v>
      </c>
      <c r="F1931" t="s">
        <v>41</v>
      </c>
      <c r="G1931" t="s">
        <v>32</v>
      </c>
      <c r="H1931" t="s">
        <v>33</v>
      </c>
      <c r="I1931" t="s">
        <v>57</v>
      </c>
      <c r="O1931" s="5"/>
      <c r="P1931" s="5"/>
    </row>
    <row r="1932" spans="1:29" x14ac:dyDescent="0.25">
      <c r="A1932" s="4">
        <v>42572</v>
      </c>
      <c r="B1932" t="s">
        <v>30</v>
      </c>
      <c r="C1932">
        <v>202</v>
      </c>
      <c r="D1932">
        <v>7</v>
      </c>
      <c r="E1932">
        <v>1</v>
      </c>
      <c r="F1932" t="s">
        <v>41</v>
      </c>
      <c r="G1932" t="s">
        <v>32</v>
      </c>
      <c r="H1932" t="s">
        <v>33</v>
      </c>
      <c r="I1932" t="s">
        <v>57</v>
      </c>
      <c r="O1932" s="5"/>
      <c r="P1932" s="5"/>
    </row>
    <row r="1933" spans="1:29" x14ac:dyDescent="0.25">
      <c r="A1933" s="4">
        <v>42572</v>
      </c>
      <c r="B1933" t="s">
        <v>30</v>
      </c>
      <c r="C1933">
        <v>202</v>
      </c>
      <c r="D1933">
        <v>7</v>
      </c>
      <c r="E1933">
        <v>2</v>
      </c>
      <c r="F1933" t="s">
        <v>41</v>
      </c>
      <c r="G1933" t="s">
        <v>32</v>
      </c>
      <c r="H1933" t="s">
        <v>33</v>
      </c>
      <c r="I1933" t="s">
        <v>57</v>
      </c>
      <c r="O1933" s="5"/>
      <c r="P1933" s="5"/>
    </row>
    <row r="1934" spans="1:29" x14ac:dyDescent="0.25">
      <c r="A1934" s="4">
        <v>42572</v>
      </c>
      <c r="B1934" t="s">
        <v>30</v>
      </c>
      <c r="C1934">
        <v>202</v>
      </c>
      <c r="D1934">
        <v>8</v>
      </c>
      <c r="E1934">
        <v>1</v>
      </c>
      <c r="F1934" t="s">
        <v>41</v>
      </c>
      <c r="G1934" t="s">
        <v>32</v>
      </c>
      <c r="H1934" t="s">
        <v>33</v>
      </c>
      <c r="I1934" t="s">
        <v>57</v>
      </c>
      <c r="O1934" s="5"/>
      <c r="P1934" s="5"/>
    </row>
    <row r="1935" spans="1:29" x14ac:dyDescent="0.25">
      <c r="A1935" s="4">
        <v>42572</v>
      </c>
      <c r="B1935" t="s">
        <v>30</v>
      </c>
      <c r="C1935">
        <v>202</v>
      </c>
      <c r="D1935">
        <v>8</v>
      </c>
      <c r="E1935">
        <v>2</v>
      </c>
      <c r="F1935" t="s">
        <v>41</v>
      </c>
      <c r="G1935" t="s">
        <v>32</v>
      </c>
      <c r="H1935" t="s">
        <v>33</v>
      </c>
      <c r="I1935" t="s">
        <v>34</v>
      </c>
      <c r="J1935" t="s">
        <v>35</v>
      </c>
      <c r="K1935" t="s">
        <v>89</v>
      </c>
      <c r="L1935" t="s">
        <v>43</v>
      </c>
      <c r="M1935">
        <v>0</v>
      </c>
      <c r="N1935">
        <v>0</v>
      </c>
      <c r="O1935" s="5">
        <v>50786</v>
      </c>
      <c r="P1935" s="5">
        <v>50785</v>
      </c>
      <c r="Q1935">
        <f>27-14.5</f>
        <v>12.5</v>
      </c>
      <c r="R1935" t="s">
        <v>65</v>
      </c>
      <c r="T1935">
        <v>18</v>
      </c>
      <c r="V1935">
        <v>13.5</v>
      </c>
      <c r="W1935">
        <v>12.6</v>
      </c>
      <c r="X1935">
        <v>25.5</v>
      </c>
      <c r="Z1935" t="s">
        <v>97</v>
      </c>
      <c r="AA1935" t="s">
        <v>250</v>
      </c>
      <c r="AB1935" t="s">
        <v>87</v>
      </c>
      <c r="AC1935" t="s">
        <v>56</v>
      </c>
    </row>
    <row r="1936" spans="1:29" x14ac:dyDescent="0.25">
      <c r="A1936" s="4">
        <v>42572</v>
      </c>
      <c r="B1936" t="s">
        <v>30</v>
      </c>
      <c r="C1936">
        <v>202</v>
      </c>
      <c r="D1936">
        <v>9</v>
      </c>
      <c r="E1936">
        <v>1</v>
      </c>
      <c r="F1936" t="s">
        <v>41</v>
      </c>
      <c r="G1936" t="s">
        <v>32</v>
      </c>
      <c r="H1936" t="s">
        <v>33</v>
      </c>
      <c r="I1936" t="s">
        <v>57</v>
      </c>
      <c r="O1936" s="5"/>
      <c r="P1936" s="5"/>
    </row>
    <row r="1937" spans="1:30" x14ac:dyDescent="0.25">
      <c r="A1937" s="4">
        <v>42572</v>
      </c>
      <c r="B1937" t="s">
        <v>30</v>
      </c>
      <c r="C1937">
        <v>202</v>
      </c>
      <c r="D1937">
        <v>9</v>
      </c>
      <c r="E1937">
        <v>2</v>
      </c>
      <c r="F1937" t="s">
        <v>41</v>
      </c>
      <c r="G1937" t="s">
        <v>32</v>
      </c>
      <c r="H1937" t="s">
        <v>33</v>
      </c>
      <c r="I1937" t="s">
        <v>57</v>
      </c>
      <c r="O1937" s="5"/>
      <c r="P1937" s="5"/>
    </row>
    <row r="1938" spans="1:30" x14ac:dyDescent="0.25">
      <c r="A1938" s="4">
        <v>42572</v>
      </c>
      <c r="B1938" t="s">
        <v>30</v>
      </c>
      <c r="C1938">
        <v>202</v>
      </c>
      <c r="D1938">
        <v>10</v>
      </c>
      <c r="E1938">
        <v>1</v>
      </c>
      <c r="F1938" t="s">
        <v>41</v>
      </c>
      <c r="G1938" t="s">
        <v>32</v>
      </c>
      <c r="H1938" t="s">
        <v>33</v>
      </c>
      <c r="I1938" t="s">
        <v>57</v>
      </c>
      <c r="O1938" s="5"/>
      <c r="P1938" s="5"/>
    </row>
    <row r="1939" spans="1:30" x14ac:dyDescent="0.25">
      <c r="A1939" s="4">
        <v>42572</v>
      </c>
      <c r="B1939" t="s">
        <v>30</v>
      </c>
      <c r="C1939">
        <v>202</v>
      </c>
      <c r="D1939">
        <v>10</v>
      </c>
      <c r="E1939">
        <v>2</v>
      </c>
      <c r="F1939" t="s">
        <v>41</v>
      </c>
      <c r="G1939" t="s">
        <v>32</v>
      </c>
      <c r="H1939" t="s">
        <v>33</v>
      </c>
      <c r="I1939" t="s">
        <v>84</v>
      </c>
      <c r="O1939" s="5"/>
      <c r="P1939" s="5"/>
    </row>
    <row r="1940" spans="1:30" x14ac:dyDescent="0.25">
      <c r="A1940" s="4">
        <v>42572</v>
      </c>
      <c r="B1940" t="s">
        <v>30</v>
      </c>
      <c r="C1940">
        <v>304</v>
      </c>
      <c r="D1940">
        <v>10</v>
      </c>
      <c r="E1940">
        <v>1</v>
      </c>
      <c r="F1940" t="s">
        <v>41</v>
      </c>
      <c r="G1940" t="s">
        <v>32</v>
      </c>
      <c r="H1940" t="s">
        <v>33</v>
      </c>
      <c r="I1940" t="s">
        <v>57</v>
      </c>
      <c r="O1940" s="5"/>
      <c r="P1940" s="5"/>
    </row>
    <row r="1941" spans="1:30" x14ac:dyDescent="0.25">
      <c r="A1941" s="4">
        <v>42572</v>
      </c>
      <c r="B1941" t="s">
        <v>30</v>
      </c>
      <c r="C1941">
        <v>304</v>
      </c>
      <c r="D1941">
        <v>9</v>
      </c>
      <c r="E1941">
        <v>1</v>
      </c>
      <c r="F1941" t="s">
        <v>41</v>
      </c>
      <c r="G1941" t="s">
        <v>32</v>
      </c>
      <c r="H1941" t="s">
        <v>33</v>
      </c>
      <c r="I1941" t="s">
        <v>57</v>
      </c>
      <c r="O1941" s="5"/>
      <c r="P1941" s="5"/>
    </row>
    <row r="1942" spans="1:30" x14ac:dyDescent="0.25">
      <c r="A1942" s="4">
        <v>42572</v>
      </c>
      <c r="B1942" t="s">
        <v>30</v>
      </c>
      <c r="C1942">
        <v>304</v>
      </c>
      <c r="D1942">
        <v>9</v>
      </c>
      <c r="E1942">
        <v>2</v>
      </c>
      <c r="F1942" t="s">
        <v>41</v>
      </c>
      <c r="G1942" t="s">
        <v>32</v>
      </c>
      <c r="H1942" t="s">
        <v>33</v>
      </c>
      <c r="I1942" t="s">
        <v>58</v>
      </c>
      <c r="J1942" t="s">
        <v>42</v>
      </c>
      <c r="K1942" t="s">
        <v>36</v>
      </c>
      <c r="L1942" t="s">
        <v>37</v>
      </c>
      <c r="M1942">
        <v>0</v>
      </c>
      <c r="N1942">
        <v>1</v>
      </c>
      <c r="O1942" s="5">
        <v>50832</v>
      </c>
      <c r="P1942" s="5"/>
      <c r="Q1942">
        <v>30</v>
      </c>
      <c r="R1942" t="s">
        <v>143</v>
      </c>
      <c r="S1942" t="s">
        <v>97</v>
      </c>
      <c r="T1942">
        <v>20</v>
      </c>
      <c r="W1942">
        <v>12.9</v>
      </c>
      <c r="Z1942" t="s">
        <v>97</v>
      </c>
      <c r="AA1942" t="s">
        <v>199</v>
      </c>
      <c r="AB1942" t="s">
        <v>87</v>
      </c>
      <c r="AC1942" t="s">
        <v>56</v>
      </c>
    </row>
    <row r="1943" spans="1:30" x14ac:dyDescent="0.25">
      <c r="A1943" s="4">
        <v>42572</v>
      </c>
      <c r="B1943" t="s">
        <v>30</v>
      </c>
      <c r="C1943">
        <v>304</v>
      </c>
      <c r="D1943">
        <v>8</v>
      </c>
      <c r="E1943">
        <v>1</v>
      </c>
      <c r="F1943" t="s">
        <v>41</v>
      </c>
      <c r="G1943" t="s">
        <v>32</v>
      </c>
      <c r="H1943" t="s">
        <v>33</v>
      </c>
      <c r="I1943" t="s">
        <v>57</v>
      </c>
      <c r="O1943" s="5"/>
      <c r="P1943" s="5"/>
    </row>
    <row r="1944" spans="1:30" x14ac:dyDescent="0.25">
      <c r="A1944" s="4">
        <v>42572</v>
      </c>
      <c r="B1944" t="s">
        <v>30</v>
      </c>
      <c r="C1944">
        <v>304</v>
      </c>
      <c r="D1944">
        <v>8</v>
      </c>
      <c r="E1944">
        <v>2</v>
      </c>
      <c r="F1944" t="s">
        <v>41</v>
      </c>
      <c r="G1944" t="s">
        <v>32</v>
      </c>
      <c r="H1944" t="s">
        <v>33</v>
      </c>
      <c r="I1944" t="s">
        <v>57</v>
      </c>
      <c r="O1944" s="5"/>
      <c r="P1944" s="5"/>
    </row>
    <row r="1945" spans="1:30" x14ac:dyDescent="0.25">
      <c r="A1945" s="4">
        <v>42572</v>
      </c>
      <c r="B1945" t="s">
        <v>30</v>
      </c>
      <c r="C1945">
        <v>304</v>
      </c>
      <c r="D1945">
        <v>7</v>
      </c>
      <c r="E1945">
        <v>1</v>
      </c>
      <c r="F1945" t="s">
        <v>41</v>
      </c>
      <c r="G1945" t="s">
        <v>32</v>
      </c>
      <c r="H1945" t="s">
        <v>33</v>
      </c>
      <c r="I1945" t="s">
        <v>57</v>
      </c>
      <c r="O1945" s="5"/>
      <c r="P1945" s="5"/>
    </row>
    <row r="1946" spans="1:30" x14ac:dyDescent="0.25">
      <c r="A1946" s="4">
        <v>42572</v>
      </c>
      <c r="B1946" t="s">
        <v>30</v>
      </c>
      <c r="C1946">
        <v>304</v>
      </c>
      <c r="D1946">
        <v>7</v>
      </c>
      <c r="E1946">
        <v>2</v>
      </c>
      <c r="F1946" t="s">
        <v>41</v>
      </c>
      <c r="G1946" t="s">
        <v>32</v>
      </c>
      <c r="H1946" t="s">
        <v>33</v>
      </c>
      <c r="I1946" t="s">
        <v>58</v>
      </c>
      <c r="J1946" t="s">
        <v>42</v>
      </c>
      <c r="K1946" t="s">
        <v>36</v>
      </c>
      <c r="L1946" t="s">
        <v>37</v>
      </c>
      <c r="M1946">
        <v>0</v>
      </c>
      <c r="N1946">
        <v>1</v>
      </c>
      <c r="O1946" s="5">
        <v>50831</v>
      </c>
      <c r="P1946" s="5"/>
      <c r="Q1946">
        <f>32-11</f>
        <v>21</v>
      </c>
      <c r="R1946" t="s">
        <v>143</v>
      </c>
      <c r="S1946" t="s">
        <v>97</v>
      </c>
      <c r="T1946">
        <v>16.5</v>
      </c>
      <c r="W1946">
        <v>12.9</v>
      </c>
      <c r="X1946">
        <v>26.5</v>
      </c>
      <c r="Z1946" t="s">
        <v>97</v>
      </c>
      <c r="AA1946" t="s">
        <v>199</v>
      </c>
      <c r="AB1946" t="s">
        <v>87</v>
      </c>
      <c r="AC1946" t="s">
        <v>56</v>
      </c>
    </row>
    <row r="1947" spans="1:30" x14ac:dyDescent="0.25">
      <c r="A1947" s="4">
        <v>42572</v>
      </c>
      <c r="B1947" t="s">
        <v>30</v>
      </c>
      <c r="C1947">
        <v>304</v>
      </c>
      <c r="D1947">
        <v>6</v>
      </c>
      <c r="E1947">
        <v>1</v>
      </c>
      <c r="F1947" t="s">
        <v>41</v>
      </c>
      <c r="G1947" t="s">
        <v>32</v>
      </c>
      <c r="H1947" t="s">
        <v>33</v>
      </c>
      <c r="I1947" t="s">
        <v>57</v>
      </c>
      <c r="O1947" s="5"/>
      <c r="P1947" s="5"/>
    </row>
    <row r="1948" spans="1:30" x14ac:dyDescent="0.25">
      <c r="A1948" s="4">
        <v>42572</v>
      </c>
      <c r="B1948" t="s">
        <v>30</v>
      </c>
      <c r="C1948">
        <v>304</v>
      </c>
      <c r="D1948">
        <v>5</v>
      </c>
      <c r="E1948">
        <v>1</v>
      </c>
      <c r="F1948" t="s">
        <v>41</v>
      </c>
      <c r="G1948" t="s">
        <v>32</v>
      </c>
      <c r="H1948" t="s">
        <v>33</v>
      </c>
      <c r="I1948" t="s">
        <v>57</v>
      </c>
      <c r="O1948" s="5"/>
      <c r="P1948" s="5"/>
    </row>
    <row r="1949" spans="1:30" x14ac:dyDescent="0.25">
      <c r="A1949" s="4">
        <v>42572</v>
      </c>
      <c r="B1949" t="s">
        <v>30</v>
      </c>
      <c r="C1949">
        <v>304</v>
      </c>
      <c r="D1949">
        <v>4</v>
      </c>
      <c r="E1949">
        <v>1</v>
      </c>
      <c r="F1949" t="s">
        <v>41</v>
      </c>
      <c r="G1949" t="s">
        <v>32</v>
      </c>
      <c r="H1949" t="s">
        <v>33</v>
      </c>
      <c r="I1949" t="s">
        <v>73</v>
      </c>
      <c r="J1949" t="s">
        <v>35</v>
      </c>
      <c r="K1949" t="s">
        <v>36</v>
      </c>
      <c r="L1949" t="s">
        <v>37</v>
      </c>
      <c r="M1949">
        <v>0</v>
      </c>
      <c r="N1949">
        <v>0</v>
      </c>
      <c r="O1949" s="5">
        <v>50782</v>
      </c>
      <c r="P1949" s="5"/>
      <c r="Q1949">
        <f>132-48</f>
        <v>84</v>
      </c>
      <c r="R1949" t="s">
        <v>63</v>
      </c>
      <c r="S1949" t="s">
        <v>39</v>
      </c>
      <c r="T1949">
        <v>45</v>
      </c>
      <c r="Z1949" t="s">
        <v>97</v>
      </c>
      <c r="AA1949" t="s">
        <v>199</v>
      </c>
      <c r="AB1949" t="s">
        <v>87</v>
      </c>
      <c r="AC1949" t="s">
        <v>56</v>
      </c>
    </row>
    <row r="1950" spans="1:30" x14ac:dyDescent="0.25">
      <c r="A1950" s="4">
        <v>42572</v>
      </c>
      <c r="B1950" t="s">
        <v>30</v>
      </c>
      <c r="C1950">
        <v>304</v>
      </c>
      <c r="D1950">
        <v>2</v>
      </c>
      <c r="E1950">
        <v>1</v>
      </c>
      <c r="F1950" t="s">
        <v>41</v>
      </c>
      <c r="G1950" t="s">
        <v>32</v>
      </c>
      <c r="H1950" t="s">
        <v>33</v>
      </c>
      <c r="I1950" t="s">
        <v>58</v>
      </c>
      <c r="J1950" t="s">
        <v>42</v>
      </c>
      <c r="K1950" t="s">
        <v>36</v>
      </c>
      <c r="L1950" t="s">
        <v>43</v>
      </c>
      <c r="M1950">
        <v>0</v>
      </c>
      <c r="N1950">
        <v>1</v>
      </c>
      <c r="O1950" s="5"/>
      <c r="P1950" s="5">
        <v>50330</v>
      </c>
      <c r="Q1950">
        <f>39-11</f>
        <v>28</v>
      </c>
      <c r="R1950" t="s">
        <v>47</v>
      </c>
      <c r="T1950">
        <v>18</v>
      </c>
      <c r="W1950">
        <v>12.8</v>
      </c>
      <c r="X1950">
        <v>27.2</v>
      </c>
      <c r="Z1950" t="s">
        <v>39</v>
      </c>
      <c r="AB1950" t="s">
        <v>87</v>
      </c>
      <c r="AC1950" t="s">
        <v>56</v>
      </c>
    </row>
    <row r="1951" spans="1:30" x14ac:dyDescent="0.25">
      <c r="A1951" s="4">
        <v>42572</v>
      </c>
      <c r="B1951" t="s">
        <v>30</v>
      </c>
      <c r="C1951">
        <v>304</v>
      </c>
      <c r="D1951">
        <v>1</v>
      </c>
      <c r="E1951">
        <v>1</v>
      </c>
      <c r="F1951" t="s">
        <v>41</v>
      </c>
      <c r="G1951" t="s">
        <v>32</v>
      </c>
      <c r="H1951" t="s">
        <v>33</v>
      </c>
      <c r="I1951" t="s">
        <v>34</v>
      </c>
      <c r="J1951" t="s">
        <v>42</v>
      </c>
      <c r="K1951" t="s">
        <v>89</v>
      </c>
      <c r="L1951" t="s">
        <v>43</v>
      </c>
      <c r="M1951">
        <v>0</v>
      </c>
      <c r="N1951">
        <v>1</v>
      </c>
      <c r="O1951" s="5">
        <v>50829</v>
      </c>
      <c r="P1951" s="5">
        <v>50828</v>
      </c>
      <c r="Q1951">
        <f>25-11.5</f>
        <v>13.5</v>
      </c>
      <c r="R1951" t="s">
        <v>65</v>
      </c>
      <c r="T1951">
        <v>20</v>
      </c>
      <c r="U1951">
        <v>86</v>
      </c>
      <c r="V1951">
        <v>15</v>
      </c>
      <c r="W1951">
        <v>12.9</v>
      </c>
      <c r="X1951">
        <v>26.8</v>
      </c>
      <c r="Z1951" t="s">
        <v>97</v>
      </c>
      <c r="AB1951" t="s">
        <v>87</v>
      </c>
      <c r="AC1951" t="s">
        <v>56</v>
      </c>
      <c r="AD1951" t="s">
        <v>251</v>
      </c>
    </row>
    <row r="1952" spans="1:30" x14ac:dyDescent="0.25">
      <c r="A1952" s="4">
        <v>42572</v>
      </c>
      <c r="B1952" t="s">
        <v>30</v>
      </c>
      <c r="C1952">
        <v>111</v>
      </c>
      <c r="D1952">
        <v>6</v>
      </c>
      <c r="E1952">
        <v>1</v>
      </c>
      <c r="F1952" t="s">
        <v>31</v>
      </c>
      <c r="G1952" t="s">
        <v>32</v>
      </c>
      <c r="H1952" t="s">
        <v>33</v>
      </c>
      <c r="I1952" t="s">
        <v>34</v>
      </c>
      <c r="J1952" t="s">
        <v>35</v>
      </c>
      <c r="K1952" t="s">
        <v>36</v>
      </c>
      <c r="L1952" t="s">
        <v>43</v>
      </c>
      <c r="M1952">
        <v>0</v>
      </c>
      <c r="N1952">
        <v>0</v>
      </c>
      <c r="O1952" s="5">
        <v>50602</v>
      </c>
      <c r="P1952" s="5">
        <v>50601</v>
      </c>
      <c r="Q1952">
        <v>22</v>
      </c>
      <c r="R1952" t="s">
        <v>47</v>
      </c>
      <c r="T1952">
        <v>18</v>
      </c>
      <c r="U1952">
        <v>91</v>
      </c>
      <c r="V1952">
        <v>17</v>
      </c>
      <c r="W1952">
        <v>12.6</v>
      </c>
      <c r="X1952">
        <v>25.3</v>
      </c>
      <c r="Z1952" t="s">
        <v>39</v>
      </c>
      <c r="AB1952" t="s">
        <v>87</v>
      </c>
      <c r="AC1952" t="s">
        <v>88</v>
      </c>
    </row>
    <row r="1953" spans="1:29" x14ac:dyDescent="0.25">
      <c r="A1953" s="4">
        <v>42572</v>
      </c>
      <c r="B1953" t="s">
        <v>30</v>
      </c>
      <c r="C1953">
        <v>111</v>
      </c>
      <c r="D1953">
        <v>5</v>
      </c>
      <c r="E1953">
        <v>1</v>
      </c>
      <c r="F1953" t="s">
        <v>31</v>
      </c>
      <c r="G1953" t="s">
        <v>32</v>
      </c>
      <c r="H1953" t="s">
        <v>33</v>
      </c>
      <c r="I1953" t="s">
        <v>57</v>
      </c>
      <c r="O1953" s="5"/>
      <c r="P1953" s="5"/>
    </row>
    <row r="1954" spans="1:29" x14ac:dyDescent="0.25">
      <c r="A1954" s="4">
        <v>42572</v>
      </c>
      <c r="B1954" t="s">
        <v>30</v>
      </c>
      <c r="C1954">
        <v>111</v>
      </c>
      <c r="D1954">
        <v>5</v>
      </c>
      <c r="E1954">
        <v>2</v>
      </c>
      <c r="F1954" t="s">
        <v>31</v>
      </c>
      <c r="G1954" t="s">
        <v>32</v>
      </c>
      <c r="H1954" t="s">
        <v>33</v>
      </c>
      <c r="I1954" t="s">
        <v>34</v>
      </c>
      <c r="J1954" t="s">
        <v>35</v>
      </c>
      <c r="K1954" t="s">
        <v>114</v>
      </c>
      <c r="L1954" t="s">
        <v>43</v>
      </c>
      <c r="M1954">
        <v>0</v>
      </c>
      <c r="N1954">
        <v>0</v>
      </c>
      <c r="O1954" s="5">
        <v>50530</v>
      </c>
      <c r="P1954" s="5">
        <v>50529</v>
      </c>
      <c r="Q1954">
        <f>28-9.5</f>
        <v>18.5</v>
      </c>
      <c r="R1954" t="s">
        <v>65</v>
      </c>
      <c r="T1954">
        <v>18</v>
      </c>
      <c r="V1954">
        <v>15.5</v>
      </c>
      <c r="W1954">
        <v>13</v>
      </c>
      <c r="X1954">
        <v>27.8</v>
      </c>
      <c r="Z1954" t="s">
        <v>39</v>
      </c>
      <c r="AB1954" t="s">
        <v>102</v>
      </c>
      <c r="AC1954" t="s">
        <v>88</v>
      </c>
    </row>
    <row r="1955" spans="1:29" x14ac:dyDescent="0.25">
      <c r="A1955" s="4">
        <v>42572</v>
      </c>
      <c r="B1955" t="s">
        <v>30</v>
      </c>
      <c r="C1955">
        <v>111</v>
      </c>
      <c r="D1955">
        <v>4</v>
      </c>
      <c r="E1955">
        <v>1</v>
      </c>
      <c r="F1955" t="s">
        <v>31</v>
      </c>
      <c r="G1955" t="s">
        <v>32</v>
      </c>
      <c r="H1955" t="s">
        <v>33</v>
      </c>
      <c r="I1955" t="s">
        <v>57</v>
      </c>
      <c r="O1955" s="5"/>
      <c r="P1955" s="5"/>
    </row>
    <row r="1956" spans="1:29" x14ac:dyDescent="0.25">
      <c r="A1956" s="4">
        <v>42572</v>
      </c>
      <c r="B1956" t="s">
        <v>30</v>
      </c>
      <c r="C1956">
        <v>111</v>
      </c>
      <c r="D1956">
        <v>3</v>
      </c>
      <c r="E1956">
        <v>1</v>
      </c>
      <c r="F1956" t="s">
        <v>31</v>
      </c>
      <c r="G1956" t="s">
        <v>32</v>
      </c>
      <c r="H1956" t="s">
        <v>33</v>
      </c>
      <c r="I1956" t="s">
        <v>34</v>
      </c>
      <c r="J1956" t="s">
        <v>42</v>
      </c>
      <c r="K1956" t="s">
        <v>252</v>
      </c>
      <c r="L1956" t="s">
        <v>253</v>
      </c>
      <c r="M1956">
        <v>0</v>
      </c>
      <c r="N1956">
        <v>1</v>
      </c>
      <c r="O1956" s="5">
        <v>50809</v>
      </c>
      <c r="P1956" s="5">
        <v>50808</v>
      </c>
      <c r="Q1956">
        <f>26-12</f>
        <v>14</v>
      </c>
      <c r="R1956" t="s">
        <v>65</v>
      </c>
      <c r="T1956">
        <v>19</v>
      </c>
      <c r="V1956">
        <v>17</v>
      </c>
      <c r="W1956">
        <v>12.6</v>
      </c>
      <c r="X1956">
        <v>26.3</v>
      </c>
      <c r="Z1956" t="s">
        <v>39</v>
      </c>
      <c r="AB1956" t="s">
        <v>87</v>
      </c>
      <c r="AC1956" t="s">
        <v>88</v>
      </c>
    </row>
    <row r="1957" spans="1:29" x14ac:dyDescent="0.25">
      <c r="A1957" s="4">
        <v>42572</v>
      </c>
      <c r="B1957" t="s">
        <v>30</v>
      </c>
      <c r="C1957">
        <v>111</v>
      </c>
      <c r="D1957">
        <v>3</v>
      </c>
      <c r="E1957">
        <v>2</v>
      </c>
      <c r="F1957" t="s">
        <v>31</v>
      </c>
      <c r="G1957" t="s">
        <v>32</v>
      </c>
      <c r="H1957" t="s">
        <v>33</v>
      </c>
      <c r="I1957" t="s">
        <v>34</v>
      </c>
      <c r="J1957" t="s">
        <v>35</v>
      </c>
      <c r="K1957" t="s">
        <v>36</v>
      </c>
      <c r="L1957" t="s">
        <v>43</v>
      </c>
      <c r="M1957">
        <v>0</v>
      </c>
      <c r="N1957">
        <v>0</v>
      </c>
      <c r="O1957" s="5">
        <v>50475</v>
      </c>
      <c r="P1957" s="5">
        <v>50308</v>
      </c>
      <c r="Q1957">
        <f>32.5-12</f>
        <v>20.5</v>
      </c>
      <c r="R1957" t="s">
        <v>47</v>
      </c>
      <c r="T1957">
        <v>17</v>
      </c>
      <c r="U1957">
        <v>86</v>
      </c>
      <c r="V1957">
        <v>16</v>
      </c>
      <c r="W1957">
        <v>13.1</v>
      </c>
      <c r="X1957">
        <v>28.2</v>
      </c>
      <c r="Z1957" t="s">
        <v>39</v>
      </c>
      <c r="AB1957" t="s">
        <v>87</v>
      </c>
      <c r="AC1957" t="s">
        <v>88</v>
      </c>
    </row>
    <row r="1958" spans="1:29" x14ac:dyDescent="0.25">
      <c r="A1958" s="4">
        <v>42572</v>
      </c>
      <c r="B1958" t="s">
        <v>30</v>
      </c>
      <c r="C1958">
        <v>111</v>
      </c>
      <c r="D1958">
        <v>2</v>
      </c>
      <c r="E1958">
        <v>1</v>
      </c>
      <c r="F1958" t="s">
        <v>31</v>
      </c>
      <c r="G1958" t="s">
        <v>32</v>
      </c>
      <c r="H1958" t="s">
        <v>33</v>
      </c>
      <c r="I1958" t="s">
        <v>34</v>
      </c>
      <c r="J1958" t="s">
        <v>35</v>
      </c>
      <c r="K1958" t="s">
        <v>36</v>
      </c>
      <c r="L1958" t="s">
        <v>37</v>
      </c>
      <c r="M1958">
        <v>0</v>
      </c>
      <c r="N1958">
        <v>0</v>
      </c>
      <c r="O1958" s="5">
        <v>50348</v>
      </c>
      <c r="P1958" s="5">
        <v>50347</v>
      </c>
      <c r="Q1958">
        <v>20</v>
      </c>
      <c r="R1958" t="s">
        <v>38</v>
      </c>
      <c r="S1958" t="s">
        <v>39</v>
      </c>
      <c r="T1958">
        <v>19</v>
      </c>
      <c r="U1958">
        <v>86</v>
      </c>
      <c r="V1958">
        <v>17</v>
      </c>
      <c r="Z1958" t="s">
        <v>39</v>
      </c>
      <c r="AB1958" t="s">
        <v>87</v>
      </c>
      <c r="AC1958" t="s">
        <v>88</v>
      </c>
    </row>
    <row r="1959" spans="1:29" x14ac:dyDescent="0.25">
      <c r="A1959" s="4">
        <v>42572</v>
      </c>
      <c r="B1959" t="s">
        <v>30</v>
      </c>
      <c r="C1959">
        <v>111</v>
      </c>
      <c r="D1959">
        <v>2</v>
      </c>
      <c r="E1959">
        <v>2</v>
      </c>
      <c r="F1959" t="s">
        <v>31</v>
      </c>
      <c r="G1959" t="s">
        <v>32</v>
      </c>
      <c r="H1959" t="s">
        <v>33</v>
      </c>
      <c r="I1959" t="s">
        <v>34</v>
      </c>
      <c r="J1959" t="s">
        <v>42</v>
      </c>
      <c r="K1959" t="s">
        <v>114</v>
      </c>
      <c r="L1959" t="s">
        <v>37</v>
      </c>
      <c r="M1959">
        <v>0</v>
      </c>
      <c r="N1959">
        <v>1</v>
      </c>
      <c r="O1959" s="5">
        <v>50811</v>
      </c>
      <c r="P1959" s="5">
        <v>50810</v>
      </c>
      <c r="Q1959">
        <v>21</v>
      </c>
      <c r="R1959" t="s">
        <v>143</v>
      </c>
      <c r="S1959" t="s">
        <v>97</v>
      </c>
      <c r="T1959">
        <v>19</v>
      </c>
      <c r="U1959">
        <v>98</v>
      </c>
      <c r="V1959">
        <v>17.5</v>
      </c>
      <c r="W1959">
        <v>13.2</v>
      </c>
      <c r="X1959">
        <v>27.9</v>
      </c>
      <c r="Z1959" t="s">
        <v>39</v>
      </c>
      <c r="AB1959" t="s">
        <v>87</v>
      </c>
      <c r="AC1959" t="s">
        <v>88</v>
      </c>
    </row>
    <row r="1960" spans="1:29" x14ac:dyDescent="0.25">
      <c r="A1960" s="4">
        <v>42572</v>
      </c>
      <c r="B1960" t="s">
        <v>30</v>
      </c>
      <c r="C1960">
        <v>111</v>
      </c>
      <c r="D1960">
        <v>1</v>
      </c>
      <c r="E1960">
        <v>1</v>
      </c>
      <c r="F1960" t="s">
        <v>31</v>
      </c>
      <c r="G1960" t="s">
        <v>32</v>
      </c>
      <c r="H1960" t="s">
        <v>33</v>
      </c>
      <c r="I1960" t="s">
        <v>57</v>
      </c>
      <c r="O1960" s="5"/>
      <c r="P1960" s="5"/>
    </row>
    <row r="1961" spans="1:29" x14ac:dyDescent="0.25">
      <c r="A1961" s="4">
        <v>42572</v>
      </c>
      <c r="B1961" t="s">
        <v>30</v>
      </c>
      <c r="C1961">
        <v>111</v>
      </c>
      <c r="D1961">
        <v>7</v>
      </c>
      <c r="E1961">
        <v>1</v>
      </c>
      <c r="F1961" t="s">
        <v>31</v>
      </c>
      <c r="G1961" t="s">
        <v>32</v>
      </c>
      <c r="H1961" t="s">
        <v>33</v>
      </c>
      <c r="I1961" t="s">
        <v>34</v>
      </c>
      <c r="J1961" t="s">
        <v>35</v>
      </c>
      <c r="K1961" t="s">
        <v>114</v>
      </c>
      <c r="L1961" t="s">
        <v>43</v>
      </c>
      <c r="M1961">
        <v>0</v>
      </c>
      <c r="N1961">
        <v>0</v>
      </c>
      <c r="O1961" s="5">
        <v>50811</v>
      </c>
      <c r="P1961" s="5">
        <v>50810</v>
      </c>
      <c r="Q1961">
        <f>24-9.5</f>
        <v>14.5</v>
      </c>
      <c r="R1961" t="s">
        <v>65</v>
      </c>
      <c r="T1961">
        <v>17</v>
      </c>
      <c r="U1961">
        <v>76</v>
      </c>
      <c r="V1961">
        <v>17</v>
      </c>
      <c r="W1961">
        <v>12.9</v>
      </c>
      <c r="X1961">
        <v>28.9</v>
      </c>
      <c r="Z1961" t="s">
        <v>39</v>
      </c>
      <c r="AB1961" t="s">
        <v>87</v>
      </c>
      <c r="AC1961" t="s">
        <v>88</v>
      </c>
    </row>
    <row r="1962" spans="1:29" x14ac:dyDescent="0.25">
      <c r="A1962" s="4">
        <v>42572</v>
      </c>
      <c r="B1962" t="s">
        <v>30</v>
      </c>
      <c r="C1962">
        <v>111</v>
      </c>
      <c r="D1962">
        <v>8</v>
      </c>
      <c r="E1962">
        <v>1</v>
      </c>
      <c r="F1962" t="s">
        <v>31</v>
      </c>
      <c r="G1962" t="s">
        <v>32</v>
      </c>
      <c r="H1962" t="s">
        <v>33</v>
      </c>
      <c r="I1962" t="s">
        <v>57</v>
      </c>
      <c r="O1962" s="5"/>
      <c r="P1962" s="5"/>
    </row>
    <row r="1963" spans="1:29" x14ac:dyDescent="0.25">
      <c r="A1963" s="4">
        <v>42572</v>
      </c>
      <c r="B1963" t="s">
        <v>30</v>
      </c>
      <c r="C1963">
        <v>111</v>
      </c>
      <c r="D1963">
        <v>8</v>
      </c>
      <c r="E1963">
        <v>2</v>
      </c>
      <c r="F1963" t="s">
        <v>31</v>
      </c>
      <c r="G1963" t="s">
        <v>32</v>
      </c>
      <c r="H1963" t="s">
        <v>33</v>
      </c>
      <c r="I1963" t="s">
        <v>34</v>
      </c>
      <c r="J1963" t="s">
        <v>35</v>
      </c>
      <c r="K1963" t="s">
        <v>89</v>
      </c>
      <c r="L1963" t="s">
        <v>37</v>
      </c>
      <c r="M1963">
        <v>0</v>
      </c>
      <c r="N1963">
        <v>0</v>
      </c>
      <c r="O1963" s="5">
        <v>50721</v>
      </c>
      <c r="P1963" s="5">
        <v>50720</v>
      </c>
      <c r="Q1963">
        <f>22-10.5</f>
        <v>11.5</v>
      </c>
      <c r="R1963" t="s">
        <v>38</v>
      </c>
      <c r="S1963" t="s">
        <v>39</v>
      </c>
      <c r="T1963">
        <v>18</v>
      </c>
      <c r="V1963">
        <v>15.5</v>
      </c>
      <c r="W1963">
        <v>12.5</v>
      </c>
      <c r="X1963">
        <v>24.8</v>
      </c>
      <c r="Z1963" t="s">
        <v>39</v>
      </c>
      <c r="AB1963" t="s">
        <v>87</v>
      </c>
      <c r="AC1963" t="s">
        <v>88</v>
      </c>
    </row>
    <row r="1964" spans="1:29" x14ac:dyDescent="0.25">
      <c r="A1964" s="4">
        <v>42572</v>
      </c>
      <c r="B1964" t="s">
        <v>30</v>
      </c>
      <c r="C1964">
        <v>111</v>
      </c>
      <c r="D1964">
        <v>9</v>
      </c>
      <c r="E1964">
        <v>1</v>
      </c>
      <c r="F1964" t="s">
        <v>31</v>
      </c>
      <c r="G1964" t="s">
        <v>32</v>
      </c>
      <c r="H1964" t="s">
        <v>33</v>
      </c>
      <c r="I1964" t="s">
        <v>57</v>
      </c>
      <c r="O1964" s="5"/>
      <c r="P1964" s="5"/>
    </row>
    <row r="1965" spans="1:29" x14ac:dyDescent="0.25">
      <c r="A1965" s="4">
        <v>42572</v>
      </c>
      <c r="B1965" t="s">
        <v>30</v>
      </c>
      <c r="C1965">
        <v>111</v>
      </c>
      <c r="D1965">
        <v>9</v>
      </c>
      <c r="E1965">
        <v>2</v>
      </c>
      <c r="F1965" t="s">
        <v>31</v>
      </c>
      <c r="G1965" t="s">
        <v>32</v>
      </c>
      <c r="H1965" t="s">
        <v>33</v>
      </c>
      <c r="I1965" t="s">
        <v>34</v>
      </c>
      <c r="J1965" t="s">
        <v>42</v>
      </c>
      <c r="K1965" t="s">
        <v>89</v>
      </c>
      <c r="L1965" t="s">
        <v>43</v>
      </c>
      <c r="M1965">
        <v>0</v>
      </c>
      <c r="N1965">
        <v>1</v>
      </c>
      <c r="O1965" s="5">
        <v>50813</v>
      </c>
      <c r="P1965" s="5">
        <v>50812</v>
      </c>
      <c r="Q1965">
        <f>22-13</f>
        <v>9</v>
      </c>
      <c r="R1965" t="s">
        <v>65</v>
      </c>
      <c r="T1965">
        <v>18</v>
      </c>
      <c r="V1965">
        <v>16</v>
      </c>
      <c r="W1965">
        <v>12.7</v>
      </c>
      <c r="X1965">
        <v>24.8</v>
      </c>
      <c r="Z1965" t="s">
        <v>39</v>
      </c>
      <c r="AB1965" t="s">
        <v>87</v>
      </c>
      <c r="AC1965" t="s">
        <v>88</v>
      </c>
    </row>
    <row r="1966" spans="1:29" x14ac:dyDescent="0.25">
      <c r="A1966" s="4">
        <v>42572</v>
      </c>
      <c r="B1966" t="s">
        <v>30</v>
      </c>
      <c r="C1966">
        <v>111</v>
      </c>
      <c r="D1966">
        <v>10</v>
      </c>
      <c r="E1966">
        <v>1</v>
      </c>
      <c r="F1966" t="s">
        <v>31</v>
      </c>
      <c r="G1966" t="s">
        <v>32</v>
      </c>
      <c r="H1966" t="s">
        <v>33</v>
      </c>
      <c r="I1966" t="s">
        <v>57</v>
      </c>
      <c r="O1966" s="5"/>
      <c r="P1966" s="5"/>
    </row>
    <row r="1967" spans="1:29" x14ac:dyDescent="0.25">
      <c r="A1967" s="4">
        <v>42572</v>
      </c>
      <c r="B1967" t="s">
        <v>30</v>
      </c>
      <c r="C1967">
        <v>111</v>
      </c>
      <c r="D1967">
        <v>10</v>
      </c>
      <c r="E1967">
        <v>2</v>
      </c>
      <c r="F1967" t="s">
        <v>31</v>
      </c>
      <c r="G1967" t="s">
        <v>32</v>
      </c>
      <c r="H1967" t="s">
        <v>33</v>
      </c>
      <c r="I1967" t="s">
        <v>34</v>
      </c>
      <c r="J1967" t="s">
        <v>42</v>
      </c>
      <c r="K1967" t="s">
        <v>114</v>
      </c>
      <c r="L1967" t="s">
        <v>43</v>
      </c>
      <c r="M1967">
        <v>0</v>
      </c>
      <c r="N1967">
        <v>1</v>
      </c>
      <c r="O1967" s="5">
        <v>50815</v>
      </c>
      <c r="P1967" s="5">
        <v>50814</v>
      </c>
      <c r="Q1967">
        <f>30.5-13</f>
        <v>17.5</v>
      </c>
      <c r="R1967" t="s">
        <v>47</v>
      </c>
      <c r="T1967">
        <v>19</v>
      </c>
      <c r="U1967">
        <v>91.5</v>
      </c>
      <c r="V1967">
        <v>15</v>
      </c>
      <c r="W1967">
        <v>12.8</v>
      </c>
      <c r="X1967">
        <v>26.7</v>
      </c>
      <c r="Z1967" t="s">
        <v>39</v>
      </c>
      <c r="AB1967" t="s">
        <v>87</v>
      </c>
      <c r="AC1967" t="s">
        <v>88</v>
      </c>
    </row>
    <row r="1968" spans="1:29" x14ac:dyDescent="0.25">
      <c r="A1968" s="4">
        <v>42572</v>
      </c>
      <c r="B1968" t="s">
        <v>30</v>
      </c>
      <c r="C1968">
        <v>112</v>
      </c>
      <c r="D1968">
        <v>1</v>
      </c>
      <c r="E1968">
        <v>1</v>
      </c>
      <c r="F1968" t="s">
        <v>31</v>
      </c>
      <c r="G1968" t="s">
        <v>32</v>
      </c>
      <c r="H1968" t="s">
        <v>33</v>
      </c>
      <c r="I1968" t="s">
        <v>73</v>
      </c>
      <c r="J1968" t="s">
        <v>42</v>
      </c>
      <c r="K1968" t="s">
        <v>89</v>
      </c>
      <c r="L1968" t="s">
        <v>43</v>
      </c>
      <c r="M1968">
        <v>0</v>
      </c>
      <c r="N1968">
        <v>1</v>
      </c>
      <c r="O1968" s="5">
        <v>50816</v>
      </c>
      <c r="P1968" s="5"/>
      <c r="Q1968">
        <f>195-110</f>
        <v>85</v>
      </c>
      <c r="R1968" t="s">
        <v>65</v>
      </c>
      <c r="T1968">
        <v>32</v>
      </c>
      <c r="W1968">
        <v>21.5</v>
      </c>
      <c r="X1968">
        <v>42.4</v>
      </c>
      <c r="Z1968" t="s">
        <v>39</v>
      </c>
      <c r="AB1968" t="s">
        <v>87</v>
      </c>
      <c r="AC1968" t="s">
        <v>88</v>
      </c>
    </row>
    <row r="1969" spans="1:29" x14ac:dyDescent="0.25">
      <c r="A1969" s="4">
        <v>42572</v>
      </c>
      <c r="B1969" t="s">
        <v>30</v>
      </c>
      <c r="C1969">
        <v>112</v>
      </c>
      <c r="D1969">
        <v>2</v>
      </c>
      <c r="E1969">
        <v>1</v>
      </c>
      <c r="F1969" t="s">
        <v>31</v>
      </c>
      <c r="G1969" t="s">
        <v>32</v>
      </c>
      <c r="H1969" t="s">
        <v>33</v>
      </c>
      <c r="I1969" t="s">
        <v>34</v>
      </c>
      <c r="J1969" t="s">
        <v>35</v>
      </c>
      <c r="K1969" t="s">
        <v>114</v>
      </c>
      <c r="L1969" t="s">
        <v>37</v>
      </c>
      <c r="M1969">
        <v>0</v>
      </c>
      <c r="N1969">
        <v>0</v>
      </c>
      <c r="O1969" s="5">
        <v>50709</v>
      </c>
      <c r="P1969" s="5">
        <v>50708</v>
      </c>
      <c r="Q1969">
        <f>28-9.5</f>
        <v>18.5</v>
      </c>
      <c r="R1969" t="s">
        <v>38</v>
      </c>
      <c r="S1969" t="s">
        <v>39</v>
      </c>
      <c r="T1969">
        <v>18</v>
      </c>
      <c r="U1969">
        <v>83</v>
      </c>
      <c r="V1969">
        <v>16</v>
      </c>
      <c r="Z1969" t="s">
        <v>39</v>
      </c>
      <c r="AB1969" t="s">
        <v>87</v>
      </c>
      <c r="AC1969" t="s">
        <v>88</v>
      </c>
    </row>
    <row r="1970" spans="1:29" x14ac:dyDescent="0.25">
      <c r="A1970" s="4">
        <v>42572</v>
      </c>
      <c r="B1970" t="s">
        <v>30</v>
      </c>
      <c r="C1970">
        <v>112</v>
      </c>
      <c r="D1970">
        <v>2</v>
      </c>
      <c r="E1970">
        <v>2</v>
      </c>
      <c r="F1970" t="s">
        <v>31</v>
      </c>
      <c r="G1970" t="s">
        <v>32</v>
      </c>
      <c r="H1970" t="s">
        <v>33</v>
      </c>
      <c r="I1970" t="s">
        <v>91</v>
      </c>
      <c r="J1970" t="s">
        <v>35</v>
      </c>
      <c r="K1970" t="s">
        <v>36</v>
      </c>
      <c r="L1970" t="s">
        <v>37</v>
      </c>
      <c r="M1970">
        <v>0</v>
      </c>
      <c r="N1970">
        <v>0</v>
      </c>
      <c r="O1970" s="5"/>
      <c r="P1970" s="5">
        <v>50802</v>
      </c>
      <c r="Q1970">
        <f>33.5-9.5</f>
        <v>24</v>
      </c>
      <c r="R1970" t="s">
        <v>74</v>
      </c>
      <c r="S1970" t="s">
        <v>97</v>
      </c>
      <c r="T1970">
        <v>28</v>
      </c>
      <c r="W1970">
        <v>13</v>
      </c>
      <c r="X1970">
        <v>27.5</v>
      </c>
      <c r="Z1970" t="s">
        <v>39</v>
      </c>
      <c r="AB1970" t="s">
        <v>87</v>
      </c>
      <c r="AC1970" t="s">
        <v>88</v>
      </c>
    </row>
    <row r="1971" spans="1:29" x14ac:dyDescent="0.25">
      <c r="A1971" s="4">
        <v>42572</v>
      </c>
      <c r="B1971" t="s">
        <v>30</v>
      </c>
      <c r="C1971">
        <v>112</v>
      </c>
      <c r="D1971">
        <v>3</v>
      </c>
      <c r="E1971">
        <v>1</v>
      </c>
      <c r="F1971" t="s">
        <v>31</v>
      </c>
      <c r="G1971" t="s">
        <v>32</v>
      </c>
      <c r="H1971" t="s">
        <v>33</v>
      </c>
      <c r="I1971" t="s">
        <v>57</v>
      </c>
      <c r="O1971" s="5"/>
      <c r="P1971" s="5"/>
    </row>
    <row r="1972" spans="1:29" x14ac:dyDescent="0.25">
      <c r="A1972" s="4">
        <v>42572</v>
      </c>
      <c r="B1972" t="s">
        <v>30</v>
      </c>
      <c r="C1972">
        <v>112</v>
      </c>
      <c r="D1972">
        <v>3</v>
      </c>
      <c r="E1972">
        <v>2</v>
      </c>
      <c r="F1972" t="s">
        <v>31</v>
      </c>
      <c r="G1972" t="s">
        <v>32</v>
      </c>
      <c r="H1972" t="s">
        <v>33</v>
      </c>
      <c r="I1972" t="s">
        <v>34</v>
      </c>
      <c r="J1972" t="s">
        <v>35</v>
      </c>
      <c r="K1972" t="s">
        <v>36</v>
      </c>
      <c r="L1972" t="s">
        <v>43</v>
      </c>
      <c r="M1972">
        <v>0</v>
      </c>
      <c r="N1972">
        <v>0</v>
      </c>
      <c r="O1972" s="5">
        <v>50574</v>
      </c>
      <c r="P1972" s="5">
        <v>50573</v>
      </c>
      <c r="Q1972">
        <f>31-9.5</f>
        <v>21.5</v>
      </c>
      <c r="R1972" t="s">
        <v>47</v>
      </c>
      <c r="T1972">
        <v>18.5</v>
      </c>
      <c r="U1972">
        <v>92</v>
      </c>
      <c r="V1972">
        <v>17</v>
      </c>
      <c r="W1972">
        <v>12.9</v>
      </c>
      <c r="X1972">
        <v>27.2</v>
      </c>
      <c r="Z1972" t="s">
        <v>39</v>
      </c>
      <c r="AB1972" t="s">
        <v>87</v>
      </c>
      <c r="AC1972" t="s">
        <v>88</v>
      </c>
    </row>
    <row r="1973" spans="1:29" x14ac:dyDescent="0.25">
      <c r="A1973" s="4">
        <v>42572</v>
      </c>
      <c r="B1973" t="s">
        <v>30</v>
      </c>
      <c r="C1973">
        <v>112</v>
      </c>
      <c r="D1973">
        <v>4</v>
      </c>
      <c r="E1973">
        <v>1</v>
      </c>
      <c r="F1973" t="s">
        <v>31</v>
      </c>
      <c r="G1973" t="s">
        <v>32</v>
      </c>
      <c r="H1973" t="s">
        <v>33</v>
      </c>
      <c r="I1973" t="s">
        <v>91</v>
      </c>
      <c r="J1973" t="s">
        <v>42</v>
      </c>
      <c r="K1973" t="s">
        <v>36</v>
      </c>
      <c r="L1973" t="s">
        <v>37</v>
      </c>
      <c r="M1973">
        <v>0</v>
      </c>
      <c r="N1973">
        <v>1</v>
      </c>
      <c r="O1973" s="5">
        <v>50817</v>
      </c>
      <c r="P1973" s="5"/>
      <c r="Q1973">
        <f>35-19.5</f>
        <v>15.5</v>
      </c>
      <c r="R1973" t="s">
        <v>81</v>
      </c>
      <c r="S1973" t="s">
        <v>39</v>
      </c>
      <c r="T1973">
        <v>28</v>
      </c>
      <c r="W1973">
        <v>13.4</v>
      </c>
      <c r="X1973">
        <v>25.7</v>
      </c>
      <c r="Z1973" t="s">
        <v>39</v>
      </c>
      <c r="AB1973" t="s">
        <v>87</v>
      </c>
      <c r="AC1973" t="s">
        <v>88</v>
      </c>
    </row>
    <row r="1974" spans="1:29" x14ac:dyDescent="0.25">
      <c r="A1974" s="4">
        <v>42572</v>
      </c>
      <c r="B1974" t="s">
        <v>30</v>
      </c>
      <c r="C1974">
        <v>112</v>
      </c>
      <c r="D1974">
        <v>4</v>
      </c>
      <c r="E1974">
        <v>2</v>
      </c>
      <c r="F1974" t="s">
        <v>31</v>
      </c>
      <c r="G1974" t="s">
        <v>32</v>
      </c>
      <c r="H1974" t="s">
        <v>33</v>
      </c>
      <c r="I1974" t="s">
        <v>34</v>
      </c>
      <c r="J1974" t="s">
        <v>35</v>
      </c>
      <c r="K1974" t="s">
        <v>36</v>
      </c>
      <c r="L1974" t="s">
        <v>43</v>
      </c>
      <c r="M1974">
        <v>0</v>
      </c>
      <c r="N1974">
        <v>0</v>
      </c>
      <c r="O1974" s="5">
        <v>50545</v>
      </c>
      <c r="P1974" s="5">
        <v>50544</v>
      </c>
      <c r="Q1974">
        <f>33.5-11.5</f>
        <v>22</v>
      </c>
      <c r="R1974" t="s">
        <v>47</v>
      </c>
      <c r="T1974">
        <v>18</v>
      </c>
      <c r="U1974">
        <v>81</v>
      </c>
      <c r="V1974">
        <v>15.5</v>
      </c>
      <c r="Z1974" t="s">
        <v>39</v>
      </c>
      <c r="AB1974" t="s">
        <v>87</v>
      </c>
      <c r="AC1974" t="s">
        <v>88</v>
      </c>
    </row>
    <row r="1975" spans="1:29" x14ac:dyDescent="0.25">
      <c r="A1975" s="4">
        <v>42572</v>
      </c>
      <c r="B1975" t="s">
        <v>30</v>
      </c>
      <c r="C1975">
        <v>112</v>
      </c>
      <c r="D1975">
        <v>5</v>
      </c>
      <c r="E1975">
        <v>1</v>
      </c>
      <c r="F1975" t="s">
        <v>31</v>
      </c>
      <c r="G1975" t="s">
        <v>32</v>
      </c>
      <c r="H1975" t="s">
        <v>33</v>
      </c>
      <c r="I1975" t="s">
        <v>57</v>
      </c>
      <c r="O1975" s="5"/>
      <c r="P1975" s="5"/>
    </row>
    <row r="1976" spans="1:29" x14ac:dyDescent="0.25">
      <c r="A1976" s="4">
        <v>42572</v>
      </c>
      <c r="B1976" t="s">
        <v>30</v>
      </c>
      <c r="C1976">
        <v>112</v>
      </c>
      <c r="D1976">
        <v>5</v>
      </c>
      <c r="E1976">
        <v>2</v>
      </c>
      <c r="F1976" t="s">
        <v>31</v>
      </c>
      <c r="G1976" t="s">
        <v>32</v>
      </c>
      <c r="H1976" t="s">
        <v>33</v>
      </c>
      <c r="I1976" t="s">
        <v>34</v>
      </c>
      <c r="J1976" t="s">
        <v>35</v>
      </c>
      <c r="K1976" t="s">
        <v>36</v>
      </c>
      <c r="L1976" t="s">
        <v>43</v>
      </c>
      <c r="M1976">
        <v>0</v>
      </c>
      <c r="N1976">
        <v>0</v>
      </c>
      <c r="O1976" s="5">
        <v>50525</v>
      </c>
      <c r="P1976" s="5">
        <v>50524</v>
      </c>
      <c r="Q1976">
        <f>30-12</f>
        <v>18</v>
      </c>
      <c r="R1976" t="s">
        <v>47</v>
      </c>
      <c r="T1976">
        <v>18</v>
      </c>
      <c r="U1976">
        <v>80</v>
      </c>
      <c r="V1976">
        <v>15</v>
      </c>
      <c r="W1976">
        <v>12.8</v>
      </c>
      <c r="X1976">
        <v>25.9</v>
      </c>
      <c r="Z1976" t="s">
        <v>39</v>
      </c>
      <c r="AB1976" t="s">
        <v>87</v>
      </c>
      <c r="AC1976" t="s">
        <v>88</v>
      </c>
    </row>
    <row r="1977" spans="1:29" x14ac:dyDescent="0.25">
      <c r="A1977" s="4">
        <v>42572</v>
      </c>
      <c r="B1977" t="s">
        <v>30</v>
      </c>
      <c r="C1977">
        <v>112</v>
      </c>
      <c r="D1977">
        <v>6</v>
      </c>
      <c r="E1977">
        <v>1</v>
      </c>
      <c r="F1977" t="s">
        <v>31</v>
      </c>
      <c r="G1977" t="s">
        <v>32</v>
      </c>
      <c r="H1977" t="s">
        <v>33</v>
      </c>
      <c r="I1977" t="s">
        <v>58</v>
      </c>
      <c r="J1977" t="s">
        <v>42</v>
      </c>
      <c r="K1977" t="s">
        <v>89</v>
      </c>
      <c r="L1977" t="s">
        <v>37</v>
      </c>
      <c r="M1977">
        <v>0</v>
      </c>
      <c r="N1977">
        <v>1</v>
      </c>
      <c r="O1977" s="5">
        <v>50818</v>
      </c>
      <c r="P1977" s="5"/>
      <c r="Q1977">
        <f>22-9.5</f>
        <v>12.5</v>
      </c>
      <c r="R1977" t="s">
        <v>38</v>
      </c>
      <c r="S1977" t="s">
        <v>39</v>
      </c>
      <c r="T1977">
        <v>17</v>
      </c>
      <c r="W1977">
        <v>11.9</v>
      </c>
      <c r="X1977">
        <v>23.5</v>
      </c>
      <c r="Z1977" t="s">
        <v>39</v>
      </c>
      <c r="AB1977" t="s">
        <v>87</v>
      </c>
      <c r="AC1977" t="s">
        <v>88</v>
      </c>
    </row>
    <row r="1978" spans="1:29" x14ac:dyDescent="0.25">
      <c r="A1978" s="4">
        <v>42572</v>
      </c>
      <c r="B1978" t="s">
        <v>30</v>
      </c>
      <c r="C1978">
        <v>112</v>
      </c>
      <c r="D1978">
        <v>6</v>
      </c>
      <c r="E1978">
        <v>2</v>
      </c>
      <c r="F1978" t="s">
        <v>31</v>
      </c>
      <c r="G1978" t="s">
        <v>32</v>
      </c>
      <c r="H1978" t="s">
        <v>33</v>
      </c>
      <c r="I1978" t="s">
        <v>34</v>
      </c>
      <c r="J1978" t="s">
        <v>35</v>
      </c>
      <c r="K1978" t="s">
        <v>114</v>
      </c>
      <c r="L1978" t="s">
        <v>43</v>
      </c>
      <c r="M1978">
        <v>0</v>
      </c>
      <c r="N1978">
        <v>0</v>
      </c>
      <c r="O1978" s="5">
        <v>50447</v>
      </c>
      <c r="P1978" s="5">
        <v>50446</v>
      </c>
      <c r="Q1978">
        <v>18</v>
      </c>
      <c r="R1978" t="s">
        <v>47</v>
      </c>
      <c r="T1978">
        <v>18</v>
      </c>
      <c r="U1978">
        <v>78.5</v>
      </c>
      <c r="V1978">
        <v>15</v>
      </c>
      <c r="W1978">
        <v>12</v>
      </c>
      <c r="X1978">
        <v>27.7</v>
      </c>
      <c r="Z1978" t="s">
        <v>39</v>
      </c>
      <c r="AB1978" t="s">
        <v>87</v>
      </c>
      <c r="AC1978" t="s">
        <v>88</v>
      </c>
    </row>
    <row r="1979" spans="1:29" x14ac:dyDescent="0.25">
      <c r="A1979" s="4">
        <v>42572</v>
      </c>
      <c r="B1979" t="s">
        <v>30</v>
      </c>
      <c r="C1979">
        <v>112</v>
      </c>
      <c r="D1979">
        <v>7</v>
      </c>
      <c r="E1979">
        <v>1</v>
      </c>
      <c r="F1979" t="s">
        <v>31</v>
      </c>
      <c r="G1979" t="s">
        <v>32</v>
      </c>
      <c r="H1979" t="s">
        <v>33</v>
      </c>
      <c r="I1979" t="s">
        <v>57</v>
      </c>
      <c r="O1979" s="5"/>
      <c r="P1979" s="5"/>
    </row>
    <row r="1980" spans="1:29" x14ac:dyDescent="0.25">
      <c r="A1980" s="4">
        <v>42572</v>
      </c>
      <c r="B1980" t="s">
        <v>30</v>
      </c>
      <c r="C1980">
        <v>112</v>
      </c>
      <c r="D1980">
        <v>7</v>
      </c>
      <c r="E1980">
        <v>2</v>
      </c>
      <c r="F1980" t="s">
        <v>31</v>
      </c>
      <c r="G1980" t="s">
        <v>32</v>
      </c>
      <c r="H1980" t="s">
        <v>33</v>
      </c>
      <c r="I1980" t="s">
        <v>34</v>
      </c>
      <c r="J1980" t="s">
        <v>35</v>
      </c>
      <c r="K1980" t="s">
        <v>114</v>
      </c>
      <c r="L1980" t="s">
        <v>37</v>
      </c>
      <c r="M1980">
        <v>0</v>
      </c>
      <c r="N1980">
        <v>0</v>
      </c>
      <c r="O1980" s="5">
        <v>50804</v>
      </c>
      <c r="P1980" s="5">
        <v>50803</v>
      </c>
      <c r="Q1980">
        <f>34.5-11</f>
        <v>23.5</v>
      </c>
      <c r="R1980" t="s">
        <v>81</v>
      </c>
      <c r="S1980" t="s">
        <v>39</v>
      </c>
      <c r="T1980">
        <v>17</v>
      </c>
      <c r="U1980">
        <v>94</v>
      </c>
      <c r="V1980">
        <v>15</v>
      </c>
      <c r="W1980">
        <v>12.9</v>
      </c>
      <c r="X1980">
        <v>27.4</v>
      </c>
      <c r="Z1980" t="s">
        <v>39</v>
      </c>
      <c r="AB1980" t="s">
        <v>87</v>
      </c>
      <c r="AC1980" t="s">
        <v>88</v>
      </c>
    </row>
    <row r="1981" spans="1:29" x14ac:dyDescent="0.25">
      <c r="A1981" s="4">
        <v>42572</v>
      </c>
      <c r="B1981" t="s">
        <v>30</v>
      </c>
      <c r="C1981">
        <v>112</v>
      </c>
      <c r="D1981">
        <v>8</v>
      </c>
      <c r="E1981">
        <v>1</v>
      </c>
      <c r="F1981" t="s">
        <v>31</v>
      </c>
      <c r="G1981" t="s">
        <v>32</v>
      </c>
      <c r="H1981" t="s">
        <v>33</v>
      </c>
      <c r="I1981" t="s">
        <v>57</v>
      </c>
      <c r="O1981" s="5"/>
      <c r="P1981" s="5"/>
    </row>
    <row r="1982" spans="1:29" x14ac:dyDescent="0.25">
      <c r="A1982" s="4">
        <v>42572</v>
      </c>
      <c r="B1982" t="s">
        <v>30</v>
      </c>
      <c r="C1982">
        <v>112</v>
      </c>
      <c r="D1982">
        <v>8</v>
      </c>
      <c r="E1982">
        <v>2</v>
      </c>
      <c r="F1982" t="s">
        <v>31</v>
      </c>
      <c r="G1982" t="s">
        <v>32</v>
      </c>
      <c r="H1982" t="s">
        <v>33</v>
      </c>
      <c r="I1982" t="s">
        <v>57</v>
      </c>
      <c r="O1982" s="5"/>
      <c r="P1982" s="5"/>
    </row>
    <row r="1983" spans="1:29" x14ac:dyDescent="0.25">
      <c r="A1983" s="4">
        <v>42572</v>
      </c>
      <c r="B1983" t="s">
        <v>30</v>
      </c>
      <c r="C1983">
        <v>112</v>
      </c>
      <c r="D1983">
        <v>9</v>
      </c>
      <c r="E1983">
        <v>1</v>
      </c>
      <c r="F1983" t="s">
        <v>31</v>
      </c>
      <c r="G1983" t="s">
        <v>32</v>
      </c>
      <c r="H1983" t="s">
        <v>33</v>
      </c>
      <c r="I1983" t="s">
        <v>91</v>
      </c>
      <c r="J1983" t="s">
        <v>35</v>
      </c>
      <c r="K1983" t="s">
        <v>36</v>
      </c>
      <c r="L1983" t="s">
        <v>43</v>
      </c>
      <c r="M1983">
        <v>0</v>
      </c>
      <c r="N1983">
        <v>0</v>
      </c>
      <c r="O1983" s="5">
        <v>50495</v>
      </c>
      <c r="P1983" s="5" t="s">
        <v>165</v>
      </c>
      <c r="Q1983">
        <f>32-11.5</f>
        <v>20.5</v>
      </c>
      <c r="R1983" t="s">
        <v>47</v>
      </c>
      <c r="T1983">
        <v>29</v>
      </c>
      <c r="X1983">
        <v>25.5</v>
      </c>
      <c r="Z1983" t="s">
        <v>39</v>
      </c>
      <c r="AB1983" t="s">
        <v>87</v>
      </c>
      <c r="AC1983" t="s">
        <v>88</v>
      </c>
    </row>
    <row r="1984" spans="1:29" x14ac:dyDescent="0.25">
      <c r="A1984" s="4">
        <v>42572</v>
      </c>
      <c r="B1984" t="s">
        <v>30</v>
      </c>
      <c r="C1984">
        <v>112</v>
      </c>
      <c r="D1984">
        <v>9</v>
      </c>
      <c r="E1984">
        <v>2</v>
      </c>
      <c r="F1984" t="s">
        <v>31</v>
      </c>
      <c r="G1984" t="s">
        <v>32</v>
      </c>
      <c r="H1984" t="s">
        <v>33</v>
      </c>
      <c r="I1984" t="s">
        <v>58</v>
      </c>
      <c r="J1984" t="s">
        <v>35</v>
      </c>
      <c r="K1984" t="s">
        <v>36</v>
      </c>
      <c r="L1984" t="s">
        <v>37</v>
      </c>
      <c r="M1984">
        <v>0</v>
      </c>
      <c r="N1984">
        <v>0</v>
      </c>
      <c r="O1984" s="5">
        <v>50710</v>
      </c>
      <c r="P1984" s="5"/>
      <c r="Q1984">
        <f>47-9.5</f>
        <v>37.5</v>
      </c>
      <c r="R1984" t="s">
        <v>81</v>
      </c>
      <c r="S1984" t="s">
        <v>39</v>
      </c>
      <c r="T1984">
        <v>18</v>
      </c>
      <c r="Z1984" t="s">
        <v>39</v>
      </c>
      <c r="AB1984" t="s">
        <v>87</v>
      </c>
      <c r="AC1984" t="s">
        <v>88</v>
      </c>
    </row>
    <row r="1985" spans="1:29" x14ac:dyDescent="0.25">
      <c r="A1985" s="4">
        <v>42572</v>
      </c>
      <c r="B1985" t="s">
        <v>30</v>
      </c>
      <c r="C1985">
        <v>112</v>
      </c>
      <c r="D1985">
        <v>10</v>
      </c>
      <c r="E1985">
        <v>1</v>
      </c>
      <c r="F1985" t="s">
        <v>31</v>
      </c>
      <c r="G1985" t="s">
        <v>32</v>
      </c>
      <c r="H1985" t="s">
        <v>33</v>
      </c>
      <c r="I1985" t="s">
        <v>58</v>
      </c>
      <c r="J1985" t="s">
        <v>42</v>
      </c>
      <c r="K1985" t="s">
        <v>89</v>
      </c>
      <c r="L1985" t="s">
        <v>37</v>
      </c>
      <c r="M1985">
        <v>0</v>
      </c>
      <c r="N1985">
        <v>1</v>
      </c>
      <c r="O1985" s="5">
        <v>50819</v>
      </c>
      <c r="P1985" s="5"/>
      <c r="Q1985">
        <v>11</v>
      </c>
      <c r="R1985" t="s">
        <v>38</v>
      </c>
      <c r="S1985" t="s">
        <v>39</v>
      </c>
      <c r="T1985">
        <v>16</v>
      </c>
      <c r="W1985">
        <v>11.9</v>
      </c>
      <c r="X1985">
        <v>15.7</v>
      </c>
      <c r="Z1985" t="s">
        <v>97</v>
      </c>
      <c r="AB1985" t="s">
        <v>87</v>
      </c>
      <c r="AC1985" t="s">
        <v>88</v>
      </c>
    </row>
    <row r="1986" spans="1:29" x14ac:dyDescent="0.25">
      <c r="A1986" s="4">
        <v>42572</v>
      </c>
      <c r="B1986" t="s">
        <v>30</v>
      </c>
      <c r="C1986">
        <v>112</v>
      </c>
      <c r="D1986">
        <v>10</v>
      </c>
      <c r="E1986">
        <v>2</v>
      </c>
      <c r="F1986" t="s">
        <v>31</v>
      </c>
      <c r="G1986" t="s">
        <v>32</v>
      </c>
      <c r="H1986" t="s">
        <v>33</v>
      </c>
      <c r="I1986" t="s">
        <v>57</v>
      </c>
      <c r="O1986" s="5"/>
      <c r="P1986" s="5"/>
    </row>
    <row r="1987" spans="1:29" x14ac:dyDescent="0.25">
      <c r="A1987" s="4">
        <v>42572</v>
      </c>
      <c r="B1987" t="s">
        <v>30</v>
      </c>
      <c r="C1987">
        <v>113</v>
      </c>
      <c r="D1987">
        <v>1</v>
      </c>
      <c r="E1987">
        <v>1</v>
      </c>
      <c r="F1987" t="s">
        <v>31</v>
      </c>
      <c r="G1987" t="s">
        <v>32</v>
      </c>
      <c r="H1987" t="s">
        <v>33</v>
      </c>
      <c r="I1987" t="s">
        <v>34</v>
      </c>
      <c r="J1987" t="s">
        <v>237</v>
      </c>
      <c r="O1987" s="5"/>
      <c r="P1987" s="5"/>
    </row>
    <row r="1988" spans="1:29" x14ac:dyDescent="0.25">
      <c r="A1988" s="4">
        <v>42572</v>
      </c>
      <c r="B1988" t="s">
        <v>30</v>
      </c>
      <c r="C1988">
        <v>113</v>
      </c>
      <c r="D1988">
        <v>1</v>
      </c>
      <c r="E1988">
        <v>2</v>
      </c>
      <c r="F1988" t="s">
        <v>31</v>
      </c>
      <c r="G1988" t="s">
        <v>32</v>
      </c>
      <c r="H1988" t="s">
        <v>33</v>
      </c>
      <c r="I1988" t="s">
        <v>84</v>
      </c>
      <c r="O1988" s="5"/>
      <c r="P1988" s="5"/>
    </row>
    <row r="1989" spans="1:29" x14ac:dyDescent="0.25">
      <c r="A1989" s="4">
        <v>42572</v>
      </c>
      <c r="B1989" t="s">
        <v>30</v>
      </c>
      <c r="C1989">
        <v>113</v>
      </c>
      <c r="D1989">
        <v>2</v>
      </c>
      <c r="E1989">
        <v>1</v>
      </c>
      <c r="F1989" t="s">
        <v>31</v>
      </c>
      <c r="G1989" t="s">
        <v>32</v>
      </c>
      <c r="H1989" t="s">
        <v>33</v>
      </c>
      <c r="I1989" t="s">
        <v>57</v>
      </c>
      <c r="O1989" s="5"/>
      <c r="P1989" s="5"/>
    </row>
    <row r="1990" spans="1:29" x14ac:dyDescent="0.25">
      <c r="A1990" s="4">
        <v>42572</v>
      </c>
      <c r="B1990" t="s">
        <v>30</v>
      </c>
      <c r="C1990">
        <v>113</v>
      </c>
      <c r="D1990">
        <v>2</v>
      </c>
      <c r="E1990">
        <v>2</v>
      </c>
      <c r="F1990" t="s">
        <v>31</v>
      </c>
      <c r="G1990" t="s">
        <v>32</v>
      </c>
      <c r="H1990" t="s">
        <v>33</v>
      </c>
      <c r="I1990" t="s">
        <v>57</v>
      </c>
      <c r="O1990" s="5"/>
      <c r="P1990" s="5"/>
    </row>
    <row r="1991" spans="1:29" x14ac:dyDescent="0.25">
      <c r="A1991" s="4">
        <v>42572</v>
      </c>
      <c r="B1991" t="s">
        <v>30</v>
      </c>
      <c r="C1991">
        <v>113</v>
      </c>
      <c r="D1991">
        <v>3</v>
      </c>
      <c r="E1991">
        <v>1</v>
      </c>
      <c r="F1991" t="s">
        <v>31</v>
      </c>
      <c r="G1991" t="s">
        <v>32</v>
      </c>
      <c r="H1991" t="s">
        <v>33</v>
      </c>
      <c r="I1991" t="s">
        <v>34</v>
      </c>
      <c r="J1991" t="s">
        <v>42</v>
      </c>
      <c r="K1991" t="s">
        <v>36</v>
      </c>
      <c r="L1991" t="s">
        <v>43</v>
      </c>
      <c r="M1991">
        <v>0</v>
      </c>
      <c r="N1991">
        <v>1</v>
      </c>
      <c r="O1991" s="5">
        <v>50821</v>
      </c>
      <c r="P1991" s="5">
        <v>50820</v>
      </c>
      <c r="Q1991">
        <v>19</v>
      </c>
      <c r="R1991" t="s">
        <v>65</v>
      </c>
      <c r="T1991">
        <v>17</v>
      </c>
      <c r="U1991">
        <v>91</v>
      </c>
      <c r="V1991">
        <v>17</v>
      </c>
      <c r="W1991">
        <v>13.2</v>
      </c>
      <c r="X1991">
        <v>27.7</v>
      </c>
      <c r="Z1991" t="s">
        <v>39</v>
      </c>
      <c r="AB1991" t="s">
        <v>87</v>
      </c>
      <c r="AC1991" t="s">
        <v>88</v>
      </c>
    </row>
    <row r="1992" spans="1:29" x14ac:dyDescent="0.25">
      <c r="A1992" s="4">
        <v>42572</v>
      </c>
      <c r="B1992" t="s">
        <v>30</v>
      </c>
      <c r="C1992">
        <v>113</v>
      </c>
      <c r="D1992">
        <v>5</v>
      </c>
      <c r="E1992">
        <v>1</v>
      </c>
      <c r="F1992" t="s">
        <v>31</v>
      </c>
      <c r="G1992" t="s">
        <v>32</v>
      </c>
      <c r="H1992" t="s">
        <v>33</v>
      </c>
      <c r="I1992" t="s">
        <v>34</v>
      </c>
      <c r="J1992" t="s">
        <v>42</v>
      </c>
      <c r="K1992" t="s">
        <v>89</v>
      </c>
      <c r="L1992" t="s">
        <v>43</v>
      </c>
      <c r="M1992">
        <v>0</v>
      </c>
      <c r="N1992">
        <v>1</v>
      </c>
      <c r="O1992" s="5">
        <v>50823</v>
      </c>
      <c r="P1992" s="5">
        <v>50822</v>
      </c>
      <c r="Q1992">
        <f>20-10.5</f>
        <v>9.5</v>
      </c>
      <c r="R1992" t="s">
        <v>65</v>
      </c>
      <c r="T1992">
        <v>18</v>
      </c>
      <c r="V1992">
        <v>17</v>
      </c>
      <c r="W1992">
        <v>12</v>
      </c>
      <c r="X1992">
        <v>23.9</v>
      </c>
      <c r="Z1992" t="s">
        <v>39</v>
      </c>
      <c r="AB1992" t="s">
        <v>87</v>
      </c>
      <c r="AC1992" t="s">
        <v>88</v>
      </c>
    </row>
    <row r="1993" spans="1:29" x14ac:dyDescent="0.25">
      <c r="A1993" s="4">
        <v>42572</v>
      </c>
      <c r="B1993" t="s">
        <v>30</v>
      </c>
      <c r="C1993">
        <v>113</v>
      </c>
      <c r="D1993">
        <v>6</v>
      </c>
      <c r="E1993">
        <v>1</v>
      </c>
      <c r="F1993" t="s">
        <v>31</v>
      </c>
      <c r="G1993" t="s">
        <v>32</v>
      </c>
      <c r="H1993" t="s">
        <v>33</v>
      </c>
      <c r="I1993" t="s">
        <v>57</v>
      </c>
      <c r="O1993" s="5"/>
      <c r="P1993" s="5"/>
    </row>
    <row r="1994" spans="1:29" x14ac:dyDescent="0.25">
      <c r="A1994" s="4">
        <v>42572</v>
      </c>
      <c r="B1994" t="s">
        <v>30</v>
      </c>
      <c r="C1994">
        <v>113</v>
      </c>
      <c r="D1994">
        <v>6</v>
      </c>
      <c r="E1994">
        <v>2</v>
      </c>
      <c r="F1994" t="s">
        <v>31</v>
      </c>
      <c r="G1994" t="s">
        <v>32</v>
      </c>
      <c r="H1994" t="s">
        <v>33</v>
      </c>
      <c r="I1994" t="s">
        <v>34</v>
      </c>
      <c r="J1994" t="s">
        <v>42</v>
      </c>
      <c r="K1994" t="s">
        <v>89</v>
      </c>
      <c r="L1994" t="s">
        <v>43</v>
      </c>
      <c r="M1994">
        <v>0</v>
      </c>
      <c r="N1994">
        <v>1</v>
      </c>
      <c r="O1994" s="5">
        <v>50825</v>
      </c>
      <c r="P1994" s="5">
        <v>50824</v>
      </c>
      <c r="Q1994">
        <v>14.5</v>
      </c>
      <c r="R1994" t="s">
        <v>47</v>
      </c>
      <c r="T1994">
        <v>19</v>
      </c>
      <c r="V1994">
        <v>16.5</v>
      </c>
      <c r="W1994">
        <v>12.5</v>
      </c>
      <c r="X1994">
        <v>26.8</v>
      </c>
      <c r="Z1994" t="s">
        <v>39</v>
      </c>
      <c r="AB1994" t="s">
        <v>87</v>
      </c>
      <c r="AC1994" t="s">
        <v>88</v>
      </c>
    </row>
    <row r="1995" spans="1:29" x14ac:dyDescent="0.25">
      <c r="A1995" s="4">
        <v>42572</v>
      </c>
      <c r="B1995" t="s">
        <v>30</v>
      </c>
      <c r="C1995">
        <v>113</v>
      </c>
      <c r="D1995">
        <v>7</v>
      </c>
      <c r="E1995">
        <v>1</v>
      </c>
      <c r="F1995" t="s">
        <v>31</v>
      </c>
      <c r="G1995" t="s">
        <v>32</v>
      </c>
      <c r="H1995" t="s">
        <v>33</v>
      </c>
      <c r="I1995" t="s">
        <v>34</v>
      </c>
      <c r="J1995" t="s">
        <v>35</v>
      </c>
      <c r="K1995" t="s">
        <v>114</v>
      </c>
      <c r="L1995" t="s">
        <v>43</v>
      </c>
      <c r="M1995">
        <v>0</v>
      </c>
      <c r="N1995">
        <v>0</v>
      </c>
      <c r="O1995" s="5">
        <v>50716</v>
      </c>
      <c r="P1995" s="5">
        <v>50715</v>
      </c>
      <c r="Q1995">
        <v>16.5</v>
      </c>
      <c r="R1995" t="s">
        <v>65</v>
      </c>
      <c r="T1995">
        <v>19</v>
      </c>
      <c r="U1995">
        <v>84</v>
      </c>
      <c r="V1995">
        <v>14</v>
      </c>
      <c r="W1995">
        <v>13.2</v>
      </c>
      <c r="X1995">
        <v>25.7</v>
      </c>
      <c r="Z1995" t="s">
        <v>39</v>
      </c>
      <c r="AB1995" t="s">
        <v>87</v>
      </c>
      <c r="AC1995" t="s">
        <v>88</v>
      </c>
    </row>
    <row r="1996" spans="1:29" x14ac:dyDescent="0.25">
      <c r="A1996" s="4">
        <v>42572</v>
      </c>
      <c r="B1996" t="s">
        <v>30</v>
      </c>
      <c r="C1996">
        <v>113</v>
      </c>
      <c r="D1996">
        <v>8</v>
      </c>
      <c r="E1996">
        <v>1</v>
      </c>
      <c r="F1996" t="s">
        <v>31</v>
      </c>
      <c r="G1996" t="s">
        <v>32</v>
      </c>
      <c r="H1996" t="s">
        <v>33</v>
      </c>
      <c r="I1996" t="s">
        <v>57</v>
      </c>
      <c r="O1996" s="5"/>
      <c r="P1996" s="5"/>
    </row>
    <row r="1997" spans="1:29" x14ac:dyDescent="0.25">
      <c r="A1997" s="4">
        <v>42572</v>
      </c>
      <c r="B1997" t="s">
        <v>30</v>
      </c>
      <c r="C1997">
        <v>113</v>
      </c>
      <c r="D1997">
        <v>8</v>
      </c>
      <c r="E1997">
        <v>2</v>
      </c>
      <c r="F1997" t="s">
        <v>31</v>
      </c>
      <c r="G1997" t="s">
        <v>32</v>
      </c>
      <c r="H1997" t="s">
        <v>33</v>
      </c>
      <c r="I1997" t="s">
        <v>34</v>
      </c>
      <c r="J1997" t="s">
        <v>35</v>
      </c>
      <c r="K1997" t="s">
        <v>114</v>
      </c>
      <c r="L1997" t="s">
        <v>37</v>
      </c>
      <c r="M1997">
        <v>0</v>
      </c>
      <c r="N1997">
        <v>0</v>
      </c>
      <c r="O1997" s="5">
        <v>50520</v>
      </c>
      <c r="P1997" s="5">
        <v>50529</v>
      </c>
      <c r="Q1997">
        <f>30-12.5</f>
        <v>17.5</v>
      </c>
      <c r="R1997" t="s">
        <v>74</v>
      </c>
      <c r="S1997" t="s">
        <v>97</v>
      </c>
      <c r="T1997">
        <v>17</v>
      </c>
      <c r="U1997">
        <v>85</v>
      </c>
      <c r="V1997">
        <v>16</v>
      </c>
      <c r="W1997">
        <v>12.5</v>
      </c>
      <c r="X1997">
        <v>25.2</v>
      </c>
      <c r="Z1997" t="s">
        <v>39</v>
      </c>
      <c r="AB1997" t="s">
        <v>87</v>
      </c>
      <c r="AC1997" t="s">
        <v>88</v>
      </c>
    </row>
    <row r="1998" spans="1:29" x14ac:dyDescent="0.25">
      <c r="A1998" s="4">
        <v>42572</v>
      </c>
      <c r="B1998" t="s">
        <v>30</v>
      </c>
      <c r="C1998">
        <v>113</v>
      </c>
      <c r="D1998">
        <v>9</v>
      </c>
      <c r="E1998">
        <v>1</v>
      </c>
      <c r="F1998" t="s">
        <v>31</v>
      </c>
      <c r="G1998" t="s">
        <v>32</v>
      </c>
      <c r="H1998" t="s">
        <v>33</v>
      </c>
      <c r="I1998" t="s">
        <v>57</v>
      </c>
      <c r="O1998" s="5"/>
      <c r="P1998" s="5"/>
    </row>
    <row r="1999" spans="1:29" x14ac:dyDescent="0.25">
      <c r="A1999" s="4">
        <v>42572</v>
      </c>
      <c r="B1999" t="s">
        <v>30</v>
      </c>
      <c r="C1999">
        <v>113</v>
      </c>
      <c r="D1999">
        <v>9</v>
      </c>
      <c r="E1999">
        <v>2</v>
      </c>
      <c r="F1999" t="s">
        <v>31</v>
      </c>
      <c r="G1999" t="s">
        <v>32</v>
      </c>
      <c r="H1999" t="s">
        <v>33</v>
      </c>
      <c r="I1999" t="s">
        <v>73</v>
      </c>
      <c r="J1999" t="s">
        <v>35</v>
      </c>
      <c r="K1999" t="s">
        <v>89</v>
      </c>
      <c r="L1999" t="s">
        <v>43</v>
      </c>
      <c r="M1999">
        <v>0</v>
      </c>
      <c r="N1999">
        <v>0</v>
      </c>
      <c r="O1999" s="5">
        <v>50482</v>
      </c>
      <c r="P1999" s="5"/>
      <c r="Q1999">
        <f>180-105</f>
        <v>75</v>
      </c>
      <c r="R1999" t="s">
        <v>47</v>
      </c>
      <c r="T1999">
        <v>28.5</v>
      </c>
      <c r="W1999">
        <v>21.5</v>
      </c>
      <c r="X1999">
        <v>41.5</v>
      </c>
      <c r="Z1999" t="s">
        <v>39</v>
      </c>
      <c r="AB1999" t="s">
        <v>87</v>
      </c>
      <c r="AC1999" t="s">
        <v>88</v>
      </c>
    </row>
    <row r="2000" spans="1:29" x14ac:dyDescent="0.25">
      <c r="A2000" s="4">
        <v>42572</v>
      </c>
      <c r="B2000" t="s">
        <v>30</v>
      </c>
      <c r="C2000">
        <v>113</v>
      </c>
      <c r="D2000">
        <v>10</v>
      </c>
      <c r="E2000">
        <v>1</v>
      </c>
      <c r="F2000" t="s">
        <v>31</v>
      </c>
      <c r="G2000" t="s">
        <v>32</v>
      </c>
      <c r="H2000" t="s">
        <v>33</v>
      </c>
      <c r="I2000" t="s">
        <v>34</v>
      </c>
      <c r="J2000" t="s">
        <v>42</v>
      </c>
      <c r="K2000" t="s">
        <v>89</v>
      </c>
      <c r="L2000" t="s">
        <v>37</v>
      </c>
      <c r="M2000">
        <v>0</v>
      </c>
      <c r="N2000">
        <v>1</v>
      </c>
      <c r="O2000" s="5">
        <v>50852</v>
      </c>
      <c r="P2000" s="5">
        <v>50851</v>
      </c>
      <c r="Q2000">
        <f>19-9.5</f>
        <v>9.5</v>
      </c>
      <c r="R2000" t="s">
        <v>38</v>
      </c>
      <c r="S2000" t="s">
        <v>39</v>
      </c>
      <c r="T2000">
        <v>18</v>
      </c>
      <c r="V2000">
        <v>17</v>
      </c>
      <c r="W2000">
        <v>11.5</v>
      </c>
      <c r="X2000">
        <v>23.8</v>
      </c>
      <c r="Z2000" t="s">
        <v>39</v>
      </c>
      <c r="AB2000" t="s">
        <v>87</v>
      </c>
      <c r="AC2000" t="s">
        <v>88</v>
      </c>
    </row>
    <row r="2001" spans="1:30" x14ac:dyDescent="0.25">
      <c r="A2001" s="4">
        <v>42572</v>
      </c>
      <c r="B2001" t="s">
        <v>30</v>
      </c>
      <c r="C2001">
        <v>113</v>
      </c>
      <c r="D2001">
        <v>10</v>
      </c>
      <c r="E2001">
        <v>2</v>
      </c>
      <c r="F2001" t="s">
        <v>31</v>
      </c>
      <c r="G2001" t="s">
        <v>32</v>
      </c>
      <c r="H2001" t="s">
        <v>33</v>
      </c>
      <c r="I2001" t="s">
        <v>34</v>
      </c>
      <c r="J2001" t="s">
        <v>42</v>
      </c>
      <c r="K2001" t="s">
        <v>36</v>
      </c>
      <c r="L2001" t="s">
        <v>37</v>
      </c>
      <c r="M2001">
        <v>0</v>
      </c>
      <c r="N2001">
        <v>1</v>
      </c>
      <c r="O2001" s="5">
        <v>50854</v>
      </c>
      <c r="P2001" s="5">
        <v>50853</v>
      </c>
      <c r="Q2001">
        <f>37-12</f>
        <v>25</v>
      </c>
      <c r="R2001" t="s">
        <v>143</v>
      </c>
      <c r="S2001" t="s">
        <v>97</v>
      </c>
      <c r="T2001">
        <v>18</v>
      </c>
      <c r="U2001">
        <v>92</v>
      </c>
      <c r="V2001">
        <v>16</v>
      </c>
      <c r="W2001">
        <v>13.2</v>
      </c>
      <c r="X2001">
        <v>27.9</v>
      </c>
      <c r="Z2001" t="s">
        <v>39</v>
      </c>
      <c r="AB2001" t="s">
        <v>87</v>
      </c>
      <c r="AC2001" t="s">
        <v>88</v>
      </c>
    </row>
    <row r="2002" spans="1:30" x14ac:dyDescent="0.25">
      <c r="A2002" s="4">
        <v>42572</v>
      </c>
      <c r="B2002" t="s">
        <v>30</v>
      </c>
      <c r="C2002">
        <v>402</v>
      </c>
      <c r="D2002">
        <v>1</v>
      </c>
      <c r="E2002">
        <v>1</v>
      </c>
      <c r="F2002" t="s">
        <v>31</v>
      </c>
      <c r="G2002" t="s">
        <v>32</v>
      </c>
      <c r="H2002" t="s">
        <v>33</v>
      </c>
      <c r="I2002" t="s">
        <v>58</v>
      </c>
      <c r="J2002" t="s">
        <v>35</v>
      </c>
      <c r="K2002" t="s">
        <v>36</v>
      </c>
      <c r="L2002" t="s">
        <v>37</v>
      </c>
      <c r="M2002">
        <v>0</v>
      </c>
      <c r="N2002">
        <v>0</v>
      </c>
      <c r="O2002" s="5">
        <v>50806</v>
      </c>
      <c r="P2002" s="5"/>
      <c r="Q2002">
        <v>20</v>
      </c>
      <c r="R2002" t="s">
        <v>83</v>
      </c>
      <c r="S2002" t="s">
        <v>39</v>
      </c>
      <c r="Z2002" t="s">
        <v>97</v>
      </c>
      <c r="AB2002" t="s">
        <v>87</v>
      </c>
      <c r="AC2002" t="s">
        <v>88</v>
      </c>
      <c r="AD2002" t="s">
        <v>254</v>
      </c>
    </row>
    <row r="2003" spans="1:30" x14ac:dyDescent="0.25">
      <c r="A2003" s="4">
        <v>42572</v>
      </c>
      <c r="B2003" t="s">
        <v>30</v>
      </c>
      <c r="C2003">
        <v>402</v>
      </c>
      <c r="D2003">
        <v>1</v>
      </c>
      <c r="E2003">
        <v>2</v>
      </c>
      <c r="F2003" t="s">
        <v>31</v>
      </c>
      <c r="G2003" t="s">
        <v>32</v>
      </c>
      <c r="H2003" t="s">
        <v>33</v>
      </c>
      <c r="I2003" t="s">
        <v>58</v>
      </c>
      <c r="J2003" t="s">
        <v>42</v>
      </c>
      <c r="K2003" t="s">
        <v>36</v>
      </c>
      <c r="L2003" t="s">
        <v>43</v>
      </c>
      <c r="M2003">
        <v>0</v>
      </c>
      <c r="N2003">
        <v>1</v>
      </c>
      <c r="O2003" s="5">
        <v>50855</v>
      </c>
      <c r="P2003" s="5"/>
      <c r="Q2003">
        <f>34-12</f>
        <v>22</v>
      </c>
      <c r="R2003" t="s">
        <v>65</v>
      </c>
      <c r="Z2003" t="s">
        <v>97</v>
      </c>
      <c r="AB2003" t="s">
        <v>87</v>
      </c>
      <c r="AC2003" t="s">
        <v>88</v>
      </c>
      <c r="AD2003" t="s">
        <v>255</v>
      </c>
    </row>
    <row r="2004" spans="1:30" x14ac:dyDescent="0.25">
      <c r="A2004" s="4">
        <v>42572</v>
      </c>
      <c r="B2004" t="s">
        <v>30</v>
      </c>
      <c r="C2004">
        <v>402</v>
      </c>
      <c r="D2004">
        <v>3</v>
      </c>
      <c r="E2004">
        <v>1</v>
      </c>
      <c r="F2004" t="s">
        <v>31</v>
      </c>
      <c r="G2004" t="s">
        <v>32</v>
      </c>
      <c r="H2004" t="s">
        <v>33</v>
      </c>
      <c r="I2004" t="s">
        <v>57</v>
      </c>
      <c r="O2004" s="5"/>
      <c r="P2004" s="5"/>
    </row>
    <row r="2005" spans="1:30" x14ac:dyDescent="0.25">
      <c r="A2005" s="4">
        <v>42572</v>
      </c>
      <c r="B2005" t="s">
        <v>30</v>
      </c>
      <c r="C2005">
        <v>402</v>
      </c>
      <c r="D2005">
        <v>3</v>
      </c>
      <c r="E2005">
        <v>2</v>
      </c>
      <c r="F2005" t="s">
        <v>31</v>
      </c>
      <c r="G2005" t="s">
        <v>32</v>
      </c>
      <c r="H2005" t="s">
        <v>33</v>
      </c>
      <c r="I2005" t="s">
        <v>57</v>
      </c>
      <c r="O2005" s="5"/>
      <c r="P2005" s="5"/>
    </row>
    <row r="2006" spans="1:30" x14ac:dyDescent="0.25">
      <c r="A2006" s="4">
        <v>42572</v>
      </c>
      <c r="B2006" t="s">
        <v>30</v>
      </c>
      <c r="C2006">
        <v>402</v>
      </c>
      <c r="D2006">
        <v>4</v>
      </c>
      <c r="E2006">
        <v>1</v>
      </c>
      <c r="F2006" t="s">
        <v>31</v>
      </c>
      <c r="G2006" t="s">
        <v>32</v>
      </c>
      <c r="H2006" t="s">
        <v>33</v>
      </c>
      <c r="I2006" t="s">
        <v>53</v>
      </c>
      <c r="J2006" t="s">
        <v>62</v>
      </c>
      <c r="O2006" s="5"/>
      <c r="P2006" s="5"/>
    </row>
    <row r="2007" spans="1:30" x14ac:dyDescent="0.25">
      <c r="A2007" s="4">
        <v>42572</v>
      </c>
      <c r="B2007" t="s">
        <v>30</v>
      </c>
      <c r="C2007">
        <v>402</v>
      </c>
      <c r="D2007">
        <v>6</v>
      </c>
      <c r="E2007">
        <v>1</v>
      </c>
      <c r="F2007" t="s">
        <v>31</v>
      </c>
      <c r="G2007" t="s">
        <v>32</v>
      </c>
      <c r="H2007" t="s">
        <v>33</v>
      </c>
      <c r="I2007" t="s">
        <v>58</v>
      </c>
      <c r="J2007" t="s">
        <v>42</v>
      </c>
      <c r="K2007" t="s">
        <v>36</v>
      </c>
      <c r="L2007" t="s">
        <v>37</v>
      </c>
      <c r="M2007">
        <v>0</v>
      </c>
      <c r="N2007">
        <v>1</v>
      </c>
      <c r="O2007" s="5">
        <v>50856</v>
      </c>
      <c r="P2007" s="5"/>
      <c r="Q2007">
        <f>44-15</f>
        <v>29</v>
      </c>
      <c r="R2007" t="s">
        <v>81</v>
      </c>
      <c r="S2007" t="s">
        <v>39</v>
      </c>
      <c r="Z2007" t="s">
        <v>97</v>
      </c>
      <c r="AA2007" t="s">
        <v>256</v>
      </c>
      <c r="AB2007" t="s">
        <v>87</v>
      </c>
      <c r="AC2007" t="s">
        <v>88</v>
      </c>
    </row>
    <row r="2008" spans="1:30" x14ac:dyDescent="0.25">
      <c r="A2008" s="4">
        <v>42572</v>
      </c>
      <c r="B2008" t="s">
        <v>30</v>
      </c>
      <c r="C2008">
        <v>402</v>
      </c>
      <c r="D2008">
        <v>6</v>
      </c>
      <c r="E2008">
        <v>2</v>
      </c>
      <c r="F2008" t="s">
        <v>31</v>
      </c>
      <c r="G2008" t="s">
        <v>32</v>
      </c>
      <c r="H2008" t="s">
        <v>33</v>
      </c>
      <c r="I2008" t="s">
        <v>64</v>
      </c>
      <c r="J2008" t="s">
        <v>123</v>
      </c>
      <c r="O2008" s="5"/>
      <c r="P2008" s="5"/>
      <c r="AB2008" t="s">
        <v>87</v>
      </c>
      <c r="AC2008" t="s">
        <v>88</v>
      </c>
      <c r="AD2008" t="s">
        <v>257</v>
      </c>
    </row>
    <row r="2009" spans="1:30" x14ac:dyDescent="0.25">
      <c r="A2009" s="4">
        <v>42572</v>
      </c>
      <c r="B2009" t="s">
        <v>30</v>
      </c>
      <c r="C2009">
        <v>402</v>
      </c>
      <c r="D2009">
        <v>7</v>
      </c>
      <c r="E2009">
        <v>1</v>
      </c>
      <c r="F2009" t="s">
        <v>31</v>
      </c>
      <c r="G2009" t="s">
        <v>32</v>
      </c>
      <c r="H2009" t="s">
        <v>33</v>
      </c>
      <c r="I2009" t="s">
        <v>57</v>
      </c>
      <c r="O2009" s="5"/>
      <c r="P2009" s="5"/>
    </row>
    <row r="2010" spans="1:30" x14ac:dyDescent="0.25">
      <c r="A2010" s="4">
        <v>42572</v>
      </c>
      <c r="B2010" t="s">
        <v>30</v>
      </c>
      <c r="C2010">
        <v>402</v>
      </c>
      <c r="D2010">
        <v>9</v>
      </c>
      <c r="E2010">
        <v>1</v>
      </c>
      <c r="F2010" t="s">
        <v>31</v>
      </c>
      <c r="G2010" t="s">
        <v>32</v>
      </c>
      <c r="H2010" t="s">
        <v>33</v>
      </c>
      <c r="I2010" t="s">
        <v>73</v>
      </c>
      <c r="J2010" t="s">
        <v>123</v>
      </c>
      <c r="O2010" s="5"/>
      <c r="P2010" s="5"/>
      <c r="AB2010" t="s">
        <v>87</v>
      </c>
      <c r="AC2010" t="s">
        <v>88</v>
      </c>
      <c r="AD2010" t="s">
        <v>257</v>
      </c>
    </row>
    <row r="2011" spans="1:30" x14ac:dyDescent="0.25">
      <c r="A2011" s="4">
        <v>42572</v>
      </c>
      <c r="B2011" t="s">
        <v>30</v>
      </c>
      <c r="C2011">
        <v>402</v>
      </c>
      <c r="D2011">
        <v>10</v>
      </c>
      <c r="E2011">
        <v>1</v>
      </c>
      <c r="F2011" t="s">
        <v>31</v>
      </c>
      <c r="G2011" t="s">
        <v>32</v>
      </c>
      <c r="H2011" t="s">
        <v>33</v>
      </c>
      <c r="I2011" t="s">
        <v>53</v>
      </c>
      <c r="J2011" t="s">
        <v>62</v>
      </c>
      <c r="O2011" s="5"/>
      <c r="P2011" s="5"/>
    </row>
    <row r="2012" spans="1:30" x14ac:dyDescent="0.25">
      <c r="A2012" s="4">
        <v>42513</v>
      </c>
      <c r="B2012" t="s">
        <v>30</v>
      </c>
      <c r="C2012">
        <v>501</v>
      </c>
      <c r="D2012">
        <v>1</v>
      </c>
      <c r="E2012">
        <v>1</v>
      </c>
      <c r="F2012" t="s">
        <v>41</v>
      </c>
      <c r="G2012" t="s">
        <v>32</v>
      </c>
      <c r="H2012" t="s">
        <v>33</v>
      </c>
      <c r="I2012" t="s">
        <v>57</v>
      </c>
      <c r="O2012" s="5"/>
      <c r="P2012" s="5"/>
    </row>
    <row r="2013" spans="1:30" x14ac:dyDescent="0.25">
      <c r="A2013" s="4">
        <v>42513</v>
      </c>
      <c r="B2013" t="s">
        <v>30</v>
      </c>
      <c r="C2013">
        <v>501</v>
      </c>
      <c r="D2013">
        <v>1</v>
      </c>
      <c r="E2013">
        <v>2</v>
      </c>
      <c r="F2013" t="s">
        <v>41</v>
      </c>
      <c r="G2013" t="s">
        <v>32</v>
      </c>
      <c r="H2013" t="s">
        <v>33</v>
      </c>
      <c r="I2013" t="s">
        <v>57</v>
      </c>
      <c r="O2013" s="5"/>
      <c r="P2013" s="5"/>
    </row>
    <row r="2014" spans="1:30" x14ac:dyDescent="0.25">
      <c r="A2014" s="4">
        <v>42513</v>
      </c>
      <c r="B2014" t="s">
        <v>30</v>
      </c>
      <c r="C2014">
        <v>501</v>
      </c>
      <c r="D2014">
        <v>2</v>
      </c>
      <c r="E2014">
        <v>1</v>
      </c>
      <c r="F2014" t="s">
        <v>41</v>
      </c>
      <c r="G2014" t="s">
        <v>32</v>
      </c>
      <c r="H2014" t="s">
        <v>33</v>
      </c>
      <c r="I2014" t="s">
        <v>53</v>
      </c>
      <c r="J2014" t="s">
        <v>62</v>
      </c>
      <c r="O2014" s="5"/>
      <c r="P2014" s="5"/>
    </row>
    <row r="2015" spans="1:30" x14ac:dyDescent="0.25">
      <c r="A2015" s="4">
        <v>42513</v>
      </c>
      <c r="B2015" t="s">
        <v>30</v>
      </c>
      <c r="C2015">
        <v>501</v>
      </c>
      <c r="D2015">
        <v>5</v>
      </c>
      <c r="E2015">
        <v>1</v>
      </c>
      <c r="F2015" t="s">
        <v>41</v>
      </c>
      <c r="G2015" t="s">
        <v>32</v>
      </c>
      <c r="H2015" t="s">
        <v>33</v>
      </c>
      <c r="I2015" t="s">
        <v>57</v>
      </c>
      <c r="O2015" s="5"/>
      <c r="P2015" s="5"/>
    </row>
    <row r="2016" spans="1:30" x14ac:dyDescent="0.25">
      <c r="A2016" s="4">
        <v>42513</v>
      </c>
      <c r="B2016" t="s">
        <v>30</v>
      </c>
      <c r="C2016">
        <v>501</v>
      </c>
      <c r="D2016">
        <v>5</v>
      </c>
      <c r="E2016">
        <v>2</v>
      </c>
      <c r="F2016" t="s">
        <v>41</v>
      </c>
      <c r="G2016" t="s">
        <v>32</v>
      </c>
      <c r="H2016" t="s">
        <v>33</v>
      </c>
      <c r="I2016" t="s">
        <v>57</v>
      </c>
      <c r="O2016" s="5"/>
      <c r="P2016" s="5"/>
    </row>
    <row r="2017" spans="1:29" x14ac:dyDescent="0.25">
      <c r="A2017" s="4">
        <v>42513</v>
      </c>
      <c r="B2017" t="s">
        <v>30</v>
      </c>
      <c r="C2017">
        <v>501</v>
      </c>
      <c r="D2017">
        <v>6</v>
      </c>
      <c r="E2017">
        <v>1</v>
      </c>
      <c r="F2017" t="s">
        <v>41</v>
      </c>
      <c r="G2017" t="s">
        <v>32</v>
      </c>
      <c r="H2017" t="s">
        <v>33</v>
      </c>
      <c r="I2017" t="s">
        <v>57</v>
      </c>
      <c r="O2017" s="5"/>
      <c r="P2017" s="5"/>
    </row>
    <row r="2018" spans="1:29" x14ac:dyDescent="0.25">
      <c r="A2018" s="4">
        <v>42513</v>
      </c>
      <c r="B2018" t="s">
        <v>30</v>
      </c>
      <c r="C2018">
        <v>501</v>
      </c>
      <c r="D2018">
        <v>6</v>
      </c>
      <c r="E2018">
        <v>2</v>
      </c>
      <c r="F2018" t="s">
        <v>41</v>
      </c>
      <c r="G2018" t="s">
        <v>32</v>
      </c>
      <c r="H2018" t="s">
        <v>33</v>
      </c>
      <c r="I2018" t="s">
        <v>84</v>
      </c>
      <c r="O2018" s="5"/>
      <c r="P2018" s="5"/>
    </row>
    <row r="2019" spans="1:29" x14ac:dyDescent="0.25">
      <c r="A2019" s="4">
        <v>42513</v>
      </c>
      <c r="B2019" t="s">
        <v>30</v>
      </c>
      <c r="C2019">
        <v>501</v>
      </c>
      <c r="D2019">
        <v>7</v>
      </c>
      <c r="E2019">
        <v>1</v>
      </c>
      <c r="F2019" t="s">
        <v>41</v>
      </c>
      <c r="G2019" t="s">
        <v>32</v>
      </c>
      <c r="H2019" t="s">
        <v>33</v>
      </c>
      <c r="I2019" t="s">
        <v>84</v>
      </c>
      <c r="O2019" s="5"/>
      <c r="P2019" s="5"/>
    </row>
    <row r="2020" spans="1:29" x14ac:dyDescent="0.25">
      <c r="A2020" s="4">
        <v>42513</v>
      </c>
      <c r="B2020" t="s">
        <v>30</v>
      </c>
      <c r="C2020">
        <v>501</v>
      </c>
      <c r="D2020">
        <v>7</v>
      </c>
      <c r="E2020">
        <v>2</v>
      </c>
      <c r="F2020" t="s">
        <v>41</v>
      </c>
      <c r="G2020" t="s">
        <v>32</v>
      </c>
      <c r="H2020" t="s">
        <v>33</v>
      </c>
      <c r="I2020" t="s">
        <v>57</v>
      </c>
      <c r="O2020" s="5"/>
      <c r="P2020" s="5"/>
    </row>
    <row r="2021" spans="1:29" x14ac:dyDescent="0.25">
      <c r="A2021" s="4">
        <v>42513</v>
      </c>
      <c r="B2021" t="s">
        <v>30</v>
      </c>
      <c r="C2021">
        <v>501</v>
      </c>
      <c r="D2021">
        <v>8</v>
      </c>
      <c r="E2021">
        <v>1</v>
      </c>
      <c r="F2021" t="s">
        <v>41</v>
      </c>
      <c r="G2021" t="s">
        <v>32</v>
      </c>
      <c r="H2021" t="s">
        <v>33</v>
      </c>
      <c r="I2021" t="s">
        <v>84</v>
      </c>
      <c r="O2021" s="5"/>
      <c r="P2021" s="5"/>
    </row>
    <row r="2022" spans="1:29" x14ac:dyDescent="0.25">
      <c r="A2022" s="4">
        <v>42513</v>
      </c>
      <c r="B2022" t="s">
        <v>30</v>
      </c>
      <c r="C2022">
        <v>501</v>
      </c>
      <c r="D2022">
        <v>9</v>
      </c>
      <c r="E2022">
        <v>1</v>
      </c>
      <c r="F2022" t="s">
        <v>41</v>
      </c>
      <c r="G2022" t="s">
        <v>32</v>
      </c>
      <c r="H2022" t="s">
        <v>33</v>
      </c>
      <c r="I2022" t="s">
        <v>84</v>
      </c>
      <c r="O2022" s="5"/>
      <c r="P2022" s="5"/>
    </row>
    <row r="2023" spans="1:29" x14ac:dyDescent="0.25">
      <c r="A2023" s="4">
        <v>42513</v>
      </c>
      <c r="B2023" t="s">
        <v>30</v>
      </c>
      <c r="C2023">
        <v>501</v>
      </c>
      <c r="D2023">
        <v>9</v>
      </c>
      <c r="E2023">
        <v>2</v>
      </c>
      <c r="F2023" t="s">
        <v>41</v>
      </c>
      <c r="G2023" t="s">
        <v>32</v>
      </c>
      <c r="H2023" t="s">
        <v>33</v>
      </c>
      <c r="I2023" t="s">
        <v>57</v>
      </c>
      <c r="O2023" s="5"/>
      <c r="P2023" s="5"/>
    </row>
    <row r="2024" spans="1:29" x14ac:dyDescent="0.25">
      <c r="A2024" s="4">
        <v>42513</v>
      </c>
      <c r="B2024" t="s">
        <v>30</v>
      </c>
      <c r="C2024">
        <v>501</v>
      </c>
      <c r="D2024">
        <v>10</v>
      </c>
      <c r="E2024">
        <v>1</v>
      </c>
      <c r="F2024" t="s">
        <v>41</v>
      </c>
      <c r="G2024" t="s">
        <v>32</v>
      </c>
      <c r="H2024" t="s">
        <v>33</v>
      </c>
      <c r="I2024" t="s">
        <v>57</v>
      </c>
      <c r="O2024" s="5"/>
      <c r="P2024" s="5"/>
    </row>
    <row r="2025" spans="1:29" x14ac:dyDescent="0.25">
      <c r="A2025" s="4">
        <v>42513</v>
      </c>
      <c r="B2025" t="s">
        <v>30</v>
      </c>
      <c r="C2025">
        <v>501</v>
      </c>
      <c r="D2025">
        <v>10</v>
      </c>
      <c r="E2025">
        <v>2</v>
      </c>
      <c r="F2025" t="s">
        <v>41</v>
      </c>
      <c r="G2025" t="s">
        <v>32</v>
      </c>
      <c r="H2025" t="s">
        <v>33</v>
      </c>
      <c r="I2025" t="s">
        <v>57</v>
      </c>
      <c r="O2025" s="5"/>
      <c r="P2025" s="5"/>
    </row>
    <row r="2026" spans="1:29" x14ac:dyDescent="0.25">
      <c r="A2026" s="4">
        <v>42513</v>
      </c>
      <c r="B2026" t="s">
        <v>30</v>
      </c>
      <c r="C2026">
        <v>503</v>
      </c>
      <c r="D2026">
        <v>1</v>
      </c>
      <c r="E2026">
        <v>1</v>
      </c>
      <c r="F2026" t="s">
        <v>41</v>
      </c>
      <c r="G2026" t="s">
        <v>32</v>
      </c>
      <c r="H2026" t="s">
        <v>33</v>
      </c>
      <c r="I2026" t="s">
        <v>58</v>
      </c>
      <c r="J2026" t="s">
        <v>35</v>
      </c>
      <c r="K2026" t="s">
        <v>36</v>
      </c>
      <c r="L2026" t="s">
        <v>43</v>
      </c>
      <c r="M2026">
        <v>0</v>
      </c>
      <c r="N2026">
        <v>0</v>
      </c>
      <c r="O2026" s="5">
        <v>50579</v>
      </c>
      <c r="P2026" s="5"/>
      <c r="Q2026">
        <f>37.5-10</f>
        <v>27.5</v>
      </c>
      <c r="R2026" t="s">
        <v>47</v>
      </c>
      <c r="T2026">
        <v>17</v>
      </c>
      <c r="W2026">
        <v>12.9</v>
      </c>
      <c r="X2026">
        <v>27</v>
      </c>
      <c r="Z2026" t="s">
        <v>97</v>
      </c>
      <c r="AA2026" t="s">
        <v>258</v>
      </c>
      <c r="AB2026" t="s">
        <v>88</v>
      </c>
      <c r="AC2026" t="s">
        <v>87</v>
      </c>
    </row>
    <row r="2027" spans="1:29" x14ac:dyDescent="0.25">
      <c r="A2027" s="4">
        <v>42513</v>
      </c>
      <c r="B2027" t="s">
        <v>30</v>
      </c>
      <c r="C2027">
        <v>503</v>
      </c>
      <c r="D2027">
        <v>2</v>
      </c>
      <c r="E2027">
        <v>1</v>
      </c>
      <c r="F2027" t="s">
        <v>41</v>
      </c>
      <c r="G2027" t="s">
        <v>32</v>
      </c>
      <c r="H2027" t="s">
        <v>33</v>
      </c>
      <c r="I2027" t="s">
        <v>57</v>
      </c>
      <c r="O2027" s="5"/>
      <c r="P2027" s="5"/>
    </row>
    <row r="2028" spans="1:29" x14ac:dyDescent="0.25">
      <c r="A2028" s="4">
        <v>42513</v>
      </c>
      <c r="B2028" t="s">
        <v>30</v>
      </c>
      <c r="C2028">
        <v>503</v>
      </c>
      <c r="D2028">
        <v>2</v>
      </c>
      <c r="E2028">
        <v>2</v>
      </c>
      <c r="F2028" t="s">
        <v>41</v>
      </c>
      <c r="G2028" t="s">
        <v>32</v>
      </c>
      <c r="H2028" t="s">
        <v>33</v>
      </c>
      <c r="I2028" t="s">
        <v>57</v>
      </c>
      <c r="O2028" s="5"/>
      <c r="P2028" s="5"/>
    </row>
    <row r="2029" spans="1:29" x14ac:dyDescent="0.25">
      <c r="A2029" s="4">
        <v>42513</v>
      </c>
      <c r="B2029" t="s">
        <v>30</v>
      </c>
      <c r="C2029">
        <v>503</v>
      </c>
      <c r="D2029">
        <v>4</v>
      </c>
      <c r="E2029">
        <v>1</v>
      </c>
      <c r="F2029" t="s">
        <v>41</v>
      </c>
      <c r="G2029" t="s">
        <v>32</v>
      </c>
      <c r="H2029" t="s">
        <v>33</v>
      </c>
      <c r="I2029" t="s">
        <v>57</v>
      </c>
      <c r="O2029" s="5"/>
      <c r="P2029" s="5"/>
    </row>
    <row r="2030" spans="1:29" x14ac:dyDescent="0.25">
      <c r="A2030" s="4">
        <v>42513</v>
      </c>
      <c r="B2030" t="s">
        <v>30</v>
      </c>
      <c r="C2030">
        <v>503</v>
      </c>
      <c r="D2030">
        <v>4</v>
      </c>
      <c r="E2030">
        <v>2</v>
      </c>
      <c r="F2030" t="s">
        <v>41</v>
      </c>
      <c r="G2030" t="s">
        <v>32</v>
      </c>
      <c r="H2030" t="s">
        <v>33</v>
      </c>
      <c r="I2030" t="s">
        <v>57</v>
      </c>
      <c r="O2030" s="5"/>
      <c r="P2030" s="5"/>
    </row>
    <row r="2031" spans="1:29" x14ac:dyDescent="0.25">
      <c r="A2031" s="4">
        <v>42513</v>
      </c>
      <c r="B2031" t="s">
        <v>30</v>
      </c>
      <c r="C2031">
        <v>503</v>
      </c>
      <c r="D2031">
        <v>5</v>
      </c>
      <c r="E2031">
        <v>1</v>
      </c>
      <c r="F2031" t="s">
        <v>41</v>
      </c>
      <c r="G2031" t="s">
        <v>32</v>
      </c>
      <c r="H2031" t="s">
        <v>33</v>
      </c>
      <c r="I2031" t="s">
        <v>53</v>
      </c>
      <c r="J2031" t="s">
        <v>123</v>
      </c>
      <c r="O2031" s="5"/>
      <c r="P2031" s="5"/>
    </row>
    <row r="2032" spans="1:29" x14ac:dyDescent="0.25">
      <c r="A2032" s="4">
        <v>42513</v>
      </c>
      <c r="B2032" t="s">
        <v>30</v>
      </c>
      <c r="C2032">
        <v>503</v>
      </c>
      <c r="D2032">
        <v>5</v>
      </c>
      <c r="E2032">
        <v>2</v>
      </c>
      <c r="F2032" t="s">
        <v>41</v>
      </c>
      <c r="G2032" t="s">
        <v>32</v>
      </c>
      <c r="H2032" t="s">
        <v>33</v>
      </c>
      <c r="I2032" t="s">
        <v>53</v>
      </c>
      <c r="J2032" t="s">
        <v>123</v>
      </c>
      <c r="O2032" s="5"/>
      <c r="P2032" s="5"/>
    </row>
    <row r="2033" spans="1:30" x14ac:dyDescent="0.25">
      <c r="A2033" s="4">
        <v>42513</v>
      </c>
      <c r="B2033" t="s">
        <v>30</v>
      </c>
      <c r="C2033">
        <v>503</v>
      </c>
      <c r="D2033">
        <v>6</v>
      </c>
      <c r="E2033">
        <v>1</v>
      </c>
      <c r="F2033" t="s">
        <v>41</v>
      </c>
      <c r="G2033" t="s">
        <v>32</v>
      </c>
      <c r="H2033" t="s">
        <v>33</v>
      </c>
      <c r="I2033" t="s">
        <v>57</v>
      </c>
      <c r="O2033" s="5"/>
      <c r="P2033" s="5"/>
    </row>
    <row r="2034" spans="1:30" x14ac:dyDescent="0.25">
      <c r="A2034" s="4">
        <v>42513</v>
      </c>
      <c r="B2034" t="s">
        <v>30</v>
      </c>
      <c r="C2034">
        <v>503</v>
      </c>
      <c r="D2034">
        <v>6</v>
      </c>
      <c r="E2034">
        <v>2</v>
      </c>
      <c r="F2034" t="s">
        <v>41</v>
      </c>
      <c r="G2034" t="s">
        <v>32</v>
      </c>
      <c r="H2034" t="s">
        <v>33</v>
      </c>
      <c r="I2034" t="s">
        <v>57</v>
      </c>
      <c r="O2034" s="5"/>
      <c r="P2034" s="5"/>
    </row>
    <row r="2035" spans="1:30" x14ac:dyDescent="0.25">
      <c r="A2035" s="4">
        <v>42513</v>
      </c>
      <c r="B2035" t="s">
        <v>30</v>
      </c>
      <c r="C2035">
        <v>503</v>
      </c>
      <c r="D2035">
        <v>7</v>
      </c>
      <c r="E2035">
        <v>1</v>
      </c>
      <c r="F2035" t="s">
        <v>41</v>
      </c>
      <c r="G2035" t="s">
        <v>32</v>
      </c>
      <c r="H2035" t="s">
        <v>33</v>
      </c>
      <c r="I2035" t="s">
        <v>57</v>
      </c>
      <c r="O2035" s="5"/>
      <c r="P2035" s="5"/>
    </row>
    <row r="2036" spans="1:30" x14ac:dyDescent="0.25">
      <c r="A2036" s="4">
        <v>42513</v>
      </c>
      <c r="B2036" t="s">
        <v>30</v>
      </c>
      <c r="C2036">
        <v>503</v>
      </c>
      <c r="D2036">
        <v>7</v>
      </c>
      <c r="E2036">
        <v>2</v>
      </c>
      <c r="F2036" t="s">
        <v>41</v>
      </c>
      <c r="G2036" t="s">
        <v>32</v>
      </c>
      <c r="H2036" t="s">
        <v>33</v>
      </c>
      <c r="I2036" t="s">
        <v>34</v>
      </c>
      <c r="J2036" t="s">
        <v>35</v>
      </c>
      <c r="K2036" t="s">
        <v>89</v>
      </c>
      <c r="L2036" t="s">
        <v>43</v>
      </c>
      <c r="M2036">
        <v>0</v>
      </c>
      <c r="N2036">
        <v>0</v>
      </c>
      <c r="O2036" s="5">
        <v>50742</v>
      </c>
      <c r="P2036" s="5">
        <v>50741</v>
      </c>
      <c r="Q2036">
        <f>24-10.5</f>
        <v>13.5</v>
      </c>
      <c r="R2036" t="s">
        <v>65</v>
      </c>
      <c r="T2036">
        <v>19</v>
      </c>
      <c r="U2036">
        <v>88</v>
      </c>
      <c r="V2036">
        <v>16</v>
      </c>
      <c r="W2036">
        <v>12.6</v>
      </c>
      <c r="X2036">
        <v>26.5</v>
      </c>
      <c r="Z2036" t="s">
        <v>39</v>
      </c>
      <c r="AB2036" t="s">
        <v>88</v>
      </c>
      <c r="AC2036" t="s">
        <v>87</v>
      </c>
    </row>
    <row r="2037" spans="1:30" x14ac:dyDescent="0.25">
      <c r="A2037" s="4">
        <v>42513</v>
      </c>
      <c r="B2037" t="s">
        <v>30</v>
      </c>
      <c r="C2037">
        <v>503</v>
      </c>
      <c r="D2037">
        <v>8</v>
      </c>
      <c r="E2037">
        <v>1</v>
      </c>
      <c r="F2037" t="s">
        <v>41</v>
      </c>
      <c r="G2037" t="s">
        <v>32</v>
      </c>
      <c r="H2037" t="s">
        <v>33</v>
      </c>
      <c r="I2037" t="s">
        <v>34</v>
      </c>
      <c r="J2037" t="s">
        <v>35</v>
      </c>
      <c r="K2037" t="s">
        <v>89</v>
      </c>
      <c r="L2037" t="s">
        <v>43</v>
      </c>
      <c r="M2037">
        <v>0</v>
      </c>
      <c r="N2037">
        <v>0</v>
      </c>
      <c r="O2037" s="5">
        <v>50440</v>
      </c>
      <c r="P2037" s="5">
        <v>50441</v>
      </c>
      <c r="Q2037">
        <f>23.5-10</f>
        <v>13.5</v>
      </c>
      <c r="R2037" t="s">
        <v>65</v>
      </c>
      <c r="T2037">
        <v>19</v>
      </c>
      <c r="U2037">
        <v>75</v>
      </c>
      <c r="V2037">
        <v>13</v>
      </c>
      <c r="W2037">
        <v>12.8</v>
      </c>
      <c r="X2037">
        <v>25.6</v>
      </c>
      <c r="Z2037" t="s">
        <v>39</v>
      </c>
      <c r="AB2037" t="s">
        <v>88</v>
      </c>
      <c r="AC2037" t="s">
        <v>87</v>
      </c>
    </row>
    <row r="2038" spans="1:30" x14ac:dyDescent="0.25">
      <c r="A2038" s="4">
        <v>42513</v>
      </c>
      <c r="B2038" t="s">
        <v>30</v>
      </c>
      <c r="C2038">
        <v>503</v>
      </c>
      <c r="D2038">
        <v>8</v>
      </c>
      <c r="E2038">
        <v>2</v>
      </c>
      <c r="F2038" t="s">
        <v>41</v>
      </c>
      <c r="G2038" t="s">
        <v>32</v>
      </c>
      <c r="H2038" t="s">
        <v>33</v>
      </c>
      <c r="I2038" t="s">
        <v>57</v>
      </c>
      <c r="O2038" s="5"/>
      <c r="P2038" s="5"/>
    </row>
    <row r="2039" spans="1:30" x14ac:dyDescent="0.25">
      <c r="A2039" s="4">
        <v>42513</v>
      </c>
      <c r="B2039" t="s">
        <v>30</v>
      </c>
      <c r="C2039">
        <v>503</v>
      </c>
      <c r="D2039">
        <v>9</v>
      </c>
      <c r="E2039">
        <v>1</v>
      </c>
      <c r="F2039" t="s">
        <v>41</v>
      </c>
      <c r="G2039" t="s">
        <v>32</v>
      </c>
      <c r="H2039" t="s">
        <v>33</v>
      </c>
      <c r="I2039" t="s">
        <v>57</v>
      </c>
      <c r="O2039" s="5"/>
      <c r="P2039" s="5"/>
    </row>
    <row r="2040" spans="1:30" x14ac:dyDescent="0.25">
      <c r="A2040" s="4">
        <v>42513</v>
      </c>
      <c r="B2040" t="s">
        <v>30</v>
      </c>
      <c r="C2040">
        <v>503</v>
      </c>
      <c r="D2040">
        <v>9</v>
      </c>
      <c r="E2040">
        <v>2</v>
      </c>
      <c r="F2040" t="s">
        <v>41</v>
      </c>
      <c r="G2040" t="s">
        <v>32</v>
      </c>
      <c r="H2040" t="s">
        <v>33</v>
      </c>
      <c r="I2040" t="s">
        <v>57</v>
      </c>
      <c r="O2040" s="5"/>
      <c r="P2040" s="5"/>
    </row>
    <row r="2041" spans="1:30" x14ac:dyDescent="0.25">
      <c r="A2041" s="4">
        <v>42513</v>
      </c>
      <c r="B2041" t="s">
        <v>30</v>
      </c>
      <c r="C2041">
        <v>503</v>
      </c>
      <c r="D2041">
        <v>10</v>
      </c>
      <c r="E2041">
        <v>1</v>
      </c>
      <c r="F2041" t="s">
        <v>41</v>
      </c>
      <c r="G2041" t="s">
        <v>32</v>
      </c>
      <c r="H2041" t="s">
        <v>33</v>
      </c>
      <c r="I2041" t="s">
        <v>57</v>
      </c>
      <c r="O2041" s="5"/>
      <c r="P2041" s="5"/>
    </row>
    <row r="2042" spans="1:30" x14ac:dyDescent="0.25">
      <c r="A2042" s="4">
        <v>42513</v>
      </c>
      <c r="B2042" t="s">
        <v>30</v>
      </c>
      <c r="C2042">
        <v>503</v>
      </c>
      <c r="D2042">
        <v>10</v>
      </c>
      <c r="E2042">
        <v>2</v>
      </c>
      <c r="F2042" t="s">
        <v>41</v>
      </c>
      <c r="G2042" t="s">
        <v>32</v>
      </c>
      <c r="H2042" t="s">
        <v>33</v>
      </c>
      <c r="I2042" t="s">
        <v>57</v>
      </c>
      <c r="O2042" s="5"/>
      <c r="P2042" s="5"/>
    </row>
    <row r="2043" spans="1:30" x14ac:dyDescent="0.25">
      <c r="A2043" s="4">
        <v>42513</v>
      </c>
      <c r="B2043" t="s">
        <v>30</v>
      </c>
      <c r="C2043">
        <v>303</v>
      </c>
      <c r="D2043">
        <v>1</v>
      </c>
      <c r="E2043">
        <v>1</v>
      </c>
      <c r="F2043" t="s">
        <v>41</v>
      </c>
      <c r="G2043" t="s">
        <v>32</v>
      </c>
      <c r="H2043" t="s">
        <v>33</v>
      </c>
      <c r="I2043" t="s">
        <v>57</v>
      </c>
      <c r="O2043" s="5"/>
      <c r="P2043" s="5"/>
    </row>
    <row r="2044" spans="1:30" x14ac:dyDescent="0.25">
      <c r="A2044" s="4">
        <v>42513</v>
      </c>
      <c r="B2044" t="s">
        <v>30</v>
      </c>
      <c r="C2044">
        <v>303</v>
      </c>
      <c r="D2044">
        <v>2</v>
      </c>
      <c r="E2044">
        <v>1</v>
      </c>
      <c r="F2044" t="s">
        <v>41</v>
      </c>
      <c r="G2044" t="s">
        <v>32</v>
      </c>
      <c r="H2044" t="s">
        <v>33</v>
      </c>
      <c r="I2044" t="s">
        <v>57</v>
      </c>
      <c r="O2044" s="5"/>
      <c r="P2044" s="5"/>
    </row>
    <row r="2045" spans="1:30" x14ac:dyDescent="0.25">
      <c r="A2045" s="4">
        <v>42513</v>
      </c>
      <c r="B2045" t="s">
        <v>30</v>
      </c>
      <c r="C2045">
        <v>303</v>
      </c>
      <c r="D2045">
        <v>4</v>
      </c>
      <c r="E2045">
        <v>1</v>
      </c>
      <c r="F2045" t="s">
        <v>41</v>
      </c>
      <c r="G2045" t="s">
        <v>32</v>
      </c>
      <c r="H2045" t="s">
        <v>33</v>
      </c>
      <c r="I2045" t="s">
        <v>57</v>
      </c>
      <c r="O2045" s="5"/>
      <c r="P2045" s="5"/>
    </row>
    <row r="2046" spans="1:30" x14ac:dyDescent="0.25">
      <c r="A2046" s="4">
        <v>42513</v>
      </c>
      <c r="B2046" t="s">
        <v>30</v>
      </c>
      <c r="C2046">
        <v>303</v>
      </c>
      <c r="D2046">
        <v>4</v>
      </c>
      <c r="E2046">
        <v>2</v>
      </c>
      <c r="F2046" t="s">
        <v>41</v>
      </c>
      <c r="G2046" t="s">
        <v>32</v>
      </c>
      <c r="H2046" t="s">
        <v>33</v>
      </c>
      <c r="I2046" t="s">
        <v>53</v>
      </c>
      <c r="J2046" t="s">
        <v>62</v>
      </c>
      <c r="O2046" s="5"/>
      <c r="P2046" s="5"/>
    </row>
    <row r="2047" spans="1:30" x14ac:dyDescent="0.25">
      <c r="A2047" s="4">
        <v>42513</v>
      </c>
      <c r="B2047" t="s">
        <v>30</v>
      </c>
      <c r="C2047">
        <v>303</v>
      </c>
      <c r="D2047">
        <v>5</v>
      </c>
      <c r="E2047">
        <v>1</v>
      </c>
      <c r="F2047" t="s">
        <v>41</v>
      </c>
      <c r="G2047" t="s">
        <v>32</v>
      </c>
      <c r="H2047" t="s">
        <v>33</v>
      </c>
      <c r="I2047" t="s">
        <v>57</v>
      </c>
      <c r="O2047" s="5"/>
      <c r="P2047" s="5"/>
    </row>
    <row r="2048" spans="1:30" x14ac:dyDescent="0.25">
      <c r="A2048" s="4">
        <v>42513</v>
      </c>
      <c r="B2048" t="s">
        <v>30</v>
      </c>
      <c r="C2048">
        <v>303</v>
      </c>
      <c r="D2048">
        <v>5</v>
      </c>
      <c r="E2048">
        <v>2</v>
      </c>
      <c r="F2048" t="s">
        <v>41</v>
      </c>
      <c r="G2048" t="s">
        <v>32</v>
      </c>
      <c r="H2048" t="s">
        <v>33</v>
      </c>
      <c r="I2048" t="s">
        <v>58</v>
      </c>
      <c r="J2048" t="s">
        <v>42</v>
      </c>
      <c r="K2048" t="s">
        <v>36</v>
      </c>
      <c r="L2048" t="s">
        <v>43</v>
      </c>
      <c r="M2048">
        <v>0</v>
      </c>
      <c r="N2048">
        <v>1</v>
      </c>
      <c r="O2048" s="5">
        <v>50344</v>
      </c>
      <c r="P2048" s="5"/>
      <c r="Q2048">
        <f>33-10.5</f>
        <v>22.5</v>
      </c>
      <c r="R2048" t="s">
        <v>47</v>
      </c>
      <c r="T2048">
        <v>19</v>
      </c>
      <c r="W2048">
        <v>12.8</v>
      </c>
      <c r="X2048">
        <v>26.6</v>
      </c>
      <c r="Z2048" t="s">
        <v>97</v>
      </c>
      <c r="AA2048" t="s">
        <v>259</v>
      </c>
      <c r="AB2048" t="s">
        <v>88</v>
      </c>
      <c r="AC2048" t="s">
        <v>87</v>
      </c>
      <c r="AD2048" t="s">
        <v>260</v>
      </c>
    </row>
    <row r="2049" spans="1:30" x14ac:dyDescent="0.25">
      <c r="A2049" s="4">
        <v>42513</v>
      </c>
      <c r="B2049" t="s">
        <v>30</v>
      </c>
      <c r="C2049">
        <v>303</v>
      </c>
      <c r="D2049">
        <v>6</v>
      </c>
      <c r="E2049">
        <v>1</v>
      </c>
      <c r="F2049" t="s">
        <v>41</v>
      </c>
      <c r="G2049" t="s">
        <v>32</v>
      </c>
      <c r="H2049" t="s">
        <v>33</v>
      </c>
      <c r="I2049" t="s">
        <v>58</v>
      </c>
      <c r="J2049" t="s">
        <v>35</v>
      </c>
      <c r="K2049" t="s">
        <v>36</v>
      </c>
      <c r="L2049" t="s">
        <v>43</v>
      </c>
      <c r="M2049">
        <v>0</v>
      </c>
      <c r="N2049">
        <v>0</v>
      </c>
      <c r="O2049" s="5"/>
      <c r="P2049" s="5">
        <v>50439</v>
      </c>
      <c r="Q2049">
        <f>32.5-10.5</f>
        <v>22</v>
      </c>
      <c r="R2049" t="s">
        <v>47</v>
      </c>
      <c r="T2049">
        <v>19</v>
      </c>
      <c r="W2049">
        <v>12.9</v>
      </c>
      <c r="X2049">
        <v>27.4</v>
      </c>
      <c r="Z2049" t="s">
        <v>97</v>
      </c>
      <c r="AA2049" t="s">
        <v>199</v>
      </c>
      <c r="AB2049" t="s">
        <v>88</v>
      </c>
      <c r="AC2049" t="s">
        <v>87</v>
      </c>
    </row>
    <row r="2050" spans="1:30" x14ac:dyDescent="0.25">
      <c r="A2050" s="4">
        <v>42513</v>
      </c>
      <c r="B2050" t="s">
        <v>30</v>
      </c>
      <c r="C2050">
        <v>303</v>
      </c>
      <c r="D2050">
        <v>7</v>
      </c>
      <c r="E2050">
        <v>1</v>
      </c>
      <c r="F2050" t="s">
        <v>41</v>
      </c>
      <c r="G2050" t="s">
        <v>32</v>
      </c>
      <c r="H2050" t="s">
        <v>33</v>
      </c>
      <c r="I2050" t="s">
        <v>58</v>
      </c>
      <c r="J2050" t="s">
        <v>35</v>
      </c>
      <c r="K2050" t="s">
        <v>36</v>
      </c>
      <c r="L2050" t="s">
        <v>43</v>
      </c>
      <c r="M2050">
        <v>0</v>
      </c>
      <c r="N2050">
        <v>0</v>
      </c>
      <c r="O2050" s="5">
        <v>50738</v>
      </c>
      <c r="P2050" s="5"/>
      <c r="Q2050">
        <f>31.5-10.5</f>
        <v>21</v>
      </c>
      <c r="R2050" t="s">
        <v>47</v>
      </c>
      <c r="T2050">
        <v>17</v>
      </c>
      <c r="W2050">
        <v>12.7</v>
      </c>
      <c r="X2050">
        <v>27.2</v>
      </c>
      <c r="Z2050" t="s">
        <v>97</v>
      </c>
      <c r="AA2050" t="s">
        <v>199</v>
      </c>
      <c r="AB2050" t="s">
        <v>88</v>
      </c>
      <c r="AC2050" t="s">
        <v>87</v>
      </c>
    </row>
    <row r="2051" spans="1:30" x14ac:dyDescent="0.25">
      <c r="A2051" s="4">
        <v>42513</v>
      </c>
      <c r="B2051" t="s">
        <v>30</v>
      </c>
      <c r="C2051">
        <v>303</v>
      </c>
      <c r="D2051">
        <v>7</v>
      </c>
      <c r="E2051">
        <v>2</v>
      </c>
      <c r="F2051" t="s">
        <v>41</v>
      </c>
      <c r="G2051" t="s">
        <v>32</v>
      </c>
      <c r="H2051" t="s">
        <v>33</v>
      </c>
      <c r="I2051" t="s">
        <v>53</v>
      </c>
      <c r="J2051" t="s">
        <v>62</v>
      </c>
      <c r="O2051" s="5"/>
      <c r="P2051" s="5"/>
    </row>
    <row r="2052" spans="1:30" x14ac:dyDescent="0.25">
      <c r="A2052" s="4">
        <v>42513</v>
      </c>
      <c r="B2052" t="s">
        <v>30</v>
      </c>
      <c r="C2052">
        <v>303</v>
      </c>
      <c r="D2052">
        <v>8</v>
      </c>
      <c r="E2052">
        <v>1</v>
      </c>
      <c r="F2052" t="s">
        <v>41</v>
      </c>
      <c r="G2052" t="s">
        <v>32</v>
      </c>
      <c r="H2052" t="s">
        <v>33</v>
      </c>
      <c r="I2052" t="s">
        <v>57</v>
      </c>
      <c r="O2052" s="5"/>
      <c r="P2052" s="5"/>
    </row>
    <row r="2053" spans="1:30" x14ac:dyDescent="0.25">
      <c r="A2053" s="4">
        <v>42513</v>
      </c>
      <c r="B2053" t="s">
        <v>30</v>
      </c>
      <c r="C2053">
        <v>303</v>
      </c>
      <c r="D2053">
        <v>9</v>
      </c>
      <c r="E2053">
        <v>1</v>
      </c>
      <c r="F2053" t="s">
        <v>41</v>
      </c>
      <c r="G2053" t="s">
        <v>32</v>
      </c>
      <c r="H2053" t="s">
        <v>33</v>
      </c>
      <c r="I2053" t="s">
        <v>57</v>
      </c>
      <c r="O2053" s="5"/>
      <c r="P2053" s="5"/>
    </row>
    <row r="2054" spans="1:30" x14ac:dyDescent="0.25">
      <c r="A2054" s="4">
        <v>42513</v>
      </c>
      <c r="B2054" t="s">
        <v>30</v>
      </c>
      <c r="C2054">
        <v>303</v>
      </c>
      <c r="D2054">
        <v>9</v>
      </c>
      <c r="E2054">
        <v>2</v>
      </c>
      <c r="F2054" t="s">
        <v>41</v>
      </c>
      <c r="G2054" t="s">
        <v>32</v>
      </c>
      <c r="H2054" t="s">
        <v>33</v>
      </c>
      <c r="I2054" t="s">
        <v>34</v>
      </c>
      <c r="J2054" t="s">
        <v>35</v>
      </c>
      <c r="K2054" t="s">
        <v>114</v>
      </c>
      <c r="L2054" t="s">
        <v>43</v>
      </c>
      <c r="M2054">
        <v>0</v>
      </c>
      <c r="N2054">
        <v>0</v>
      </c>
      <c r="O2054" s="5">
        <v>50590</v>
      </c>
      <c r="P2054" s="5">
        <v>50589</v>
      </c>
      <c r="Q2054">
        <f>30-11.5</f>
        <v>18.5</v>
      </c>
      <c r="R2054" t="s">
        <v>47</v>
      </c>
      <c r="T2054">
        <v>18</v>
      </c>
      <c r="U2054">
        <v>83</v>
      </c>
      <c r="V2054">
        <v>15</v>
      </c>
      <c r="W2054">
        <v>12.9</v>
      </c>
      <c r="X2054">
        <v>26.9</v>
      </c>
      <c r="Z2054" t="s">
        <v>97</v>
      </c>
      <c r="AA2054" t="s">
        <v>199</v>
      </c>
      <c r="AB2054" t="s">
        <v>88</v>
      </c>
      <c r="AC2054" t="s">
        <v>87</v>
      </c>
      <c r="AD2054" t="s">
        <v>207</v>
      </c>
    </row>
    <row r="2055" spans="1:30" x14ac:dyDescent="0.25">
      <c r="A2055" s="4">
        <v>42513</v>
      </c>
      <c r="B2055" t="s">
        <v>30</v>
      </c>
      <c r="C2055">
        <v>303</v>
      </c>
      <c r="D2055">
        <v>10</v>
      </c>
      <c r="E2055">
        <v>1</v>
      </c>
      <c r="F2055" t="s">
        <v>41</v>
      </c>
      <c r="G2055" t="s">
        <v>32</v>
      </c>
      <c r="H2055" t="s">
        <v>33</v>
      </c>
      <c r="I2055" t="s">
        <v>53</v>
      </c>
      <c r="J2055" t="s">
        <v>62</v>
      </c>
      <c r="O2055" s="5"/>
      <c r="P2055" s="5"/>
    </row>
    <row r="2056" spans="1:30" x14ac:dyDescent="0.25">
      <c r="A2056" s="4">
        <v>42513</v>
      </c>
      <c r="B2056" t="s">
        <v>30</v>
      </c>
      <c r="C2056">
        <v>303</v>
      </c>
      <c r="D2056">
        <v>10</v>
      </c>
      <c r="E2056">
        <v>2</v>
      </c>
      <c r="F2056" t="s">
        <v>41</v>
      </c>
      <c r="G2056" t="s">
        <v>32</v>
      </c>
      <c r="H2056" t="s">
        <v>33</v>
      </c>
      <c r="I2056" t="s">
        <v>91</v>
      </c>
      <c r="J2056" t="s">
        <v>35</v>
      </c>
      <c r="K2056" t="s">
        <v>36</v>
      </c>
      <c r="L2056" t="s">
        <v>37</v>
      </c>
      <c r="M2056">
        <v>0</v>
      </c>
      <c r="N2056">
        <v>0</v>
      </c>
      <c r="O2056" s="5" t="s">
        <v>134</v>
      </c>
      <c r="P2056" s="5"/>
      <c r="Q2056">
        <f>30-10.5</f>
        <v>19.5</v>
      </c>
      <c r="R2056" t="s">
        <v>143</v>
      </c>
      <c r="S2056" t="s">
        <v>97</v>
      </c>
      <c r="T2056">
        <v>28</v>
      </c>
      <c r="W2056">
        <v>12.9</v>
      </c>
      <c r="X2056">
        <v>25.5</v>
      </c>
      <c r="Z2056" t="s">
        <v>97</v>
      </c>
      <c r="AA2056" t="s">
        <v>199</v>
      </c>
      <c r="AB2056" t="s">
        <v>88</v>
      </c>
      <c r="AC2056" t="s">
        <v>87</v>
      </c>
    </row>
    <row r="2057" spans="1:30" x14ac:dyDescent="0.25">
      <c r="A2057" s="4">
        <v>42513</v>
      </c>
      <c r="B2057" t="s">
        <v>30</v>
      </c>
      <c r="C2057">
        <v>401</v>
      </c>
      <c r="D2057">
        <v>1</v>
      </c>
      <c r="E2057">
        <v>1</v>
      </c>
      <c r="F2057" t="s">
        <v>41</v>
      </c>
      <c r="G2057" t="s">
        <v>32</v>
      </c>
      <c r="H2057" t="s">
        <v>33</v>
      </c>
      <c r="I2057" t="s">
        <v>57</v>
      </c>
      <c r="O2057" s="5"/>
      <c r="P2057" s="5"/>
    </row>
    <row r="2058" spans="1:30" x14ac:dyDescent="0.25">
      <c r="A2058" s="4">
        <v>42513</v>
      </c>
      <c r="B2058" t="s">
        <v>30</v>
      </c>
      <c r="C2058">
        <v>401</v>
      </c>
      <c r="D2058">
        <v>1</v>
      </c>
      <c r="E2058">
        <v>2</v>
      </c>
      <c r="F2058" t="s">
        <v>41</v>
      </c>
      <c r="G2058" t="s">
        <v>32</v>
      </c>
      <c r="H2058" t="s">
        <v>33</v>
      </c>
      <c r="I2058" t="s">
        <v>57</v>
      </c>
      <c r="O2058" s="5"/>
      <c r="P2058" s="5"/>
    </row>
    <row r="2059" spans="1:30" x14ac:dyDescent="0.25">
      <c r="A2059" s="4">
        <v>42513</v>
      </c>
      <c r="B2059" t="s">
        <v>30</v>
      </c>
      <c r="C2059">
        <v>401</v>
      </c>
      <c r="D2059">
        <v>2</v>
      </c>
      <c r="E2059">
        <v>1</v>
      </c>
      <c r="F2059" t="s">
        <v>41</v>
      </c>
      <c r="G2059" t="s">
        <v>32</v>
      </c>
      <c r="H2059" t="s">
        <v>33</v>
      </c>
      <c r="I2059" t="s">
        <v>57</v>
      </c>
      <c r="O2059" s="5"/>
      <c r="P2059" s="5"/>
    </row>
    <row r="2060" spans="1:30" x14ac:dyDescent="0.25">
      <c r="A2060" s="4">
        <v>42513</v>
      </c>
      <c r="B2060" t="s">
        <v>30</v>
      </c>
      <c r="C2060">
        <v>401</v>
      </c>
      <c r="D2060">
        <v>3</v>
      </c>
      <c r="E2060">
        <v>1</v>
      </c>
      <c r="F2060" t="s">
        <v>41</v>
      </c>
      <c r="G2060" t="s">
        <v>32</v>
      </c>
      <c r="H2060" t="s">
        <v>33</v>
      </c>
      <c r="I2060" t="s">
        <v>57</v>
      </c>
      <c r="O2060" s="5"/>
      <c r="P2060" s="5"/>
    </row>
    <row r="2061" spans="1:30" x14ac:dyDescent="0.25">
      <c r="A2061" s="4">
        <v>42513</v>
      </c>
      <c r="B2061" t="s">
        <v>30</v>
      </c>
      <c r="C2061">
        <v>401</v>
      </c>
      <c r="D2061">
        <v>5</v>
      </c>
      <c r="E2061">
        <v>1</v>
      </c>
      <c r="F2061" t="s">
        <v>41</v>
      </c>
      <c r="G2061" t="s">
        <v>32</v>
      </c>
      <c r="H2061" t="s">
        <v>33</v>
      </c>
      <c r="I2061" t="s">
        <v>57</v>
      </c>
      <c r="O2061" s="5"/>
      <c r="P2061" s="5"/>
    </row>
    <row r="2062" spans="1:30" x14ac:dyDescent="0.25">
      <c r="A2062" s="4">
        <v>42513</v>
      </c>
      <c r="B2062" t="s">
        <v>30</v>
      </c>
      <c r="C2062">
        <v>401</v>
      </c>
      <c r="D2062">
        <v>5</v>
      </c>
      <c r="E2062">
        <v>2</v>
      </c>
      <c r="F2062" t="s">
        <v>41</v>
      </c>
      <c r="G2062" t="s">
        <v>32</v>
      </c>
      <c r="H2062" t="s">
        <v>33</v>
      </c>
      <c r="I2062" t="s">
        <v>64</v>
      </c>
      <c r="J2062" t="s">
        <v>35</v>
      </c>
      <c r="K2062" t="s">
        <v>36</v>
      </c>
      <c r="L2062" t="s">
        <v>43</v>
      </c>
      <c r="M2062">
        <v>0</v>
      </c>
      <c r="N2062">
        <v>0</v>
      </c>
      <c r="O2062" s="5">
        <v>2622</v>
      </c>
      <c r="P2062" s="5">
        <v>2621</v>
      </c>
      <c r="Q2062">
        <f>230-49</f>
        <v>181</v>
      </c>
      <c r="R2062" t="s">
        <v>47</v>
      </c>
      <c r="T2062">
        <v>41</v>
      </c>
      <c r="W2062">
        <v>12.7</v>
      </c>
      <c r="X2062">
        <v>44.1</v>
      </c>
      <c r="Y2062" t="s">
        <v>261</v>
      </c>
      <c r="Z2062" t="s">
        <v>97</v>
      </c>
      <c r="AA2062" t="s">
        <v>262</v>
      </c>
      <c r="AB2062" t="s">
        <v>88</v>
      </c>
      <c r="AC2062" t="s">
        <v>87</v>
      </c>
    </row>
    <row r="2063" spans="1:30" x14ac:dyDescent="0.25">
      <c r="A2063" s="4">
        <v>42513</v>
      </c>
      <c r="B2063" t="s">
        <v>30</v>
      </c>
      <c r="C2063">
        <v>401</v>
      </c>
      <c r="D2063">
        <v>6</v>
      </c>
      <c r="E2063">
        <v>1</v>
      </c>
      <c r="F2063" t="s">
        <v>41</v>
      </c>
      <c r="G2063" t="s">
        <v>32</v>
      </c>
      <c r="H2063" t="s">
        <v>33</v>
      </c>
      <c r="I2063" t="s">
        <v>53</v>
      </c>
      <c r="J2063" t="s">
        <v>62</v>
      </c>
      <c r="O2063" s="5"/>
      <c r="P2063" s="5"/>
    </row>
    <row r="2064" spans="1:30" x14ac:dyDescent="0.25">
      <c r="A2064" s="4">
        <v>42513</v>
      </c>
      <c r="B2064" t="s">
        <v>30</v>
      </c>
      <c r="C2064">
        <v>401</v>
      </c>
      <c r="D2064">
        <v>8</v>
      </c>
      <c r="E2064">
        <v>1</v>
      </c>
      <c r="F2064" t="s">
        <v>41</v>
      </c>
      <c r="G2064" t="s">
        <v>32</v>
      </c>
      <c r="H2064" t="s">
        <v>33</v>
      </c>
      <c r="I2064" t="s">
        <v>57</v>
      </c>
      <c r="O2064" s="5"/>
      <c r="P2064" s="5"/>
    </row>
    <row r="2065" spans="1:29" x14ac:dyDescent="0.25">
      <c r="A2065" s="4">
        <v>42513</v>
      </c>
      <c r="B2065" t="s">
        <v>30</v>
      </c>
      <c r="C2065">
        <v>401</v>
      </c>
      <c r="D2065">
        <v>8</v>
      </c>
      <c r="E2065">
        <v>2</v>
      </c>
      <c r="F2065" t="s">
        <v>41</v>
      </c>
      <c r="G2065" t="s">
        <v>32</v>
      </c>
      <c r="H2065" t="s">
        <v>33</v>
      </c>
      <c r="I2065" t="s">
        <v>91</v>
      </c>
      <c r="J2065" t="s">
        <v>122</v>
      </c>
      <c r="O2065" s="5"/>
      <c r="P2065" s="5"/>
    </row>
    <row r="2066" spans="1:29" x14ac:dyDescent="0.25">
      <c r="A2066" s="4">
        <v>42513</v>
      </c>
      <c r="B2066" t="s">
        <v>30</v>
      </c>
      <c r="C2066">
        <v>703</v>
      </c>
      <c r="D2066">
        <v>1</v>
      </c>
      <c r="E2066">
        <v>1</v>
      </c>
      <c r="F2066" t="s">
        <v>31</v>
      </c>
      <c r="G2066" t="s">
        <v>32</v>
      </c>
      <c r="H2066" t="s">
        <v>33</v>
      </c>
      <c r="I2066" t="s">
        <v>58</v>
      </c>
      <c r="J2066" t="s">
        <v>62</v>
      </c>
      <c r="M2066">
        <v>0</v>
      </c>
      <c r="N2066">
        <v>0</v>
      </c>
      <c r="O2066" s="5">
        <v>50618</v>
      </c>
      <c r="P2066" s="5"/>
      <c r="Z2066" t="s">
        <v>97</v>
      </c>
      <c r="AB2066" t="s">
        <v>233</v>
      </c>
      <c r="AC2066" t="s">
        <v>56</v>
      </c>
    </row>
    <row r="2067" spans="1:29" x14ac:dyDescent="0.25">
      <c r="A2067" s="4">
        <v>42513</v>
      </c>
      <c r="B2067" t="s">
        <v>30</v>
      </c>
      <c r="C2067">
        <v>703</v>
      </c>
      <c r="D2067">
        <v>1</v>
      </c>
      <c r="E2067">
        <v>2</v>
      </c>
      <c r="F2067" t="s">
        <v>31</v>
      </c>
      <c r="G2067" t="s">
        <v>32</v>
      </c>
      <c r="H2067" t="s">
        <v>33</v>
      </c>
      <c r="I2067" t="s">
        <v>34</v>
      </c>
      <c r="J2067" t="s">
        <v>35</v>
      </c>
      <c r="K2067" t="s">
        <v>114</v>
      </c>
      <c r="L2067" t="s">
        <v>43</v>
      </c>
      <c r="M2067">
        <v>0</v>
      </c>
      <c r="N2067">
        <v>0</v>
      </c>
      <c r="O2067" s="5">
        <v>50692</v>
      </c>
      <c r="P2067" s="5">
        <v>50691</v>
      </c>
      <c r="Q2067">
        <f>23-9.5</f>
        <v>13.5</v>
      </c>
      <c r="R2067" t="s">
        <v>65</v>
      </c>
      <c r="T2067">
        <v>19</v>
      </c>
      <c r="U2067">
        <v>80</v>
      </c>
      <c r="V2067">
        <v>17</v>
      </c>
      <c r="W2067">
        <v>12.7</v>
      </c>
      <c r="X2067">
        <v>26.8</v>
      </c>
      <c r="Z2067" t="s">
        <v>39</v>
      </c>
      <c r="AB2067" t="s">
        <v>233</v>
      </c>
      <c r="AC2067" t="s">
        <v>56</v>
      </c>
    </row>
    <row r="2068" spans="1:29" x14ac:dyDescent="0.25">
      <c r="A2068" s="4">
        <v>42513</v>
      </c>
      <c r="B2068" t="s">
        <v>30</v>
      </c>
      <c r="C2068">
        <v>703</v>
      </c>
      <c r="D2068">
        <v>2</v>
      </c>
      <c r="E2068">
        <v>1</v>
      </c>
      <c r="F2068" t="s">
        <v>31</v>
      </c>
      <c r="G2068" t="s">
        <v>32</v>
      </c>
      <c r="H2068" t="s">
        <v>33</v>
      </c>
      <c r="I2068" t="s">
        <v>57</v>
      </c>
      <c r="O2068" s="5"/>
      <c r="P2068" s="5"/>
    </row>
    <row r="2069" spans="1:29" x14ac:dyDescent="0.25">
      <c r="A2069" s="4">
        <v>42513</v>
      </c>
      <c r="B2069" t="s">
        <v>30</v>
      </c>
      <c r="C2069">
        <v>703</v>
      </c>
      <c r="D2069">
        <v>2</v>
      </c>
      <c r="E2069">
        <v>2</v>
      </c>
      <c r="F2069" t="s">
        <v>31</v>
      </c>
      <c r="G2069" t="s">
        <v>32</v>
      </c>
      <c r="H2069" t="s">
        <v>33</v>
      </c>
      <c r="I2069" t="s">
        <v>57</v>
      </c>
      <c r="O2069" s="5"/>
      <c r="P2069" s="5"/>
    </row>
    <row r="2070" spans="1:29" x14ac:dyDescent="0.25">
      <c r="A2070" s="4">
        <v>42513</v>
      </c>
      <c r="B2070" t="s">
        <v>30</v>
      </c>
      <c r="C2070">
        <v>703</v>
      </c>
      <c r="D2070">
        <v>3</v>
      </c>
      <c r="E2070">
        <v>1</v>
      </c>
      <c r="F2070" t="s">
        <v>31</v>
      </c>
      <c r="G2070" t="s">
        <v>32</v>
      </c>
      <c r="H2070" t="s">
        <v>33</v>
      </c>
      <c r="I2070" t="s">
        <v>57</v>
      </c>
      <c r="O2070" s="5"/>
      <c r="P2070" s="5"/>
    </row>
    <row r="2071" spans="1:29" x14ac:dyDescent="0.25">
      <c r="A2071" s="4">
        <v>42513</v>
      </c>
      <c r="B2071" t="s">
        <v>30</v>
      </c>
      <c r="C2071">
        <v>703</v>
      </c>
      <c r="D2071">
        <v>3</v>
      </c>
      <c r="E2071">
        <v>2</v>
      </c>
      <c r="F2071" t="s">
        <v>31</v>
      </c>
      <c r="G2071" t="s">
        <v>32</v>
      </c>
      <c r="H2071" t="s">
        <v>33</v>
      </c>
      <c r="I2071" t="s">
        <v>57</v>
      </c>
      <c r="O2071" s="5"/>
      <c r="P2071" s="5"/>
    </row>
    <row r="2072" spans="1:29" x14ac:dyDescent="0.25">
      <c r="A2072" s="4">
        <v>42513</v>
      </c>
      <c r="B2072" t="s">
        <v>30</v>
      </c>
      <c r="C2072">
        <v>703</v>
      </c>
      <c r="D2072">
        <v>4</v>
      </c>
      <c r="E2072">
        <v>1</v>
      </c>
      <c r="F2072" t="s">
        <v>31</v>
      </c>
      <c r="G2072" t="s">
        <v>32</v>
      </c>
      <c r="H2072" t="s">
        <v>33</v>
      </c>
      <c r="I2072" t="s">
        <v>57</v>
      </c>
      <c r="O2072" s="5"/>
      <c r="P2072" s="5"/>
    </row>
    <row r="2073" spans="1:29" x14ac:dyDescent="0.25">
      <c r="A2073" s="4">
        <v>42513</v>
      </c>
      <c r="B2073" t="s">
        <v>30</v>
      </c>
      <c r="C2073">
        <v>703</v>
      </c>
      <c r="D2073">
        <v>4</v>
      </c>
      <c r="E2073">
        <v>2</v>
      </c>
      <c r="F2073" t="s">
        <v>31</v>
      </c>
      <c r="G2073" t="s">
        <v>32</v>
      </c>
      <c r="H2073" t="s">
        <v>33</v>
      </c>
      <c r="I2073" t="s">
        <v>58</v>
      </c>
      <c r="J2073" t="s">
        <v>35</v>
      </c>
      <c r="K2073" t="s">
        <v>89</v>
      </c>
      <c r="L2073" t="s">
        <v>43</v>
      </c>
      <c r="M2073">
        <v>0</v>
      </c>
      <c r="N2073">
        <v>0</v>
      </c>
      <c r="O2073" s="5"/>
      <c r="P2073" s="5">
        <v>50764</v>
      </c>
      <c r="Q2073">
        <f>31.5-14</f>
        <v>17.5</v>
      </c>
      <c r="R2073" t="s">
        <v>65</v>
      </c>
      <c r="T2073">
        <v>15</v>
      </c>
      <c r="W2073">
        <v>12.5</v>
      </c>
      <c r="X2073">
        <v>26.7</v>
      </c>
      <c r="Z2073" t="s">
        <v>97</v>
      </c>
      <c r="AB2073" t="s">
        <v>233</v>
      </c>
      <c r="AC2073" t="s">
        <v>56</v>
      </c>
    </row>
    <row r="2074" spans="1:29" x14ac:dyDescent="0.25">
      <c r="A2074" s="4">
        <v>42513</v>
      </c>
      <c r="B2074" t="s">
        <v>30</v>
      </c>
      <c r="C2074">
        <v>703</v>
      </c>
      <c r="D2074">
        <v>5</v>
      </c>
      <c r="E2074">
        <v>1</v>
      </c>
      <c r="F2074" t="s">
        <v>31</v>
      </c>
      <c r="G2074" t="s">
        <v>32</v>
      </c>
      <c r="H2074" t="s">
        <v>33</v>
      </c>
      <c r="I2074" t="s">
        <v>57</v>
      </c>
      <c r="O2074" s="5"/>
      <c r="P2074" s="5"/>
    </row>
    <row r="2075" spans="1:29" x14ac:dyDescent="0.25">
      <c r="A2075" s="4">
        <v>42513</v>
      </c>
      <c r="B2075" t="s">
        <v>30</v>
      </c>
      <c r="C2075">
        <v>703</v>
      </c>
      <c r="D2075">
        <v>5</v>
      </c>
      <c r="E2075">
        <v>2</v>
      </c>
      <c r="F2075" t="s">
        <v>31</v>
      </c>
      <c r="G2075" t="s">
        <v>32</v>
      </c>
      <c r="H2075" t="s">
        <v>33</v>
      </c>
      <c r="I2075" t="s">
        <v>57</v>
      </c>
      <c r="O2075" s="5"/>
      <c r="P2075" s="5"/>
    </row>
    <row r="2076" spans="1:29" x14ac:dyDescent="0.25">
      <c r="A2076" s="4">
        <v>42513</v>
      </c>
      <c r="B2076" t="s">
        <v>30</v>
      </c>
      <c r="C2076">
        <v>703</v>
      </c>
      <c r="D2076">
        <v>6</v>
      </c>
      <c r="E2076">
        <v>1</v>
      </c>
      <c r="F2076" t="s">
        <v>31</v>
      </c>
      <c r="G2076" t="s">
        <v>32</v>
      </c>
      <c r="H2076" t="s">
        <v>33</v>
      </c>
      <c r="I2076" t="s">
        <v>58</v>
      </c>
      <c r="J2076" t="s">
        <v>42</v>
      </c>
      <c r="K2076" t="s">
        <v>36</v>
      </c>
      <c r="L2076" t="s">
        <v>43</v>
      </c>
      <c r="M2076">
        <v>0</v>
      </c>
      <c r="N2076">
        <v>1</v>
      </c>
      <c r="O2076" s="5">
        <v>50857</v>
      </c>
      <c r="P2076" s="5"/>
      <c r="Q2076">
        <f>35-13.5</f>
        <v>21.5</v>
      </c>
      <c r="R2076" t="s">
        <v>65</v>
      </c>
      <c r="T2076">
        <v>17</v>
      </c>
      <c r="W2076">
        <v>12.5</v>
      </c>
      <c r="X2076">
        <v>26.3</v>
      </c>
      <c r="Z2076" t="s">
        <v>97</v>
      </c>
      <c r="AB2076" t="s">
        <v>233</v>
      </c>
      <c r="AC2076" t="s">
        <v>56</v>
      </c>
    </row>
    <row r="2077" spans="1:29" x14ac:dyDescent="0.25">
      <c r="A2077" s="4">
        <v>42513</v>
      </c>
      <c r="B2077" t="s">
        <v>30</v>
      </c>
      <c r="C2077">
        <v>703</v>
      </c>
      <c r="D2077">
        <v>6</v>
      </c>
      <c r="E2077">
        <v>2</v>
      </c>
      <c r="F2077" t="s">
        <v>31</v>
      </c>
      <c r="G2077" t="s">
        <v>32</v>
      </c>
      <c r="H2077" t="s">
        <v>33</v>
      </c>
      <c r="I2077" t="s">
        <v>58</v>
      </c>
      <c r="J2077" t="s">
        <v>35</v>
      </c>
      <c r="K2077" t="s">
        <v>36</v>
      </c>
      <c r="L2077" t="s">
        <v>37</v>
      </c>
      <c r="M2077">
        <v>0</v>
      </c>
      <c r="N2077">
        <v>0</v>
      </c>
      <c r="O2077" s="5">
        <v>50508</v>
      </c>
      <c r="P2077" s="5"/>
      <c r="Q2077">
        <f>35.5-13</f>
        <v>22.5</v>
      </c>
      <c r="R2077" t="s">
        <v>263</v>
      </c>
      <c r="S2077" t="s">
        <v>39</v>
      </c>
      <c r="T2077">
        <v>16</v>
      </c>
      <c r="W2077">
        <v>12.4</v>
      </c>
      <c r="X2077">
        <v>24.6</v>
      </c>
      <c r="Z2077" t="s">
        <v>97</v>
      </c>
      <c r="AB2077" t="s">
        <v>233</v>
      </c>
      <c r="AC2077" t="s">
        <v>56</v>
      </c>
    </row>
    <row r="2078" spans="1:29" x14ac:dyDescent="0.25">
      <c r="A2078" s="4">
        <v>42513</v>
      </c>
      <c r="B2078" t="s">
        <v>30</v>
      </c>
      <c r="C2078">
        <v>703</v>
      </c>
      <c r="D2078">
        <v>7</v>
      </c>
      <c r="E2078">
        <v>1</v>
      </c>
      <c r="F2078" t="s">
        <v>31</v>
      </c>
      <c r="G2078" t="s">
        <v>32</v>
      </c>
      <c r="H2078" t="s">
        <v>33</v>
      </c>
      <c r="I2078" t="s">
        <v>57</v>
      </c>
      <c r="O2078" s="5"/>
      <c r="P2078" s="5"/>
    </row>
    <row r="2079" spans="1:29" x14ac:dyDescent="0.25">
      <c r="A2079" s="4">
        <v>42513</v>
      </c>
      <c r="B2079" t="s">
        <v>30</v>
      </c>
      <c r="C2079">
        <v>703</v>
      </c>
      <c r="D2079">
        <v>7</v>
      </c>
      <c r="E2079">
        <v>2</v>
      </c>
      <c r="F2079" t="s">
        <v>31</v>
      </c>
      <c r="G2079" t="s">
        <v>32</v>
      </c>
      <c r="H2079" t="s">
        <v>33</v>
      </c>
      <c r="I2079" t="s">
        <v>34</v>
      </c>
      <c r="J2079" t="s">
        <v>35</v>
      </c>
      <c r="K2079" t="s">
        <v>114</v>
      </c>
      <c r="L2079" t="s">
        <v>37</v>
      </c>
      <c r="M2079">
        <v>0</v>
      </c>
      <c r="N2079">
        <v>0</v>
      </c>
      <c r="O2079" s="5">
        <v>50690</v>
      </c>
      <c r="P2079" s="5">
        <v>50689</v>
      </c>
      <c r="Q2079">
        <f>28-14</f>
        <v>14</v>
      </c>
      <c r="R2079" t="s">
        <v>38</v>
      </c>
      <c r="S2079" t="s">
        <v>39</v>
      </c>
      <c r="T2079">
        <v>19</v>
      </c>
      <c r="U2079">
        <v>77.5</v>
      </c>
      <c r="V2079">
        <v>15</v>
      </c>
      <c r="Z2079" t="s">
        <v>39</v>
      </c>
      <c r="AB2079" t="s">
        <v>233</v>
      </c>
      <c r="AC2079" t="s">
        <v>56</v>
      </c>
    </row>
    <row r="2080" spans="1:29" x14ac:dyDescent="0.25">
      <c r="A2080" s="4">
        <v>42513</v>
      </c>
      <c r="B2080" t="s">
        <v>30</v>
      </c>
      <c r="C2080">
        <v>703</v>
      </c>
      <c r="D2080">
        <v>8</v>
      </c>
      <c r="E2080">
        <v>1</v>
      </c>
      <c r="F2080" t="s">
        <v>31</v>
      </c>
      <c r="G2080" t="s">
        <v>32</v>
      </c>
      <c r="H2080" t="s">
        <v>33</v>
      </c>
      <c r="I2080" t="s">
        <v>57</v>
      </c>
      <c r="O2080" s="5"/>
      <c r="P2080" s="5"/>
    </row>
    <row r="2081" spans="1:30" x14ac:dyDescent="0.25">
      <c r="A2081" s="4">
        <v>42513</v>
      </c>
      <c r="B2081" t="s">
        <v>30</v>
      </c>
      <c r="C2081">
        <v>703</v>
      </c>
      <c r="D2081">
        <v>8</v>
      </c>
      <c r="E2081">
        <v>2</v>
      </c>
      <c r="F2081" t="s">
        <v>31</v>
      </c>
      <c r="G2081" t="s">
        <v>32</v>
      </c>
      <c r="H2081" t="s">
        <v>33</v>
      </c>
      <c r="I2081" t="s">
        <v>34</v>
      </c>
      <c r="J2081" t="s">
        <v>35</v>
      </c>
      <c r="K2081" t="s">
        <v>114</v>
      </c>
      <c r="L2081" t="s">
        <v>37</v>
      </c>
      <c r="M2081">
        <v>0</v>
      </c>
      <c r="N2081">
        <v>0</v>
      </c>
      <c r="O2081" s="5">
        <v>50700</v>
      </c>
      <c r="P2081" s="5">
        <v>50699</v>
      </c>
      <c r="Q2081">
        <f>28-15</f>
        <v>13</v>
      </c>
      <c r="R2081" t="s">
        <v>47</v>
      </c>
      <c r="T2081">
        <v>19</v>
      </c>
      <c r="U2081">
        <v>68</v>
      </c>
      <c r="V2081">
        <v>16</v>
      </c>
      <c r="W2081">
        <v>12.4</v>
      </c>
      <c r="X2081">
        <v>27.4</v>
      </c>
      <c r="Z2081" t="s">
        <v>39</v>
      </c>
      <c r="AB2081" t="s">
        <v>264</v>
      </c>
      <c r="AC2081" t="s">
        <v>56</v>
      </c>
    </row>
    <row r="2082" spans="1:30" x14ac:dyDescent="0.25">
      <c r="A2082" s="4">
        <v>42513</v>
      </c>
      <c r="B2082" t="s">
        <v>30</v>
      </c>
      <c r="C2082">
        <v>703</v>
      </c>
      <c r="D2082">
        <v>9</v>
      </c>
      <c r="E2082">
        <v>1</v>
      </c>
      <c r="F2082" t="s">
        <v>31</v>
      </c>
      <c r="G2082" t="s">
        <v>32</v>
      </c>
      <c r="H2082" t="s">
        <v>33</v>
      </c>
      <c r="I2082" t="s">
        <v>57</v>
      </c>
      <c r="O2082" s="5"/>
      <c r="P2082" s="5"/>
    </row>
    <row r="2083" spans="1:30" x14ac:dyDescent="0.25">
      <c r="A2083" s="4">
        <v>42513</v>
      </c>
      <c r="B2083" t="s">
        <v>30</v>
      </c>
      <c r="C2083">
        <v>703</v>
      </c>
      <c r="D2083">
        <v>9</v>
      </c>
      <c r="E2083">
        <v>2</v>
      </c>
      <c r="F2083" t="s">
        <v>31</v>
      </c>
      <c r="G2083" t="s">
        <v>32</v>
      </c>
      <c r="H2083" t="s">
        <v>33</v>
      </c>
      <c r="I2083" t="s">
        <v>53</v>
      </c>
      <c r="J2083" t="s">
        <v>62</v>
      </c>
      <c r="O2083" s="5"/>
      <c r="P2083" s="5"/>
    </row>
    <row r="2084" spans="1:30" x14ac:dyDescent="0.25">
      <c r="A2084" s="4">
        <v>42513</v>
      </c>
      <c r="B2084" t="s">
        <v>30</v>
      </c>
      <c r="C2084">
        <v>703</v>
      </c>
      <c r="D2084">
        <v>10</v>
      </c>
      <c r="E2084">
        <v>1</v>
      </c>
      <c r="F2084" t="s">
        <v>31</v>
      </c>
      <c r="G2084" t="s">
        <v>32</v>
      </c>
      <c r="H2084" t="s">
        <v>33</v>
      </c>
      <c r="I2084" t="s">
        <v>57</v>
      </c>
      <c r="O2084" s="5"/>
      <c r="P2084" s="5"/>
    </row>
    <row r="2085" spans="1:30" x14ac:dyDescent="0.25">
      <c r="A2085" s="4">
        <v>42513</v>
      </c>
      <c r="B2085" t="s">
        <v>30</v>
      </c>
      <c r="C2085">
        <v>703</v>
      </c>
      <c r="D2085">
        <v>10</v>
      </c>
      <c r="E2085">
        <v>2</v>
      </c>
      <c r="F2085" t="s">
        <v>31</v>
      </c>
      <c r="G2085" t="s">
        <v>32</v>
      </c>
      <c r="H2085" t="s">
        <v>33</v>
      </c>
      <c r="I2085" t="s">
        <v>57</v>
      </c>
      <c r="O2085" s="5"/>
      <c r="P2085" s="5"/>
    </row>
    <row r="2086" spans="1:30" x14ac:dyDescent="0.25">
      <c r="A2086" s="4">
        <v>42513</v>
      </c>
      <c r="B2086" t="s">
        <v>30</v>
      </c>
      <c r="C2086">
        <v>701</v>
      </c>
      <c r="D2086">
        <v>1</v>
      </c>
      <c r="E2086">
        <v>1</v>
      </c>
      <c r="F2086" t="s">
        <v>31</v>
      </c>
      <c r="G2086" t="s">
        <v>32</v>
      </c>
      <c r="H2086" t="s">
        <v>33</v>
      </c>
      <c r="I2086" t="s">
        <v>57</v>
      </c>
      <c r="O2086" s="5"/>
      <c r="P2086" s="5"/>
    </row>
    <row r="2087" spans="1:30" x14ac:dyDescent="0.25">
      <c r="A2087" s="4">
        <v>42513</v>
      </c>
      <c r="B2087" t="s">
        <v>30</v>
      </c>
      <c r="C2087">
        <v>701</v>
      </c>
      <c r="D2087">
        <v>1</v>
      </c>
      <c r="E2087">
        <v>2</v>
      </c>
      <c r="F2087" t="s">
        <v>31</v>
      </c>
      <c r="G2087" t="s">
        <v>32</v>
      </c>
      <c r="H2087" t="s">
        <v>33</v>
      </c>
      <c r="I2087" t="s">
        <v>58</v>
      </c>
      <c r="J2087" t="s">
        <v>35</v>
      </c>
      <c r="K2087" t="s">
        <v>36</v>
      </c>
      <c r="L2087" t="s">
        <v>37</v>
      </c>
      <c r="M2087">
        <v>0</v>
      </c>
      <c r="N2087">
        <v>0</v>
      </c>
      <c r="O2087" s="5">
        <v>50688</v>
      </c>
      <c r="P2087" s="5"/>
      <c r="R2087" t="s">
        <v>74</v>
      </c>
      <c r="S2087" t="s">
        <v>97</v>
      </c>
      <c r="T2087">
        <v>16</v>
      </c>
      <c r="W2087">
        <v>12.65</v>
      </c>
      <c r="X2087">
        <v>26.2</v>
      </c>
      <c r="Z2087" t="s">
        <v>97</v>
      </c>
      <c r="AA2087" t="s">
        <v>265</v>
      </c>
      <c r="AB2087" t="s">
        <v>233</v>
      </c>
      <c r="AC2087" t="s">
        <v>56</v>
      </c>
      <c r="AD2087" t="s">
        <v>266</v>
      </c>
    </row>
    <row r="2088" spans="1:30" x14ac:dyDescent="0.25">
      <c r="A2088" s="4">
        <v>42513</v>
      </c>
      <c r="B2088" t="s">
        <v>30</v>
      </c>
      <c r="C2088">
        <v>701</v>
      </c>
      <c r="D2088">
        <v>2</v>
      </c>
      <c r="E2088">
        <v>1</v>
      </c>
      <c r="F2088" t="s">
        <v>31</v>
      </c>
      <c r="G2088" t="s">
        <v>32</v>
      </c>
      <c r="H2088" t="s">
        <v>33</v>
      </c>
      <c r="I2088" t="s">
        <v>57</v>
      </c>
      <c r="O2088" s="5"/>
      <c r="P2088" s="5"/>
    </row>
    <row r="2089" spans="1:30" x14ac:dyDescent="0.25">
      <c r="A2089" s="4">
        <v>42513</v>
      </c>
      <c r="B2089" t="s">
        <v>30</v>
      </c>
      <c r="C2089">
        <v>701</v>
      </c>
      <c r="D2089">
        <v>2</v>
      </c>
      <c r="E2089">
        <v>2</v>
      </c>
      <c r="F2089" t="s">
        <v>31</v>
      </c>
      <c r="G2089" t="s">
        <v>32</v>
      </c>
      <c r="H2089" t="s">
        <v>33</v>
      </c>
      <c r="I2089" t="s">
        <v>34</v>
      </c>
      <c r="J2089" t="s">
        <v>35</v>
      </c>
      <c r="K2089" t="s">
        <v>36</v>
      </c>
      <c r="L2089" t="s">
        <v>37</v>
      </c>
      <c r="M2089">
        <v>0</v>
      </c>
      <c r="N2089">
        <v>0</v>
      </c>
      <c r="O2089" s="5">
        <v>50459</v>
      </c>
      <c r="P2089" s="5">
        <v>50458</v>
      </c>
      <c r="Q2089">
        <f>30-12</f>
        <v>18</v>
      </c>
      <c r="R2089" t="s">
        <v>38</v>
      </c>
      <c r="S2089" t="s">
        <v>39</v>
      </c>
      <c r="T2089">
        <v>18.5</v>
      </c>
      <c r="U2089">
        <v>80.5</v>
      </c>
      <c r="V2089">
        <v>18</v>
      </c>
      <c r="W2089">
        <v>12.6</v>
      </c>
      <c r="X2089">
        <v>27.8</v>
      </c>
      <c r="Z2089" t="s">
        <v>97</v>
      </c>
      <c r="AB2089" t="s">
        <v>233</v>
      </c>
      <c r="AC2089" t="s">
        <v>56</v>
      </c>
      <c r="AD2089" t="s">
        <v>267</v>
      </c>
    </row>
    <row r="2090" spans="1:30" x14ac:dyDescent="0.25">
      <c r="A2090" s="4">
        <v>42513</v>
      </c>
      <c r="B2090" t="s">
        <v>30</v>
      </c>
      <c r="C2090">
        <v>701</v>
      </c>
      <c r="D2090">
        <v>3</v>
      </c>
      <c r="E2090">
        <v>1</v>
      </c>
      <c r="F2090" t="s">
        <v>31</v>
      </c>
      <c r="G2090" t="s">
        <v>32</v>
      </c>
      <c r="H2090" t="s">
        <v>33</v>
      </c>
      <c r="I2090" t="s">
        <v>57</v>
      </c>
      <c r="O2090" s="5"/>
      <c r="P2090" s="5"/>
    </row>
    <row r="2091" spans="1:30" x14ac:dyDescent="0.25">
      <c r="A2091" s="4">
        <v>42513</v>
      </c>
      <c r="B2091" t="s">
        <v>30</v>
      </c>
      <c r="C2091">
        <v>701</v>
      </c>
      <c r="D2091">
        <v>3</v>
      </c>
      <c r="E2091">
        <v>2</v>
      </c>
      <c r="F2091" t="s">
        <v>31</v>
      </c>
      <c r="G2091" t="s">
        <v>32</v>
      </c>
      <c r="H2091" t="s">
        <v>33</v>
      </c>
      <c r="I2091" t="s">
        <v>34</v>
      </c>
      <c r="J2091" t="s">
        <v>35</v>
      </c>
      <c r="K2091" t="s">
        <v>114</v>
      </c>
      <c r="L2091" t="s">
        <v>43</v>
      </c>
      <c r="M2091">
        <v>0</v>
      </c>
      <c r="N2091">
        <v>0</v>
      </c>
      <c r="O2091" s="5">
        <v>50506</v>
      </c>
      <c r="P2091" s="5">
        <v>50505</v>
      </c>
      <c r="Q2091">
        <f>29.5-13</f>
        <v>16.5</v>
      </c>
      <c r="R2091" t="s">
        <v>65</v>
      </c>
      <c r="T2091">
        <v>18</v>
      </c>
      <c r="U2091">
        <v>91</v>
      </c>
      <c r="V2091">
        <v>18</v>
      </c>
      <c r="W2091">
        <v>12.5</v>
      </c>
      <c r="X2091">
        <v>25.3</v>
      </c>
      <c r="Z2091" t="s">
        <v>39</v>
      </c>
      <c r="AB2091" t="s">
        <v>233</v>
      </c>
      <c r="AC2091" t="s">
        <v>56</v>
      </c>
    </row>
    <row r="2092" spans="1:30" x14ac:dyDescent="0.25">
      <c r="A2092" s="4">
        <v>42513</v>
      </c>
      <c r="B2092" t="s">
        <v>30</v>
      </c>
      <c r="C2092">
        <v>701</v>
      </c>
      <c r="D2092">
        <v>4</v>
      </c>
      <c r="E2092">
        <v>1</v>
      </c>
      <c r="F2092" t="s">
        <v>31</v>
      </c>
      <c r="G2092" t="s">
        <v>32</v>
      </c>
      <c r="H2092" t="s">
        <v>33</v>
      </c>
      <c r="I2092" t="s">
        <v>57</v>
      </c>
      <c r="O2092" s="5"/>
      <c r="P2092" s="5"/>
    </row>
    <row r="2093" spans="1:30" x14ac:dyDescent="0.25">
      <c r="A2093" s="4">
        <v>42513</v>
      </c>
      <c r="B2093" t="s">
        <v>30</v>
      </c>
      <c r="C2093">
        <v>701</v>
      </c>
      <c r="D2093">
        <v>4</v>
      </c>
      <c r="E2093">
        <v>2</v>
      </c>
      <c r="F2093" t="s">
        <v>31</v>
      </c>
      <c r="G2093" t="s">
        <v>32</v>
      </c>
      <c r="H2093" t="s">
        <v>33</v>
      </c>
      <c r="I2093" t="s">
        <v>53</v>
      </c>
      <c r="J2093" t="s">
        <v>62</v>
      </c>
      <c r="O2093" s="5"/>
      <c r="P2093" s="5"/>
    </row>
    <row r="2094" spans="1:30" x14ac:dyDescent="0.25">
      <c r="A2094" s="4">
        <v>42513</v>
      </c>
      <c r="B2094" t="s">
        <v>30</v>
      </c>
      <c r="C2094">
        <v>701</v>
      </c>
      <c r="D2094">
        <v>5</v>
      </c>
      <c r="E2094">
        <v>1</v>
      </c>
      <c r="F2094" t="s">
        <v>31</v>
      </c>
      <c r="G2094" t="s">
        <v>32</v>
      </c>
      <c r="H2094" t="s">
        <v>33</v>
      </c>
      <c r="I2094" t="s">
        <v>57</v>
      </c>
      <c r="O2094" s="5"/>
      <c r="P2094" s="5"/>
    </row>
    <row r="2095" spans="1:30" x14ac:dyDescent="0.25">
      <c r="A2095" s="4">
        <v>42513</v>
      </c>
      <c r="B2095" t="s">
        <v>30</v>
      </c>
      <c r="C2095">
        <v>701</v>
      </c>
      <c r="D2095">
        <v>5</v>
      </c>
      <c r="E2095">
        <v>2</v>
      </c>
      <c r="F2095" t="s">
        <v>31</v>
      </c>
      <c r="G2095" t="s">
        <v>32</v>
      </c>
      <c r="H2095" t="s">
        <v>33</v>
      </c>
      <c r="I2095" t="s">
        <v>53</v>
      </c>
      <c r="J2095" t="s">
        <v>62</v>
      </c>
      <c r="O2095" s="5"/>
      <c r="P2095" s="5"/>
    </row>
    <row r="2096" spans="1:30" x14ac:dyDescent="0.25">
      <c r="A2096" s="4">
        <v>42513</v>
      </c>
      <c r="B2096" t="s">
        <v>30</v>
      </c>
      <c r="C2096">
        <v>701</v>
      </c>
      <c r="D2096">
        <v>6</v>
      </c>
      <c r="E2096">
        <v>1</v>
      </c>
      <c r="F2096" t="s">
        <v>31</v>
      </c>
      <c r="G2096" t="s">
        <v>32</v>
      </c>
      <c r="H2096" t="s">
        <v>33</v>
      </c>
      <c r="I2096" t="s">
        <v>34</v>
      </c>
      <c r="J2096" t="s">
        <v>35</v>
      </c>
      <c r="K2096" t="s">
        <v>36</v>
      </c>
      <c r="L2096" t="s">
        <v>43</v>
      </c>
      <c r="M2096">
        <v>0</v>
      </c>
      <c r="N2096">
        <v>0</v>
      </c>
      <c r="O2096" s="5">
        <v>50370</v>
      </c>
      <c r="P2096" s="5">
        <v>50369</v>
      </c>
      <c r="Q2096">
        <v>20</v>
      </c>
      <c r="R2096" t="s">
        <v>65</v>
      </c>
      <c r="T2096">
        <v>18</v>
      </c>
      <c r="U2096">
        <v>76</v>
      </c>
      <c r="V2096">
        <v>19</v>
      </c>
      <c r="W2096">
        <v>13</v>
      </c>
      <c r="X2096">
        <v>27.7</v>
      </c>
      <c r="Z2096" t="s">
        <v>97</v>
      </c>
      <c r="AB2096" t="s">
        <v>233</v>
      </c>
      <c r="AC2096" t="s">
        <v>56</v>
      </c>
    </row>
    <row r="2097" spans="1:29" x14ac:dyDescent="0.25">
      <c r="A2097" s="4">
        <v>42513</v>
      </c>
      <c r="B2097" t="s">
        <v>30</v>
      </c>
      <c r="C2097">
        <v>701</v>
      </c>
      <c r="D2097">
        <v>6</v>
      </c>
      <c r="E2097">
        <v>2</v>
      </c>
      <c r="F2097" t="s">
        <v>31</v>
      </c>
      <c r="G2097" t="s">
        <v>32</v>
      </c>
      <c r="H2097" t="s">
        <v>33</v>
      </c>
      <c r="I2097" t="s">
        <v>57</v>
      </c>
      <c r="O2097" s="5"/>
      <c r="P2097" s="5"/>
    </row>
    <row r="2098" spans="1:29" x14ac:dyDescent="0.25">
      <c r="A2098" s="4">
        <v>42513</v>
      </c>
      <c r="B2098" t="s">
        <v>30</v>
      </c>
      <c r="C2098">
        <v>701</v>
      </c>
      <c r="D2098">
        <v>7</v>
      </c>
      <c r="E2098">
        <v>1</v>
      </c>
      <c r="F2098" t="s">
        <v>31</v>
      </c>
      <c r="G2098" t="s">
        <v>32</v>
      </c>
      <c r="H2098" t="s">
        <v>33</v>
      </c>
      <c r="I2098" t="s">
        <v>57</v>
      </c>
      <c r="O2098" s="5"/>
      <c r="P2098" s="5"/>
    </row>
    <row r="2099" spans="1:29" x14ac:dyDescent="0.25">
      <c r="A2099" s="4">
        <v>42513</v>
      </c>
      <c r="B2099" t="s">
        <v>30</v>
      </c>
      <c r="C2099">
        <v>701</v>
      </c>
      <c r="D2099">
        <v>7</v>
      </c>
      <c r="E2099">
        <v>2</v>
      </c>
      <c r="F2099" t="s">
        <v>31</v>
      </c>
      <c r="G2099" t="s">
        <v>32</v>
      </c>
      <c r="H2099" t="s">
        <v>33</v>
      </c>
      <c r="I2099" t="s">
        <v>58</v>
      </c>
      <c r="J2099" t="s">
        <v>35</v>
      </c>
      <c r="K2099" t="s">
        <v>36</v>
      </c>
      <c r="L2099" t="s">
        <v>43</v>
      </c>
      <c r="M2099">
        <v>0</v>
      </c>
      <c r="N2099">
        <v>0</v>
      </c>
      <c r="O2099" s="5">
        <v>50759</v>
      </c>
      <c r="P2099" s="5"/>
      <c r="Q2099">
        <f>39-13</f>
        <v>26</v>
      </c>
      <c r="R2099" t="s">
        <v>47</v>
      </c>
      <c r="T2099">
        <v>16.5</v>
      </c>
      <c r="W2099">
        <v>13.6</v>
      </c>
      <c r="X2099">
        <v>26.9</v>
      </c>
      <c r="Z2099" t="s">
        <v>97</v>
      </c>
      <c r="AA2099" t="s">
        <v>268</v>
      </c>
      <c r="AB2099" t="s">
        <v>233</v>
      </c>
      <c r="AC2099" t="s">
        <v>56</v>
      </c>
    </row>
    <row r="2100" spans="1:29" x14ac:dyDescent="0.25">
      <c r="A2100" s="4">
        <v>42513</v>
      </c>
      <c r="B2100" t="s">
        <v>30</v>
      </c>
      <c r="C2100">
        <v>701</v>
      </c>
      <c r="D2100">
        <v>8</v>
      </c>
      <c r="E2100">
        <v>1</v>
      </c>
      <c r="F2100" t="s">
        <v>31</v>
      </c>
      <c r="G2100" t="s">
        <v>32</v>
      </c>
      <c r="H2100" t="s">
        <v>33</v>
      </c>
      <c r="I2100" t="s">
        <v>57</v>
      </c>
      <c r="O2100" s="5"/>
      <c r="P2100" s="5"/>
    </row>
    <row r="2101" spans="1:29" x14ac:dyDescent="0.25">
      <c r="A2101" s="4">
        <v>42513</v>
      </c>
      <c r="B2101" t="s">
        <v>30</v>
      </c>
      <c r="C2101">
        <v>701</v>
      </c>
      <c r="D2101">
        <v>8</v>
      </c>
      <c r="E2101">
        <v>2</v>
      </c>
      <c r="F2101" t="s">
        <v>31</v>
      </c>
      <c r="G2101" t="s">
        <v>32</v>
      </c>
      <c r="H2101" t="s">
        <v>33</v>
      </c>
      <c r="I2101" t="s">
        <v>57</v>
      </c>
      <c r="O2101" s="5"/>
      <c r="P2101" s="5"/>
    </row>
    <row r="2102" spans="1:29" x14ac:dyDescent="0.25">
      <c r="A2102" s="4">
        <v>42513</v>
      </c>
      <c r="B2102" t="s">
        <v>30</v>
      </c>
      <c r="C2102">
        <v>701</v>
      </c>
      <c r="D2102">
        <v>9</v>
      </c>
      <c r="E2102">
        <v>1</v>
      </c>
      <c r="F2102" t="s">
        <v>31</v>
      </c>
      <c r="G2102" t="s">
        <v>32</v>
      </c>
      <c r="H2102" t="s">
        <v>33</v>
      </c>
      <c r="I2102" t="s">
        <v>57</v>
      </c>
      <c r="O2102" s="5"/>
      <c r="P2102" s="5"/>
    </row>
    <row r="2103" spans="1:29" x14ac:dyDescent="0.25">
      <c r="A2103" s="4">
        <v>42513</v>
      </c>
      <c r="B2103" t="s">
        <v>30</v>
      </c>
      <c r="C2103">
        <v>701</v>
      </c>
      <c r="D2103">
        <v>9</v>
      </c>
      <c r="E2103">
        <v>2</v>
      </c>
      <c r="F2103" t="s">
        <v>31</v>
      </c>
      <c r="G2103" t="s">
        <v>32</v>
      </c>
      <c r="H2103" t="s">
        <v>33</v>
      </c>
      <c r="I2103" t="s">
        <v>34</v>
      </c>
      <c r="J2103" t="s">
        <v>35</v>
      </c>
      <c r="K2103" t="s">
        <v>114</v>
      </c>
      <c r="L2103" t="s">
        <v>37</v>
      </c>
      <c r="M2103">
        <v>0</v>
      </c>
      <c r="N2103">
        <v>0</v>
      </c>
      <c r="O2103" s="5">
        <v>50610</v>
      </c>
      <c r="P2103" s="5">
        <v>50609</v>
      </c>
      <c r="Q2103">
        <f>28-13.5</f>
        <v>14.5</v>
      </c>
      <c r="R2103" t="s">
        <v>38</v>
      </c>
      <c r="S2103" t="s">
        <v>39</v>
      </c>
      <c r="T2103">
        <v>17</v>
      </c>
      <c r="U2103">
        <v>69</v>
      </c>
      <c r="V2103">
        <v>17</v>
      </c>
      <c r="W2103">
        <v>12.6</v>
      </c>
      <c r="X2103">
        <v>24.9</v>
      </c>
      <c r="Z2103" t="s">
        <v>39</v>
      </c>
      <c r="AB2103" t="s">
        <v>233</v>
      </c>
      <c r="AC2103" t="s">
        <v>56</v>
      </c>
    </row>
    <row r="2104" spans="1:29" x14ac:dyDescent="0.25">
      <c r="A2104" s="4">
        <v>42513</v>
      </c>
      <c r="B2104" t="s">
        <v>30</v>
      </c>
      <c r="C2104">
        <v>701</v>
      </c>
      <c r="D2104">
        <v>10</v>
      </c>
      <c r="E2104">
        <v>1</v>
      </c>
      <c r="F2104" t="s">
        <v>31</v>
      </c>
      <c r="G2104" t="s">
        <v>32</v>
      </c>
      <c r="H2104" t="s">
        <v>33</v>
      </c>
      <c r="I2104" t="s">
        <v>57</v>
      </c>
      <c r="O2104" s="5"/>
      <c r="P2104" s="5"/>
    </row>
    <row r="2105" spans="1:29" x14ac:dyDescent="0.25">
      <c r="A2105" s="4">
        <v>42513</v>
      </c>
      <c r="B2105" t="s">
        <v>30</v>
      </c>
      <c r="C2105">
        <v>701</v>
      </c>
      <c r="D2105">
        <v>10</v>
      </c>
      <c r="E2105">
        <v>2</v>
      </c>
      <c r="F2105" t="s">
        <v>31</v>
      </c>
      <c r="G2105" t="s">
        <v>32</v>
      </c>
      <c r="H2105" t="s">
        <v>33</v>
      </c>
      <c r="I2105" t="s">
        <v>91</v>
      </c>
      <c r="J2105" t="s">
        <v>42</v>
      </c>
      <c r="K2105" t="s">
        <v>36</v>
      </c>
      <c r="L2105" t="s">
        <v>37</v>
      </c>
      <c r="M2105">
        <v>0</v>
      </c>
      <c r="N2105">
        <v>1</v>
      </c>
      <c r="O2105" s="5">
        <v>50858</v>
      </c>
      <c r="P2105" s="5"/>
      <c r="Q2105">
        <v>23</v>
      </c>
      <c r="R2105" t="s">
        <v>38</v>
      </c>
      <c r="S2105" t="s">
        <v>39</v>
      </c>
      <c r="T2105">
        <v>29</v>
      </c>
      <c r="W2105">
        <v>13.1</v>
      </c>
      <c r="X2105">
        <v>25.9</v>
      </c>
      <c r="Z2105" t="s">
        <v>97</v>
      </c>
      <c r="AA2105" t="s">
        <v>269</v>
      </c>
      <c r="AB2105" t="s">
        <v>233</v>
      </c>
      <c r="AC2105" t="s">
        <v>56</v>
      </c>
    </row>
    <row r="2106" spans="1:29" x14ac:dyDescent="0.25">
      <c r="A2106" s="4">
        <v>42513</v>
      </c>
      <c r="B2106" t="s">
        <v>30</v>
      </c>
      <c r="C2106">
        <v>801</v>
      </c>
      <c r="D2106">
        <v>1</v>
      </c>
      <c r="E2106">
        <v>1</v>
      </c>
      <c r="F2106" t="s">
        <v>31</v>
      </c>
      <c r="G2106" t="s">
        <v>32</v>
      </c>
      <c r="H2106" t="s">
        <v>33</v>
      </c>
      <c r="I2106" t="s">
        <v>57</v>
      </c>
      <c r="O2106" s="5"/>
      <c r="P2106" s="5"/>
    </row>
    <row r="2107" spans="1:29" x14ac:dyDescent="0.25">
      <c r="A2107" s="4">
        <v>42513</v>
      </c>
      <c r="B2107" t="s">
        <v>30</v>
      </c>
      <c r="C2107">
        <v>801</v>
      </c>
      <c r="D2107">
        <v>3</v>
      </c>
      <c r="E2107">
        <v>1</v>
      </c>
      <c r="F2107" t="s">
        <v>31</v>
      </c>
      <c r="G2107" t="s">
        <v>32</v>
      </c>
      <c r="H2107" t="s">
        <v>33</v>
      </c>
      <c r="I2107" t="s">
        <v>57</v>
      </c>
      <c r="O2107" s="5"/>
      <c r="P2107" s="5"/>
    </row>
    <row r="2108" spans="1:29" x14ac:dyDescent="0.25">
      <c r="A2108" s="4">
        <v>42513</v>
      </c>
      <c r="B2108" t="s">
        <v>30</v>
      </c>
      <c r="C2108">
        <v>801</v>
      </c>
      <c r="D2108">
        <v>4</v>
      </c>
      <c r="E2108">
        <v>1</v>
      </c>
      <c r="F2108" t="s">
        <v>31</v>
      </c>
      <c r="G2108" t="s">
        <v>32</v>
      </c>
      <c r="H2108" t="s">
        <v>33</v>
      </c>
      <c r="I2108" t="s">
        <v>58</v>
      </c>
      <c r="J2108" t="s">
        <v>35</v>
      </c>
      <c r="K2108" t="s">
        <v>36</v>
      </c>
      <c r="L2108" t="s">
        <v>37</v>
      </c>
      <c r="M2108">
        <v>0</v>
      </c>
      <c r="N2108">
        <v>0</v>
      </c>
      <c r="O2108" s="5">
        <v>50756</v>
      </c>
      <c r="P2108" s="5"/>
      <c r="Q2108">
        <v>31</v>
      </c>
      <c r="R2108" t="s">
        <v>149</v>
      </c>
      <c r="S2108" t="s">
        <v>97</v>
      </c>
      <c r="T2108">
        <v>18</v>
      </c>
      <c r="W2108">
        <v>13.5</v>
      </c>
      <c r="X2108">
        <v>22.7</v>
      </c>
      <c r="Z2108" t="s">
        <v>39</v>
      </c>
      <c r="AB2108" t="s">
        <v>233</v>
      </c>
      <c r="AC2108" t="s">
        <v>56</v>
      </c>
    </row>
    <row r="2109" spans="1:29" x14ac:dyDescent="0.25">
      <c r="A2109" s="4">
        <v>42513</v>
      </c>
      <c r="B2109" t="s">
        <v>30</v>
      </c>
      <c r="C2109">
        <v>801</v>
      </c>
      <c r="D2109">
        <v>5</v>
      </c>
      <c r="E2109">
        <v>1</v>
      </c>
      <c r="F2109" t="s">
        <v>31</v>
      </c>
      <c r="G2109" t="s">
        <v>32</v>
      </c>
      <c r="H2109" t="s">
        <v>33</v>
      </c>
      <c r="I2109" t="s">
        <v>34</v>
      </c>
      <c r="J2109" t="s">
        <v>35</v>
      </c>
      <c r="K2109" t="s">
        <v>36</v>
      </c>
      <c r="L2109" t="s">
        <v>43</v>
      </c>
      <c r="M2109">
        <v>0</v>
      </c>
      <c r="N2109">
        <v>0</v>
      </c>
      <c r="O2109" s="5">
        <v>50677</v>
      </c>
      <c r="P2109" s="5">
        <v>50676</v>
      </c>
      <c r="Q2109">
        <v>24</v>
      </c>
      <c r="R2109" t="s">
        <v>47</v>
      </c>
      <c r="T2109">
        <v>18.5</v>
      </c>
      <c r="U2109">
        <v>87.5</v>
      </c>
      <c r="V2109">
        <v>17</v>
      </c>
      <c r="W2109">
        <v>13.6</v>
      </c>
      <c r="X2109">
        <v>30.2</v>
      </c>
      <c r="Z2109" t="s">
        <v>97</v>
      </c>
      <c r="AB2109" t="s">
        <v>233</v>
      </c>
      <c r="AC2109" t="s">
        <v>56</v>
      </c>
    </row>
    <row r="2110" spans="1:29" x14ac:dyDescent="0.25">
      <c r="A2110" s="4">
        <v>42513</v>
      </c>
      <c r="B2110" t="s">
        <v>30</v>
      </c>
      <c r="C2110">
        <v>801</v>
      </c>
      <c r="D2110">
        <v>5</v>
      </c>
      <c r="E2110">
        <v>2</v>
      </c>
      <c r="F2110" t="s">
        <v>31</v>
      </c>
      <c r="G2110" t="s">
        <v>32</v>
      </c>
      <c r="H2110" t="s">
        <v>33</v>
      </c>
      <c r="I2110" t="s">
        <v>34</v>
      </c>
      <c r="J2110" t="s">
        <v>35</v>
      </c>
      <c r="K2110" t="s">
        <v>114</v>
      </c>
      <c r="L2110" t="s">
        <v>37</v>
      </c>
      <c r="M2110">
        <v>0</v>
      </c>
      <c r="N2110">
        <v>0</v>
      </c>
      <c r="O2110" s="5">
        <v>50614</v>
      </c>
      <c r="P2110" s="5">
        <v>50613</v>
      </c>
      <c r="Q2110">
        <v>21</v>
      </c>
      <c r="R2110" t="s">
        <v>81</v>
      </c>
      <c r="S2110" t="s">
        <v>39</v>
      </c>
      <c r="T2110">
        <v>18</v>
      </c>
      <c r="U2110">
        <v>85</v>
      </c>
      <c r="V2110">
        <v>17</v>
      </c>
      <c r="W2110">
        <v>12.9</v>
      </c>
      <c r="X2110">
        <v>26.8</v>
      </c>
      <c r="Z2110" t="s">
        <v>39</v>
      </c>
      <c r="AB2110" t="s">
        <v>233</v>
      </c>
      <c r="AC2110" t="s">
        <v>56</v>
      </c>
    </row>
    <row r="2111" spans="1:29" x14ac:dyDescent="0.25">
      <c r="A2111" s="4">
        <v>42513</v>
      </c>
      <c r="B2111" t="s">
        <v>30</v>
      </c>
      <c r="C2111">
        <v>801</v>
      </c>
      <c r="D2111">
        <v>6</v>
      </c>
      <c r="E2111">
        <v>1</v>
      </c>
      <c r="F2111" t="s">
        <v>31</v>
      </c>
      <c r="G2111" t="s">
        <v>32</v>
      </c>
      <c r="H2111" t="s">
        <v>33</v>
      </c>
      <c r="I2111" t="s">
        <v>57</v>
      </c>
      <c r="O2111" s="5"/>
      <c r="P2111" s="5"/>
    </row>
    <row r="2112" spans="1:29" x14ac:dyDescent="0.25">
      <c r="A2112" s="4">
        <v>42513</v>
      </c>
      <c r="B2112" t="s">
        <v>30</v>
      </c>
      <c r="C2112">
        <v>801</v>
      </c>
      <c r="D2112">
        <v>6</v>
      </c>
      <c r="E2112">
        <v>2</v>
      </c>
      <c r="F2112" t="s">
        <v>31</v>
      </c>
      <c r="G2112" t="s">
        <v>32</v>
      </c>
      <c r="H2112" t="s">
        <v>33</v>
      </c>
      <c r="I2112" t="s">
        <v>34</v>
      </c>
      <c r="J2112" t="s">
        <v>42</v>
      </c>
      <c r="K2112" t="s">
        <v>114</v>
      </c>
      <c r="L2112" t="s">
        <v>37</v>
      </c>
      <c r="M2112">
        <v>0</v>
      </c>
      <c r="N2112">
        <v>0</v>
      </c>
      <c r="O2112" s="5">
        <v>50860</v>
      </c>
      <c r="P2112" s="5">
        <v>50859</v>
      </c>
      <c r="Q2112">
        <f>36.5-10.5</f>
        <v>26</v>
      </c>
      <c r="R2112" t="s">
        <v>149</v>
      </c>
      <c r="S2112" t="s">
        <v>97</v>
      </c>
      <c r="T2112">
        <v>18</v>
      </c>
      <c r="U2112">
        <v>95.5</v>
      </c>
      <c r="V2112">
        <v>17</v>
      </c>
      <c r="W2112">
        <v>12.9</v>
      </c>
      <c r="X2112">
        <v>28.7</v>
      </c>
      <c r="Z2112" t="s">
        <v>39</v>
      </c>
      <c r="AB2112" t="s">
        <v>233</v>
      </c>
      <c r="AC2112" t="s">
        <v>56</v>
      </c>
    </row>
    <row r="2113" spans="1:29" x14ac:dyDescent="0.25">
      <c r="A2113" s="4">
        <v>42513</v>
      </c>
      <c r="B2113" t="s">
        <v>30</v>
      </c>
      <c r="C2113">
        <v>801</v>
      </c>
      <c r="D2113">
        <v>7</v>
      </c>
      <c r="E2113">
        <v>1</v>
      </c>
      <c r="F2113" t="s">
        <v>31</v>
      </c>
      <c r="G2113" t="s">
        <v>32</v>
      </c>
      <c r="H2113" t="s">
        <v>33</v>
      </c>
      <c r="I2113" t="s">
        <v>53</v>
      </c>
      <c r="J2113" t="s">
        <v>62</v>
      </c>
      <c r="O2113" s="5"/>
      <c r="P2113" s="5"/>
      <c r="AB2113" t="s">
        <v>233</v>
      </c>
      <c r="AC2113" t="s">
        <v>56</v>
      </c>
    </row>
    <row r="2114" spans="1:29" x14ac:dyDescent="0.25">
      <c r="A2114" s="4">
        <v>42513</v>
      </c>
      <c r="B2114" t="s">
        <v>30</v>
      </c>
      <c r="C2114">
        <v>801</v>
      </c>
      <c r="D2114">
        <v>7</v>
      </c>
      <c r="E2114">
        <v>2</v>
      </c>
      <c r="F2114" t="s">
        <v>31</v>
      </c>
      <c r="G2114" t="s">
        <v>32</v>
      </c>
      <c r="H2114" t="s">
        <v>33</v>
      </c>
      <c r="I2114" t="s">
        <v>73</v>
      </c>
      <c r="J2114" t="s">
        <v>35</v>
      </c>
      <c r="K2114" t="s">
        <v>36</v>
      </c>
      <c r="L2114" t="s">
        <v>43</v>
      </c>
      <c r="M2114">
        <v>0</v>
      </c>
      <c r="N2114">
        <v>0</v>
      </c>
      <c r="O2114" s="5"/>
      <c r="P2114" s="5">
        <v>50382</v>
      </c>
      <c r="Q2114">
        <v>100</v>
      </c>
      <c r="R2114" t="s">
        <v>65</v>
      </c>
      <c r="T2114">
        <v>31</v>
      </c>
      <c r="W2114">
        <v>23.6</v>
      </c>
      <c r="X2114">
        <v>46.5</v>
      </c>
      <c r="Z2114" t="s">
        <v>39</v>
      </c>
      <c r="AB2114" t="s">
        <v>233</v>
      </c>
      <c r="AC2114" t="s">
        <v>56</v>
      </c>
    </row>
    <row r="2115" spans="1:29" x14ac:dyDescent="0.25">
      <c r="A2115" s="4">
        <v>42513</v>
      </c>
      <c r="B2115" t="s">
        <v>30</v>
      </c>
      <c r="C2115">
        <v>801</v>
      </c>
      <c r="D2115">
        <v>8</v>
      </c>
      <c r="E2115">
        <v>1</v>
      </c>
      <c r="F2115" t="s">
        <v>31</v>
      </c>
      <c r="G2115" t="s">
        <v>32</v>
      </c>
      <c r="H2115" t="s">
        <v>33</v>
      </c>
      <c r="I2115" t="s">
        <v>57</v>
      </c>
      <c r="O2115" s="5"/>
      <c r="P2115" s="5"/>
    </row>
    <row r="2116" spans="1:29" x14ac:dyDescent="0.25">
      <c r="A2116" s="4">
        <v>42513</v>
      </c>
      <c r="B2116" t="s">
        <v>30</v>
      </c>
      <c r="C2116">
        <v>801</v>
      </c>
      <c r="D2116">
        <v>8</v>
      </c>
      <c r="E2116">
        <v>2</v>
      </c>
      <c r="F2116" t="s">
        <v>31</v>
      </c>
      <c r="G2116" t="s">
        <v>32</v>
      </c>
      <c r="H2116" t="s">
        <v>33</v>
      </c>
      <c r="I2116" t="s">
        <v>73</v>
      </c>
      <c r="J2116" t="s">
        <v>35</v>
      </c>
      <c r="K2116" t="s">
        <v>36</v>
      </c>
      <c r="L2116" t="s">
        <v>43</v>
      </c>
      <c r="M2116">
        <v>0</v>
      </c>
      <c r="N2116">
        <v>0</v>
      </c>
      <c r="O2116" s="5">
        <v>50695</v>
      </c>
      <c r="P2116" s="5"/>
      <c r="Q2116">
        <f>195-105</f>
        <v>90</v>
      </c>
      <c r="R2116" t="s">
        <v>65</v>
      </c>
      <c r="T2116">
        <v>31</v>
      </c>
      <c r="W2116">
        <v>22.7</v>
      </c>
      <c r="X2116">
        <v>41.3</v>
      </c>
      <c r="Z2116" t="s">
        <v>39</v>
      </c>
      <c r="AB2116" t="s">
        <v>233</v>
      </c>
      <c r="AC2116" t="s">
        <v>56</v>
      </c>
    </row>
    <row r="2117" spans="1:29" x14ac:dyDescent="0.25">
      <c r="A2117" s="4">
        <v>42513</v>
      </c>
      <c r="B2117" t="s">
        <v>30</v>
      </c>
      <c r="C2117">
        <v>801</v>
      </c>
      <c r="D2117">
        <v>9</v>
      </c>
      <c r="E2117">
        <v>1</v>
      </c>
      <c r="F2117" t="s">
        <v>31</v>
      </c>
      <c r="G2117" t="s">
        <v>32</v>
      </c>
      <c r="H2117" t="s">
        <v>33</v>
      </c>
      <c r="I2117" t="s">
        <v>57</v>
      </c>
      <c r="O2117" s="5"/>
      <c r="P2117" s="5"/>
    </row>
    <row r="2118" spans="1:29" x14ac:dyDescent="0.25">
      <c r="A2118" s="4">
        <v>42513</v>
      </c>
      <c r="B2118" t="s">
        <v>30</v>
      </c>
      <c r="C2118">
        <v>801</v>
      </c>
      <c r="D2118">
        <v>9</v>
      </c>
      <c r="E2118">
        <v>2</v>
      </c>
      <c r="F2118" t="s">
        <v>31</v>
      </c>
      <c r="G2118" t="s">
        <v>32</v>
      </c>
      <c r="H2118" t="s">
        <v>33</v>
      </c>
      <c r="I2118" t="s">
        <v>57</v>
      </c>
      <c r="O2118" s="5"/>
      <c r="P2118" s="5"/>
    </row>
    <row r="2119" spans="1:29" x14ac:dyDescent="0.25">
      <c r="A2119" s="4">
        <v>42513</v>
      </c>
      <c r="B2119" t="s">
        <v>30</v>
      </c>
      <c r="C2119">
        <v>801</v>
      </c>
      <c r="D2119">
        <v>10</v>
      </c>
      <c r="E2119">
        <v>1</v>
      </c>
      <c r="F2119" t="s">
        <v>31</v>
      </c>
      <c r="G2119" t="s">
        <v>32</v>
      </c>
      <c r="H2119" t="s">
        <v>33</v>
      </c>
      <c r="I2119" t="s">
        <v>57</v>
      </c>
      <c r="O2119" s="5"/>
      <c r="P2119" s="5"/>
    </row>
    <row r="2120" spans="1:29" x14ac:dyDescent="0.25">
      <c r="A2120" s="4">
        <v>42513</v>
      </c>
      <c r="B2120" t="s">
        <v>30</v>
      </c>
      <c r="C2120">
        <v>801</v>
      </c>
      <c r="D2120">
        <v>10</v>
      </c>
      <c r="E2120">
        <v>2</v>
      </c>
      <c r="F2120" t="s">
        <v>31</v>
      </c>
      <c r="G2120" t="s">
        <v>32</v>
      </c>
      <c r="H2120" t="s">
        <v>33</v>
      </c>
      <c r="I2120" t="s">
        <v>57</v>
      </c>
      <c r="O2120" s="5"/>
      <c r="P2120" s="5"/>
    </row>
    <row r="2121" spans="1:29" x14ac:dyDescent="0.25">
      <c r="A2121" s="4">
        <v>42513</v>
      </c>
      <c r="B2121" t="s">
        <v>30</v>
      </c>
      <c r="C2121">
        <v>803</v>
      </c>
      <c r="D2121">
        <v>10</v>
      </c>
      <c r="E2121">
        <v>1</v>
      </c>
      <c r="F2121" t="s">
        <v>31</v>
      </c>
      <c r="G2121" t="s">
        <v>32</v>
      </c>
      <c r="H2121" t="s">
        <v>33</v>
      </c>
      <c r="I2121" t="s">
        <v>57</v>
      </c>
      <c r="O2121" s="5"/>
      <c r="P2121" s="5"/>
    </row>
    <row r="2122" spans="1:29" x14ac:dyDescent="0.25">
      <c r="A2122" s="4">
        <v>42513</v>
      </c>
      <c r="B2122" t="s">
        <v>30</v>
      </c>
      <c r="C2122">
        <v>803</v>
      </c>
      <c r="D2122">
        <v>10</v>
      </c>
      <c r="E2122">
        <v>2</v>
      </c>
      <c r="F2122" t="s">
        <v>31</v>
      </c>
      <c r="G2122" t="s">
        <v>32</v>
      </c>
      <c r="H2122" t="s">
        <v>33</v>
      </c>
      <c r="I2122" t="s">
        <v>34</v>
      </c>
      <c r="J2122" t="s">
        <v>42</v>
      </c>
      <c r="K2122" t="s">
        <v>36</v>
      </c>
      <c r="L2122" t="s">
        <v>37</v>
      </c>
      <c r="M2122">
        <v>0</v>
      </c>
      <c r="N2122">
        <v>1</v>
      </c>
      <c r="O2122" s="5">
        <v>50862</v>
      </c>
      <c r="P2122" s="5">
        <v>50681</v>
      </c>
      <c r="Q2122">
        <f>31.5-12</f>
        <v>19.5</v>
      </c>
      <c r="R2122" t="s">
        <v>38</v>
      </c>
      <c r="S2122" t="s">
        <v>39</v>
      </c>
      <c r="T2122">
        <v>19</v>
      </c>
      <c r="U2122">
        <v>95</v>
      </c>
      <c r="V2122">
        <v>17.5</v>
      </c>
      <c r="W2122">
        <v>13.1</v>
      </c>
      <c r="X2122">
        <v>27</v>
      </c>
      <c r="Z2122" t="s">
        <v>39</v>
      </c>
      <c r="AB2122" t="s">
        <v>233</v>
      </c>
      <c r="AC2122" t="s">
        <v>56</v>
      </c>
    </row>
    <row r="2123" spans="1:29" x14ac:dyDescent="0.25">
      <c r="A2123" s="4">
        <v>42513</v>
      </c>
      <c r="B2123" t="s">
        <v>30</v>
      </c>
      <c r="C2123">
        <v>803</v>
      </c>
      <c r="D2123">
        <v>9</v>
      </c>
      <c r="E2123">
        <v>1</v>
      </c>
      <c r="F2123" t="s">
        <v>31</v>
      </c>
      <c r="G2123" t="s">
        <v>32</v>
      </c>
      <c r="H2123" t="s">
        <v>33</v>
      </c>
      <c r="I2123" t="s">
        <v>57</v>
      </c>
      <c r="O2123" s="5"/>
      <c r="P2123" s="5"/>
    </row>
    <row r="2124" spans="1:29" x14ac:dyDescent="0.25">
      <c r="A2124" s="4">
        <v>42513</v>
      </c>
      <c r="B2124" t="s">
        <v>30</v>
      </c>
      <c r="C2124">
        <v>803</v>
      </c>
      <c r="D2124">
        <v>9</v>
      </c>
      <c r="E2124">
        <v>2</v>
      </c>
      <c r="F2124" t="s">
        <v>31</v>
      </c>
      <c r="G2124" t="s">
        <v>32</v>
      </c>
      <c r="H2124" t="s">
        <v>33</v>
      </c>
      <c r="I2124" t="s">
        <v>57</v>
      </c>
      <c r="O2124" s="5"/>
      <c r="P2124" s="5"/>
    </row>
    <row r="2125" spans="1:29" x14ac:dyDescent="0.25">
      <c r="A2125" s="4">
        <v>42513</v>
      </c>
      <c r="B2125" t="s">
        <v>30</v>
      </c>
      <c r="C2125">
        <v>803</v>
      </c>
      <c r="D2125">
        <v>8</v>
      </c>
      <c r="E2125">
        <v>1</v>
      </c>
      <c r="F2125" t="s">
        <v>31</v>
      </c>
      <c r="G2125" t="s">
        <v>32</v>
      </c>
      <c r="H2125" t="s">
        <v>33</v>
      </c>
      <c r="I2125" t="s">
        <v>57</v>
      </c>
      <c r="O2125" s="5"/>
      <c r="P2125" s="5"/>
    </row>
    <row r="2126" spans="1:29" x14ac:dyDescent="0.25">
      <c r="A2126" s="4">
        <v>42513</v>
      </c>
      <c r="B2126" t="s">
        <v>30</v>
      </c>
      <c r="C2126">
        <v>803</v>
      </c>
      <c r="D2126">
        <v>7</v>
      </c>
      <c r="E2126">
        <v>1</v>
      </c>
      <c r="F2126" t="s">
        <v>31</v>
      </c>
      <c r="G2126" t="s">
        <v>32</v>
      </c>
      <c r="H2126" t="s">
        <v>33</v>
      </c>
      <c r="I2126" t="s">
        <v>73</v>
      </c>
      <c r="J2126" t="s">
        <v>122</v>
      </c>
      <c r="O2126" s="5"/>
      <c r="P2126" s="5"/>
    </row>
    <row r="2127" spans="1:29" x14ac:dyDescent="0.25">
      <c r="A2127" s="4">
        <v>42513</v>
      </c>
      <c r="B2127" t="s">
        <v>30</v>
      </c>
      <c r="C2127">
        <v>803</v>
      </c>
      <c r="D2127">
        <v>7</v>
      </c>
      <c r="E2127">
        <v>2</v>
      </c>
      <c r="F2127" t="s">
        <v>31</v>
      </c>
      <c r="G2127" t="s">
        <v>32</v>
      </c>
      <c r="H2127" t="s">
        <v>33</v>
      </c>
      <c r="I2127" t="s">
        <v>34</v>
      </c>
      <c r="J2127" t="s">
        <v>42</v>
      </c>
      <c r="K2127" t="s">
        <v>114</v>
      </c>
      <c r="L2127" t="s">
        <v>43</v>
      </c>
      <c r="M2127">
        <v>0</v>
      </c>
      <c r="N2127">
        <v>1</v>
      </c>
      <c r="O2127" s="5">
        <v>50864</v>
      </c>
      <c r="P2127" s="5">
        <v>50863</v>
      </c>
      <c r="Q2127">
        <f>33.5-15.5</f>
        <v>18</v>
      </c>
      <c r="R2127" t="s">
        <v>47</v>
      </c>
      <c r="T2127">
        <v>18</v>
      </c>
      <c r="U2127">
        <v>82</v>
      </c>
      <c r="V2127">
        <v>16</v>
      </c>
      <c r="W2127">
        <v>13.1</v>
      </c>
      <c r="X2127">
        <v>28.7</v>
      </c>
      <c r="Z2127" t="s">
        <v>39</v>
      </c>
      <c r="AB2127" t="s">
        <v>233</v>
      </c>
      <c r="AC2127" t="s">
        <v>56</v>
      </c>
    </row>
    <row r="2128" spans="1:29" x14ac:dyDescent="0.25">
      <c r="A2128" s="4">
        <v>42513</v>
      </c>
      <c r="B2128" t="s">
        <v>30</v>
      </c>
      <c r="C2128">
        <v>803</v>
      </c>
      <c r="D2128">
        <v>6</v>
      </c>
      <c r="E2128">
        <v>1</v>
      </c>
      <c r="F2128" t="s">
        <v>31</v>
      </c>
      <c r="G2128" t="s">
        <v>32</v>
      </c>
      <c r="H2128" t="s">
        <v>33</v>
      </c>
      <c r="I2128" t="s">
        <v>73</v>
      </c>
      <c r="J2128" t="s">
        <v>35</v>
      </c>
      <c r="K2128" t="s">
        <v>89</v>
      </c>
      <c r="L2128" t="s">
        <v>43</v>
      </c>
      <c r="M2128">
        <v>0</v>
      </c>
      <c r="N2128">
        <v>0</v>
      </c>
      <c r="O2128" s="5">
        <v>50463</v>
      </c>
      <c r="P2128" s="5"/>
      <c r="Q2128">
        <f>190-107</f>
        <v>83</v>
      </c>
      <c r="R2128" t="s">
        <v>65</v>
      </c>
      <c r="T2128">
        <v>32</v>
      </c>
      <c r="W2128">
        <v>21.2</v>
      </c>
      <c r="X2128">
        <v>40.799999999999997</v>
      </c>
      <c r="Z2128" t="s">
        <v>39</v>
      </c>
      <c r="AB2128" t="s">
        <v>233</v>
      </c>
      <c r="AC2128" t="s">
        <v>56</v>
      </c>
    </row>
    <row r="2129" spans="1:29" x14ac:dyDescent="0.25">
      <c r="A2129" s="4">
        <v>42513</v>
      </c>
      <c r="B2129" t="s">
        <v>30</v>
      </c>
      <c r="C2129">
        <v>801</v>
      </c>
      <c r="D2129">
        <v>5</v>
      </c>
      <c r="E2129">
        <v>1</v>
      </c>
      <c r="F2129" t="s">
        <v>31</v>
      </c>
      <c r="G2129" t="s">
        <v>32</v>
      </c>
      <c r="H2129" t="s">
        <v>33</v>
      </c>
      <c r="I2129" t="s">
        <v>91</v>
      </c>
      <c r="J2129" t="s">
        <v>122</v>
      </c>
      <c r="O2129" s="5"/>
      <c r="P2129" s="5"/>
    </row>
    <row r="2130" spans="1:29" x14ac:dyDescent="0.25">
      <c r="A2130" s="4">
        <v>42513</v>
      </c>
      <c r="B2130" t="s">
        <v>30</v>
      </c>
      <c r="C2130">
        <v>801</v>
      </c>
      <c r="D2130">
        <v>5</v>
      </c>
      <c r="E2130">
        <v>2</v>
      </c>
      <c r="F2130" t="s">
        <v>31</v>
      </c>
      <c r="G2130" t="s">
        <v>32</v>
      </c>
      <c r="H2130" t="s">
        <v>33</v>
      </c>
      <c r="I2130" t="s">
        <v>73</v>
      </c>
      <c r="J2130" t="s">
        <v>35</v>
      </c>
      <c r="K2130" t="s">
        <v>36</v>
      </c>
      <c r="L2130" t="s">
        <v>43</v>
      </c>
      <c r="M2130">
        <v>0</v>
      </c>
      <c r="N2130">
        <v>0</v>
      </c>
      <c r="O2130" s="5">
        <v>50391</v>
      </c>
      <c r="P2130" s="5"/>
      <c r="Q2130">
        <f>205-108</f>
        <v>97</v>
      </c>
      <c r="R2130" t="s">
        <v>65</v>
      </c>
      <c r="T2130">
        <v>34</v>
      </c>
      <c r="W2130">
        <v>22.6</v>
      </c>
      <c r="X2130">
        <v>43.4</v>
      </c>
      <c r="Y2130" t="s">
        <v>270</v>
      </c>
      <c r="Z2130" t="s">
        <v>39</v>
      </c>
      <c r="AB2130" t="s">
        <v>233</v>
      </c>
      <c r="AC2130" t="s">
        <v>56</v>
      </c>
    </row>
    <row r="2131" spans="1:29" x14ac:dyDescent="0.25">
      <c r="A2131" s="4">
        <v>42513</v>
      </c>
      <c r="B2131" t="s">
        <v>30</v>
      </c>
      <c r="C2131">
        <v>801</v>
      </c>
      <c r="D2131">
        <v>4</v>
      </c>
      <c r="E2131">
        <v>1</v>
      </c>
      <c r="F2131" t="s">
        <v>31</v>
      </c>
      <c r="G2131" t="s">
        <v>32</v>
      </c>
      <c r="H2131" t="s">
        <v>33</v>
      </c>
      <c r="I2131" t="s">
        <v>57</v>
      </c>
      <c r="O2131" s="5"/>
      <c r="P2131" s="5"/>
    </row>
    <row r="2132" spans="1:29" x14ac:dyDescent="0.25">
      <c r="A2132" s="4">
        <v>42513</v>
      </c>
      <c r="B2132" t="s">
        <v>30</v>
      </c>
      <c r="C2132">
        <v>801</v>
      </c>
      <c r="D2132">
        <v>4</v>
      </c>
      <c r="E2132">
        <v>2</v>
      </c>
      <c r="F2132" t="s">
        <v>31</v>
      </c>
      <c r="G2132" t="s">
        <v>32</v>
      </c>
      <c r="H2132" t="s">
        <v>33</v>
      </c>
      <c r="I2132" t="s">
        <v>57</v>
      </c>
      <c r="O2132" s="5"/>
      <c r="P2132" s="5"/>
    </row>
    <row r="2133" spans="1:29" x14ac:dyDescent="0.25">
      <c r="A2133" s="4">
        <v>42513</v>
      </c>
      <c r="B2133" t="s">
        <v>30</v>
      </c>
      <c r="C2133">
        <v>801</v>
      </c>
      <c r="D2133">
        <v>3</v>
      </c>
      <c r="E2133">
        <v>1</v>
      </c>
      <c r="F2133" t="s">
        <v>31</v>
      </c>
      <c r="G2133" t="s">
        <v>32</v>
      </c>
      <c r="H2133" t="s">
        <v>33</v>
      </c>
      <c r="I2133" t="s">
        <v>57</v>
      </c>
      <c r="O2133" s="5"/>
      <c r="P2133" s="5"/>
    </row>
    <row r="2134" spans="1:29" x14ac:dyDescent="0.25">
      <c r="A2134" s="4">
        <v>42513</v>
      </c>
      <c r="B2134" t="s">
        <v>30</v>
      </c>
      <c r="C2134">
        <v>801</v>
      </c>
      <c r="D2134">
        <v>3</v>
      </c>
      <c r="E2134">
        <v>2</v>
      </c>
      <c r="F2134" t="s">
        <v>31</v>
      </c>
      <c r="G2134" t="s">
        <v>32</v>
      </c>
      <c r="H2134" t="s">
        <v>33</v>
      </c>
      <c r="I2134" t="s">
        <v>57</v>
      </c>
      <c r="O2134" s="5"/>
      <c r="P2134" s="5"/>
    </row>
    <row r="2135" spans="1:29" x14ac:dyDescent="0.25">
      <c r="A2135" s="4">
        <v>42513</v>
      </c>
      <c r="B2135" t="s">
        <v>30</v>
      </c>
      <c r="C2135">
        <v>801</v>
      </c>
      <c r="D2135">
        <v>2</v>
      </c>
      <c r="E2135">
        <v>1</v>
      </c>
      <c r="F2135" t="s">
        <v>31</v>
      </c>
      <c r="G2135" t="s">
        <v>32</v>
      </c>
      <c r="H2135" t="s">
        <v>33</v>
      </c>
      <c r="I2135" t="s">
        <v>57</v>
      </c>
      <c r="O2135" s="5"/>
      <c r="P2135" s="5"/>
    </row>
    <row r="2136" spans="1:29" x14ac:dyDescent="0.25">
      <c r="A2136" s="4">
        <v>42513</v>
      </c>
      <c r="B2136" t="s">
        <v>30</v>
      </c>
      <c r="C2136">
        <v>801</v>
      </c>
      <c r="D2136">
        <v>2</v>
      </c>
      <c r="E2136">
        <v>2</v>
      </c>
      <c r="F2136" t="s">
        <v>31</v>
      </c>
      <c r="G2136" t="s">
        <v>32</v>
      </c>
      <c r="H2136" t="s">
        <v>33</v>
      </c>
      <c r="I2136" t="s">
        <v>57</v>
      </c>
      <c r="O2136" s="5"/>
      <c r="P2136" s="5"/>
    </row>
    <row r="2137" spans="1:29" x14ac:dyDescent="0.25">
      <c r="A2137" s="4">
        <v>42513</v>
      </c>
      <c r="B2137" t="s">
        <v>30</v>
      </c>
      <c r="C2137">
        <v>901</v>
      </c>
      <c r="D2137">
        <v>1</v>
      </c>
      <c r="E2137">
        <v>1</v>
      </c>
      <c r="F2137" t="s">
        <v>31</v>
      </c>
      <c r="G2137" t="s">
        <v>32</v>
      </c>
      <c r="H2137" t="s">
        <v>33</v>
      </c>
      <c r="I2137" t="s">
        <v>57</v>
      </c>
      <c r="O2137" s="5"/>
      <c r="P2137" s="5"/>
    </row>
    <row r="2138" spans="1:29" x14ac:dyDescent="0.25">
      <c r="A2138" s="4">
        <v>42513</v>
      </c>
      <c r="B2138" t="s">
        <v>30</v>
      </c>
      <c r="C2138">
        <v>901</v>
      </c>
      <c r="D2138">
        <v>1</v>
      </c>
      <c r="E2138">
        <v>2</v>
      </c>
      <c r="F2138" t="s">
        <v>31</v>
      </c>
      <c r="G2138" t="s">
        <v>32</v>
      </c>
      <c r="H2138" t="s">
        <v>33</v>
      </c>
      <c r="I2138" t="s">
        <v>57</v>
      </c>
      <c r="O2138" s="5"/>
      <c r="P2138" s="5"/>
    </row>
    <row r="2139" spans="1:29" x14ac:dyDescent="0.25">
      <c r="A2139" s="4">
        <v>42513</v>
      </c>
      <c r="B2139" t="s">
        <v>30</v>
      </c>
      <c r="C2139">
        <v>901</v>
      </c>
      <c r="D2139">
        <v>2</v>
      </c>
      <c r="E2139">
        <v>1</v>
      </c>
      <c r="F2139" t="s">
        <v>31</v>
      </c>
      <c r="G2139" t="s">
        <v>32</v>
      </c>
      <c r="H2139" t="s">
        <v>33</v>
      </c>
      <c r="I2139" t="s">
        <v>57</v>
      </c>
      <c r="O2139" s="5"/>
      <c r="P2139" s="5"/>
    </row>
    <row r="2140" spans="1:29" x14ac:dyDescent="0.25">
      <c r="A2140" s="4">
        <v>42513</v>
      </c>
      <c r="B2140" t="s">
        <v>30</v>
      </c>
      <c r="C2140">
        <v>901</v>
      </c>
      <c r="D2140">
        <v>2</v>
      </c>
      <c r="E2140">
        <v>2</v>
      </c>
      <c r="F2140" t="s">
        <v>31</v>
      </c>
      <c r="G2140" t="s">
        <v>32</v>
      </c>
      <c r="H2140" t="s">
        <v>33</v>
      </c>
      <c r="I2140" t="s">
        <v>34</v>
      </c>
      <c r="J2140" t="s">
        <v>35</v>
      </c>
      <c r="K2140" t="s">
        <v>36</v>
      </c>
      <c r="L2140" t="s">
        <v>37</v>
      </c>
      <c r="M2140">
        <v>0</v>
      </c>
      <c r="N2140">
        <v>0</v>
      </c>
      <c r="O2140" s="5">
        <v>50382</v>
      </c>
      <c r="P2140" s="5">
        <v>50291</v>
      </c>
      <c r="Q2140">
        <f>35-13</f>
        <v>22</v>
      </c>
      <c r="R2140" t="s">
        <v>38</v>
      </c>
      <c r="S2140" t="s">
        <v>39</v>
      </c>
      <c r="T2140">
        <v>18</v>
      </c>
      <c r="U2140">
        <v>90.5</v>
      </c>
      <c r="V2140">
        <v>15.5</v>
      </c>
      <c r="W2140">
        <v>13</v>
      </c>
      <c r="X2140">
        <v>29.1</v>
      </c>
      <c r="Z2140" t="s">
        <v>39</v>
      </c>
      <c r="AB2140" t="s">
        <v>233</v>
      </c>
      <c r="AC2140" t="s">
        <v>56</v>
      </c>
    </row>
    <row r="2141" spans="1:29" x14ac:dyDescent="0.25">
      <c r="A2141" s="4">
        <v>42513</v>
      </c>
      <c r="B2141" t="s">
        <v>30</v>
      </c>
      <c r="C2141">
        <v>901</v>
      </c>
      <c r="D2141">
        <v>3</v>
      </c>
      <c r="E2141">
        <v>1</v>
      </c>
      <c r="F2141" t="s">
        <v>31</v>
      </c>
      <c r="G2141" t="s">
        <v>32</v>
      </c>
      <c r="H2141" t="s">
        <v>33</v>
      </c>
      <c r="I2141" t="s">
        <v>57</v>
      </c>
      <c r="O2141" s="5"/>
      <c r="P2141" s="5"/>
    </row>
    <row r="2142" spans="1:29" x14ac:dyDescent="0.25">
      <c r="A2142" s="4">
        <v>42513</v>
      </c>
      <c r="B2142" t="s">
        <v>30</v>
      </c>
      <c r="C2142">
        <v>901</v>
      </c>
      <c r="D2142">
        <v>3</v>
      </c>
      <c r="E2142">
        <v>2</v>
      </c>
      <c r="F2142" t="s">
        <v>31</v>
      </c>
      <c r="G2142" t="s">
        <v>32</v>
      </c>
      <c r="H2142" t="s">
        <v>33</v>
      </c>
      <c r="I2142" t="s">
        <v>34</v>
      </c>
      <c r="J2142" t="s">
        <v>35</v>
      </c>
      <c r="K2142" t="s">
        <v>114</v>
      </c>
      <c r="L2142" t="s">
        <v>43</v>
      </c>
      <c r="M2142">
        <v>0</v>
      </c>
      <c r="N2142">
        <v>0</v>
      </c>
      <c r="O2142" s="5">
        <v>50766</v>
      </c>
      <c r="P2142" s="5">
        <v>50675</v>
      </c>
      <c r="Q2142">
        <f>31-13</f>
        <v>18</v>
      </c>
      <c r="R2142" t="s">
        <v>47</v>
      </c>
      <c r="T2142">
        <v>19</v>
      </c>
      <c r="U2142">
        <v>86</v>
      </c>
      <c r="V2142">
        <v>17</v>
      </c>
      <c r="W2142">
        <v>12.9</v>
      </c>
      <c r="X2142">
        <v>28</v>
      </c>
      <c r="Z2142" t="s">
        <v>39</v>
      </c>
      <c r="AB2142" t="s">
        <v>233</v>
      </c>
      <c r="AC2142" t="s">
        <v>56</v>
      </c>
    </row>
    <row r="2143" spans="1:29" x14ac:dyDescent="0.25">
      <c r="A2143" s="4">
        <v>42513</v>
      </c>
      <c r="B2143" t="s">
        <v>30</v>
      </c>
      <c r="C2143">
        <v>901</v>
      </c>
      <c r="D2143">
        <v>8</v>
      </c>
      <c r="E2143">
        <v>1</v>
      </c>
      <c r="F2143" t="s">
        <v>31</v>
      </c>
      <c r="G2143" t="s">
        <v>32</v>
      </c>
      <c r="H2143" t="s">
        <v>33</v>
      </c>
      <c r="I2143" t="s">
        <v>34</v>
      </c>
      <c r="J2143" t="s">
        <v>35</v>
      </c>
      <c r="K2143" t="s">
        <v>36</v>
      </c>
      <c r="L2143" t="s">
        <v>37</v>
      </c>
      <c r="M2143">
        <v>0</v>
      </c>
      <c r="N2143">
        <v>0</v>
      </c>
      <c r="O2143" s="5">
        <v>50617</v>
      </c>
      <c r="P2143" s="5">
        <v>50616</v>
      </c>
      <c r="Q2143">
        <f>31.5-11</f>
        <v>20.5</v>
      </c>
      <c r="R2143" t="s">
        <v>38</v>
      </c>
      <c r="S2143" t="s">
        <v>39</v>
      </c>
      <c r="T2143">
        <v>20</v>
      </c>
      <c r="U2143">
        <v>93</v>
      </c>
      <c r="V2143">
        <v>15</v>
      </c>
      <c r="W2143">
        <v>13.2</v>
      </c>
      <c r="X2143">
        <v>29.5</v>
      </c>
      <c r="Z2143" t="s">
        <v>39</v>
      </c>
      <c r="AB2143" t="s">
        <v>233</v>
      </c>
      <c r="AC2143" t="s">
        <v>56</v>
      </c>
    </row>
    <row r="2144" spans="1:29" x14ac:dyDescent="0.25">
      <c r="A2144" s="4">
        <v>42575</v>
      </c>
      <c r="B2144" t="s">
        <v>30</v>
      </c>
      <c r="C2144">
        <v>501</v>
      </c>
      <c r="D2144">
        <v>1</v>
      </c>
      <c r="E2144">
        <v>1</v>
      </c>
      <c r="F2144" t="s">
        <v>41</v>
      </c>
      <c r="G2144" t="s">
        <v>32</v>
      </c>
      <c r="H2144" t="s">
        <v>33</v>
      </c>
      <c r="I2144" t="s">
        <v>34</v>
      </c>
      <c r="J2144" t="s">
        <v>42</v>
      </c>
      <c r="K2144" t="s">
        <v>114</v>
      </c>
      <c r="L2144" t="s">
        <v>43</v>
      </c>
      <c r="M2144">
        <v>0</v>
      </c>
      <c r="N2144">
        <v>1</v>
      </c>
      <c r="O2144" s="5">
        <v>50346</v>
      </c>
      <c r="P2144" s="5">
        <v>50345</v>
      </c>
      <c r="Q2144">
        <f>31-12</f>
        <v>19</v>
      </c>
      <c r="R2144" t="s">
        <v>47</v>
      </c>
      <c r="T2144">
        <v>18</v>
      </c>
      <c r="U2144">
        <v>84</v>
      </c>
      <c r="V2144">
        <v>14</v>
      </c>
      <c r="W2144">
        <v>13</v>
      </c>
      <c r="X2144">
        <v>26.9</v>
      </c>
      <c r="Z2144" t="s">
        <v>39</v>
      </c>
      <c r="AB2144" t="s">
        <v>271</v>
      </c>
      <c r="AC2144" t="s">
        <v>56</v>
      </c>
    </row>
    <row r="2145" spans="1:29" x14ac:dyDescent="0.25">
      <c r="A2145" s="4">
        <v>42575</v>
      </c>
      <c r="B2145" t="s">
        <v>30</v>
      </c>
      <c r="C2145">
        <v>501</v>
      </c>
      <c r="D2145">
        <v>2</v>
      </c>
      <c r="E2145">
        <v>1</v>
      </c>
      <c r="F2145" t="s">
        <v>41</v>
      </c>
      <c r="G2145" t="s">
        <v>32</v>
      </c>
      <c r="H2145" t="s">
        <v>33</v>
      </c>
      <c r="I2145" t="s">
        <v>57</v>
      </c>
      <c r="O2145" s="5"/>
      <c r="P2145" s="5"/>
    </row>
    <row r="2146" spans="1:29" x14ac:dyDescent="0.25">
      <c r="A2146" s="4">
        <v>42575</v>
      </c>
      <c r="B2146" t="s">
        <v>30</v>
      </c>
      <c r="C2146">
        <v>501</v>
      </c>
      <c r="D2146">
        <v>2</v>
      </c>
      <c r="E2146">
        <v>2</v>
      </c>
      <c r="F2146" t="s">
        <v>41</v>
      </c>
      <c r="G2146" t="s">
        <v>32</v>
      </c>
      <c r="H2146" t="s">
        <v>33</v>
      </c>
      <c r="I2146" t="s">
        <v>57</v>
      </c>
      <c r="O2146" s="5"/>
      <c r="P2146" s="5"/>
    </row>
    <row r="2147" spans="1:29" x14ac:dyDescent="0.25">
      <c r="A2147" s="4">
        <v>42575</v>
      </c>
      <c r="B2147" t="s">
        <v>30</v>
      </c>
      <c r="C2147">
        <v>501</v>
      </c>
      <c r="D2147">
        <v>3</v>
      </c>
      <c r="E2147">
        <v>1</v>
      </c>
      <c r="F2147" t="s">
        <v>41</v>
      </c>
      <c r="G2147" t="s">
        <v>32</v>
      </c>
      <c r="H2147" t="s">
        <v>33</v>
      </c>
      <c r="I2147" t="s">
        <v>57</v>
      </c>
      <c r="O2147" s="5"/>
      <c r="P2147" s="5"/>
    </row>
    <row r="2148" spans="1:29" x14ac:dyDescent="0.25">
      <c r="A2148" s="4">
        <v>42575</v>
      </c>
      <c r="B2148" t="s">
        <v>30</v>
      </c>
      <c r="C2148">
        <v>501</v>
      </c>
      <c r="D2148">
        <v>3</v>
      </c>
      <c r="E2148">
        <v>2</v>
      </c>
      <c r="F2148" t="s">
        <v>41</v>
      </c>
      <c r="G2148" t="s">
        <v>32</v>
      </c>
      <c r="H2148" t="s">
        <v>33</v>
      </c>
      <c r="I2148" t="s">
        <v>58</v>
      </c>
      <c r="J2148" t="s">
        <v>35</v>
      </c>
      <c r="K2148" t="s">
        <v>36</v>
      </c>
      <c r="L2148" t="s">
        <v>37</v>
      </c>
      <c r="M2148">
        <v>0</v>
      </c>
      <c r="N2148">
        <v>0</v>
      </c>
      <c r="O2148" s="5" t="s">
        <v>272</v>
      </c>
      <c r="P2148" s="5"/>
      <c r="Q2148">
        <f>40-10</f>
        <v>30</v>
      </c>
      <c r="R2148" t="s">
        <v>143</v>
      </c>
      <c r="S2148" t="s">
        <v>97</v>
      </c>
      <c r="T2148">
        <v>18</v>
      </c>
      <c r="W2148">
        <v>12.7</v>
      </c>
      <c r="X2148">
        <v>27.5</v>
      </c>
      <c r="Z2148" t="s">
        <v>97</v>
      </c>
      <c r="AA2148" t="s">
        <v>273</v>
      </c>
      <c r="AB2148" t="s">
        <v>271</v>
      </c>
      <c r="AC2148" t="s">
        <v>56</v>
      </c>
    </row>
    <row r="2149" spans="1:29" x14ac:dyDescent="0.25">
      <c r="A2149" s="4">
        <v>42575</v>
      </c>
      <c r="B2149" t="s">
        <v>30</v>
      </c>
      <c r="C2149">
        <v>501</v>
      </c>
      <c r="D2149">
        <v>4</v>
      </c>
      <c r="E2149">
        <v>1</v>
      </c>
      <c r="F2149" t="s">
        <v>41</v>
      </c>
      <c r="G2149" t="s">
        <v>32</v>
      </c>
      <c r="H2149" t="s">
        <v>33</v>
      </c>
      <c r="I2149" t="s">
        <v>84</v>
      </c>
      <c r="O2149" s="5"/>
      <c r="P2149" s="5"/>
    </row>
    <row r="2150" spans="1:29" x14ac:dyDescent="0.25">
      <c r="A2150" s="4">
        <v>42575</v>
      </c>
      <c r="B2150" t="s">
        <v>30</v>
      </c>
      <c r="C2150">
        <v>501</v>
      </c>
      <c r="D2150">
        <v>4</v>
      </c>
      <c r="E2150">
        <v>2</v>
      </c>
      <c r="F2150" t="s">
        <v>41</v>
      </c>
      <c r="G2150" t="s">
        <v>32</v>
      </c>
      <c r="H2150" t="s">
        <v>33</v>
      </c>
      <c r="I2150" t="s">
        <v>57</v>
      </c>
      <c r="O2150" s="5"/>
      <c r="P2150" s="5"/>
    </row>
    <row r="2151" spans="1:29" x14ac:dyDescent="0.25">
      <c r="A2151" s="4">
        <v>42575</v>
      </c>
      <c r="B2151" t="s">
        <v>30</v>
      </c>
      <c r="C2151">
        <v>501</v>
      </c>
      <c r="D2151">
        <v>5</v>
      </c>
      <c r="E2151">
        <v>1</v>
      </c>
      <c r="F2151" t="s">
        <v>41</v>
      </c>
      <c r="G2151" t="s">
        <v>32</v>
      </c>
      <c r="H2151" t="s">
        <v>33</v>
      </c>
      <c r="I2151" t="s">
        <v>57</v>
      </c>
      <c r="O2151" s="5"/>
      <c r="P2151" s="5"/>
    </row>
    <row r="2152" spans="1:29" x14ac:dyDescent="0.25">
      <c r="A2152" s="4">
        <v>42575</v>
      </c>
      <c r="B2152" t="s">
        <v>30</v>
      </c>
      <c r="C2152">
        <v>501</v>
      </c>
      <c r="D2152">
        <v>5</v>
      </c>
      <c r="E2152">
        <v>2</v>
      </c>
      <c r="F2152" t="s">
        <v>41</v>
      </c>
      <c r="G2152" t="s">
        <v>32</v>
      </c>
      <c r="H2152" t="s">
        <v>33</v>
      </c>
      <c r="I2152" t="s">
        <v>57</v>
      </c>
      <c r="O2152" s="5"/>
      <c r="P2152" s="5"/>
    </row>
    <row r="2153" spans="1:29" x14ac:dyDescent="0.25">
      <c r="A2153" s="4">
        <v>42575</v>
      </c>
      <c r="B2153" t="s">
        <v>30</v>
      </c>
      <c r="C2153">
        <v>501</v>
      </c>
      <c r="D2153">
        <v>6</v>
      </c>
      <c r="E2153">
        <v>1</v>
      </c>
      <c r="F2153" t="s">
        <v>41</v>
      </c>
      <c r="G2153" t="s">
        <v>32</v>
      </c>
      <c r="H2153" t="s">
        <v>33</v>
      </c>
      <c r="I2153" t="s">
        <v>57</v>
      </c>
      <c r="O2153" s="5"/>
      <c r="P2153" s="5"/>
    </row>
    <row r="2154" spans="1:29" x14ac:dyDescent="0.25">
      <c r="A2154" s="4">
        <v>42575</v>
      </c>
      <c r="B2154" t="s">
        <v>30</v>
      </c>
      <c r="C2154">
        <v>501</v>
      </c>
      <c r="D2154">
        <v>7</v>
      </c>
      <c r="E2154">
        <v>1</v>
      </c>
      <c r="F2154" t="s">
        <v>41</v>
      </c>
      <c r="G2154" t="s">
        <v>32</v>
      </c>
      <c r="H2154" t="s">
        <v>33</v>
      </c>
      <c r="I2154" t="s">
        <v>57</v>
      </c>
      <c r="O2154" s="5"/>
      <c r="P2154" s="5"/>
    </row>
    <row r="2155" spans="1:29" x14ac:dyDescent="0.25">
      <c r="A2155" s="4">
        <v>42575</v>
      </c>
      <c r="B2155" t="s">
        <v>30</v>
      </c>
      <c r="C2155">
        <v>501</v>
      </c>
      <c r="D2155">
        <v>8</v>
      </c>
      <c r="E2155">
        <v>1</v>
      </c>
      <c r="F2155" t="s">
        <v>41</v>
      </c>
      <c r="G2155" t="s">
        <v>32</v>
      </c>
      <c r="H2155" t="s">
        <v>33</v>
      </c>
      <c r="I2155" t="s">
        <v>57</v>
      </c>
      <c r="O2155" s="5"/>
      <c r="P2155" s="5"/>
    </row>
    <row r="2156" spans="1:29" x14ac:dyDescent="0.25">
      <c r="A2156" s="4">
        <v>42575</v>
      </c>
      <c r="B2156" t="s">
        <v>30</v>
      </c>
      <c r="C2156">
        <v>501</v>
      </c>
      <c r="D2156">
        <v>8</v>
      </c>
      <c r="E2156">
        <v>2</v>
      </c>
      <c r="F2156" t="s">
        <v>41</v>
      </c>
      <c r="G2156" t="s">
        <v>32</v>
      </c>
      <c r="H2156" t="s">
        <v>33</v>
      </c>
      <c r="I2156" t="s">
        <v>53</v>
      </c>
      <c r="J2156" t="s">
        <v>62</v>
      </c>
      <c r="O2156" s="5"/>
      <c r="P2156" s="5"/>
    </row>
    <row r="2157" spans="1:29" x14ac:dyDescent="0.25">
      <c r="A2157" s="4">
        <v>42575</v>
      </c>
      <c r="B2157" t="s">
        <v>30</v>
      </c>
      <c r="C2157">
        <v>501</v>
      </c>
      <c r="D2157">
        <v>9</v>
      </c>
      <c r="E2157">
        <v>1</v>
      </c>
      <c r="F2157" t="s">
        <v>41</v>
      </c>
      <c r="G2157" t="s">
        <v>32</v>
      </c>
      <c r="H2157" t="s">
        <v>33</v>
      </c>
      <c r="I2157" t="s">
        <v>57</v>
      </c>
      <c r="O2157" s="5"/>
      <c r="P2157" s="5"/>
    </row>
    <row r="2158" spans="1:29" x14ac:dyDescent="0.25">
      <c r="A2158" s="4">
        <v>42575</v>
      </c>
      <c r="B2158" t="s">
        <v>30</v>
      </c>
      <c r="C2158">
        <v>501</v>
      </c>
      <c r="D2158">
        <v>9</v>
      </c>
      <c r="E2158">
        <v>2</v>
      </c>
      <c r="F2158" t="s">
        <v>41</v>
      </c>
      <c r="G2158" t="s">
        <v>32</v>
      </c>
      <c r="H2158" t="s">
        <v>33</v>
      </c>
      <c r="I2158" t="s">
        <v>34</v>
      </c>
      <c r="J2158" t="s">
        <v>122</v>
      </c>
      <c r="O2158" s="5"/>
      <c r="P2158" s="5"/>
    </row>
    <row r="2159" spans="1:29" x14ac:dyDescent="0.25">
      <c r="A2159" s="4">
        <v>42575</v>
      </c>
      <c r="B2159" t="s">
        <v>30</v>
      </c>
      <c r="C2159">
        <v>501</v>
      </c>
      <c r="D2159">
        <v>10</v>
      </c>
      <c r="E2159">
        <v>1</v>
      </c>
      <c r="F2159" t="s">
        <v>41</v>
      </c>
      <c r="G2159" t="s">
        <v>32</v>
      </c>
      <c r="H2159" t="s">
        <v>33</v>
      </c>
      <c r="I2159" t="s">
        <v>57</v>
      </c>
      <c r="O2159" s="5"/>
      <c r="P2159" s="5"/>
    </row>
    <row r="2160" spans="1:29" x14ac:dyDescent="0.25">
      <c r="A2160" s="4">
        <v>42575</v>
      </c>
      <c r="B2160" t="s">
        <v>30</v>
      </c>
      <c r="C2160">
        <v>503</v>
      </c>
      <c r="D2160">
        <v>1</v>
      </c>
      <c r="E2160">
        <v>1</v>
      </c>
      <c r="F2160" t="s">
        <v>41</v>
      </c>
      <c r="G2160" t="s">
        <v>32</v>
      </c>
      <c r="H2160" t="s">
        <v>33</v>
      </c>
      <c r="I2160" t="s">
        <v>58</v>
      </c>
      <c r="J2160" t="s">
        <v>35</v>
      </c>
      <c r="K2160" t="s">
        <v>36</v>
      </c>
      <c r="L2160" t="s">
        <v>37</v>
      </c>
      <c r="M2160">
        <v>0</v>
      </c>
      <c r="N2160">
        <v>0</v>
      </c>
      <c r="O2160" s="5">
        <v>50633</v>
      </c>
      <c r="P2160" s="5"/>
      <c r="Q2160">
        <f>41.5-11.5</f>
        <v>30</v>
      </c>
      <c r="R2160" t="s">
        <v>120</v>
      </c>
      <c r="S2160" t="s">
        <v>39</v>
      </c>
      <c r="T2160">
        <v>16</v>
      </c>
      <c r="W2160">
        <v>12.9</v>
      </c>
      <c r="X2160">
        <v>27.9</v>
      </c>
      <c r="Z2160" t="s">
        <v>97</v>
      </c>
      <c r="AA2160" t="s">
        <v>199</v>
      </c>
      <c r="AB2160" t="s">
        <v>271</v>
      </c>
      <c r="AC2160" t="s">
        <v>56</v>
      </c>
    </row>
    <row r="2161" spans="1:30" x14ac:dyDescent="0.25">
      <c r="A2161" s="4">
        <v>42575</v>
      </c>
      <c r="B2161" t="s">
        <v>30</v>
      </c>
      <c r="C2161">
        <v>503</v>
      </c>
      <c r="D2161">
        <v>1</v>
      </c>
      <c r="E2161">
        <v>2</v>
      </c>
      <c r="F2161" t="s">
        <v>41</v>
      </c>
      <c r="G2161" t="s">
        <v>32</v>
      </c>
      <c r="H2161" t="s">
        <v>33</v>
      </c>
      <c r="I2161" t="s">
        <v>57</v>
      </c>
      <c r="O2161" s="5"/>
      <c r="P2161" s="5"/>
    </row>
    <row r="2162" spans="1:30" x14ac:dyDescent="0.25">
      <c r="A2162" s="4">
        <v>42575</v>
      </c>
      <c r="B2162" t="s">
        <v>30</v>
      </c>
      <c r="C2162">
        <v>503</v>
      </c>
      <c r="D2162">
        <v>2</v>
      </c>
      <c r="E2162">
        <v>1</v>
      </c>
      <c r="F2162" t="s">
        <v>41</v>
      </c>
      <c r="G2162" t="s">
        <v>32</v>
      </c>
      <c r="H2162" t="s">
        <v>33</v>
      </c>
      <c r="I2162" t="s">
        <v>57</v>
      </c>
      <c r="O2162" s="5"/>
      <c r="P2162" s="5"/>
    </row>
    <row r="2163" spans="1:30" x14ac:dyDescent="0.25">
      <c r="A2163" s="4">
        <v>42575</v>
      </c>
      <c r="B2163" t="s">
        <v>30</v>
      </c>
      <c r="C2163">
        <v>503</v>
      </c>
      <c r="D2163">
        <v>2</v>
      </c>
      <c r="E2163">
        <v>2</v>
      </c>
      <c r="F2163" t="s">
        <v>41</v>
      </c>
      <c r="G2163" t="s">
        <v>32</v>
      </c>
      <c r="H2163" t="s">
        <v>33</v>
      </c>
      <c r="I2163" t="s">
        <v>58</v>
      </c>
      <c r="J2163" t="s">
        <v>35</v>
      </c>
      <c r="K2163" t="s">
        <v>36</v>
      </c>
      <c r="L2163" t="s">
        <v>43</v>
      </c>
      <c r="M2163">
        <v>0</v>
      </c>
      <c r="N2163">
        <v>0</v>
      </c>
      <c r="O2163" s="5">
        <v>50579</v>
      </c>
      <c r="P2163" s="5"/>
      <c r="Q2163">
        <f>43-13.5</f>
        <v>29.5</v>
      </c>
      <c r="R2163" t="s">
        <v>47</v>
      </c>
      <c r="T2163">
        <v>17</v>
      </c>
      <c r="W2163">
        <v>12.9</v>
      </c>
      <c r="X2163">
        <v>27.1</v>
      </c>
      <c r="Z2163" t="s">
        <v>97</v>
      </c>
      <c r="AA2163" t="s">
        <v>199</v>
      </c>
      <c r="AB2163" t="s">
        <v>271</v>
      </c>
      <c r="AC2163" t="s">
        <v>56</v>
      </c>
    </row>
    <row r="2164" spans="1:30" x14ac:dyDescent="0.25">
      <c r="A2164" s="4">
        <v>42575</v>
      </c>
      <c r="B2164" t="s">
        <v>30</v>
      </c>
      <c r="C2164">
        <v>503</v>
      </c>
      <c r="D2164">
        <v>4</v>
      </c>
      <c r="E2164">
        <v>1</v>
      </c>
      <c r="F2164" t="s">
        <v>41</v>
      </c>
      <c r="G2164" t="s">
        <v>32</v>
      </c>
      <c r="H2164" t="s">
        <v>33</v>
      </c>
      <c r="I2164" t="s">
        <v>57</v>
      </c>
      <c r="O2164" s="5"/>
      <c r="P2164" s="5"/>
    </row>
    <row r="2165" spans="1:30" x14ac:dyDescent="0.25">
      <c r="A2165" s="4">
        <v>42575</v>
      </c>
      <c r="B2165" t="s">
        <v>30</v>
      </c>
      <c r="C2165">
        <v>503</v>
      </c>
      <c r="D2165">
        <v>6</v>
      </c>
      <c r="E2165">
        <v>1</v>
      </c>
      <c r="F2165" t="s">
        <v>41</v>
      </c>
      <c r="G2165" t="s">
        <v>32</v>
      </c>
      <c r="H2165" t="s">
        <v>33</v>
      </c>
      <c r="I2165" t="s">
        <v>53</v>
      </c>
      <c r="J2165" t="s">
        <v>62</v>
      </c>
      <c r="O2165" s="5"/>
      <c r="P2165" s="5"/>
    </row>
    <row r="2166" spans="1:30" x14ac:dyDescent="0.25">
      <c r="A2166" s="4">
        <v>42575</v>
      </c>
      <c r="B2166" t="s">
        <v>30</v>
      </c>
      <c r="C2166">
        <v>503</v>
      </c>
      <c r="D2166">
        <v>7</v>
      </c>
      <c r="E2166">
        <v>1</v>
      </c>
      <c r="F2166" t="s">
        <v>41</v>
      </c>
      <c r="G2166" t="s">
        <v>32</v>
      </c>
      <c r="H2166" t="s">
        <v>33</v>
      </c>
      <c r="I2166" t="s">
        <v>57</v>
      </c>
      <c r="O2166" s="5"/>
      <c r="P2166" s="5"/>
    </row>
    <row r="2167" spans="1:30" x14ac:dyDescent="0.25">
      <c r="A2167" s="4">
        <v>42575</v>
      </c>
      <c r="B2167" t="s">
        <v>30</v>
      </c>
      <c r="C2167">
        <v>503</v>
      </c>
      <c r="D2167">
        <v>8</v>
      </c>
      <c r="E2167">
        <v>1</v>
      </c>
      <c r="F2167" t="s">
        <v>41</v>
      </c>
      <c r="G2167" t="s">
        <v>32</v>
      </c>
      <c r="H2167" t="s">
        <v>33</v>
      </c>
      <c r="I2167" t="s">
        <v>57</v>
      </c>
      <c r="O2167" s="5"/>
      <c r="P2167" s="5"/>
    </row>
    <row r="2168" spans="1:30" x14ac:dyDescent="0.25">
      <c r="A2168" s="4">
        <v>42575</v>
      </c>
      <c r="B2168" t="s">
        <v>30</v>
      </c>
      <c r="C2168">
        <v>503</v>
      </c>
      <c r="D2168">
        <v>9</v>
      </c>
      <c r="E2168">
        <v>1</v>
      </c>
      <c r="F2168" t="s">
        <v>41</v>
      </c>
      <c r="G2168" t="s">
        <v>32</v>
      </c>
      <c r="H2168" t="s">
        <v>33</v>
      </c>
      <c r="I2168" t="s">
        <v>57</v>
      </c>
      <c r="O2168" s="5"/>
      <c r="P2168" s="5"/>
    </row>
    <row r="2169" spans="1:30" x14ac:dyDescent="0.25">
      <c r="A2169" s="4">
        <v>42575</v>
      </c>
      <c r="B2169" t="s">
        <v>30</v>
      </c>
      <c r="C2169">
        <v>503</v>
      </c>
      <c r="D2169">
        <v>9</v>
      </c>
      <c r="E2169">
        <v>2</v>
      </c>
      <c r="F2169" t="s">
        <v>41</v>
      </c>
      <c r="G2169" t="s">
        <v>32</v>
      </c>
      <c r="H2169" t="s">
        <v>33</v>
      </c>
      <c r="I2169" t="s">
        <v>34</v>
      </c>
      <c r="J2169" t="s">
        <v>35</v>
      </c>
      <c r="K2169" t="s">
        <v>89</v>
      </c>
      <c r="L2169" t="s">
        <v>43</v>
      </c>
      <c r="M2169">
        <v>0</v>
      </c>
      <c r="N2169">
        <v>0</v>
      </c>
      <c r="O2169" s="5">
        <v>50742</v>
      </c>
      <c r="P2169" s="5">
        <v>50741</v>
      </c>
      <c r="Q2169">
        <f>28-3</f>
        <v>25</v>
      </c>
      <c r="R2169" t="s">
        <v>65</v>
      </c>
      <c r="T2169">
        <v>20</v>
      </c>
      <c r="U2169">
        <v>83</v>
      </c>
      <c r="V2169">
        <v>14</v>
      </c>
      <c r="W2169">
        <v>12.8</v>
      </c>
      <c r="X2169">
        <v>26.7</v>
      </c>
      <c r="Z2169" t="s">
        <v>97</v>
      </c>
      <c r="AA2169" t="s">
        <v>199</v>
      </c>
      <c r="AB2169" t="s">
        <v>271</v>
      </c>
      <c r="AC2169" t="s">
        <v>56</v>
      </c>
    </row>
    <row r="2170" spans="1:30" x14ac:dyDescent="0.25">
      <c r="A2170" s="4">
        <v>42575</v>
      </c>
      <c r="B2170" t="s">
        <v>30</v>
      </c>
      <c r="C2170">
        <v>503</v>
      </c>
      <c r="D2170">
        <v>10</v>
      </c>
      <c r="E2170">
        <v>1</v>
      </c>
      <c r="F2170" t="s">
        <v>41</v>
      </c>
      <c r="G2170" t="s">
        <v>32</v>
      </c>
      <c r="H2170" t="s">
        <v>33</v>
      </c>
      <c r="I2170" t="s">
        <v>53</v>
      </c>
      <c r="J2170" t="s">
        <v>62</v>
      </c>
      <c r="O2170" s="5"/>
      <c r="P2170" s="5"/>
    </row>
    <row r="2171" spans="1:30" x14ac:dyDescent="0.25">
      <c r="A2171" s="4">
        <v>42575</v>
      </c>
      <c r="B2171" t="s">
        <v>30</v>
      </c>
      <c r="C2171">
        <v>503</v>
      </c>
      <c r="D2171">
        <v>10</v>
      </c>
      <c r="E2171">
        <v>2</v>
      </c>
      <c r="F2171" t="s">
        <v>41</v>
      </c>
      <c r="G2171" t="s">
        <v>32</v>
      </c>
      <c r="H2171" t="s">
        <v>33</v>
      </c>
      <c r="I2171" t="s">
        <v>70</v>
      </c>
      <c r="J2171" t="s">
        <v>123</v>
      </c>
      <c r="O2171" s="5"/>
      <c r="P2171" s="5"/>
    </row>
    <row r="2172" spans="1:30" x14ac:dyDescent="0.25">
      <c r="A2172" s="4">
        <v>42575</v>
      </c>
      <c r="B2172" t="s">
        <v>30</v>
      </c>
      <c r="C2172">
        <v>303</v>
      </c>
      <c r="D2172">
        <v>1</v>
      </c>
      <c r="E2172">
        <v>1</v>
      </c>
      <c r="F2172" t="s">
        <v>41</v>
      </c>
      <c r="G2172" t="s">
        <v>32</v>
      </c>
      <c r="H2172" t="s">
        <v>33</v>
      </c>
      <c r="I2172" t="s">
        <v>58</v>
      </c>
      <c r="J2172" t="s">
        <v>42</v>
      </c>
      <c r="M2172">
        <v>0</v>
      </c>
      <c r="N2172">
        <v>1</v>
      </c>
      <c r="O2172" s="5">
        <v>50347</v>
      </c>
      <c r="P2172" s="5"/>
      <c r="Q2172">
        <f>30.5-11</f>
        <v>19.5</v>
      </c>
      <c r="Z2172" t="s">
        <v>97</v>
      </c>
      <c r="AA2172" t="s">
        <v>199</v>
      </c>
      <c r="AB2172" t="s">
        <v>271</v>
      </c>
      <c r="AC2172" t="s">
        <v>56</v>
      </c>
      <c r="AD2172" t="s">
        <v>274</v>
      </c>
    </row>
    <row r="2173" spans="1:30" x14ac:dyDescent="0.25">
      <c r="A2173" s="4">
        <v>42575</v>
      </c>
      <c r="B2173" t="s">
        <v>30</v>
      </c>
      <c r="C2173">
        <v>303</v>
      </c>
      <c r="D2173">
        <v>2</v>
      </c>
      <c r="E2173">
        <v>1</v>
      </c>
      <c r="F2173" t="s">
        <v>41</v>
      </c>
      <c r="G2173" t="s">
        <v>32</v>
      </c>
      <c r="H2173" t="s">
        <v>33</v>
      </c>
      <c r="I2173" t="s">
        <v>58</v>
      </c>
      <c r="J2173" t="s">
        <v>35</v>
      </c>
      <c r="K2173" t="s">
        <v>36</v>
      </c>
      <c r="L2173" t="s">
        <v>43</v>
      </c>
      <c r="M2173">
        <v>0</v>
      </c>
      <c r="N2173">
        <v>0</v>
      </c>
      <c r="O2173" s="5">
        <v>50344</v>
      </c>
      <c r="P2173" s="5"/>
      <c r="Q2173">
        <v>24</v>
      </c>
      <c r="R2173" t="s">
        <v>47</v>
      </c>
      <c r="T2173">
        <v>17</v>
      </c>
      <c r="W2173">
        <v>12.8</v>
      </c>
      <c r="X2173">
        <v>26.8</v>
      </c>
      <c r="Z2173" t="s">
        <v>97</v>
      </c>
      <c r="AA2173" t="s">
        <v>275</v>
      </c>
      <c r="AB2173" t="s">
        <v>271</v>
      </c>
      <c r="AC2173" t="s">
        <v>56</v>
      </c>
    </row>
    <row r="2174" spans="1:30" x14ac:dyDescent="0.25">
      <c r="A2174" s="4">
        <v>42575</v>
      </c>
      <c r="B2174" t="s">
        <v>30</v>
      </c>
      <c r="C2174">
        <v>303</v>
      </c>
      <c r="D2174">
        <v>3</v>
      </c>
      <c r="E2174">
        <v>1</v>
      </c>
      <c r="F2174" t="s">
        <v>41</v>
      </c>
      <c r="G2174" t="s">
        <v>32</v>
      </c>
      <c r="H2174" t="s">
        <v>33</v>
      </c>
      <c r="I2174" t="s">
        <v>57</v>
      </c>
      <c r="O2174" s="5"/>
      <c r="P2174" s="5"/>
    </row>
    <row r="2175" spans="1:30" x14ac:dyDescent="0.25">
      <c r="A2175" s="4">
        <v>42575</v>
      </c>
      <c r="B2175" t="s">
        <v>30</v>
      </c>
      <c r="C2175">
        <v>303</v>
      </c>
      <c r="D2175">
        <v>4</v>
      </c>
      <c r="E2175">
        <v>1</v>
      </c>
      <c r="F2175" t="s">
        <v>41</v>
      </c>
      <c r="G2175" t="s">
        <v>32</v>
      </c>
      <c r="H2175" t="s">
        <v>33</v>
      </c>
      <c r="I2175" t="s">
        <v>34</v>
      </c>
      <c r="J2175" t="s">
        <v>35</v>
      </c>
      <c r="K2175" t="s">
        <v>36</v>
      </c>
      <c r="L2175" t="s">
        <v>37</v>
      </c>
      <c r="M2175">
        <v>0</v>
      </c>
      <c r="N2175">
        <v>0</v>
      </c>
      <c r="O2175" s="5">
        <v>50582</v>
      </c>
      <c r="P2175" s="5">
        <v>50581</v>
      </c>
      <c r="Q2175">
        <f>31.5-12.5</f>
        <v>19</v>
      </c>
      <c r="R2175" t="s">
        <v>143</v>
      </c>
      <c r="S2175" t="s">
        <v>97</v>
      </c>
      <c r="T2175">
        <v>20</v>
      </c>
      <c r="U2175">
        <v>85</v>
      </c>
      <c r="V2175">
        <v>15</v>
      </c>
      <c r="W2175">
        <v>12.9</v>
      </c>
      <c r="X2175">
        <v>27.2</v>
      </c>
      <c r="Z2175" t="s">
        <v>97</v>
      </c>
      <c r="AA2175" t="s">
        <v>199</v>
      </c>
      <c r="AB2175" t="s">
        <v>271</v>
      </c>
      <c r="AC2175" t="s">
        <v>56</v>
      </c>
    </row>
    <row r="2176" spans="1:30" x14ac:dyDescent="0.25">
      <c r="A2176" s="4">
        <v>42575</v>
      </c>
      <c r="B2176" t="s">
        <v>30</v>
      </c>
      <c r="C2176">
        <v>303</v>
      </c>
      <c r="D2176">
        <v>7</v>
      </c>
      <c r="E2176">
        <v>1</v>
      </c>
      <c r="F2176" t="s">
        <v>41</v>
      </c>
      <c r="G2176" t="s">
        <v>32</v>
      </c>
      <c r="H2176" t="s">
        <v>33</v>
      </c>
      <c r="I2176" t="s">
        <v>58</v>
      </c>
      <c r="J2176" t="s">
        <v>35</v>
      </c>
      <c r="K2176" t="s">
        <v>36</v>
      </c>
      <c r="L2176" t="s">
        <v>43</v>
      </c>
      <c r="M2176">
        <v>0</v>
      </c>
      <c r="N2176">
        <v>0</v>
      </c>
      <c r="O2176" s="5"/>
      <c r="P2176" s="5">
        <v>50439</v>
      </c>
      <c r="Q2176">
        <f>33-12</f>
        <v>21</v>
      </c>
      <c r="R2176" t="s">
        <v>47</v>
      </c>
      <c r="T2176">
        <v>18</v>
      </c>
      <c r="W2176">
        <v>12.9</v>
      </c>
      <c r="X2176">
        <v>26.8</v>
      </c>
      <c r="Z2176" t="s">
        <v>97</v>
      </c>
      <c r="AA2176" t="s">
        <v>199</v>
      </c>
      <c r="AB2176" t="s">
        <v>271</v>
      </c>
      <c r="AC2176" t="s">
        <v>56</v>
      </c>
    </row>
    <row r="2177" spans="1:30" x14ac:dyDescent="0.25">
      <c r="A2177" s="4">
        <v>42575</v>
      </c>
      <c r="B2177" t="s">
        <v>30</v>
      </c>
      <c r="C2177">
        <v>303</v>
      </c>
      <c r="D2177">
        <v>8</v>
      </c>
      <c r="E2177">
        <v>1</v>
      </c>
      <c r="F2177" t="s">
        <v>41</v>
      </c>
      <c r="G2177" t="s">
        <v>32</v>
      </c>
      <c r="H2177" t="s">
        <v>33</v>
      </c>
      <c r="I2177" t="s">
        <v>57</v>
      </c>
      <c r="O2177" s="5"/>
      <c r="P2177" s="5"/>
    </row>
    <row r="2178" spans="1:30" x14ac:dyDescent="0.25">
      <c r="A2178" s="4">
        <v>42575</v>
      </c>
      <c r="B2178" t="s">
        <v>30</v>
      </c>
      <c r="C2178">
        <v>303</v>
      </c>
      <c r="D2178">
        <v>9</v>
      </c>
      <c r="E2178">
        <v>1</v>
      </c>
      <c r="F2178" t="s">
        <v>41</v>
      </c>
      <c r="G2178" t="s">
        <v>32</v>
      </c>
      <c r="H2178" t="s">
        <v>33</v>
      </c>
      <c r="I2178" t="s">
        <v>57</v>
      </c>
      <c r="O2178" s="5"/>
      <c r="P2178" s="5"/>
    </row>
    <row r="2179" spans="1:30" x14ac:dyDescent="0.25">
      <c r="A2179" s="4">
        <v>42575</v>
      </c>
      <c r="B2179" t="s">
        <v>30</v>
      </c>
      <c r="C2179">
        <v>303</v>
      </c>
      <c r="D2179">
        <v>9</v>
      </c>
      <c r="E2179">
        <v>2</v>
      </c>
      <c r="F2179" t="s">
        <v>41</v>
      </c>
      <c r="G2179" t="s">
        <v>32</v>
      </c>
      <c r="H2179" t="s">
        <v>33</v>
      </c>
      <c r="I2179" t="s">
        <v>57</v>
      </c>
      <c r="O2179" s="5"/>
      <c r="P2179" s="5"/>
    </row>
    <row r="2180" spans="1:30" x14ac:dyDescent="0.25">
      <c r="A2180" s="4">
        <v>42575</v>
      </c>
      <c r="B2180" t="s">
        <v>30</v>
      </c>
      <c r="C2180">
        <v>303</v>
      </c>
      <c r="D2180">
        <v>10</v>
      </c>
      <c r="E2180">
        <v>1</v>
      </c>
      <c r="F2180" t="s">
        <v>41</v>
      </c>
      <c r="G2180" t="s">
        <v>32</v>
      </c>
      <c r="H2180" t="s">
        <v>33</v>
      </c>
      <c r="I2180" t="s">
        <v>58</v>
      </c>
      <c r="J2180" t="s">
        <v>35</v>
      </c>
      <c r="K2180" t="s">
        <v>36</v>
      </c>
      <c r="L2180" t="s">
        <v>37</v>
      </c>
      <c r="M2180">
        <v>0</v>
      </c>
      <c r="N2180">
        <v>0</v>
      </c>
      <c r="O2180" s="5">
        <v>50738</v>
      </c>
      <c r="P2180" s="5"/>
      <c r="Q2180">
        <f>33-11</f>
        <v>22</v>
      </c>
      <c r="R2180" t="s">
        <v>63</v>
      </c>
      <c r="S2180" t="s">
        <v>39</v>
      </c>
      <c r="T2180">
        <v>17</v>
      </c>
      <c r="W2180">
        <v>12.9</v>
      </c>
      <c r="X2180">
        <v>27.1</v>
      </c>
      <c r="Z2180" t="s">
        <v>97</v>
      </c>
      <c r="AA2180" t="s">
        <v>199</v>
      </c>
      <c r="AB2180" t="s">
        <v>271</v>
      </c>
      <c r="AC2180" t="s">
        <v>56</v>
      </c>
    </row>
    <row r="2181" spans="1:30" x14ac:dyDescent="0.25">
      <c r="A2181" s="4">
        <v>42575</v>
      </c>
      <c r="B2181" t="s">
        <v>30</v>
      </c>
      <c r="C2181">
        <v>401</v>
      </c>
      <c r="D2181">
        <v>1</v>
      </c>
      <c r="E2181">
        <v>1</v>
      </c>
      <c r="F2181" t="s">
        <v>41</v>
      </c>
      <c r="G2181" t="s">
        <v>32</v>
      </c>
      <c r="H2181" t="s">
        <v>33</v>
      </c>
      <c r="I2181" t="s">
        <v>57</v>
      </c>
      <c r="O2181" s="5"/>
      <c r="P2181" s="5"/>
    </row>
    <row r="2182" spans="1:30" x14ac:dyDescent="0.25">
      <c r="A2182" s="4">
        <v>42575</v>
      </c>
      <c r="B2182" t="s">
        <v>30</v>
      </c>
      <c r="C2182">
        <v>401</v>
      </c>
      <c r="D2182">
        <v>3</v>
      </c>
      <c r="E2182">
        <v>1</v>
      </c>
      <c r="F2182" t="s">
        <v>41</v>
      </c>
      <c r="G2182" t="s">
        <v>32</v>
      </c>
      <c r="H2182" t="s">
        <v>33</v>
      </c>
      <c r="I2182" t="s">
        <v>34</v>
      </c>
      <c r="J2182" t="s">
        <v>35</v>
      </c>
      <c r="K2182" t="s">
        <v>114</v>
      </c>
      <c r="L2182" t="s">
        <v>43</v>
      </c>
      <c r="M2182">
        <v>0</v>
      </c>
      <c r="N2182">
        <v>0</v>
      </c>
      <c r="O2182" s="5">
        <v>50590</v>
      </c>
      <c r="P2182" s="5">
        <v>50589</v>
      </c>
      <c r="Q2182">
        <f>34.5-18</f>
        <v>16.5</v>
      </c>
      <c r="R2182" t="s">
        <v>47</v>
      </c>
      <c r="T2182">
        <v>20</v>
      </c>
      <c r="U2182">
        <v>80</v>
      </c>
      <c r="V2182">
        <v>15</v>
      </c>
      <c r="W2182">
        <v>12.9</v>
      </c>
      <c r="X2182">
        <v>27.5</v>
      </c>
      <c r="Z2182" t="s">
        <v>97</v>
      </c>
      <c r="AA2182" t="s">
        <v>199</v>
      </c>
      <c r="AB2182" t="s">
        <v>276</v>
      </c>
      <c r="AC2182" t="s">
        <v>56</v>
      </c>
      <c r="AD2182" t="s">
        <v>277</v>
      </c>
    </row>
    <row r="2183" spans="1:30" x14ac:dyDescent="0.25">
      <c r="A2183" s="4">
        <v>42575</v>
      </c>
      <c r="B2183" t="s">
        <v>30</v>
      </c>
      <c r="C2183">
        <v>401</v>
      </c>
      <c r="D2183">
        <v>5</v>
      </c>
      <c r="E2183">
        <v>1</v>
      </c>
      <c r="F2183" t="s">
        <v>41</v>
      </c>
      <c r="G2183" t="s">
        <v>32</v>
      </c>
      <c r="H2183" t="s">
        <v>33</v>
      </c>
      <c r="I2183" t="s">
        <v>57</v>
      </c>
      <c r="O2183" s="5"/>
      <c r="P2183" s="5"/>
    </row>
    <row r="2184" spans="1:30" x14ac:dyDescent="0.25">
      <c r="A2184" s="4">
        <v>42575</v>
      </c>
      <c r="B2184" t="s">
        <v>30</v>
      </c>
      <c r="C2184">
        <v>401</v>
      </c>
      <c r="D2184">
        <v>5</v>
      </c>
      <c r="E2184">
        <v>2</v>
      </c>
      <c r="F2184" t="s">
        <v>41</v>
      </c>
      <c r="G2184" t="s">
        <v>32</v>
      </c>
      <c r="H2184" t="s">
        <v>33</v>
      </c>
      <c r="I2184" t="s">
        <v>53</v>
      </c>
      <c r="J2184" t="s">
        <v>62</v>
      </c>
      <c r="O2184" s="5"/>
      <c r="P2184" s="5"/>
    </row>
    <row r="2185" spans="1:30" x14ac:dyDescent="0.25">
      <c r="A2185" s="4">
        <v>42575</v>
      </c>
      <c r="B2185" t="s">
        <v>30</v>
      </c>
      <c r="C2185">
        <v>703</v>
      </c>
      <c r="D2185">
        <v>1</v>
      </c>
      <c r="E2185">
        <v>1</v>
      </c>
      <c r="F2185" t="s">
        <v>31</v>
      </c>
      <c r="G2185" t="s">
        <v>32</v>
      </c>
      <c r="H2185" t="s">
        <v>33</v>
      </c>
      <c r="I2185" t="s">
        <v>57</v>
      </c>
      <c r="O2185" s="5"/>
      <c r="P2185" s="5"/>
    </row>
    <row r="2186" spans="1:30" x14ac:dyDescent="0.25">
      <c r="A2186" s="4">
        <v>42575</v>
      </c>
      <c r="B2186" t="s">
        <v>30</v>
      </c>
      <c r="C2186">
        <v>703</v>
      </c>
      <c r="D2186">
        <v>1</v>
      </c>
      <c r="E2186">
        <v>2</v>
      </c>
      <c r="F2186" t="s">
        <v>31</v>
      </c>
      <c r="G2186" t="s">
        <v>32</v>
      </c>
      <c r="H2186" t="s">
        <v>33</v>
      </c>
      <c r="I2186" t="s">
        <v>34</v>
      </c>
      <c r="J2186" t="s">
        <v>35</v>
      </c>
      <c r="K2186" t="s">
        <v>36</v>
      </c>
      <c r="L2186" t="s">
        <v>43</v>
      </c>
      <c r="M2186">
        <v>0</v>
      </c>
      <c r="N2186">
        <v>0</v>
      </c>
      <c r="O2186" s="5">
        <v>50384</v>
      </c>
      <c r="P2186" s="5">
        <v>50383</v>
      </c>
      <c r="Q2186">
        <f>31.5-13.5</f>
        <v>18</v>
      </c>
      <c r="R2186" t="s">
        <v>65</v>
      </c>
      <c r="T2186">
        <v>18</v>
      </c>
      <c r="U2186">
        <v>83</v>
      </c>
      <c r="V2186">
        <v>17.5</v>
      </c>
      <c r="W2186">
        <v>12.9</v>
      </c>
      <c r="X2186">
        <v>25</v>
      </c>
      <c r="Z2186" t="s">
        <v>39</v>
      </c>
      <c r="AB2186" t="s">
        <v>233</v>
      </c>
      <c r="AC2186" t="s">
        <v>56</v>
      </c>
    </row>
    <row r="2187" spans="1:30" x14ac:dyDescent="0.25">
      <c r="A2187" s="4">
        <v>42575</v>
      </c>
      <c r="B2187" t="s">
        <v>30</v>
      </c>
      <c r="C2187">
        <v>703</v>
      </c>
      <c r="D2187">
        <v>2</v>
      </c>
      <c r="E2187">
        <v>1</v>
      </c>
      <c r="F2187" t="s">
        <v>31</v>
      </c>
      <c r="G2187" t="s">
        <v>32</v>
      </c>
      <c r="H2187" t="s">
        <v>33</v>
      </c>
      <c r="I2187" t="s">
        <v>57</v>
      </c>
      <c r="O2187" s="5"/>
      <c r="P2187" s="5"/>
    </row>
    <row r="2188" spans="1:30" x14ac:dyDescent="0.25">
      <c r="A2188" s="4">
        <v>42575</v>
      </c>
      <c r="B2188" t="s">
        <v>30</v>
      </c>
      <c r="C2188">
        <v>703</v>
      </c>
      <c r="D2188">
        <v>2</v>
      </c>
      <c r="E2188">
        <v>2</v>
      </c>
      <c r="F2188" t="s">
        <v>31</v>
      </c>
      <c r="G2188" t="s">
        <v>32</v>
      </c>
      <c r="H2188" t="s">
        <v>33</v>
      </c>
      <c r="I2188" t="s">
        <v>34</v>
      </c>
      <c r="J2188" t="s">
        <v>35</v>
      </c>
      <c r="K2188" t="s">
        <v>114</v>
      </c>
      <c r="L2188" t="s">
        <v>43</v>
      </c>
      <c r="M2188">
        <v>0</v>
      </c>
      <c r="N2188">
        <v>0</v>
      </c>
      <c r="O2188" s="5">
        <v>50470</v>
      </c>
      <c r="P2188" s="5">
        <v>50469</v>
      </c>
      <c r="Q2188">
        <v>16</v>
      </c>
      <c r="R2188" t="s">
        <v>65</v>
      </c>
      <c r="T2188">
        <v>18</v>
      </c>
      <c r="U2188">
        <v>75.5</v>
      </c>
      <c r="V2188">
        <v>15</v>
      </c>
      <c r="W2188">
        <v>12.65</v>
      </c>
      <c r="X2188">
        <v>27.2</v>
      </c>
      <c r="Z2188" t="s">
        <v>39</v>
      </c>
      <c r="AB2188" t="s">
        <v>233</v>
      </c>
      <c r="AC2188" t="s">
        <v>56</v>
      </c>
    </row>
    <row r="2189" spans="1:30" x14ac:dyDescent="0.25">
      <c r="A2189" s="4">
        <v>42575</v>
      </c>
      <c r="B2189" t="s">
        <v>30</v>
      </c>
      <c r="C2189">
        <v>703</v>
      </c>
      <c r="D2189">
        <v>3</v>
      </c>
      <c r="E2189">
        <v>1</v>
      </c>
      <c r="F2189" t="s">
        <v>31</v>
      </c>
      <c r="G2189" t="s">
        <v>32</v>
      </c>
      <c r="H2189" t="s">
        <v>33</v>
      </c>
      <c r="I2189" t="s">
        <v>57</v>
      </c>
      <c r="O2189" s="5"/>
      <c r="P2189" s="5"/>
    </row>
    <row r="2190" spans="1:30" x14ac:dyDescent="0.25">
      <c r="A2190" s="4">
        <v>42575</v>
      </c>
      <c r="B2190" t="s">
        <v>30</v>
      </c>
      <c r="C2190">
        <v>703</v>
      </c>
      <c r="D2190">
        <v>3</v>
      </c>
      <c r="E2190">
        <v>2</v>
      </c>
      <c r="F2190" t="s">
        <v>31</v>
      </c>
      <c r="G2190" t="s">
        <v>32</v>
      </c>
      <c r="H2190" t="s">
        <v>33</v>
      </c>
      <c r="I2190" t="s">
        <v>34</v>
      </c>
      <c r="J2190" t="s">
        <v>35</v>
      </c>
      <c r="K2190" t="s">
        <v>114</v>
      </c>
      <c r="L2190" t="s">
        <v>37</v>
      </c>
      <c r="M2190">
        <v>0</v>
      </c>
      <c r="N2190">
        <v>0</v>
      </c>
      <c r="O2190" s="5">
        <v>50690</v>
      </c>
      <c r="P2190" s="5">
        <v>50689</v>
      </c>
      <c r="Q2190">
        <v>14</v>
      </c>
      <c r="R2190" t="s">
        <v>38</v>
      </c>
      <c r="S2190" t="s">
        <v>39</v>
      </c>
      <c r="T2190">
        <v>18</v>
      </c>
      <c r="U2190">
        <v>76</v>
      </c>
      <c r="V2190">
        <v>16</v>
      </c>
      <c r="W2190">
        <v>12.6</v>
      </c>
      <c r="X2190">
        <v>24.05</v>
      </c>
      <c r="Z2190" t="s">
        <v>39</v>
      </c>
      <c r="AB2190" t="s">
        <v>233</v>
      </c>
      <c r="AC2190" t="s">
        <v>56</v>
      </c>
    </row>
    <row r="2191" spans="1:30" x14ac:dyDescent="0.25">
      <c r="A2191" s="4">
        <v>42575</v>
      </c>
      <c r="B2191" t="s">
        <v>30</v>
      </c>
      <c r="C2191">
        <v>703</v>
      </c>
      <c r="D2191">
        <v>4</v>
      </c>
      <c r="E2191">
        <v>1</v>
      </c>
      <c r="F2191" t="s">
        <v>31</v>
      </c>
      <c r="G2191" t="s">
        <v>32</v>
      </c>
      <c r="H2191" t="s">
        <v>33</v>
      </c>
      <c r="I2191" t="s">
        <v>57</v>
      </c>
      <c r="O2191" s="5"/>
      <c r="P2191" s="5"/>
    </row>
    <row r="2192" spans="1:30" x14ac:dyDescent="0.25">
      <c r="A2192" s="4">
        <v>42575</v>
      </c>
      <c r="B2192" t="s">
        <v>30</v>
      </c>
      <c r="C2192">
        <v>703</v>
      </c>
      <c r="D2192">
        <v>5</v>
      </c>
      <c r="E2192">
        <v>1</v>
      </c>
      <c r="F2192" t="s">
        <v>31</v>
      </c>
      <c r="G2192" t="s">
        <v>32</v>
      </c>
      <c r="H2192" t="s">
        <v>33</v>
      </c>
      <c r="I2192" t="s">
        <v>57</v>
      </c>
      <c r="O2192" s="5"/>
      <c r="P2192" s="5"/>
    </row>
    <row r="2193" spans="1:29" x14ac:dyDescent="0.25">
      <c r="A2193" s="4">
        <v>42575</v>
      </c>
      <c r="B2193" t="s">
        <v>30</v>
      </c>
      <c r="C2193">
        <v>703</v>
      </c>
      <c r="D2193">
        <v>5</v>
      </c>
      <c r="E2193">
        <v>2</v>
      </c>
      <c r="F2193" t="s">
        <v>31</v>
      </c>
      <c r="G2193" t="s">
        <v>32</v>
      </c>
      <c r="H2193" t="s">
        <v>33</v>
      </c>
      <c r="I2193" t="s">
        <v>58</v>
      </c>
      <c r="J2193" t="s">
        <v>35</v>
      </c>
      <c r="K2193" t="s">
        <v>36</v>
      </c>
      <c r="L2193" t="s">
        <v>37</v>
      </c>
      <c r="M2193">
        <v>0</v>
      </c>
      <c r="N2193">
        <v>0</v>
      </c>
      <c r="O2193" s="5">
        <v>50509</v>
      </c>
      <c r="P2193" s="5"/>
      <c r="Q2193">
        <f>32-9.5</f>
        <v>22.5</v>
      </c>
      <c r="R2193" t="s">
        <v>83</v>
      </c>
      <c r="S2193" t="s">
        <v>39</v>
      </c>
      <c r="T2193">
        <v>15</v>
      </c>
      <c r="W2193">
        <v>12.4</v>
      </c>
      <c r="X2193">
        <v>25</v>
      </c>
      <c r="Z2193" t="s">
        <v>97</v>
      </c>
      <c r="AB2193" t="s">
        <v>233</v>
      </c>
      <c r="AC2193" t="s">
        <v>56</v>
      </c>
    </row>
    <row r="2194" spans="1:29" x14ac:dyDescent="0.25">
      <c r="A2194" s="4">
        <v>42575</v>
      </c>
      <c r="B2194" t="s">
        <v>30</v>
      </c>
      <c r="C2194">
        <v>703</v>
      </c>
      <c r="D2194">
        <v>6</v>
      </c>
      <c r="E2194">
        <v>1</v>
      </c>
      <c r="F2194" t="s">
        <v>31</v>
      </c>
      <c r="G2194" t="s">
        <v>32</v>
      </c>
      <c r="H2194" t="s">
        <v>33</v>
      </c>
      <c r="I2194" t="s">
        <v>34</v>
      </c>
      <c r="J2194" t="s">
        <v>35</v>
      </c>
      <c r="K2194" t="s">
        <v>114</v>
      </c>
      <c r="L2194" t="s">
        <v>37</v>
      </c>
      <c r="M2194">
        <v>0</v>
      </c>
      <c r="N2194">
        <v>0</v>
      </c>
      <c r="O2194" s="5">
        <v>50517</v>
      </c>
      <c r="P2194" s="5">
        <v>50516</v>
      </c>
      <c r="Q2194">
        <v>15</v>
      </c>
      <c r="R2194" t="s">
        <v>38</v>
      </c>
      <c r="S2194" t="s">
        <v>39</v>
      </c>
      <c r="T2194">
        <v>19</v>
      </c>
      <c r="U2194">
        <v>75</v>
      </c>
      <c r="V2194">
        <v>16</v>
      </c>
      <c r="W2194">
        <v>12.6</v>
      </c>
      <c r="X2194">
        <v>25</v>
      </c>
      <c r="Z2194" t="s">
        <v>39</v>
      </c>
      <c r="AB2194" t="s">
        <v>233</v>
      </c>
      <c r="AC2194" t="s">
        <v>56</v>
      </c>
    </row>
    <row r="2195" spans="1:29" x14ac:dyDescent="0.25">
      <c r="A2195" s="4">
        <v>42575</v>
      </c>
      <c r="B2195" t="s">
        <v>30</v>
      </c>
      <c r="C2195">
        <v>703</v>
      </c>
      <c r="D2195">
        <v>7</v>
      </c>
      <c r="E2195">
        <v>1</v>
      </c>
      <c r="F2195" t="s">
        <v>31</v>
      </c>
      <c r="G2195" t="s">
        <v>32</v>
      </c>
      <c r="H2195" t="s">
        <v>33</v>
      </c>
      <c r="I2195" t="s">
        <v>57</v>
      </c>
      <c r="O2195" s="5"/>
      <c r="P2195" s="5"/>
    </row>
    <row r="2196" spans="1:29" x14ac:dyDescent="0.25">
      <c r="A2196" s="4">
        <v>42575</v>
      </c>
      <c r="B2196" t="s">
        <v>30</v>
      </c>
      <c r="C2196">
        <v>703</v>
      </c>
      <c r="D2196">
        <v>7</v>
      </c>
      <c r="E2196">
        <v>2</v>
      </c>
      <c r="F2196" t="s">
        <v>31</v>
      </c>
      <c r="G2196" t="s">
        <v>32</v>
      </c>
      <c r="H2196" t="s">
        <v>33</v>
      </c>
      <c r="I2196" t="s">
        <v>58</v>
      </c>
      <c r="J2196" t="s">
        <v>35</v>
      </c>
      <c r="K2196" t="s">
        <v>89</v>
      </c>
      <c r="L2196" t="s">
        <v>37</v>
      </c>
      <c r="M2196">
        <v>0</v>
      </c>
      <c r="N2196">
        <v>0</v>
      </c>
      <c r="O2196" s="5"/>
      <c r="P2196" s="5">
        <v>50764</v>
      </c>
      <c r="Q2196">
        <f>28.5-11</f>
        <v>17.5</v>
      </c>
      <c r="R2196" t="s">
        <v>38</v>
      </c>
      <c r="S2196" t="s">
        <v>39</v>
      </c>
      <c r="T2196">
        <v>17</v>
      </c>
      <c r="W2196">
        <v>12.65</v>
      </c>
      <c r="X2196">
        <v>23.8</v>
      </c>
      <c r="Z2196" t="s">
        <v>97</v>
      </c>
      <c r="AB2196" t="s">
        <v>233</v>
      </c>
      <c r="AC2196" t="s">
        <v>56</v>
      </c>
    </row>
    <row r="2197" spans="1:29" x14ac:dyDescent="0.25">
      <c r="A2197" s="4">
        <v>42575</v>
      </c>
      <c r="B2197" t="s">
        <v>30</v>
      </c>
      <c r="C2197">
        <v>703</v>
      </c>
      <c r="D2197">
        <v>8</v>
      </c>
      <c r="E2197">
        <v>1</v>
      </c>
      <c r="F2197" t="s">
        <v>31</v>
      </c>
      <c r="G2197" t="s">
        <v>32</v>
      </c>
      <c r="H2197" t="s">
        <v>33</v>
      </c>
      <c r="I2197" t="s">
        <v>57</v>
      </c>
      <c r="O2197" s="5"/>
      <c r="P2197" s="5"/>
    </row>
    <row r="2198" spans="1:29" x14ac:dyDescent="0.25">
      <c r="A2198" s="4">
        <v>42575</v>
      </c>
      <c r="B2198" t="s">
        <v>30</v>
      </c>
      <c r="C2198">
        <v>703</v>
      </c>
      <c r="D2198">
        <v>8</v>
      </c>
      <c r="E2198">
        <v>2</v>
      </c>
      <c r="F2198" t="s">
        <v>31</v>
      </c>
      <c r="G2198" t="s">
        <v>32</v>
      </c>
      <c r="H2198" t="s">
        <v>33</v>
      </c>
      <c r="I2198" t="s">
        <v>57</v>
      </c>
      <c r="O2198" s="5"/>
      <c r="P2198" s="5"/>
    </row>
    <row r="2199" spans="1:29" x14ac:dyDescent="0.25">
      <c r="A2199" s="4">
        <v>42575</v>
      </c>
      <c r="B2199" t="s">
        <v>30</v>
      </c>
      <c r="C2199">
        <v>703</v>
      </c>
      <c r="D2199">
        <v>9</v>
      </c>
      <c r="E2199">
        <v>1</v>
      </c>
      <c r="F2199" t="s">
        <v>31</v>
      </c>
      <c r="G2199" t="s">
        <v>32</v>
      </c>
      <c r="H2199" t="s">
        <v>33</v>
      </c>
      <c r="I2199" t="s">
        <v>34</v>
      </c>
      <c r="J2199" t="s">
        <v>35</v>
      </c>
      <c r="K2199" t="s">
        <v>114</v>
      </c>
      <c r="L2199" t="s">
        <v>37</v>
      </c>
      <c r="M2199">
        <v>0</v>
      </c>
      <c r="N2199">
        <v>0</v>
      </c>
      <c r="O2199" s="5">
        <v>50612</v>
      </c>
      <c r="P2199" s="5">
        <v>50611</v>
      </c>
      <c r="Q2199">
        <f>23.5-11</f>
        <v>12.5</v>
      </c>
      <c r="R2199" t="s">
        <v>38</v>
      </c>
      <c r="S2199" t="s">
        <v>39</v>
      </c>
      <c r="T2199">
        <v>19</v>
      </c>
      <c r="U2199">
        <v>76</v>
      </c>
      <c r="V2199">
        <v>14</v>
      </c>
      <c r="W2199">
        <v>12.4</v>
      </c>
      <c r="X2199">
        <v>24.7</v>
      </c>
      <c r="Z2199" t="s">
        <v>39</v>
      </c>
      <c r="AB2199" t="s">
        <v>233</v>
      </c>
      <c r="AC2199" t="s">
        <v>56</v>
      </c>
    </row>
    <row r="2200" spans="1:29" x14ac:dyDescent="0.25">
      <c r="A2200" s="4">
        <v>42575</v>
      </c>
      <c r="B2200" t="s">
        <v>30</v>
      </c>
      <c r="C2200">
        <v>703</v>
      </c>
      <c r="D2200">
        <v>9</v>
      </c>
      <c r="E2200">
        <v>2</v>
      </c>
      <c r="F2200" t="s">
        <v>31</v>
      </c>
      <c r="G2200" t="s">
        <v>32</v>
      </c>
      <c r="H2200" t="s">
        <v>33</v>
      </c>
      <c r="I2200" t="s">
        <v>34</v>
      </c>
      <c r="J2200" t="s">
        <v>42</v>
      </c>
      <c r="K2200" t="s">
        <v>36</v>
      </c>
      <c r="L2200" t="s">
        <v>43</v>
      </c>
      <c r="M2200">
        <v>0</v>
      </c>
      <c r="N2200">
        <v>0</v>
      </c>
      <c r="O2200" s="5">
        <v>50866</v>
      </c>
      <c r="P2200" s="5">
        <v>50865</v>
      </c>
      <c r="Q2200">
        <f>32-11</f>
        <v>21</v>
      </c>
      <c r="R2200" t="s">
        <v>47</v>
      </c>
      <c r="S2200" t="s">
        <v>39</v>
      </c>
      <c r="T2200">
        <v>20</v>
      </c>
      <c r="U2200">
        <v>94</v>
      </c>
      <c r="V2200">
        <v>17.5</v>
      </c>
      <c r="W2200">
        <v>13.7</v>
      </c>
      <c r="X2200">
        <v>28.1</v>
      </c>
      <c r="Z2200" t="s">
        <v>39</v>
      </c>
      <c r="AB2200" t="s">
        <v>233</v>
      </c>
      <c r="AC2200" t="s">
        <v>56</v>
      </c>
    </row>
    <row r="2201" spans="1:29" x14ac:dyDescent="0.25">
      <c r="A2201" s="4">
        <v>42575</v>
      </c>
      <c r="B2201" t="s">
        <v>30</v>
      </c>
      <c r="C2201">
        <v>703</v>
      </c>
      <c r="D2201">
        <v>10</v>
      </c>
      <c r="E2201">
        <v>1</v>
      </c>
      <c r="F2201" t="s">
        <v>31</v>
      </c>
      <c r="G2201" t="s">
        <v>32</v>
      </c>
      <c r="H2201" t="s">
        <v>33</v>
      </c>
      <c r="I2201" t="s">
        <v>53</v>
      </c>
      <c r="J2201" t="s">
        <v>123</v>
      </c>
      <c r="O2201" s="5"/>
      <c r="P2201" s="5"/>
    </row>
    <row r="2202" spans="1:29" x14ac:dyDescent="0.25">
      <c r="A2202" s="4">
        <v>42575</v>
      </c>
      <c r="B2202" t="s">
        <v>30</v>
      </c>
      <c r="C2202">
        <v>701</v>
      </c>
      <c r="D2202">
        <v>1</v>
      </c>
      <c r="E2202">
        <v>1</v>
      </c>
      <c r="F2202" t="s">
        <v>31</v>
      </c>
      <c r="G2202" t="s">
        <v>32</v>
      </c>
      <c r="H2202" t="s">
        <v>33</v>
      </c>
      <c r="I2202" t="s">
        <v>57</v>
      </c>
      <c r="O2202" s="5"/>
      <c r="P2202" s="5"/>
    </row>
    <row r="2203" spans="1:29" x14ac:dyDescent="0.25">
      <c r="A2203" s="4">
        <v>42575</v>
      </c>
      <c r="B2203" t="s">
        <v>30</v>
      </c>
      <c r="C2203">
        <v>701</v>
      </c>
      <c r="D2203">
        <v>1</v>
      </c>
      <c r="E2203">
        <v>2</v>
      </c>
      <c r="F2203" t="s">
        <v>31</v>
      </c>
      <c r="G2203" t="s">
        <v>32</v>
      </c>
      <c r="H2203" t="s">
        <v>33</v>
      </c>
      <c r="I2203" t="s">
        <v>57</v>
      </c>
      <c r="O2203" s="5"/>
      <c r="P2203" s="5"/>
    </row>
    <row r="2204" spans="1:29" x14ac:dyDescent="0.25">
      <c r="A2204" s="4">
        <v>42575</v>
      </c>
      <c r="B2204" t="s">
        <v>30</v>
      </c>
      <c r="C2204">
        <v>701</v>
      </c>
      <c r="D2204">
        <v>2</v>
      </c>
      <c r="E2204">
        <v>1</v>
      </c>
      <c r="F2204" t="s">
        <v>31</v>
      </c>
      <c r="G2204" t="s">
        <v>32</v>
      </c>
      <c r="H2204" t="s">
        <v>33</v>
      </c>
      <c r="I2204" t="s">
        <v>34</v>
      </c>
      <c r="J2204" t="s">
        <v>35</v>
      </c>
      <c r="K2204" t="s">
        <v>114</v>
      </c>
      <c r="L2204" t="s">
        <v>43</v>
      </c>
      <c r="M2204">
        <v>0</v>
      </c>
      <c r="N2204">
        <v>0</v>
      </c>
      <c r="O2204" s="5">
        <v>50506</v>
      </c>
      <c r="P2204" s="5">
        <v>50505</v>
      </c>
      <c r="Q2204">
        <v>17</v>
      </c>
      <c r="R2204" t="s">
        <v>65</v>
      </c>
      <c r="T2204">
        <v>19</v>
      </c>
      <c r="U2204">
        <v>88</v>
      </c>
      <c r="V2204">
        <v>18</v>
      </c>
      <c r="W2204">
        <v>13.1</v>
      </c>
      <c r="X2204">
        <v>25.9</v>
      </c>
      <c r="Z2204" t="s">
        <v>97</v>
      </c>
      <c r="AB2204" t="s">
        <v>233</v>
      </c>
      <c r="AC2204" t="s">
        <v>56</v>
      </c>
    </row>
    <row r="2205" spans="1:29" x14ac:dyDescent="0.25">
      <c r="A2205" s="4">
        <v>42575</v>
      </c>
      <c r="B2205" t="s">
        <v>30</v>
      </c>
      <c r="C2205">
        <v>701</v>
      </c>
      <c r="D2205">
        <v>2</v>
      </c>
      <c r="E2205">
        <v>2</v>
      </c>
      <c r="F2205" t="s">
        <v>31</v>
      </c>
      <c r="G2205" t="s">
        <v>32</v>
      </c>
      <c r="H2205" t="s">
        <v>33</v>
      </c>
      <c r="I2205" t="s">
        <v>34</v>
      </c>
      <c r="J2205" t="s">
        <v>35</v>
      </c>
      <c r="K2205" t="s">
        <v>36</v>
      </c>
      <c r="L2205" t="s">
        <v>37</v>
      </c>
      <c r="M2205">
        <v>0</v>
      </c>
      <c r="N2205">
        <v>0</v>
      </c>
      <c r="O2205" s="5">
        <v>50459</v>
      </c>
      <c r="P2205" s="5">
        <v>50458</v>
      </c>
      <c r="Q2205">
        <f>36-14</f>
        <v>22</v>
      </c>
      <c r="R2205" t="s">
        <v>38</v>
      </c>
      <c r="S2205" t="s">
        <v>39</v>
      </c>
      <c r="T2205">
        <v>18</v>
      </c>
      <c r="U2205">
        <v>80</v>
      </c>
      <c r="V2205">
        <v>18</v>
      </c>
      <c r="W2205">
        <v>12.5</v>
      </c>
      <c r="X2205">
        <v>25.9</v>
      </c>
      <c r="Z2205" t="s">
        <v>39</v>
      </c>
      <c r="AB2205" t="s">
        <v>233</v>
      </c>
      <c r="AC2205" t="s">
        <v>56</v>
      </c>
    </row>
    <row r="2206" spans="1:29" x14ac:dyDescent="0.25">
      <c r="A2206" s="4">
        <v>42575</v>
      </c>
      <c r="B2206" t="s">
        <v>30</v>
      </c>
      <c r="C2206">
        <v>701</v>
      </c>
      <c r="D2206">
        <v>3</v>
      </c>
      <c r="E2206">
        <v>1</v>
      </c>
      <c r="F2206" t="s">
        <v>31</v>
      </c>
      <c r="G2206" t="s">
        <v>32</v>
      </c>
      <c r="H2206" t="s">
        <v>33</v>
      </c>
      <c r="I2206" t="s">
        <v>57</v>
      </c>
      <c r="O2206" s="5"/>
      <c r="P2206" s="5"/>
    </row>
    <row r="2207" spans="1:29" x14ac:dyDescent="0.25">
      <c r="A2207" s="4">
        <v>42575</v>
      </c>
      <c r="B2207" t="s">
        <v>30</v>
      </c>
      <c r="C2207">
        <v>701</v>
      </c>
      <c r="D2207">
        <v>3</v>
      </c>
      <c r="E2207">
        <v>2</v>
      </c>
      <c r="F2207" t="s">
        <v>31</v>
      </c>
      <c r="G2207" t="s">
        <v>32</v>
      </c>
      <c r="H2207" t="s">
        <v>33</v>
      </c>
      <c r="I2207" t="s">
        <v>34</v>
      </c>
      <c r="J2207" t="s">
        <v>35</v>
      </c>
      <c r="K2207" t="s">
        <v>36</v>
      </c>
      <c r="L2207" t="s">
        <v>43</v>
      </c>
      <c r="M2207">
        <v>0</v>
      </c>
      <c r="N2207">
        <v>0</v>
      </c>
      <c r="O2207" s="5">
        <v>50370</v>
      </c>
      <c r="P2207" s="5">
        <v>50369</v>
      </c>
      <c r="Q2207">
        <v>20</v>
      </c>
      <c r="R2207" t="s">
        <v>65</v>
      </c>
      <c r="T2207">
        <v>18</v>
      </c>
      <c r="U2207">
        <v>76</v>
      </c>
      <c r="V2207">
        <v>19</v>
      </c>
      <c r="W2207">
        <v>12.6</v>
      </c>
      <c r="X2207">
        <v>25.8</v>
      </c>
      <c r="Z2207" t="s">
        <v>97</v>
      </c>
      <c r="AB2207" t="s">
        <v>233</v>
      </c>
      <c r="AC2207" t="s">
        <v>56</v>
      </c>
    </row>
    <row r="2208" spans="1:29" x14ac:dyDescent="0.25">
      <c r="A2208" s="4">
        <v>42575</v>
      </c>
      <c r="B2208" t="s">
        <v>30</v>
      </c>
      <c r="C2208">
        <v>701</v>
      </c>
      <c r="D2208">
        <v>4</v>
      </c>
      <c r="E2208">
        <v>1</v>
      </c>
      <c r="F2208" t="s">
        <v>31</v>
      </c>
      <c r="G2208" t="s">
        <v>32</v>
      </c>
      <c r="H2208" t="s">
        <v>33</v>
      </c>
      <c r="I2208" t="s">
        <v>58</v>
      </c>
      <c r="J2208" t="s">
        <v>35</v>
      </c>
      <c r="K2208" t="s">
        <v>36</v>
      </c>
      <c r="L2208" t="s">
        <v>37</v>
      </c>
      <c r="M2208">
        <v>0</v>
      </c>
      <c r="N2208">
        <v>0</v>
      </c>
      <c r="O2208" s="5">
        <v>50759</v>
      </c>
      <c r="P2208" s="5"/>
      <c r="Q2208">
        <f>35-8</f>
        <v>27</v>
      </c>
      <c r="R2208" t="s">
        <v>81</v>
      </c>
      <c r="S2208" t="s">
        <v>39</v>
      </c>
      <c r="T2208">
        <v>17</v>
      </c>
      <c r="W2208">
        <v>13.7</v>
      </c>
      <c r="X2208">
        <v>26.6</v>
      </c>
      <c r="Z2208" t="s">
        <v>97</v>
      </c>
      <c r="AB2208" t="s">
        <v>233</v>
      </c>
      <c r="AC2208" t="s">
        <v>56</v>
      </c>
    </row>
    <row r="2209" spans="1:30" x14ac:dyDescent="0.25">
      <c r="A2209" s="4">
        <v>42575</v>
      </c>
      <c r="B2209" t="s">
        <v>30</v>
      </c>
      <c r="C2209">
        <v>701</v>
      </c>
      <c r="D2209">
        <v>4</v>
      </c>
      <c r="E2209">
        <v>2</v>
      </c>
      <c r="F2209" t="s">
        <v>31</v>
      </c>
      <c r="G2209" t="s">
        <v>32</v>
      </c>
      <c r="H2209" t="s">
        <v>33</v>
      </c>
      <c r="I2209" t="s">
        <v>34</v>
      </c>
      <c r="J2209" t="s">
        <v>35</v>
      </c>
      <c r="K2209" t="s">
        <v>36</v>
      </c>
      <c r="L2209" t="s">
        <v>43</v>
      </c>
      <c r="M2209">
        <v>0</v>
      </c>
      <c r="N2209">
        <v>0</v>
      </c>
      <c r="O2209" s="5">
        <v>50468</v>
      </c>
      <c r="P2209" s="5">
        <v>50467</v>
      </c>
      <c r="Q2209">
        <v>23</v>
      </c>
      <c r="R2209" t="s">
        <v>47</v>
      </c>
      <c r="T2209">
        <v>19</v>
      </c>
      <c r="U2209">
        <v>93</v>
      </c>
      <c r="V2209">
        <v>20</v>
      </c>
      <c r="W2209">
        <v>14</v>
      </c>
      <c r="X2209">
        <v>29.7</v>
      </c>
      <c r="Z2209" t="s">
        <v>39</v>
      </c>
      <c r="AB2209" t="s">
        <v>233</v>
      </c>
      <c r="AC2209" t="s">
        <v>56</v>
      </c>
    </row>
    <row r="2210" spans="1:30" x14ac:dyDescent="0.25">
      <c r="A2210" s="4">
        <v>42575</v>
      </c>
      <c r="B2210" t="s">
        <v>30</v>
      </c>
      <c r="C2210">
        <v>701</v>
      </c>
      <c r="D2210">
        <v>5</v>
      </c>
      <c r="E2210">
        <v>1</v>
      </c>
      <c r="F2210" t="s">
        <v>31</v>
      </c>
      <c r="G2210" t="s">
        <v>32</v>
      </c>
      <c r="H2210" t="s">
        <v>33</v>
      </c>
      <c r="I2210" t="s">
        <v>57</v>
      </c>
      <c r="O2210" s="5"/>
      <c r="P2210" s="5"/>
    </row>
    <row r="2211" spans="1:30" x14ac:dyDescent="0.25">
      <c r="A2211" s="4">
        <v>42575</v>
      </c>
      <c r="B2211" t="s">
        <v>30</v>
      </c>
      <c r="C2211">
        <v>701</v>
      </c>
      <c r="D2211">
        <v>5</v>
      </c>
      <c r="E2211">
        <v>2</v>
      </c>
      <c r="F2211" t="s">
        <v>31</v>
      </c>
      <c r="G2211" t="s">
        <v>32</v>
      </c>
      <c r="H2211" t="s">
        <v>33</v>
      </c>
      <c r="I2211" t="s">
        <v>91</v>
      </c>
      <c r="J2211" t="s">
        <v>35</v>
      </c>
      <c r="K2211" t="s">
        <v>36</v>
      </c>
      <c r="L2211" t="s">
        <v>37</v>
      </c>
      <c r="M2211">
        <v>0</v>
      </c>
      <c r="N2211">
        <v>0</v>
      </c>
      <c r="O2211" s="5">
        <v>50858</v>
      </c>
      <c r="P2211" s="5"/>
      <c r="Q2211">
        <v>23</v>
      </c>
      <c r="R2211" t="s">
        <v>74</v>
      </c>
      <c r="S2211" t="s">
        <v>97</v>
      </c>
      <c r="T2211">
        <v>30</v>
      </c>
      <c r="W2211">
        <v>13.1</v>
      </c>
      <c r="X2211">
        <v>28.2</v>
      </c>
      <c r="Z2211" t="s">
        <v>39</v>
      </c>
      <c r="AB2211" t="s">
        <v>233</v>
      </c>
      <c r="AC2211" t="s">
        <v>56</v>
      </c>
    </row>
    <row r="2212" spans="1:30" x14ac:dyDescent="0.25">
      <c r="A2212" s="4">
        <v>42575</v>
      </c>
      <c r="B2212" t="s">
        <v>30</v>
      </c>
      <c r="C2212">
        <v>701</v>
      </c>
      <c r="D2212">
        <v>6</v>
      </c>
      <c r="E2212">
        <v>1</v>
      </c>
      <c r="F2212" t="s">
        <v>31</v>
      </c>
      <c r="G2212" t="s">
        <v>32</v>
      </c>
      <c r="H2212" t="s">
        <v>33</v>
      </c>
      <c r="I2212" t="s">
        <v>34</v>
      </c>
      <c r="J2212" t="s">
        <v>35</v>
      </c>
      <c r="K2212" t="s">
        <v>114</v>
      </c>
      <c r="L2212" t="s">
        <v>43</v>
      </c>
      <c r="M2212">
        <v>0</v>
      </c>
      <c r="N2212">
        <v>0</v>
      </c>
      <c r="O2212" s="5">
        <v>50503</v>
      </c>
      <c r="P2212" s="5">
        <v>50502</v>
      </c>
      <c r="Q2212">
        <v>14.5</v>
      </c>
      <c r="R2212" t="s">
        <v>65</v>
      </c>
      <c r="T2212">
        <v>19</v>
      </c>
      <c r="U2212">
        <v>85</v>
      </c>
      <c r="V2212">
        <v>16</v>
      </c>
      <c r="W2212">
        <v>12.9</v>
      </c>
      <c r="X2212">
        <v>26.7</v>
      </c>
      <c r="Z2212" t="s">
        <v>39</v>
      </c>
      <c r="AB2212" t="s">
        <v>233</v>
      </c>
      <c r="AC2212" t="s">
        <v>56</v>
      </c>
    </row>
    <row r="2213" spans="1:30" x14ac:dyDescent="0.25">
      <c r="A2213" s="4">
        <v>42575</v>
      </c>
      <c r="B2213" t="s">
        <v>30</v>
      </c>
      <c r="C2213">
        <v>701</v>
      </c>
      <c r="D2213">
        <v>6</v>
      </c>
      <c r="E2213">
        <v>2</v>
      </c>
      <c r="F2213" t="s">
        <v>31</v>
      </c>
      <c r="G2213" t="s">
        <v>32</v>
      </c>
      <c r="H2213" t="s">
        <v>33</v>
      </c>
      <c r="I2213" t="s">
        <v>34</v>
      </c>
      <c r="J2213" t="s">
        <v>35</v>
      </c>
      <c r="K2213" t="s">
        <v>114</v>
      </c>
      <c r="L2213" t="s">
        <v>43</v>
      </c>
      <c r="M2213">
        <v>0</v>
      </c>
      <c r="N2213">
        <v>0</v>
      </c>
      <c r="O2213" s="5">
        <v>50761</v>
      </c>
      <c r="P2213" s="5">
        <v>50760</v>
      </c>
      <c r="Q2213">
        <v>17</v>
      </c>
      <c r="R2213" t="s">
        <v>65</v>
      </c>
      <c r="T2213">
        <v>19</v>
      </c>
      <c r="U2213">
        <v>86</v>
      </c>
      <c r="V2213">
        <v>18</v>
      </c>
      <c r="W2213">
        <v>13</v>
      </c>
      <c r="X2213">
        <v>27.5</v>
      </c>
      <c r="Z2213" t="s">
        <v>39</v>
      </c>
      <c r="AB2213" t="s">
        <v>233</v>
      </c>
      <c r="AC2213" t="s">
        <v>56</v>
      </c>
    </row>
    <row r="2214" spans="1:30" x14ac:dyDescent="0.25">
      <c r="A2214" s="4">
        <v>42575</v>
      </c>
      <c r="B2214" t="s">
        <v>30</v>
      </c>
      <c r="C2214">
        <v>701</v>
      </c>
      <c r="D2214">
        <v>7</v>
      </c>
      <c r="E2214">
        <v>1</v>
      </c>
      <c r="F2214" t="s">
        <v>31</v>
      </c>
      <c r="G2214" t="s">
        <v>32</v>
      </c>
      <c r="H2214" t="s">
        <v>33</v>
      </c>
      <c r="I2214" t="s">
        <v>57</v>
      </c>
      <c r="O2214" s="5"/>
      <c r="P2214" s="5"/>
    </row>
    <row r="2215" spans="1:30" x14ac:dyDescent="0.25">
      <c r="A2215" s="4">
        <v>42575</v>
      </c>
      <c r="B2215" t="s">
        <v>30</v>
      </c>
      <c r="C2215">
        <v>701</v>
      </c>
      <c r="D2215">
        <v>8</v>
      </c>
      <c r="E2215">
        <v>1</v>
      </c>
      <c r="F2215" t="s">
        <v>31</v>
      </c>
      <c r="G2215" t="s">
        <v>32</v>
      </c>
      <c r="H2215" t="s">
        <v>33</v>
      </c>
      <c r="I2215" t="s">
        <v>53</v>
      </c>
      <c r="J2215" t="s">
        <v>62</v>
      </c>
      <c r="O2215" s="5"/>
      <c r="P2215" s="5"/>
    </row>
    <row r="2216" spans="1:30" x14ac:dyDescent="0.25">
      <c r="A2216" s="4">
        <v>42575</v>
      </c>
      <c r="B2216" t="s">
        <v>30</v>
      </c>
      <c r="C2216" s="6">
        <v>701</v>
      </c>
      <c r="D2216">
        <v>8</v>
      </c>
      <c r="E2216">
        <v>2</v>
      </c>
      <c r="F2216" t="s">
        <v>31</v>
      </c>
      <c r="G2216" t="s">
        <v>32</v>
      </c>
      <c r="H2216" t="s">
        <v>33</v>
      </c>
      <c r="I2216" t="s">
        <v>58</v>
      </c>
      <c r="J2216" t="s">
        <v>35</v>
      </c>
      <c r="K2216" t="s">
        <v>36</v>
      </c>
      <c r="L2216" t="s">
        <v>43</v>
      </c>
      <c r="M2216">
        <v>0</v>
      </c>
      <c r="N2216">
        <v>0</v>
      </c>
      <c r="O2216" s="5">
        <v>50515</v>
      </c>
      <c r="P2216" s="5"/>
      <c r="Q2216">
        <f>34-12</f>
        <v>22</v>
      </c>
      <c r="R2216" t="s">
        <v>47</v>
      </c>
      <c r="T2216">
        <v>17</v>
      </c>
      <c r="W2216">
        <v>12.8</v>
      </c>
      <c r="X2216">
        <v>26.2</v>
      </c>
      <c r="Z2216" t="s">
        <v>97</v>
      </c>
      <c r="AB2216" t="s">
        <v>233</v>
      </c>
      <c r="AC2216" t="s">
        <v>56</v>
      </c>
      <c r="AD2216" t="s">
        <v>278</v>
      </c>
    </row>
    <row r="2217" spans="1:30" x14ac:dyDescent="0.25">
      <c r="A2217" s="4">
        <v>42575</v>
      </c>
      <c r="B2217" t="s">
        <v>30</v>
      </c>
      <c r="C2217">
        <v>701</v>
      </c>
      <c r="D2217">
        <v>9</v>
      </c>
      <c r="E2217">
        <v>1</v>
      </c>
      <c r="F2217" t="s">
        <v>31</v>
      </c>
      <c r="G2217" t="s">
        <v>32</v>
      </c>
      <c r="H2217" t="s">
        <v>33</v>
      </c>
      <c r="I2217" t="s">
        <v>34</v>
      </c>
      <c r="J2217" t="s">
        <v>35</v>
      </c>
      <c r="K2217" t="s">
        <v>114</v>
      </c>
      <c r="L2217" t="s">
        <v>37</v>
      </c>
      <c r="M2217">
        <v>0</v>
      </c>
      <c r="N2217">
        <v>0</v>
      </c>
      <c r="O2217" s="5">
        <v>50700</v>
      </c>
      <c r="P2217" s="5">
        <v>50699</v>
      </c>
      <c r="Q2217">
        <f>27-13</f>
        <v>14</v>
      </c>
      <c r="R2217" t="s">
        <v>38</v>
      </c>
      <c r="S2217" t="s">
        <v>39</v>
      </c>
      <c r="T2217">
        <v>18</v>
      </c>
      <c r="U2217">
        <v>74</v>
      </c>
      <c r="V2217">
        <v>16.5</v>
      </c>
      <c r="W2217">
        <v>12.3</v>
      </c>
      <c r="X2217">
        <v>23.75</v>
      </c>
      <c r="Z2217" t="s">
        <v>39</v>
      </c>
      <c r="AB2217" t="s">
        <v>233</v>
      </c>
      <c r="AC2217" t="s">
        <v>56</v>
      </c>
    </row>
    <row r="2218" spans="1:30" x14ac:dyDescent="0.25">
      <c r="A2218" s="4">
        <v>42575</v>
      </c>
      <c r="B2218" t="s">
        <v>30</v>
      </c>
      <c r="C2218">
        <v>701</v>
      </c>
      <c r="D2218">
        <v>9</v>
      </c>
      <c r="E2218">
        <v>2</v>
      </c>
      <c r="F2218" t="s">
        <v>31</v>
      </c>
      <c r="G2218" t="s">
        <v>32</v>
      </c>
      <c r="H2218" t="s">
        <v>33</v>
      </c>
      <c r="I2218" t="s">
        <v>34</v>
      </c>
      <c r="J2218" t="s">
        <v>35</v>
      </c>
      <c r="K2218" t="s">
        <v>89</v>
      </c>
      <c r="L2218" t="s">
        <v>37</v>
      </c>
      <c r="M2218">
        <v>0</v>
      </c>
      <c r="N2218">
        <v>0</v>
      </c>
      <c r="O2218" s="5">
        <v>50610</v>
      </c>
      <c r="P2218" s="5">
        <v>50609</v>
      </c>
      <c r="Q2218">
        <v>13.5</v>
      </c>
      <c r="R2218" t="s">
        <v>38</v>
      </c>
      <c r="S2218" t="s">
        <v>39</v>
      </c>
      <c r="T2218">
        <v>18</v>
      </c>
      <c r="U2218">
        <v>70</v>
      </c>
      <c r="V2218">
        <v>16</v>
      </c>
      <c r="W2218">
        <v>12.5</v>
      </c>
      <c r="X2218">
        <v>25</v>
      </c>
      <c r="Z2218" t="s">
        <v>39</v>
      </c>
      <c r="AB2218" t="s">
        <v>233</v>
      </c>
      <c r="AC2218" t="s">
        <v>56</v>
      </c>
    </row>
    <row r="2219" spans="1:30" x14ac:dyDescent="0.25">
      <c r="A2219" s="4">
        <v>42575</v>
      </c>
      <c r="B2219" t="s">
        <v>30</v>
      </c>
      <c r="C2219">
        <v>801</v>
      </c>
      <c r="D2219">
        <v>1</v>
      </c>
      <c r="E2219">
        <v>1</v>
      </c>
      <c r="F2219" t="s">
        <v>31</v>
      </c>
      <c r="G2219" t="s">
        <v>32</v>
      </c>
      <c r="H2219" t="s">
        <v>33</v>
      </c>
      <c r="I2219" t="s">
        <v>34</v>
      </c>
      <c r="J2219" t="s">
        <v>42</v>
      </c>
      <c r="K2219" t="s">
        <v>114</v>
      </c>
      <c r="L2219" t="s">
        <v>37</v>
      </c>
      <c r="M2219">
        <v>0</v>
      </c>
      <c r="N2219">
        <v>1</v>
      </c>
      <c r="O2219" s="5">
        <v>50868</v>
      </c>
      <c r="P2219" s="5">
        <v>50867</v>
      </c>
      <c r="Q2219">
        <f>27-10.5</f>
        <v>16.5</v>
      </c>
      <c r="R2219" t="s">
        <v>38</v>
      </c>
      <c r="S2219" t="s">
        <v>39</v>
      </c>
      <c r="T2219">
        <v>18</v>
      </c>
      <c r="U2219">
        <v>72</v>
      </c>
      <c r="V2219">
        <v>16</v>
      </c>
      <c r="W2219">
        <v>12.5</v>
      </c>
      <c r="X2219">
        <v>25.3</v>
      </c>
      <c r="Z2219" t="s">
        <v>39</v>
      </c>
      <c r="AB2219" t="s">
        <v>233</v>
      </c>
      <c r="AC2219" t="s">
        <v>56</v>
      </c>
    </row>
    <row r="2220" spans="1:30" x14ac:dyDescent="0.25">
      <c r="A2220" s="4">
        <v>42575</v>
      </c>
      <c r="B2220" t="s">
        <v>30</v>
      </c>
      <c r="C2220">
        <v>801</v>
      </c>
      <c r="D2220">
        <v>2</v>
      </c>
      <c r="E2220">
        <v>1</v>
      </c>
      <c r="F2220" t="s">
        <v>31</v>
      </c>
      <c r="G2220" t="s">
        <v>32</v>
      </c>
      <c r="H2220" t="s">
        <v>33</v>
      </c>
      <c r="I2220" t="s">
        <v>57</v>
      </c>
      <c r="O2220" s="5"/>
      <c r="P2220" s="5"/>
    </row>
    <row r="2221" spans="1:30" x14ac:dyDescent="0.25">
      <c r="A2221" s="4">
        <v>42575</v>
      </c>
      <c r="B2221" t="s">
        <v>30</v>
      </c>
      <c r="C2221">
        <v>801</v>
      </c>
      <c r="D2221">
        <v>4</v>
      </c>
      <c r="E2221">
        <v>1</v>
      </c>
      <c r="F2221" t="s">
        <v>31</v>
      </c>
      <c r="G2221" t="s">
        <v>32</v>
      </c>
      <c r="H2221" t="s">
        <v>33</v>
      </c>
      <c r="I2221" t="s">
        <v>57</v>
      </c>
      <c r="O2221" s="5"/>
      <c r="P2221" s="5"/>
    </row>
    <row r="2222" spans="1:30" x14ac:dyDescent="0.25">
      <c r="A2222" s="4">
        <v>42575</v>
      </c>
      <c r="B2222" t="s">
        <v>30</v>
      </c>
      <c r="C2222">
        <v>801</v>
      </c>
      <c r="D2222">
        <v>4</v>
      </c>
      <c r="E2222">
        <v>2</v>
      </c>
      <c r="F2222" t="s">
        <v>31</v>
      </c>
      <c r="G2222" t="s">
        <v>32</v>
      </c>
      <c r="H2222" t="s">
        <v>33</v>
      </c>
      <c r="I2222" t="s">
        <v>57</v>
      </c>
      <c r="O2222" s="5"/>
      <c r="P2222" s="5"/>
    </row>
    <row r="2223" spans="1:30" x14ac:dyDescent="0.25">
      <c r="A2223" s="4">
        <v>42575</v>
      </c>
      <c r="B2223" t="s">
        <v>30</v>
      </c>
      <c r="C2223">
        <v>801</v>
      </c>
      <c r="D2223">
        <v>5</v>
      </c>
      <c r="E2223">
        <v>1</v>
      </c>
      <c r="F2223" t="s">
        <v>31</v>
      </c>
      <c r="G2223" t="s">
        <v>32</v>
      </c>
      <c r="H2223" t="s">
        <v>33</v>
      </c>
      <c r="I2223" t="s">
        <v>73</v>
      </c>
      <c r="J2223" t="s">
        <v>35</v>
      </c>
      <c r="K2223" t="s">
        <v>36</v>
      </c>
      <c r="L2223" t="s">
        <v>43</v>
      </c>
      <c r="M2223">
        <v>0</v>
      </c>
      <c r="N2223">
        <v>0</v>
      </c>
      <c r="O2223" s="5">
        <v>50677</v>
      </c>
      <c r="P2223" s="5">
        <v>50676</v>
      </c>
      <c r="Q2223">
        <f>32-10.5</f>
        <v>21.5</v>
      </c>
      <c r="R2223" t="s">
        <v>47</v>
      </c>
      <c r="T2223">
        <v>18</v>
      </c>
      <c r="U2223">
        <v>87.5</v>
      </c>
      <c r="V2223">
        <v>16</v>
      </c>
      <c r="W2223">
        <v>13.7</v>
      </c>
      <c r="X2223">
        <v>24.5</v>
      </c>
      <c r="Z2223" t="s">
        <v>39</v>
      </c>
      <c r="AB2223" t="s">
        <v>233</v>
      </c>
      <c r="AC2223" t="s">
        <v>56</v>
      </c>
    </row>
    <row r="2224" spans="1:30" x14ac:dyDescent="0.25">
      <c r="A2224" s="4">
        <v>42575</v>
      </c>
      <c r="B2224" t="s">
        <v>30</v>
      </c>
      <c r="C2224">
        <v>801</v>
      </c>
      <c r="D2224">
        <v>5</v>
      </c>
      <c r="E2224">
        <v>2</v>
      </c>
      <c r="F2224" t="s">
        <v>31</v>
      </c>
      <c r="G2224" t="s">
        <v>32</v>
      </c>
      <c r="H2224" t="s">
        <v>33</v>
      </c>
      <c r="I2224" t="s">
        <v>57</v>
      </c>
      <c r="O2224" s="5"/>
      <c r="P2224" s="5"/>
    </row>
    <row r="2225" spans="1:29" x14ac:dyDescent="0.25">
      <c r="A2225" s="4">
        <v>42575</v>
      </c>
      <c r="B2225" t="s">
        <v>30</v>
      </c>
      <c r="C2225">
        <v>801</v>
      </c>
      <c r="D2225">
        <v>6</v>
      </c>
      <c r="E2225">
        <v>1</v>
      </c>
      <c r="F2225" t="s">
        <v>31</v>
      </c>
      <c r="G2225" t="s">
        <v>32</v>
      </c>
      <c r="H2225" t="s">
        <v>33</v>
      </c>
      <c r="I2225" t="s">
        <v>57</v>
      </c>
      <c r="O2225" s="5"/>
      <c r="P2225" s="5"/>
    </row>
    <row r="2226" spans="1:29" x14ac:dyDescent="0.25">
      <c r="A2226" s="4">
        <v>42575</v>
      </c>
      <c r="B2226" t="s">
        <v>30</v>
      </c>
      <c r="C2226">
        <v>801</v>
      </c>
      <c r="D2226">
        <v>6</v>
      </c>
      <c r="E2226">
        <v>2</v>
      </c>
      <c r="F2226" t="s">
        <v>31</v>
      </c>
      <c r="G2226" t="s">
        <v>32</v>
      </c>
      <c r="H2226" t="s">
        <v>33</v>
      </c>
      <c r="I2226" t="s">
        <v>58</v>
      </c>
      <c r="J2226" t="s">
        <v>35</v>
      </c>
      <c r="K2226" t="s">
        <v>36</v>
      </c>
      <c r="L2226" t="s">
        <v>37</v>
      </c>
      <c r="M2226">
        <v>0</v>
      </c>
      <c r="N2226">
        <v>0</v>
      </c>
      <c r="O2226" s="5">
        <v>50756</v>
      </c>
      <c r="P2226" s="5"/>
      <c r="Q2226">
        <f>41-11.5</f>
        <v>29.5</v>
      </c>
      <c r="R2226" t="s">
        <v>74</v>
      </c>
      <c r="S2226" t="s">
        <v>97</v>
      </c>
      <c r="T2226">
        <v>17</v>
      </c>
      <c r="W2226">
        <v>13.7</v>
      </c>
      <c r="X2226">
        <v>28.3</v>
      </c>
      <c r="Z2226" t="s">
        <v>39</v>
      </c>
      <c r="AB2226" t="s">
        <v>233</v>
      </c>
      <c r="AC2226" t="s">
        <v>56</v>
      </c>
    </row>
    <row r="2227" spans="1:29" x14ac:dyDescent="0.25">
      <c r="A2227" s="4">
        <v>42575</v>
      </c>
      <c r="B2227" t="s">
        <v>30</v>
      </c>
      <c r="C2227">
        <v>801</v>
      </c>
      <c r="D2227">
        <v>7</v>
      </c>
      <c r="E2227">
        <v>1</v>
      </c>
      <c r="F2227" t="s">
        <v>31</v>
      </c>
      <c r="G2227" t="s">
        <v>32</v>
      </c>
      <c r="H2227" t="s">
        <v>33</v>
      </c>
      <c r="I2227" t="s">
        <v>57</v>
      </c>
      <c r="O2227" s="5"/>
      <c r="P2227" s="5"/>
    </row>
    <row r="2228" spans="1:29" x14ac:dyDescent="0.25">
      <c r="A2228" s="4">
        <v>42575</v>
      </c>
      <c r="B2228" t="s">
        <v>30</v>
      </c>
      <c r="C2228">
        <v>801</v>
      </c>
      <c r="D2228">
        <v>7</v>
      </c>
      <c r="E2228">
        <v>2</v>
      </c>
      <c r="F2228" t="s">
        <v>31</v>
      </c>
      <c r="G2228" t="s">
        <v>32</v>
      </c>
      <c r="H2228" t="s">
        <v>33</v>
      </c>
      <c r="I2228" t="s">
        <v>57</v>
      </c>
      <c r="O2228" s="5"/>
      <c r="P2228" s="5"/>
    </row>
    <row r="2229" spans="1:29" x14ac:dyDescent="0.25">
      <c r="A2229" s="4">
        <v>42575</v>
      </c>
      <c r="B2229" t="s">
        <v>30</v>
      </c>
      <c r="C2229">
        <v>801</v>
      </c>
      <c r="D2229">
        <v>8</v>
      </c>
      <c r="E2229">
        <v>1</v>
      </c>
      <c r="F2229" t="s">
        <v>31</v>
      </c>
      <c r="G2229" t="s">
        <v>32</v>
      </c>
      <c r="H2229" t="s">
        <v>33</v>
      </c>
      <c r="I2229" t="s">
        <v>57</v>
      </c>
      <c r="O2229" s="5"/>
      <c r="P2229" s="5"/>
    </row>
    <row r="2230" spans="1:29" x14ac:dyDescent="0.25">
      <c r="A2230" s="4">
        <v>42575</v>
      </c>
      <c r="B2230" t="s">
        <v>30</v>
      </c>
      <c r="C2230">
        <v>801</v>
      </c>
      <c r="D2230">
        <v>8</v>
      </c>
      <c r="E2230">
        <v>2</v>
      </c>
      <c r="F2230" t="s">
        <v>31</v>
      </c>
      <c r="G2230" t="s">
        <v>32</v>
      </c>
      <c r="H2230" t="s">
        <v>33</v>
      </c>
      <c r="I2230" t="s">
        <v>73</v>
      </c>
      <c r="J2230" t="s">
        <v>35</v>
      </c>
      <c r="K2230" t="s">
        <v>89</v>
      </c>
      <c r="L2230" t="s">
        <v>43</v>
      </c>
      <c r="M2230">
        <v>0</v>
      </c>
      <c r="N2230">
        <v>0</v>
      </c>
      <c r="O2230" s="5">
        <v>50695</v>
      </c>
      <c r="P2230" s="5"/>
      <c r="Q2230">
        <f>193-105</f>
        <v>88</v>
      </c>
      <c r="R2230" t="s">
        <v>65</v>
      </c>
      <c r="T2230">
        <v>30</v>
      </c>
      <c r="W2230">
        <v>22.7</v>
      </c>
      <c r="X2230">
        <v>42</v>
      </c>
      <c r="Z2230" t="s">
        <v>39</v>
      </c>
      <c r="AB2230" t="s">
        <v>233</v>
      </c>
      <c r="AC2230" t="s">
        <v>56</v>
      </c>
    </row>
    <row r="2231" spans="1:29" x14ac:dyDescent="0.25">
      <c r="A2231" s="4">
        <v>42575</v>
      </c>
      <c r="B2231" t="s">
        <v>30</v>
      </c>
      <c r="C2231">
        <v>801</v>
      </c>
      <c r="D2231">
        <v>9</v>
      </c>
      <c r="E2231">
        <v>1</v>
      </c>
      <c r="F2231" t="s">
        <v>31</v>
      </c>
      <c r="G2231" t="s">
        <v>32</v>
      </c>
      <c r="H2231" t="s">
        <v>33</v>
      </c>
      <c r="I2231" t="s">
        <v>57</v>
      </c>
      <c r="O2231" s="5"/>
      <c r="P2231" s="5"/>
    </row>
    <row r="2232" spans="1:29" x14ac:dyDescent="0.25">
      <c r="A2232" s="4">
        <v>42575</v>
      </c>
      <c r="B2232" t="s">
        <v>30</v>
      </c>
      <c r="C2232">
        <v>801</v>
      </c>
      <c r="D2232">
        <v>9</v>
      </c>
      <c r="E2232">
        <v>2</v>
      </c>
      <c r="F2232" t="s">
        <v>31</v>
      </c>
      <c r="G2232" t="s">
        <v>32</v>
      </c>
      <c r="H2232" t="s">
        <v>33</v>
      </c>
      <c r="I2232" t="s">
        <v>91</v>
      </c>
      <c r="J2232" t="s">
        <v>35</v>
      </c>
      <c r="K2232" t="s">
        <v>36</v>
      </c>
      <c r="L2232" t="s">
        <v>37</v>
      </c>
      <c r="M2232">
        <v>0</v>
      </c>
      <c r="N2232">
        <v>0</v>
      </c>
      <c r="O2232" s="5"/>
      <c r="P2232" s="5">
        <v>50510</v>
      </c>
      <c r="Q2232">
        <f>34-12</f>
        <v>22</v>
      </c>
      <c r="R2232" t="s">
        <v>38</v>
      </c>
      <c r="S2232" t="s">
        <v>39</v>
      </c>
      <c r="T2232">
        <v>28</v>
      </c>
      <c r="W2232">
        <v>12.6</v>
      </c>
      <c r="X2232">
        <v>25.2</v>
      </c>
      <c r="Z2232" t="s">
        <v>39</v>
      </c>
      <c r="AB2232" t="s">
        <v>233</v>
      </c>
      <c r="AC2232" t="s">
        <v>56</v>
      </c>
    </row>
    <row r="2233" spans="1:29" x14ac:dyDescent="0.25">
      <c r="A2233" s="4">
        <v>42575</v>
      </c>
      <c r="B2233" t="s">
        <v>30</v>
      </c>
      <c r="C2233">
        <v>801</v>
      </c>
      <c r="D2233">
        <v>10</v>
      </c>
      <c r="E2233">
        <v>1</v>
      </c>
      <c r="F2233" t="s">
        <v>31</v>
      </c>
      <c r="G2233" t="s">
        <v>32</v>
      </c>
      <c r="H2233" t="s">
        <v>33</v>
      </c>
      <c r="I2233" t="s">
        <v>57</v>
      </c>
      <c r="O2233" s="5"/>
      <c r="P2233" s="5"/>
    </row>
    <row r="2234" spans="1:29" x14ac:dyDescent="0.25">
      <c r="A2234" s="4">
        <v>42575</v>
      </c>
      <c r="B2234" t="s">
        <v>30</v>
      </c>
      <c r="C2234">
        <v>801</v>
      </c>
      <c r="D2234">
        <v>10</v>
      </c>
      <c r="E2234">
        <v>2</v>
      </c>
      <c r="F2234" t="s">
        <v>31</v>
      </c>
      <c r="G2234" t="s">
        <v>32</v>
      </c>
      <c r="H2234" t="s">
        <v>33</v>
      </c>
      <c r="I2234" t="s">
        <v>34</v>
      </c>
      <c r="J2234" t="s">
        <v>35</v>
      </c>
      <c r="K2234" t="s">
        <v>114</v>
      </c>
      <c r="L2234" t="s">
        <v>37</v>
      </c>
      <c r="M2234">
        <v>0</v>
      </c>
      <c r="N2234">
        <v>0</v>
      </c>
      <c r="O2234" s="5">
        <v>50860</v>
      </c>
      <c r="P2234" s="5">
        <v>50859</v>
      </c>
      <c r="Q2234">
        <f>40-14</f>
        <v>26</v>
      </c>
      <c r="R2234" t="s">
        <v>81</v>
      </c>
      <c r="S2234" t="s">
        <v>39</v>
      </c>
      <c r="T2234">
        <v>20</v>
      </c>
      <c r="U2234">
        <v>96</v>
      </c>
      <c r="V2234">
        <v>16</v>
      </c>
      <c r="W2234">
        <v>13.2</v>
      </c>
      <c r="X2234">
        <v>27.4</v>
      </c>
      <c r="Z2234" t="s">
        <v>39</v>
      </c>
      <c r="AB2234" t="s">
        <v>233</v>
      </c>
      <c r="AC2234" t="s">
        <v>56</v>
      </c>
    </row>
    <row r="2235" spans="1:29" x14ac:dyDescent="0.25">
      <c r="A2235" s="4">
        <v>42575</v>
      </c>
      <c r="B2235" t="s">
        <v>30</v>
      </c>
      <c r="C2235">
        <v>803</v>
      </c>
      <c r="D2235">
        <v>10</v>
      </c>
      <c r="E2235">
        <v>1</v>
      </c>
      <c r="F2235" t="s">
        <v>31</v>
      </c>
      <c r="G2235" t="s">
        <v>32</v>
      </c>
      <c r="H2235" t="s">
        <v>33</v>
      </c>
      <c r="I2235" t="s">
        <v>73</v>
      </c>
      <c r="J2235" t="s">
        <v>35</v>
      </c>
      <c r="K2235" t="s">
        <v>36</v>
      </c>
      <c r="L2235" t="s">
        <v>43</v>
      </c>
      <c r="M2235">
        <v>0</v>
      </c>
      <c r="N2235">
        <v>0</v>
      </c>
      <c r="O2235" s="5">
        <v>50391</v>
      </c>
      <c r="P2235" s="5"/>
      <c r="Q2235">
        <f>200-105</f>
        <v>95</v>
      </c>
      <c r="R2235" t="s">
        <v>65</v>
      </c>
      <c r="T2235">
        <v>33</v>
      </c>
      <c r="W2235">
        <v>22.5</v>
      </c>
      <c r="X2235">
        <v>45</v>
      </c>
      <c r="Z2235" t="s">
        <v>39</v>
      </c>
      <c r="AB2235" t="s">
        <v>233</v>
      </c>
      <c r="AC2235" t="s">
        <v>56</v>
      </c>
    </row>
    <row r="2236" spans="1:29" x14ac:dyDescent="0.25">
      <c r="A2236" s="4">
        <v>42575</v>
      </c>
      <c r="B2236" t="s">
        <v>30</v>
      </c>
      <c r="C2236">
        <v>803</v>
      </c>
      <c r="D2236">
        <v>9</v>
      </c>
      <c r="E2236">
        <v>1</v>
      </c>
      <c r="F2236" t="s">
        <v>31</v>
      </c>
      <c r="G2236" t="s">
        <v>32</v>
      </c>
      <c r="H2236" t="s">
        <v>33</v>
      </c>
      <c r="I2236" t="s">
        <v>57</v>
      </c>
      <c r="O2236" s="5"/>
      <c r="P2236" s="5"/>
    </row>
    <row r="2237" spans="1:29" x14ac:dyDescent="0.25">
      <c r="A2237" s="4">
        <v>42575</v>
      </c>
      <c r="B2237" t="s">
        <v>30</v>
      </c>
      <c r="C2237">
        <v>803</v>
      </c>
      <c r="D2237">
        <v>9</v>
      </c>
      <c r="E2237">
        <v>2</v>
      </c>
      <c r="F2237" t="s">
        <v>31</v>
      </c>
      <c r="G2237" t="s">
        <v>32</v>
      </c>
      <c r="H2237" t="s">
        <v>33</v>
      </c>
      <c r="I2237" t="s">
        <v>34</v>
      </c>
      <c r="J2237" t="s">
        <v>35</v>
      </c>
      <c r="K2237" t="s">
        <v>114</v>
      </c>
      <c r="L2237" t="s">
        <v>43</v>
      </c>
      <c r="M2237">
        <v>0</v>
      </c>
      <c r="N2237">
        <v>0</v>
      </c>
      <c r="O2237" s="5">
        <v>50864</v>
      </c>
      <c r="P2237" s="5">
        <v>50863</v>
      </c>
      <c r="Q2237">
        <f>30-13</f>
        <v>17</v>
      </c>
      <c r="R2237" t="s">
        <v>47</v>
      </c>
      <c r="T2237">
        <v>18</v>
      </c>
      <c r="U2237">
        <v>82</v>
      </c>
      <c r="V2237">
        <v>17</v>
      </c>
      <c r="W2237">
        <v>13</v>
      </c>
      <c r="X2237">
        <v>27.95</v>
      </c>
      <c r="Z2237" t="s">
        <v>39</v>
      </c>
      <c r="AB2237" t="s">
        <v>233</v>
      </c>
      <c r="AC2237" t="s">
        <v>56</v>
      </c>
    </row>
    <row r="2238" spans="1:29" x14ac:dyDescent="0.25">
      <c r="A2238" s="4">
        <v>42575</v>
      </c>
      <c r="B2238" t="s">
        <v>30</v>
      </c>
      <c r="C2238">
        <v>803</v>
      </c>
      <c r="D2238">
        <v>8</v>
      </c>
      <c r="E2238">
        <v>1</v>
      </c>
      <c r="F2238" t="s">
        <v>31</v>
      </c>
      <c r="G2238" t="s">
        <v>32</v>
      </c>
      <c r="H2238" t="s">
        <v>33</v>
      </c>
      <c r="I2238" t="s">
        <v>91</v>
      </c>
      <c r="J2238" t="s">
        <v>35</v>
      </c>
      <c r="K2238" t="s">
        <v>36</v>
      </c>
      <c r="L2238" t="s">
        <v>37</v>
      </c>
      <c r="M2238">
        <v>0</v>
      </c>
      <c r="N2238">
        <v>0</v>
      </c>
      <c r="O2238" s="5"/>
      <c r="P2238" s="5">
        <v>50771</v>
      </c>
      <c r="Q2238">
        <f>43-14</f>
        <v>29</v>
      </c>
      <c r="R2238" t="s">
        <v>74</v>
      </c>
      <c r="S2238" t="s">
        <v>97</v>
      </c>
      <c r="T2238">
        <v>30</v>
      </c>
      <c r="W2238">
        <v>13</v>
      </c>
      <c r="X2238">
        <v>27.9</v>
      </c>
      <c r="Z2238" t="s">
        <v>39</v>
      </c>
      <c r="AB2238" t="s">
        <v>233</v>
      </c>
      <c r="AC2238" t="s">
        <v>56</v>
      </c>
    </row>
    <row r="2239" spans="1:29" x14ac:dyDescent="0.25">
      <c r="A2239" s="4">
        <v>42575</v>
      </c>
      <c r="B2239" t="s">
        <v>30</v>
      </c>
      <c r="C2239">
        <v>803</v>
      </c>
      <c r="D2239">
        <v>8</v>
      </c>
      <c r="E2239">
        <v>2</v>
      </c>
      <c r="F2239" t="s">
        <v>31</v>
      </c>
      <c r="G2239" t="s">
        <v>32</v>
      </c>
      <c r="H2239" t="s">
        <v>33</v>
      </c>
      <c r="I2239" t="s">
        <v>91</v>
      </c>
      <c r="J2239" t="s">
        <v>35</v>
      </c>
      <c r="K2239" t="s">
        <v>36</v>
      </c>
      <c r="L2239" t="s">
        <v>37</v>
      </c>
      <c r="M2239">
        <v>0</v>
      </c>
      <c r="N2239">
        <v>0</v>
      </c>
      <c r="O2239" s="5"/>
      <c r="P2239" s="5">
        <v>50753</v>
      </c>
      <c r="Q2239">
        <f>37-14</f>
        <v>23</v>
      </c>
      <c r="R2239" t="s">
        <v>74</v>
      </c>
      <c r="S2239" t="s">
        <v>97</v>
      </c>
      <c r="T2239">
        <v>29</v>
      </c>
      <c r="W2239">
        <v>12.7</v>
      </c>
      <c r="X2239">
        <v>26.6</v>
      </c>
      <c r="Z2239" t="s">
        <v>39</v>
      </c>
      <c r="AB2239" t="s">
        <v>233</v>
      </c>
      <c r="AC2239" t="s">
        <v>56</v>
      </c>
    </row>
    <row r="2240" spans="1:29" x14ac:dyDescent="0.25">
      <c r="A2240" s="4">
        <v>42575</v>
      </c>
      <c r="B2240" t="s">
        <v>30</v>
      </c>
      <c r="C2240">
        <v>803</v>
      </c>
      <c r="D2240">
        <v>7</v>
      </c>
      <c r="E2240">
        <v>1</v>
      </c>
      <c r="F2240" t="s">
        <v>31</v>
      </c>
      <c r="G2240" t="s">
        <v>32</v>
      </c>
      <c r="H2240" t="s">
        <v>33</v>
      </c>
      <c r="I2240" t="s">
        <v>34</v>
      </c>
      <c r="J2240" t="s">
        <v>35</v>
      </c>
      <c r="K2240" t="s">
        <v>36</v>
      </c>
      <c r="L2240" t="s">
        <v>37</v>
      </c>
      <c r="M2240">
        <v>0</v>
      </c>
      <c r="N2240">
        <v>0</v>
      </c>
      <c r="O2240" s="5">
        <v>50862</v>
      </c>
      <c r="P2240" s="5">
        <v>50861</v>
      </c>
      <c r="Q2240">
        <f>37.5-17</f>
        <v>20.5</v>
      </c>
      <c r="R2240" t="s">
        <v>38</v>
      </c>
      <c r="S2240" t="s">
        <v>39</v>
      </c>
      <c r="T2240">
        <v>19.5</v>
      </c>
      <c r="U2240">
        <v>93</v>
      </c>
      <c r="V2240">
        <v>15</v>
      </c>
      <c r="W2240">
        <v>13.1</v>
      </c>
      <c r="X2240">
        <v>26</v>
      </c>
      <c r="Z2240" t="s">
        <v>39</v>
      </c>
      <c r="AB2240" t="s">
        <v>233</v>
      </c>
      <c r="AC2240" t="s">
        <v>56</v>
      </c>
    </row>
    <row r="2241" spans="1:29" x14ac:dyDescent="0.25">
      <c r="A2241" s="4">
        <v>42575</v>
      </c>
      <c r="B2241" t="s">
        <v>30</v>
      </c>
      <c r="C2241">
        <v>803</v>
      </c>
      <c r="D2241">
        <v>6</v>
      </c>
      <c r="E2241">
        <v>1</v>
      </c>
      <c r="F2241" t="s">
        <v>31</v>
      </c>
      <c r="G2241" t="s">
        <v>32</v>
      </c>
      <c r="H2241" t="s">
        <v>33</v>
      </c>
      <c r="I2241" t="s">
        <v>91</v>
      </c>
      <c r="J2241" t="s">
        <v>35</v>
      </c>
      <c r="K2241" t="s">
        <v>36</v>
      </c>
      <c r="L2241" t="s">
        <v>37</v>
      </c>
      <c r="M2241">
        <v>0</v>
      </c>
      <c r="N2241">
        <v>0</v>
      </c>
      <c r="O2241" s="5">
        <v>50752</v>
      </c>
      <c r="P2241" s="5"/>
      <c r="Q2241">
        <f>36-16.5</f>
        <v>19.5</v>
      </c>
      <c r="R2241" t="s">
        <v>74</v>
      </c>
      <c r="S2241" t="s">
        <v>97</v>
      </c>
      <c r="T2241">
        <v>28</v>
      </c>
      <c r="W2241">
        <v>12.7</v>
      </c>
      <c r="X2241">
        <v>25.85</v>
      </c>
      <c r="Z2241" t="s">
        <v>39</v>
      </c>
      <c r="AB2241" t="s">
        <v>233</v>
      </c>
      <c r="AC2241" t="s">
        <v>56</v>
      </c>
    </row>
    <row r="2242" spans="1:29" x14ac:dyDescent="0.25">
      <c r="A2242" s="4">
        <v>42575</v>
      </c>
      <c r="B2242" t="s">
        <v>30</v>
      </c>
      <c r="C2242">
        <v>803</v>
      </c>
      <c r="D2242">
        <v>6</v>
      </c>
      <c r="E2242">
        <v>2</v>
      </c>
      <c r="F2242" t="s">
        <v>31</v>
      </c>
      <c r="G2242" t="s">
        <v>32</v>
      </c>
      <c r="H2242" t="s">
        <v>33</v>
      </c>
      <c r="I2242" t="s">
        <v>73</v>
      </c>
      <c r="J2242" t="s">
        <v>35</v>
      </c>
      <c r="K2242" t="s">
        <v>36</v>
      </c>
      <c r="L2242" t="s">
        <v>43</v>
      </c>
      <c r="M2242">
        <v>0</v>
      </c>
      <c r="N2242">
        <v>0</v>
      </c>
      <c r="O2242" s="5">
        <v>50463</v>
      </c>
      <c r="P2242" s="5"/>
      <c r="Q2242">
        <f>195-105</f>
        <v>90</v>
      </c>
      <c r="R2242" t="s">
        <v>65</v>
      </c>
      <c r="T2242">
        <v>29</v>
      </c>
      <c r="W2242">
        <v>21.6</v>
      </c>
      <c r="X2242">
        <v>41.5</v>
      </c>
      <c r="Z2242" t="s">
        <v>39</v>
      </c>
      <c r="AB2242" t="s">
        <v>233</v>
      </c>
      <c r="AC2242" t="s">
        <v>56</v>
      </c>
    </row>
    <row r="2243" spans="1:29" x14ac:dyDescent="0.25">
      <c r="A2243" s="4">
        <v>42575</v>
      </c>
      <c r="B2243" t="s">
        <v>30</v>
      </c>
      <c r="C2243">
        <v>803</v>
      </c>
      <c r="D2243">
        <v>4</v>
      </c>
      <c r="E2243">
        <v>1</v>
      </c>
      <c r="F2243" t="s">
        <v>31</v>
      </c>
      <c r="G2243" t="s">
        <v>32</v>
      </c>
      <c r="H2243" t="s">
        <v>33</v>
      </c>
      <c r="I2243" t="s">
        <v>91</v>
      </c>
      <c r="J2243" t="s">
        <v>35</v>
      </c>
      <c r="K2243" t="s">
        <v>36</v>
      </c>
      <c r="L2243" t="s">
        <v>37</v>
      </c>
      <c r="M2243">
        <v>0</v>
      </c>
      <c r="N2243">
        <v>0</v>
      </c>
      <c r="O2243" s="5">
        <v>50751</v>
      </c>
      <c r="P2243" s="5"/>
      <c r="Q2243">
        <f>44-16</f>
        <v>28</v>
      </c>
      <c r="R2243" t="s">
        <v>74</v>
      </c>
      <c r="S2243" t="s">
        <v>97</v>
      </c>
      <c r="T2243">
        <v>28</v>
      </c>
      <c r="W2243">
        <v>12.9</v>
      </c>
      <c r="X2243">
        <v>28.1</v>
      </c>
      <c r="Z2243" t="s">
        <v>39</v>
      </c>
      <c r="AB2243" t="s">
        <v>233</v>
      </c>
      <c r="AC2243" t="s">
        <v>56</v>
      </c>
    </row>
    <row r="2244" spans="1:29" x14ac:dyDescent="0.25">
      <c r="A2244" s="4">
        <v>42575</v>
      </c>
      <c r="B2244" t="s">
        <v>30</v>
      </c>
      <c r="C2244">
        <v>803</v>
      </c>
      <c r="D2244">
        <v>3</v>
      </c>
      <c r="E2244">
        <v>1</v>
      </c>
      <c r="F2244" t="s">
        <v>31</v>
      </c>
      <c r="G2244" t="s">
        <v>32</v>
      </c>
      <c r="H2244" t="s">
        <v>33</v>
      </c>
      <c r="I2244" t="s">
        <v>34</v>
      </c>
      <c r="J2244" t="s">
        <v>42</v>
      </c>
      <c r="K2244" t="s">
        <v>114</v>
      </c>
      <c r="L2244" t="s">
        <v>43</v>
      </c>
      <c r="M2244">
        <v>0</v>
      </c>
      <c r="N2244">
        <v>1</v>
      </c>
      <c r="O2244" s="5">
        <v>50870</v>
      </c>
      <c r="P2244" s="5">
        <v>50869</v>
      </c>
      <c r="Q2244">
        <f>33-13.5</f>
        <v>19.5</v>
      </c>
      <c r="R2244" t="s">
        <v>47</v>
      </c>
      <c r="S2244" t="s">
        <v>39</v>
      </c>
      <c r="T2244">
        <v>18.5</v>
      </c>
      <c r="U2244">
        <v>78.5</v>
      </c>
      <c r="V2244">
        <v>13</v>
      </c>
      <c r="W2244">
        <v>12.5</v>
      </c>
      <c r="X2244">
        <v>27.4</v>
      </c>
      <c r="Z2244" t="s">
        <v>39</v>
      </c>
      <c r="AB2244" t="s">
        <v>233</v>
      </c>
      <c r="AC2244" t="s">
        <v>56</v>
      </c>
    </row>
    <row r="2245" spans="1:29" x14ac:dyDescent="0.25">
      <c r="A2245" s="4">
        <v>42575</v>
      </c>
      <c r="B2245" t="s">
        <v>30</v>
      </c>
      <c r="C2245">
        <v>803</v>
      </c>
      <c r="D2245">
        <v>2</v>
      </c>
      <c r="E2245">
        <v>1</v>
      </c>
      <c r="F2245" t="s">
        <v>31</v>
      </c>
      <c r="G2245" t="s">
        <v>32</v>
      </c>
      <c r="H2245" t="s">
        <v>33</v>
      </c>
      <c r="I2245" t="s">
        <v>91</v>
      </c>
      <c r="J2245" t="s">
        <v>35</v>
      </c>
      <c r="K2245" t="s">
        <v>36</v>
      </c>
      <c r="L2245" t="s">
        <v>37</v>
      </c>
      <c r="M2245">
        <v>0</v>
      </c>
      <c r="N2245">
        <v>0</v>
      </c>
      <c r="O2245" s="5"/>
      <c r="P2245" s="5">
        <v>50615</v>
      </c>
      <c r="Q2245">
        <f>40-12.5</f>
        <v>27.5</v>
      </c>
      <c r="R2245" t="s">
        <v>74</v>
      </c>
      <c r="S2245" t="s">
        <v>97</v>
      </c>
      <c r="T2245">
        <v>29</v>
      </c>
      <c r="W2245">
        <v>12.5</v>
      </c>
      <c r="X2245">
        <v>29.5</v>
      </c>
      <c r="Z2245" t="s">
        <v>39</v>
      </c>
      <c r="AB2245" t="s">
        <v>233</v>
      </c>
      <c r="AC2245" t="s">
        <v>56</v>
      </c>
    </row>
    <row r="2246" spans="1:29" x14ac:dyDescent="0.25">
      <c r="A2246" s="4">
        <v>42575</v>
      </c>
      <c r="B2246" t="s">
        <v>30</v>
      </c>
      <c r="C2246">
        <v>901</v>
      </c>
      <c r="D2246">
        <v>1</v>
      </c>
      <c r="E2246">
        <v>1</v>
      </c>
      <c r="F2246" t="s">
        <v>31</v>
      </c>
      <c r="G2246" t="s">
        <v>32</v>
      </c>
      <c r="H2246" t="s">
        <v>33</v>
      </c>
      <c r="I2246" t="s">
        <v>57</v>
      </c>
      <c r="O2246" s="5"/>
      <c r="P2246" s="5"/>
    </row>
    <row r="2247" spans="1:29" x14ac:dyDescent="0.25">
      <c r="A2247" s="4">
        <v>42575</v>
      </c>
      <c r="B2247" t="s">
        <v>30</v>
      </c>
      <c r="C2247">
        <v>901</v>
      </c>
      <c r="D2247">
        <v>1</v>
      </c>
      <c r="E2247">
        <v>2</v>
      </c>
      <c r="F2247" t="s">
        <v>31</v>
      </c>
      <c r="G2247" t="s">
        <v>32</v>
      </c>
      <c r="H2247" t="s">
        <v>33</v>
      </c>
      <c r="I2247" t="s">
        <v>34</v>
      </c>
      <c r="J2247" t="s">
        <v>35</v>
      </c>
      <c r="K2247" t="s">
        <v>36</v>
      </c>
      <c r="L2247" t="s">
        <v>37</v>
      </c>
      <c r="M2247">
        <v>0</v>
      </c>
      <c r="N2247">
        <v>0</v>
      </c>
      <c r="O2247" s="5">
        <v>50382</v>
      </c>
      <c r="P2247" s="5">
        <v>50291</v>
      </c>
      <c r="Q2247">
        <f>34-15.5</f>
        <v>18.5</v>
      </c>
      <c r="R2247" t="s">
        <v>38</v>
      </c>
      <c r="S2247" t="s">
        <v>39</v>
      </c>
      <c r="T2247">
        <v>18</v>
      </c>
      <c r="U2247">
        <v>92.5</v>
      </c>
      <c r="V2247">
        <v>14.5</v>
      </c>
      <c r="W2247">
        <v>12.9</v>
      </c>
      <c r="X2247">
        <v>28</v>
      </c>
      <c r="Z2247" t="s">
        <v>39</v>
      </c>
      <c r="AB2247" t="s">
        <v>233</v>
      </c>
      <c r="AC2247" t="s">
        <v>56</v>
      </c>
    </row>
    <row r="2248" spans="1:29" x14ac:dyDescent="0.25">
      <c r="A2248" s="4">
        <v>42575</v>
      </c>
      <c r="B2248" t="s">
        <v>30</v>
      </c>
      <c r="C2248">
        <v>901</v>
      </c>
      <c r="D2248">
        <v>2</v>
      </c>
      <c r="E2248">
        <v>1</v>
      </c>
      <c r="F2248" t="s">
        <v>31</v>
      </c>
      <c r="G2248" t="s">
        <v>32</v>
      </c>
      <c r="H2248" t="s">
        <v>33</v>
      </c>
      <c r="I2248" t="s">
        <v>34</v>
      </c>
      <c r="J2248" t="s">
        <v>35</v>
      </c>
      <c r="K2248" t="s">
        <v>36</v>
      </c>
      <c r="L2248" t="s">
        <v>43</v>
      </c>
      <c r="M2248">
        <v>0</v>
      </c>
      <c r="N2248">
        <v>0</v>
      </c>
      <c r="O2248" s="5">
        <v>50769</v>
      </c>
      <c r="P2248" s="5">
        <v>50768</v>
      </c>
      <c r="Q2248">
        <f>34.5-14</f>
        <v>20.5</v>
      </c>
      <c r="R2248" t="s">
        <v>65</v>
      </c>
      <c r="T2248">
        <v>19</v>
      </c>
      <c r="U2248">
        <v>88</v>
      </c>
      <c r="V2248">
        <v>15</v>
      </c>
      <c r="W2248">
        <v>13.2</v>
      </c>
      <c r="X2248">
        <v>26.4</v>
      </c>
      <c r="Z2248" t="s">
        <v>39</v>
      </c>
      <c r="AB2248" t="s">
        <v>233</v>
      </c>
      <c r="AC2248" t="s">
        <v>56</v>
      </c>
    </row>
    <row r="2249" spans="1:29" x14ac:dyDescent="0.25">
      <c r="A2249" s="4">
        <v>42575</v>
      </c>
      <c r="B2249" t="s">
        <v>30</v>
      </c>
      <c r="C2249">
        <v>901</v>
      </c>
      <c r="D2249">
        <v>2</v>
      </c>
      <c r="E2249">
        <v>2</v>
      </c>
      <c r="F2249" t="s">
        <v>31</v>
      </c>
      <c r="G2249" t="s">
        <v>32</v>
      </c>
      <c r="H2249" t="s">
        <v>33</v>
      </c>
      <c r="I2249" t="s">
        <v>34</v>
      </c>
      <c r="J2249" t="s">
        <v>35</v>
      </c>
      <c r="K2249" t="s">
        <v>114</v>
      </c>
      <c r="L2249" t="s">
        <v>43</v>
      </c>
      <c r="M2249">
        <v>0</v>
      </c>
      <c r="N2249">
        <v>0</v>
      </c>
      <c r="O2249" s="5">
        <v>50766</v>
      </c>
      <c r="P2249" s="5">
        <v>50765</v>
      </c>
      <c r="Q2249">
        <v>18</v>
      </c>
      <c r="R2249" t="s">
        <v>47</v>
      </c>
      <c r="T2249">
        <v>19</v>
      </c>
      <c r="U2249">
        <v>81.5</v>
      </c>
      <c r="V2249">
        <v>15.5</v>
      </c>
      <c r="W2249">
        <v>12.8</v>
      </c>
      <c r="X2249">
        <v>25</v>
      </c>
      <c r="Z2249" t="s">
        <v>39</v>
      </c>
      <c r="AB2249" t="s">
        <v>233</v>
      </c>
      <c r="AC2249" t="s">
        <v>56</v>
      </c>
    </row>
    <row r="2250" spans="1:29" x14ac:dyDescent="0.25">
      <c r="A2250" s="4">
        <v>42575</v>
      </c>
      <c r="B2250" t="s">
        <v>30</v>
      </c>
      <c r="C2250">
        <v>901</v>
      </c>
      <c r="D2250">
        <v>3</v>
      </c>
      <c r="E2250">
        <v>1</v>
      </c>
      <c r="F2250" t="s">
        <v>31</v>
      </c>
      <c r="G2250" t="s">
        <v>32</v>
      </c>
      <c r="H2250" t="s">
        <v>33</v>
      </c>
      <c r="I2250" t="s">
        <v>34</v>
      </c>
      <c r="J2250" t="s">
        <v>35</v>
      </c>
      <c r="K2250" t="s">
        <v>114</v>
      </c>
      <c r="L2250" t="s">
        <v>43</v>
      </c>
      <c r="M2250">
        <v>0</v>
      </c>
      <c r="N2250">
        <v>0</v>
      </c>
      <c r="O2250" s="5">
        <v>50799</v>
      </c>
      <c r="P2250" s="5">
        <v>50798</v>
      </c>
      <c r="Q2250">
        <v>15</v>
      </c>
      <c r="R2250" t="s">
        <v>65</v>
      </c>
      <c r="T2250">
        <v>19</v>
      </c>
      <c r="U2250">
        <v>85</v>
      </c>
      <c r="V2250">
        <v>15</v>
      </c>
      <c r="W2250">
        <v>12.3</v>
      </c>
      <c r="X2250">
        <v>26.1</v>
      </c>
      <c r="Z2250" t="s">
        <v>97</v>
      </c>
      <c r="AB2250" t="s">
        <v>233</v>
      </c>
      <c r="AC2250" t="s">
        <v>56</v>
      </c>
    </row>
    <row r="2251" spans="1:29" x14ac:dyDescent="0.25">
      <c r="A2251" s="4">
        <v>42575</v>
      </c>
      <c r="B2251" t="s">
        <v>30</v>
      </c>
      <c r="C2251">
        <v>901</v>
      </c>
      <c r="D2251">
        <v>3</v>
      </c>
      <c r="E2251">
        <v>2</v>
      </c>
      <c r="F2251" t="s">
        <v>31</v>
      </c>
      <c r="G2251" t="s">
        <v>32</v>
      </c>
      <c r="H2251" t="s">
        <v>33</v>
      </c>
      <c r="I2251" t="s">
        <v>73</v>
      </c>
      <c r="J2251" t="s">
        <v>35</v>
      </c>
      <c r="K2251" t="s">
        <v>36</v>
      </c>
      <c r="L2251" t="s">
        <v>43</v>
      </c>
      <c r="M2251">
        <v>0</v>
      </c>
      <c r="N2251">
        <v>0</v>
      </c>
      <c r="O2251" s="5">
        <v>50767</v>
      </c>
      <c r="P2251" s="5"/>
      <c r="Q2251">
        <f>200-105</f>
        <v>95</v>
      </c>
      <c r="R2251" t="s">
        <v>38</v>
      </c>
      <c r="T2251">
        <v>30.5</v>
      </c>
      <c r="W2251">
        <v>22</v>
      </c>
      <c r="X2251">
        <v>42.3</v>
      </c>
      <c r="Z2251" t="s">
        <v>39</v>
      </c>
      <c r="AB2251" t="s">
        <v>233</v>
      </c>
      <c r="AC2251" t="s">
        <v>56</v>
      </c>
    </row>
    <row r="2252" spans="1:29" x14ac:dyDescent="0.25">
      <c r="A2252" s="4">
        <v>42575</v>
      </c>
      <c r="B2252" t="s">
        <v>30</v>
      </c>
      <c r="C2252">
        <v>901</v>
      </c>
      <c r="D2252">
        <v>9</v>
      </c>
      <c r="E2252">
        <v>1</v>
      </c>
      <c r="F2252" t="s">
        <v>31</v>
      </c>
      <c r="G2252" t="s">
        <v>32</v>
      </c>
      <c r="H2252" t="s">
        <v>33</v>
      </c>
      <c r="I2252" t="s">
        <v>34</v>
      </c>
      <c r="J2252" t="s">
        <v>35</v>
      </c>
      <c r="K2252" t="s">
        <v>36</v>
      </c>
      <c r="L2252" t="s">
        <v>37</v>
      </c>
      <c r="M2252">
        <v>0</v>
      </c>
      <c r="N2252">
        <v>0</v>
      </c>
      <c r="O2252" s="5">
        <v>50617</v>
      </c>
      <c r="P2252" s="5">
        <v>50616</v>
      </c>
      <c r="Q2252">
        <f>32-13</f>
        <v>19</v>
      </c>
      <c r="R2252" t="s">
        <v>38</v>
      </c>
      <c r="Z2252" t="s">
        <v>39</v>
      </c>
      <c r="AB2252" t="s">
        <v>233</v>
      </c>
      <c r="AC2252" t="s">
        <v>56</v>
      </c>
    </row>
    <row r="2253" spans="1:29" x14ac:dyDescent="0.25">
      <c r="A2253" s="4">
        <v>42575</v>
      </c>
      <c r="B2253" t="s">
        <v>30</v>
      </c>
      <c r="C2253">
        <v>901</v>
      </c>
      <c r="D2253">
        <v>4</v>
      </c>
      <c r="E2253">
        <v>1</v>
      </c>
      <c r="F2253" t="s">
        <v>31</v>
      </c>
      <c r="G2253" t="s">
        <v>32</v>
      </c>
      <c r="H2253" t="s">
        <v>33</v>
      </c>
      <c r="I2253" t="s">
        <v>73</v>
      </c>
      <c r="J2253" t="s">
        <v>123</v>
      </c>
      <c r="O2253" s="5"/>
      <c r="P2253" s="5"/>
    </row>
    <row r="2254" spans="1:29" x14ac:dyDescent="0.25">
      <c r="A2254" s="4">
        <v>42576</v>
      </c>
      <c r="B2254" t="s">
        <v>30</v>
      </c>
      <c r="C2254">
        <v>501</v>
      </c>
      <c r="D2254">
        <v>1</v>
      </c>
      <c r="E2254">
        <v>1</v>
      </c>
      <c r="F2254" t="s">
        <v>41</v>
      </c>
      <c r="G2254" t="s">
        <v>32</v>
      </c>
      <c r="H2254" t="s">
        <v>33</v>
      </c>
      <c r="I2254" t="s">
        <v>57</v>
      </c>
      <c r="O2254" s="5"/>
      <c r="P2254" s="5"/>
    </row>
    <row r="2255" spans="1:29" x14ac:dyDescent="0.25">
      <c r="A2255" s="4">
        <v>42576</v>
      </c>
      <c r="B2255" t="s">
        <v>30</v>
      </c>
      <c r="C2255">
        <v>501</v>
      </c>
      <c r="D2255">
        <v>2</v>
      </c>
      <c r="E2255">
        <v>1</v>
      </c>
      <c r="F2255" t="s">
        <v>41</v>
      </c>
      <c r="G2255" t="s">
        <v>32</v>
      </c>
      <c r="H2255" t="s">
        <v>33</v>
      </c>
      <c r="I2255" t="s">
        <v>57</v>
      </c>
      <c r="O2255" s="5"/>
      <c r="P2255" s="5"/>
    </row>
    <row r="2256" spans="1:29" x14ac:dyDescent="0.25">
      <c r="A2256" s="4">
        <v>42576</v>
      </c>
      <c r="B2256" t="s">
        <v>30</v>
      </c>
      <c r="C2256">
        <v>501</v>
      </c>
      <c r="D2256">
        <v>2</v>
      </c>
      <c r="E2256">
        <v>2</v>
      </c>
      <c r="F2256" t="s">
        <v>41</v>
      </c>
      <c r="G2256" t="s">
        <v>32</v>
      </c>
      <c r="H2256" t="s">
        <v>33</v>
      </c>
      <c r="I2256" t="s">
        <v>34</v>
      </c>
      <c r="J2256" t="s">
        <v>42</v>
      </c>
      <c r="K2256" t="s">
        <v>114</v>
      </c>
      <c r="L2256" t="s">
        <v>37</v>
      </c>
      <c r="M2256">
        <v>0</v>
      </c>
      <c r="N2256">
        <v>1</v>
      </c>
      <c r="O2256" s="5">
        <v>50349</v>
      </c>
      <c r="P2256" s="5">
        <v>50348</v>
      </c>
      <c r="Q2256">
        <f>27-11</f>
        <v>16</v>
      </c>
      <c r="R2256" t="s">
        <v>38</v>
      </c>
      <c r="S2256" t="s">
        <v>39</v>
      </c>
      <c r="T2256">
        <v>18</v>
      </c>
      <c r="U2256">
        <v>90</v>
      </c>
      <c r="V2256">
        <v>16</v>
      </c>
      <c r="W2256">
        <v>12.9</v>
      </c>
      <c r="X2256">
        <v>26.8</v>
      </c>
      <c r="Z2256" t="s">
        <v>39</v>
      </c>
      <c r="AB2256" t="s">
        <v>87</v>
      </c>
      <c r="AC2256" t="s">
        <v>88</v>
      </c>
    </row>
    <row r="2257" spans="1:29" x14ac:dyDescent="0.25">
      <c r="A2257" s="4">
        <v>42576</v>
      </c>
      <c r="B2257" t="s">
        <v>30</v>
      </c>
      <c r="C2257">
        <v>501</v>
      </c>
      <c r="D2257">
        <v>3</v>
      </c>
      <c r="E2257">
        <v>1</v>
      </c>
      <c r="F2257" t="s">
        <v>41</v>
      </c>
      <c r="G2257" t="s">
        <v>32</v>
      </c>
      <c r="H2257" t="s">
        <v>33</v>
      </c>
      <c r="I2257" t="s">
        <v>57</v>
      </c>
      <c r="O2257" s="5"/>
      <c r="P2257" s="5"/>
    </row>
    <row r="2258" spans="1:29" x14ac:dyDescent="0.25">
      <c r="A2258" s="4">
        <v>42576</v>
      </c>
      <c r="B2258" t="s">
        <v>30</v>
      </c>
      <c r="C2258">
        <v>501</v>
      </c>
      <c r="D2258">
        <v>3</v>
      </c>
      <c r="E2258">
        <v>2</v>
      </c>
      <c r="F2258" t="s">
        <v>41</v>
      </c>
      <c r="G2258" t="s">
        <v>32</v>
      </c>
      <c r="H2258" t="s">
        <v>33</v>
      </c>
      <c r="I2258" t="s">
        <v>73</v>
      </c>
      <c r="J2258" t="s">
        <v>122</v>
      </c>
      <c r="O2258" s="5"/>
      <c r="P2258" s="5"/>
    </row>
    <row r="2259" spans="1:29" x14ac:dyDescent="0.25">
      <c r="A2259" s="4">
        <v>42576</v>
      </c>
      <c r="B2259" t="s">
        <v>30</v>
      </c>
      <c r="C2259">
        <v>501</v>
      </c>
      <c r="D2259">
        <v>4</v>
      </c>
      <c r="E2259">
        <v>1</v>
      </c>
      <c r="F2259" t="s">
        <v>41</v>
      </c>
      <c r="G2259" t="s">
        <v>32</v>
      </c>
      <c r="H2259" t="s">
        <v>33</v>
      </c>
      <c r="I2259" t="s">
        <v>34</v>
      </c>
      <c r="J2259" t="s">
        <v>42</v>
      </c>
      <c r="K2259" t="s">
        <v>36</v>
      </c>
      <c r="L2259" t="s">
        <v>37</v>
      </c>
      <c r="M2259">
        <v>0</v>
      </c>
      <c r="N2259">
        <v>1</v>
      </c>
      <c r="O2259" s="5">
        <v>50975</v>
      </c>
      <c r="P2259" s="5">
        <v>50974</v>
      </c>
      <c r="Q2259">
        <f>31.5-12</f>
        <v>19.5</v>
      </c>
      <c r="R2259" t="s">
        <v>63</v>
      </c>
      <c r="S2259" t="s">
        <v>39</v>
      </c>
      <c r="T2259">
        <v>18</v>
      </c>
      <c r="U2259">
        <v>87</v>
      </c>
      <c r="V2259">
        <v>15</v>
      </c>
      <c r="W2259">
        <v>13.1</v>
      </c>
      <c r="X2259">
        <v>27</v>
      </c>
      <c r="Z2259" t="s">
        <v>39</v>
      </c>
      <c r="AB2259" t="s">
        <v>87</v>
      </c>
      <c r="AC2259" t="s">
        <v>88</v>
      </c>
    </row>
    <row r="2260" spans="1:29" x14ac:dyDescent="0.25">
      <c r="A2260" s="4">
        <v>42576</v>
      </c>
      <c r="B2260" t="s">
        <v>30</v>
      </c>
      <c r="C2260">
        <v>501</v>
      </c>
      <c r="D2260">
        <v>4</v>
      </c>
      <c r="E2260">
        <v>2</v>
      </c>
      <c r="F2260" t="s">
        <v>41</v>
      </c>
      <c r="G2260" t="s">
        <v>32</v>
      </c>
      <c r="H2260" t="s">
        <v>33</v>
      </c>
      <c r="I2260" t="s">
        <v>53</v>
      </c>
      <c r="J2260" t="s">
        <v>62</v>
      </c>
      <c r="O2260" s="5"/>
      <c r="P2260" s="5"/>
    </row>
    <row r="2261" spans="1:29" x14ac:dyDescent="0.25">
      <c r="A2261" s="4">
        <v>42576</v>
      </c>
      <c r="B2261" t="s">
        <v>30</v>
      </c>
      <c r="C2261">
        <v>501</v>
      </c>
      <c r="D2261">
        <v>5</v>
      </c>
      <c r="E2261">
        <v>1</v>
      </c>
      <c r="F2261" t="s">
        <v>41</v>
      </c>
      <c r="G2261" t="s">
        <v>32</v>
      </c>
      <c r="H2261" t="s">
        <v>33</v>
      </c>
      <c r="I2261" t="s">
        <v>57</v>
      </c>
      <c r="O2261" s="5"/>
      <c r="P2261" s="5"/>
    </row>
    <row r="2262" spans="1:29" x14ac:dyDescent="0.25">
      <c r="A2262" s="4">
        <v>42576</v>
      </c>
      <c r="B2262" t="s">
        <v>30</v>
      </c>
      <c r="C2262">
        <v>501</v>
      </c>
      <c r="D2262">
        <v>5</v>
      </c>
      <c r="E2262">
        <v>2</v>
      </c>
      <c r="F2262" t="s">
        <v>41</v>
      </c>
      <c r="G2262" t="s">
        <v>32</v>
      </c>
      <c r="H2262" t="s">
        <v>33</v>
      </c>
      <c r="I2262" t="s">
        <v>58</v>
      </c>
      <c r="J2262" t="s">
        <v>35</v>
      </c>
      <c r="K2262" t="s">
        <v>36</v>
      </c>
      <c r="L2262" t="s">
        <v>37</v>
      </c>
      <c r="M2262">
        <v>0</v>
      </c>
      <c r="N2262">
        <v>0</v>
      </c>
      <c r="O2262" s="5" t="s">
        <v>272</v>
      </c>
      <c r="P2262" s="5"/>
      <c r="Q2262">
        <v>29</v>
      </c>
      <c r="R2262" t="s">
        <v>143</v>
      </c>
      <c r="S2262" t="s">
        <v>97</v>
      </c>
      <c r="T2262">
        <v>18.5</v>
      </c>
      <c r="W2262">
        <v>13</v>
      </c>
      <c r="X2262">
        <v>26.9</v>
      </c>
      <c r="Z2262" t="s">
        <v>97</v>
      </c>
      <c r="AA2262" t="s">
        <v>199</v>
      </c>
      <c r="AB2262" t="s">
        <v>87</v>
      </c>
      <c r="AC2262" t="s">
        <v>88</v>
      </c>
    </row>
    <row r="2263" spans="1:29" x14ac:dyDescent="0.25">
      <c r="A2263" s="4">
        <v>42576</v>
      </c>
      <c r="B2263" t="s">
        <v>30</v>
      </c>
      <c r="C2263">
        <v>501</v>
      </c>
      <c r="D2263">
        <v>6</v>
      </c>
      <c r="E2263">
        <v>1</v>
      </c>
      <c r="F2263" t="s">
        <v>41</v>
      </c>
      <c r="G2263" t="s">
        <v>32</v>
      </c>
      <c r="H2263" t="s">
        <v>33</v>
      </c>
      <c r="I2263" t="s">
        <v>57</v>
      </c>
      <c r="O2263" s="5"/>
      <c r="P2263" s="5"/>
    </row>
    <row r="2264" spans="1:29" x14ac:dyDescent="0.25">
      <c r="A2264" s="4">
        <v>42576</v>
      </c>
      <c r="B2264" t="s">
        <v>30</v>
      </c>
      <c r="C2264">
        <v>501</v>
      </c>
      <c r="D2264">
        <v>7</v>
      </c>
      <c r="E2264">
        <v>1</v>
      </c>
      <c r="F2264" t="s">
        <v>41</v>
      </c>
      <c r="G2264" t="s">
        <v>32</v>
      </c>
      <c r="H2264" t="s">
        <v>33</v>
      </c>
      <c r="I2264" t="s">
        <v>57</v>
      </c>
      <c r="O2264" s="5"/>
      <c r="P2264" s="5"/>
    </row>
    <row r="2265" spans="1:29" x14ac:dyDescent="0.25">
      <c r="A2265" s="4">
        <v>42576</v>
      </c>
      <c r="B2265" t="s">
        <v>30</v>
      </c>
      <c r="C2265">
        <v>501</v>
      </c>
      <c r="D2265">
        <v>8</v>
      </c>
      <c r="E2265">
        <v>1</v>
      </c>
      <c r="F2265" t="s">
        <v>41</v>
      </c>
      <c r="G2265" t="s">
        <v>32</v>
      </c>
      <c r="H2265" t="s">
        <v>33</v>
      </c>
      <c r="I2265" t="s">
        <v>53</v>
      </c>
      <c r="J2265" t="s">
        <v>62</v>
      </c>
      <c r="O2265" s="5"/>
      <c r="P2265" s="5"/>
    </row>
    <row r="2266" spans="1:29" x14ac:dyDescent="0.25">
      <c r="A2266" s="4">
        <v>42576</v>
      </c>
      <c r="B2266" t="s">
        <v>30</v>
      </c>
      <c r="C2266">
        <v>501</v>
      </c>
      <c r="D2266">
        <v>9</v>
      </c>
      <c r="E2266">
        <v>1</v>
      </c>
      <c r="F2266" t="s">
        <v>41</v>
      </c>
      <c r="G2266" t="s">
        <v>32</v>
      </c>
      <c r="H2266" t="s">
        <v>33</v>
      </c>
      <c r="I2266" t="s">
        <v>34</v>
      </c>
      <c r="J2266" t="s">
        <v>42</v>
      </c>
      <c r="K2266" t="s">
        <v>89</v>
      </c>
      <c r="L2266" t="s">
        <v>43</v>
      </c>
      <c r="M2266">
        <v>0</v>
      </c>
      <c r="N2266">
        <v>1</v>
      </c>
      <c r="O2266" s="5">
        <v>50973</v>
      </c>
      <c r="P2266" s="5">
        <v>50972</v>
      </c>
      <c r="Q2266">
        <f>27-13</f>
        <v>14</v>
      </c>
      <c r="R2266" t="s">
        <v>65</v>
      </c>
      <c r="T2266">
        <v>20</v>
      </c>
      <c r="U2266">
        <v>86</v>
      </c>
      <c r="V2266">
        <v>16</v>
      </c>
      <c r="W2266">
        <v>12.7</v>
      </c>
      <c r="X2266">
        <v>27.2</v>
      </c>
      <c r="Z2266" t="s">
        <v>39</v>
      </c>
      <c r="AB2266" t="s">
        <v>87</v>
      </c>
      <c r="AC2266" t="s">
        <v>88</v>
      </c>
    </row>
    <row r="2267" spans="1:29" x14ac:dyDescent="0.25">
      <c r="A2267" s="4">
        <v>42576</v>
      </c>
      <c r="B2267" t="s">
        <v>30</v>
      </c>
      <c r="C2267">
        <v>501</v>
      </c>
      <c r="D2267">
        <v>10</v>
      </c>
      <c r="E2267">
        <v>1</v>
      </c>
      <c r="F2267" t="s">
        <v>41</v>
      </c>
      <c r="G2267" t="s">
        <v>32</v>
      </c>
      <c r="H2267" t="s">
        <v>33</v>
      </c>
      <c r="I2267" t="s">
        <v>57</v>
      </c>
      <c r="O2267" s="5"/>
      <c r="P2267" s="5"/>
    </row>
    <row r="2268" spans="1:29" x14ac:dyDescent="0.25">
      <c r="A2268" s="4">
        <v>42576</v>
      </c>
      <c r="B2268" t="s">
        <v>30</v>
      </c>
      <c r="C2268">
        <v>501</v>
      </c>
      <c r="D2268">
        <v>10</v>
      </c>
      <c r="E2268">
        <v>2</v>
      </c>
      <c r="F2268" t="s">
        <v>41</v>
      </c>
      <c r="G2268" t="s">
        <v>32</v>
      </c>
      <c r="H2268" t="s">
        <v>33</v>
      </c>
      <c r="I2268" t="s">
        <v>57</v>
      </c>
      <c r="O2268" s="5"/>
      <c r="P2268" s="5"/>
    </row>
    <row r="2269" spans="1:29" x14ac:dyDescent="0.25">
      <c r="A2269" s="4">
        <v>42576</v>
      </c>
      <c r="B2269" t="s">
        <v>30</v>
      </c>
      <c r="C2269">
        <v>503</v>
      </c>
      <c r="D2269">
        <v>1</v>
      </c>
      <c r="E2269">
        <v>1</v>
      </c>
      <c r="F2269" t="s">
        <v>41</v>
      </c>
      <c r="G2269" t="s">
        <v>32</v>
      </c>
      <c r="H2269" t="s">
        <v>33</v>
      </c>
      <c r="I2269" t="s">
        <v>57</v>
      </c>
      <c r="O2269" s="5"/>
      <c r="P2269" s="5"/>
    </row>
    <row r="2270" spans="1:29" x14ac:dyDescent="0.25">
      <c r="A2270" s="4">
        <v>42576</v>
      </c>
      <c r="B2270" t="s">
        <v>30</v>
      </c>
      <c r="C2270">
        <v>503</v>
      </c>
      <c r="D2270">
        <v>1</v>
      </c>
      <c r="E2270">
        <v>2</v>
      </c>
      <c r="F2270" t="s">
        <v>41</v>
      </c>
      <c r="G2270" t="s">
        <v>32</v>
      </c>
      <c r="H2270" t="s">
        <v>33</v>
      </c>
      <c r="I2270" t="s">
        <v>34</v>
      </c>
      <c r="J2270" t="s">
        <v>42</v>
      </c>
      <c r="K2270" t="s">
        <v>89</v>
      </c>
      <c r="L2270" t="s">
        <v>43</v>
      </c>
      <c r="M2270">
        <v>0</v>
      </c>
      <c r="N2270">
        <v>1</v>
      </c>
      <c r="O2270" s="5">
        <v>50971</v>
      </c>
      <c r="P2270" s="5">
        <v>50970</v>
      </c>
      <c r="Q2270">
        <v>15</v>
      </c>
      <c r="R2270" t="s">
        <v>65</v>
      </c>
      <c r="T2270">
        <v>19</v>
      </c>
      <c r="U2270">
        <v>81</v>
      </c>
      <c r="V2270">
        <v>16</v>
      </c>
      <c r="W2270">
        <v>12.6</v>
      </c>
      <c r="X2270">
        <v>26.7</v>
      </c>
      <c r="Z2270" t="s">
        <v>39</v>
      </c>
      <c r="AB2270" t="s">
        <v>87</v>
      </c>
      <c r="AC2270" t="s">
        <v>88</v>
      </c>
    </row>
    <row r="2271" spans="1:29" x14ac:dyDescent="0.25">
      <c r="A2271" s="4">
        <v>42576</v>
      </c>
      <c r="B2271" t="s">
        <v>30</v>
      </c>
      <c r="C2271">
        <v>503</v>
      </c>
      <c r="D2271">
        <v>2</v>
      </c>
      <c r="E2271">
        <v>1</v>
      </c>
      <c r="F2271" t="s">
        <v>41</v>
      </c>
      <c r="G2271" t="s">
        <v>32</v>
      </c>
      <c r="H2271" t="s">
        <v>33</v>
      </c>
      <c r="I2271" t="s">
        <v>57</v>
      </c>
      <c r="O2271" s="5"/>
      <c r="P2271" s="5"/>
    </row>
    <row r="2272" spans="1:29" x14ac:dyDescent="0.25">
      <c r="A2272" s="4">
        <v>42576</v>
      </c>
      <c r="B2272" t="s">
        <v>30</v>
      </c>
      <c r="C2272">
        <v>503</v>
      </c>
      <c r="D2272">
        <v>2</v>
      </c>
      <c r="E2272">
        <v>2</v>
      </c>
      <c r="F2272" t="s">
        <v>41</v>
      </c>
      <c r="G2272" t="s">
        <v>32</v>
      </c>
      <c r="H2272" t="s">
        <v>33</v>
      </c>
      <c r="I2272" t="s">
        <v>58</v>
      </c>
      <c r="J2272" t="s">
        <v>42</v>
      </c>
      <c r="K2272" t="s">
        <v>36</v>
      </c>
      <c r="L2272" t="s">
        <v>37</v>
      </c>
      <c r="M2272">
        <v>0</v>
      </c>
      <c r="N2272">
        <v>1</v>
      </c>
      <c r="O2272" s="5">
        <v>50826</v>
      </c>
      <c r="P2272" s="5"/>
      <c r="Q2272">
        <f>33-11</f>
        <v>22</v>
      </c>
      <c r="R2272" t="s">
        <v>63</v>
      </c>
      <c r="S2272" t="s">
        <v>39</v>
      </c>
      <c r="T2272">
        <v>17</v>
      </c>
      <c r="W2272">
        <v>12.9</v>
      </c>
      <c r="X2272">
        <v>27.3</v>
      </c>
      <c r="Z2272" t="s">
        <v>97</v>
      </c>
      <c r="AA2272" t="s">
        <v>279</v>
      </c>
      <c r="AB2272" t="s">
        <v>87</v>
      </c>
      <c r="AC2272" t="s">
        <v>88</v>
      </c>
    </row>
    <row r="2273" spans="1:30" x14ac:dyDescent="0.25">
      <c r="A2273" s="4">
        <v>42576</v>
      </c>
      <c r="B2273" t="s">
        <v>30</v>
      </c>
      <c r="C2273">
        <v>503</v>
      </c>
      <c r="D2273">
        <v>5</v>
      </c>
      <c r="E2273">
        <v>1</v>
      </c>
      <c r="F2273" t="s">
        <v>41</v>
      </c>
      <c r="G2273" t="s">
        <v>32</v>
      </c>
      <c r="H2273" t="s">
        <v>33</v>
      </c>
      <c r="I2273" t="s">
        <v>57</v>
      </c>
      <c r="O2273" s="5"/>
      <c r="P2273" s="5"/>
    </row>
    <row r="2274" spans="1:30" x14ac:dyDescent="0.25">
      <c r="A2274" s="4">
        <v>42576</v>
      </c>
      <c r="B2274" t="s">
        <v>30</v>
      </c>
      <c r="C2274">
        <v>503</v>
      </c>
      <c r="D2274">
        <v>6</v>
      </c>
      <c r="E2274">
        <v>1</v>
      </c>
      <c r="F2274" t="s">
        <v>41</v>
      </c>
      <c r="G2274" t="s">
        <v>32</v>
      </c>
      <c r="H2274" t="s">
        <v>33</v>
      </c>
      <c r="I2274" t="s">
        <v>57</v>
      </c>
      <c r="O2274" s="5"/>
      <c r="P2274" s="5"/>
    </row>
    <row r="2275" spans="1:30" x14ac:dyDescent="0.25">
      <c r="A2275" s="4">
        <v>42576</v>
      </c>
      <c r="B2275" t="s">
        <v>30</v>
      </c>
      <c r="C2275">
        <v>503</v>
      </c>
      <c r="D2275">
        <v>6</v>
      </c>
      <c r="E2275">
        <v>2</v>
      </c>
      <c r="F2275" t="s">
        <v>41</v>
      </c>
      <c r="G2275" t="s">
        <v>32</v>
      </c>
      <c r="H2275" t="s">
        <v>33</v>
      </c>
      <c r="I2275" t="s">
        <v>91</v>
      </c>
      <c r="J2275" t="s">
        <v>42</v>
      </c>
      <c r="K2275" t="s">
        <v>36</v>
      </c>
      <c r="L2275" t="s">
        <v>43</v>
      </c>
      <c r="M2275">
        <v>0</v>
      </c>
      <c r="N2275">
        <v>1</v>
      </c>
      <c r="O2275" s="5">
        <v>50969</v>
      </c>
      <c r="P2275" s="5"/>
      <c r="Q2275">
        <f>35-11</f>
        <v>24</v>
      </c>
      <c r="R2275" t="s">
        <v>47</v>
      </c>
      <c r="T2275">
        <v>31</v>
      </c>
      <c r="W2275">
        <v>12.9</v>
      </c>
      <c r="X2275">
        <v>28.6</v>
      </c>
      <c r="Z2275" t="s">
        <v>39</v>
      </c>
      <c r="AB2275" t="s">
        <v>87</v>
      </c>
      <c r="AC2275" t="s">
        <v>88</v>
      </c>
    </row>
    <row r="2276" spans="1:30" x14ac:dyDescent="0.25">
      <c r="A2276" s="4">
        <v>42576</v>
      </c>
      <c r="B2276" t="s">
        <v>30</v>
      </c>
      <c r="C2276">
        <v>503</v>
      </c>
      <c r="D2276">
        <v>7</v>
      </c>
      <c r="E2276">
        <v>1</v>
      </c>
      <c r="F2276" t="s">
        <v>41</v>
      </c>
      <c r="G2276" t="s">
        <v>32</v>
      </c>
      <c r="H2276" t="s">
        <v>33</v>
      </c>
      <c r="I2276" t="s">
        <v>34</v>
      </c>
      <c r="J2276" t="s">
        <v>35</v>
      </c>
      <c r="K2276" t="s">
        <v>36</v>
      </c>
      <c r="L2276" t="s">
        <v>37</v>
      </c>
      <c r="M2276">
        <v>0</v>
      </c>
      <c r="N2276">
        <v>0</v>
      </c>
      <c r="O2276" s="5">
        <v>50968</v>
      </c>
      <c r="P2276" s="5">
        <v>50467</v>
      </c>
      <c r="Q2276">
        <v>20</v>
      </c>
      <c r="R2276" t="s">
        <v>164</v>
      </c>
      <c r="S2276" t="s">
        <v>97</v>
      </c>
      <c r="T2276">
        <v>19</v>
      </c>
      <c r="U2276">
        <v>84</v>
      </c>
      <c r="V2276">
        <v>17</v>
      </c>
      <c r="W2276">
        <v>12.9</v>
      </c>
      <c r="X2276">
        <v>27.4</v>
      </c>
      <c r="Z2276" t="s">
        <v>97</v>
      </c>
      <c r="AA2276" t="s">
        <v>199</v>
      </c>
      <c r="AB2276" t="s">
        <v>87</v>
      </c>
      <c r="AC2276" t="s">
        <v>88</v>
      </c>
    </row>
    <row r="2277" spans="1:30" x14ac:dyDescent="0.25">
      <c r="A2277" s="4">
        <v>42576</v>
      </c>
      <c r="B2277" t="s">
        <v>30</v>
      </c>
      <c r="C2277">
        <v>503</v>
      </c>
      <c r="D2277">
        <v>7</v>
      </c>
      <c r="E2277">
        <v>2</v>
      </c>
      <c r="F2277" t="s">
        <v>41</v>
      </c>
      <c r="G2277" t="s">
        <v>32</v>
      </c>
      <c r="H2277" t="s">
        <v>33</v>
      </c>
      <c r="I2277" t="s">
        <v>34</v>
      </c>
      <c r="J2277" t="s">
        <v>42</v>
      </c>
      <c r="K2277" t="s">
        <v>89</v>
      </c>
      <c r="L2277" t="s">
        <v>37</v>
      </c>
      <c r="M2277">
        <v>0</v>
      </c>
      <c r="N2277">
        <v>1</v>
      </c>
      <c r="O2277" s="5">
        <v>50966</v>
      </c>
      <c r="P2277" s="5">
        <v>50965</v>
      </c>
      <c r="Q2277">
        <f>32-17</f>
        <v>15</v>
      </c>
      <c r="R2277" t="s">
        <v>38</v>
      </c>
      <c r="S2277" t="s">
        <v>39</v>
      </c>
      <c r="T2277">
        <v>17</v>
      </c>
      <c r="U2277">
        <v>76</v>
      </c>
      <c r="V2277">
        <v>15</v>
      </c>
      <c r="W2277">
        <v>12.9</v>
      </c>
      <c r="X2277">
        <v>25.2</v>
      </c>
      <c r="Z2277" t="s">
        <v>97</v>
      </c>
      <c r="AA2277" t="s">
        <v>199</v>
      </c>
      <c r="AB2277" t="s">
        <v>87</v>
      </c>
      <c r="AC2277" t="s">
        <v>88</v>
      </c>
    </row>
    <row r="2278" spans="1:30" x14ac:dyDescent="0.25">
      <c r="A2278" s="4">
        <v>42576</v>
      </c>
      <c r="B2278" t="s">
        <v>30</v>
      </c>
      <c r="C2278">
        <v>503</v>
      </c>
      <c r="D2278">
        <v>8</v>
      </c>
      <c r="E2278">
        <v>1</v>
      </c>
      <c r="F2278" t="s">
        <v>41</v>
      </c>
      <c r="G2278" t="s">
        <v>32</v>
      </c>
      <c r="H2278" t="s">
        <v>33</v>
      </c>
      <c r="I2278" t="s">
        <v>34</v>
      </c>
      <c r="J2278" t="s">
        <v>42</v>
      </c>
      <c r="K2278" t="s">
        <v>89</v>
      </c>
      <c r="L2278" t="s">
        <v>43</v>
      </c>
      <c r="M2278">
        <v>0</v>
      </c>
      <c r="N2278">
        <v>1</v>
      </c>
      <c r="O2278" s="5">
        <v>50964</v>
      </c>
      <c r="P2278" s="5">
        <v>50963</v>
      </c>
      <c r="Q2278">
        <f>26.5-14</f>
        <v>12.5</v>
      </c>
      <c r="R2278" t="s">
        <v>65</v>
      </c>
      <c r="T2278">
        <v>17</v>
      </c>
      <c r="U2278">
        <v>76</v>
      </c>
      <c r="V2278">
        <v>16</v>
      </c>
      <c r="W2278">
        <v>12.8</v>
      </c>
      <c r="X2278">
        <v>25.4</v>
      </c>
      <c r="Z2278" t="s">
        <v>97</v>
      </c>
      <c r="AA2278" t="s">
        <v>199</v>
      </c>
      <c r="AB2278" t="s">
        <v>87</v>
      </c>
      <c r="AC2278" t="s">
        <v>88</v>
      </c>
    </row>
    <row r="2279" spans="1:30" x14ac:dyDescent="0.25">
      <c r="A2279" s="4">
        <v>42576</v>
      </c>
      <c r="B2279" t="s">
        <v>30</v>
      </c>
      <c r="C2279">
        <v>503</v>
      </c>
      <c r="D2279">
        <v>9</v>
      </c>
      <c r="E2279">
        <v>1</v>
      </c>
      <c r="F2279" t="s">
        <v>41</v>
      </c>
      <c r="G2279" t="s">
        <v>32</v>
      </c>
      <c r="H2279" t="s">
        <v>33</v>
      </c>
      <c r="I2279" t="s">
        <v>34</v>
      </c>
      <c r="J2279" t="s">
        <v>42</v>
      </c>
      <c r="K2279" t="s">
        <v>114</v>
      </c>
      <c r="L2279" t="s">
        <v>43</v>
      </c>
      <c r="M2279">
        <v>0</v>
      </c>
      <c r="N2279">
        <v>1</v>
      </c>
      <c r="O2279" s="5">
        <v>50962</v>
      </c>
      <c r="P2279" s="5">
        <v>50961</v>
      </c>
      <c r="Q2279">
        <f>29-13</f>
        <v>16</v>
      </c>
      <c r="R2279" t="s">
        <v>47</v>
      </c>
      <c r="T2279">
        <v>20</v>
      </c>
      <c r="U2279">
        <v>84</v>
      </c>
      <c r="V2279">
        <v>16</v>
      </c>
      <c r="W2279">
        <v>12.8</v>
      </c>
      <c r="X2279">
        <v>27.3</v>
      </c>
      <c r="Z2279" t="s">
        <v>97</v>
      </c>
      <c r="AA2279" t="s">
        <v>199</v>
      </c>
      <c r="AB2279" t="s">
        <v>87</v>
      </c>
      <c r="AC2279" t="s">
        <v>88</v>
      </c>
    </row>
    <row r="2280" spans="1:30" x14ac:dyDescent="0.25">
      <c r="A2280" s="4">
        <v>42576</v>
      </c>
      <c r="B2280" t="s">
        <v>30</v>
      </c>
      <c r="C2280">
        <v>503</v>
      </c>
      <c r="D2280">
        <v>10</v>
      </c>
      <c r="E2280">
        <v>1</v>
      </c>
      <c r="F2280" t="s">
        <v>41</v>
      </c>
      <c r="G2280" t="s">
        <v>32</v>
      </c>
      <c r="H2280" t="s">
        <v>33</v>
      </c>
      <c r="I2280" t="s">
        <v>34</v>
      </c>
      <c r="J2280" t="s">
        <v>35</v>
      </c>
      <c r="K2280" t="s">
        <v>36</v>
      </c>
      <c r="L2280" t="s">
        <v>43</v>
      </c>
      <c r="M2280">
        <v>0</v>
      </c>
      <c r="N2280">
        <v>0</v>
      </c>
      <c r="O2280" s="5">
        <v>50744</v>
      </c>
      <c r="P2280" s="5">
        <v>50743</v>
      </c>
      <c r="Q2280">
        <f>30.5-10.5</f>
        <v>20</v>
      </c>
      <c r="R2280" t="s">
        <v>47</v>
      </c>
      <c r="T2280">
        <v>19</v>
      </c>
      <c r="U2280">
        <v>79</v>
      </c>
      <c r="V2280">
        <v>15</v>
      </c>
      <c r="W2280">
        <v>13</v>
      </c>
      <c r="X2280">
        <v>27.1</v>
      </c>
      <c r="Z2280" t="s">
        <v>39</v>
      </c>
      <c r="AB2280" t="s">
        <v>87</v>
      </c>
      <c r="AC2280" t="s">
        <v>88</v>
      </c>
    </row>
    <row r="2281" spans="1:30" x14ac:dyDescent="0.25">
      <c r="A2281" s="4">
        <v>42576</v>
      </c>
      <c r="B2281" t="s">
        <v>30</v>
      </c>
      <c r="C2281">
        <v>503</v>
      </c>
      <c r="D2281">
        <v>10</v>
      </c>
      <c r="E2281">
        <v>2</v>
      </c>
      <c r="F2281" t="s">
        <v>41</v>
      </c>
      <c r="G2281" t="s">
        <v>32</v>
      </c>
      <c r="H2281" t="s">
        <v>33</v>
      </c>
      <c r="I2281" t="s">
        <v>34</v>
      </c>
      <c r="J2281" t="s">
        <v>35</v>
      </c>
      <c r="K2281" t="s">
        <v>89</v>
      </c>
      <c r="L2281" t="s">
        <v>37</v>
      </c>
      <c r="M2281">
        <v>0</v>
      </c>
      <c r="N2281">
        <v>0</v>
      </c>
      <c r="O2281" s="5">
        <v>50742</v>
      </c>
      <c r="P2281" s="5">
        <v>50741</v>
      </c>
      <c r="Q2281">
        <f>27-12.5</f>
        <v>14.5</v>
      </c>
      <c r="R2281" t="s">
        <v>38</v>
      </c>
      <c r="S2281" t="s">
        <v>39</v>
      </c>
      <c r="T2281">
        <v>20</v>
      </c>
      <c r="U2281">
        <v>81</v>
      </c>
      <c r="V2281">
        <v>16</v>
      </c>
      <c r="W2281">
        <v>12.9</v>
      </c>
      <c r="X2281">
        <v>25.6</v>
      </c>
      <c r="Z2281" t="s">
        <v>39</v>
      </c>
      <c r="AB2281" t="s">
        <v>87</v>
      </c>
      <c r="AC2281" t="s">
        <v>88</v>
      </c>
    </row>
    <row r="2282" spans="1:30" x14ac:dyDescent="0.25">
      <c r="A2282" s="4">
        <v>42576</v>
      </c>
      <c r="B2282" t="s">
        <v>30</v>
      </c>
      <c r="C2282">
        <v>303</v>
      </c>
      <c r="D2282">
        <v>1</v>
      </c>
      <c r="E2282">
        <v>1</v>
      </c>
      <c r="F2282" t="s">
        <v>41</v>
      </c>
      <c r="G2282" t="s">
        <v>32</v>
      </c>
      <c r="H2282" t="s">
        <v>33</v>
      </c>
      <c r="I2282" t="s">
        <v>57</v>
      </c>
      <c r="O2282" s="5"/>
      <c r="P2282" s="5"/>
    </row>
    <row r="2283" spans="1:30" x14ac:dyDescent="0.25">
      <c r="A2283" s="4">
        <v>42576</v>
      </c>
      <c r="B2283" t="s">
        <v>30</v>
      </c>
      <c r="C2283">
        <v>303</v>
      </c>
      <c r="D2283">
        <v>1</v>
      </c>
      <c r="E2283">
        <v>2</v>
      </c>
      <c r="F2283" t="s">
        <v>41</v>
      </c>
      <c r="G2283" t="s">
        <v>32</v>
      </c>
      <c r="H2283" t="s">
        <v>33</v>
      </c>
      <c r="I2283" t="s">
        <v>53</v>
      </c>
      <c r="J2283" t="s">
        <v>62</v>
      </c>
      <c r="O2283" s="5"/>
      <c r="P2283" s="5"/>
    </row>
    <row r="2284" spans="1:30" x14ac:dyDescent="0.25">
      <c r="A2284" s="4">
        <v>42576</v>
      </c>
      <c r="B2284" t="s">
        <v>30</v>
      </c>
      <c r="C2284">
        <v>303</v>
      </c>
      <c r="D2284">
        <v>2</v>
      </c>
      <c r="E2284">
        <v>1</v>
      </c>
      <c r="F2284" t="s">
        <v>41</v>
      </c>
      <c r="G2284" t="s">
        <v>32</v>
      </c>
      <c r="H2284" t="s">
        <v>33</v>
      </c>
      <c r="I2284" t="s">
        <v>58</v>
      </c>
      <c r="J2284" t="s">
        <v>42</v>
      </c>
      <c r="K2284" t="s">
        <v>36</v>
      </c>
      <c r="L2284" t="s">
        <v>43</v>
      </c>
      <c r="M2284">
        <v>0</v>
      </c>
      <c r="N2284">
        <v>1</v>
      </c>
      <c r="O2284" s="5"/>
      <c r="P2284" s="5">
        <v>50960</v>
      </c>
      <c r="Q2284">
        <f>35-11</f>
        <v>24</v>
      </c>
      <c r="R2284" t="s">
        <v>47</v>
      </c>
      <c r="T2284">
        <v>17</v>
      </c>
      <c r="W2284">
        <v>12.8</v>
      </c>
      <c r="X2284">
        <v>27.6</v>
      </c>
      <c r="Z2284" t="s">
        <v>97</v>
      </c>
      <c r="AA2284" t="s">
        <v>280</v>
      </c>
      <c r="AB2284" t="s">
        <v>87</v>
      </c>
      <c r="AC2284" t="s">
        <v>88</v>
      </c>
      <c r="AD2284" t="s">
        <v>281</v>
      </c>
    </row>
    <row r="2285" spans="1:30" x14ac:dyDescent="0.25">
      <c r="A2285" s="4">
        <v>42576</v>
      </c>
      <c r="B2285" t="s">
        <v>30</v>
      </c>
      <c r="C2285">
        <v>303</v>
      </c>
      <c r="D2285">
        <v>2</v>
      </c>
      <c r="E2285">
        <v>2</v>
      </c>
      <c r="F2285" t="s">
        <v>41</v>
      </c>
      <c r="G2285" t="s">
        <v>32</v>
      </c>
      <c r="H2285" t="s">
        <v>33</v>
      </c>
      <c r="I2285" t="s">
        <v>57</v>
      </c>
      <c r="O2285" s="5"/>
      <c r="P2285" s="5"/>
    </row>
    <row r="2286" spans="1:30" x14ac:dyDescent="0.25">
      <c r="A2286" s="4">
        <v>42576</v>
      </c>
      <c r="B2286" t="s">
        <v>30</v>
      </c>
      <c r="C2286">
        <v>303</v>
      </c>
      <c r="D2286">
        <v>3</v>
      </c>
      <c r="E2286">
        <v>1</v>
      </c>
      <c r="F2286" t="s">
        <v>41</v>
      </c>
      <c r="G2286" t="s">
        <v>32</v>
      </c>
      <c r="H2286" t="s">
        <v>33</v>
      </c>
      <c r="I2286" t="s">
        <v>57</v>
      </c>
      <c r="O2286" s="5"/>
      <c r="P2286" s="5"/>
    </row>
    <row r="2287" spans="1:30" x14ac:dyDescent="0.25">
      <c r="A2287" s="4">
        <v>42576</v>
      </c>
      <c r="B2287" t="s">
        <v>30</v>
      </c>
      <c r="C2287">
        <v>303</v>
      </c>
      <c r="D2287">
        <v>3</v>
      </c>
      <c r="E2287">
        <v>2</v>
      </c>
      <c r="F2287" t="s">
        <v>41</v>
      </c>
      <c r="G2287" t="s">
        <v>32</v>
      </c>
      <c r="H2287" t="s">
        <v>33</v>
      </c>
      <c r="I2287" t="s">
        <v>57</v>
      </c>
      <c r="O2287" s="5"/>
      <c r="P2287" s="5"/>
    </row>
    <row r="2288" spans="1:30" x14ac:dyDescent="0.25">
      <c r="A2288" s="4">
        <v>42576</v>
      </c>
      <c r="B2288" t="s">
        <v>30</v>
      </c>
      <c r="C2288">
        <v>303</v>
      </c>
      <c r="D2288">
        <v>4</v>
      </c>
      <c r="E2288">
        <v>1</v>
      </c>
      <c r="F2288" t="s">
        <v>41</v>
      </c>
      <c r="G2288" t="s">
        <v>32</v>
      </c>
      <c r="H2288" t="s">
        <v>33</v>
      </c>
      <c r="I2288" t="s">
        <v>53</v>
      </c>
      <c r="J2288" t="s">
        <v>123</v>
      </c>
      <c r="O2288" s="5"/>
      <c r="P2288" s="5"/>
    </row>
    <row r="2289" spans="1:30" x14ac:dyDescent="0.25">
      <c r="A2289" s="4">
        <v>42576</v>
      </c>
      <c r="B2289" t="s">
        <v>30</v>
      </c>
      <c r="C2289">
        <v>303</v>
      </c>
      <c r="D2289">
        <v>5</v>
      </c>
      <c r="E2289">
        <v>1</v>
      </c>
      <c r="F2289" t="s">
        <v>41</v>
      </c>
      <c r="G2289" t="s">
        <v>32</v>
      </c>
      <c r="H2289" t="s">
        <v>33</v>
      </c>
      <c r="I2289" t="s">
        <v>57</v>
      </c>
      <c r="O2289" s="5"/>
      <c r="P2289" s="5"/>
    </row>
    <row r="2290" spans="1:30" x14ac:dyDescent="0.25">
      <c r="A2290" s="4">
        <v>42576</v>
      </c>
      <c r="B2290" t="s">
        <v>30</v>
      </c>
      <c r="C2290">
        <v>303</v>
      </c>
      <c r="D2290">
        <v>5</v>
      </c>
      <c r="E2290">
        <v>2</v>
      </c>
      <c r="F2290" t="s">
        <v>41</v>
      </c>
      <c r="G2290" t="s">
        <v>32</v>
      </c>
      <c r="H2290" t="s">
        <v>33</v>
      </c>
      <c r="I2290" t="s">
        <v>57</v>
      </c>
      <c r="O2290" s="5"/>
      <c r="P2290" s="5"/>
    </row>
    <row r="2291" spans="1:30" x14ac:dyDescent="0.25">
      <c r="A2291" s="4">
        <v>42576</v>
      </c>
      <c r="B2291" t="s">
        <v>30</v>
      </c>
      <c r="C2291">
        <v>303</v>
      </c>
      <c r="D2291">
        <v>6</v>
      </c>
      <c r="E2291">
        <v>1</v>
      </c>
      <c r="F2291" t="s">
        <v>41</v>
      </c>
      <c r="G2291" t="s">
        <v>32</v>
      </c>
      <c r="H2291" t="s">
        <v>33</v>
      </c>
      <c r="I2291" t="s">
        <v>57</v>
      </c>
      <c r="O2291" s="5"/>
      <c r="P2291" s="5"/>
    </row>
    <row r="2292" spans="1:30" x14ac:dyDescent="0.25">
      <c r="A2292" s="4">
        <v>42576</v>
      </c>
      <c r="B2292" t="s">
        <v>30</v>
      </c>
      <c r="C2292">
        <v>303</v>
      </c>
      <c r="D2292">
        <v>6</v>
      </c>
      <c r="E2292">
        <v>2</v>
      </c>
      <c r="F2292" t="s">
        <v>41</v>
      </c>
      <c r="G2292" t="s">
        <v>32</v>
      </c>
      <c r="H2292" t="s">
        <v>33</v>
      </c>
      <c r="I2292" t="s">
        <v>57</v>
      </c>
      <c r="O2292" s="5"/>
      <c r="P2292" s="5"/>
    </row>
    <row r="2293" spans="1:30" x14ac:dyDescent="0.25">
      <c r="A2293" s="4">
        <v>42576</v>
      </c>
      <c r="B2293" t="s">
        <v>30</v>
      </c>
      <c r="C2293">
        <v>303</v>
      </c>
      <c r="D2293">
        <v>7</v>
      </c>
      <c r="E2293">
        <v>1</v>
      </c>
      <c r="F2293" t="s">
        <v>41</v>
      </c>
      <c r="G2293" t="s">
        <v>32</v>
      </c>
      <c r="H2293" t="s">
        <v>33</v>
      </c>
      <c r="I2293" t="s">
        <v>58</v>
      </c>
      <c r="J2293" t="s">
        <v>35</v>
      </c>
      <c r="K2293" t="s">
        <v>36</v>
      </c>
      <c r="L2293" t="s">
        <v>43</v>
      </c>
      <c r="M2293">
        <v>0</v>
      </c>
      <c r="N2293">
        <v>0</v>
      </c>
      <c r="O2293" s="5">
        <v>50344</v>
      </c>
      <c r="P2293" s="5"/>
      <c r="Q2293">
        <f>34-12</f>
        <v>22</v>
      </c>
      <c r="R2293" t="s">
        <v>47</v>
      </c>
      <c r="T2293">
        <v>17</v>
      </c>
      <c r="W2293">
        <v>12.7</v>
      </c>
      <c r="X2293">
        <v>26.9</v>
      </c>
      <c r="Z2293" t="s">
        <v>97</v>
      </c>
      <c r="AA2293" t="s">
        <v>199</v>
      </c>
      <c r="AB2293" t="s">
        <v>87</v>
      </c>
      <c r="AC2293" t="s">
        <v>88</v>
      </c>
      <c r="AD2293" t="s">
        <v>282</v>
      </c>
    </row>
    <row r="2294" spans="1:30" x14ac:dyDescent="0.25">
      <c r="A2294" s="4">
        <v>42576</v>
      </c>
      <c r="B2294" t="s">
        <v>30</v>
      </c>
      <c r="C2294">
        <v>303</v>
      </c>
      <c r="D2294">
        <v>7</v>
      </c>
      <c r="E2294">
        <v>2</v>
      </c>
      <c r="F2294" t="s">
        <v>41</v>
      </c>
      <c r="G2294" t="s">
        <v>32</v>
      </c>
      <c r="H2294" t="s">
        <v>33</v>
      </c>
      <c r="I2294" t="s">
        <v>34</v>
      </c>
      <c r="J2294" t="s">
        <v>35</v>
      </c>
      <c r="K2294" t="s">
        <v>36</v>
      </c>
      <c r="L2294" t="s">
        <v>37</v>
      </c>
      <c r="M2294">
        <v>0</v>
      </c>
      <c r="N2294">
        <v>0</v>
      </c>
      <c r="O2294" s="5">
        <v>50582</v>
      </c>
      <c r="P2294" s="5">
        <v>50581</v>
      </c>
      <c r="Q2294">
        <f>32-11.5</f>
        <v>20.5</v>
      </c>
      <c r="R2294" t="s">
        <v>164</v>
      </c>
      <c r="S2294" t="s">
        <v>97</v>
      </c>
      <c r="T2294">
        <v>19</v>
      </c>
      <c r="U2294">
        <v>83</v>
      </c>
      <c r="V2294">
        <v>14</v>
      </c>
      <c r="W2294">
        <v>12.9</v>
      </c>
      <c r="X2294">
        <v>27.6</v>
      </c>
      <c r="Z2294" t="s">
        <v>97</v>
      </c>
      <c r="AA2294" t="s">
        <v>199</v>
      </c>
      <c r="AB2294" t="s">
        <v>87</v>
      </c>
      <c r="AC2294" t="s">
        <v>88</v>
      </c>
    </row>
    <row r="2295" spans="1:30" x14ac:dyDescent="0.25">
      <c r="A2295" s="4">
        <v>42576</v>
      </c>
      <c r="B2295" t="s">
        <v>30</v>
      </c>
      <c r="C2295">
        <v>303</v>
      </c>
      <c r="D2295">
        <v>8</v>
      </c>
      <c r="E2295">
        <v>1</v>
      </c>
      <c r="F2295" t="s">
        <v>41</v>
      </c>
      <c r="G2295" t="s">
        <v>32</v>
      </c>
      <c r="H2295" t="s">
        <v>33</v>
      </c>
      <c r="I2295" t="s">
        <v>57</v>
      </c>
      <c r="O2295" s="5"/>
      <c r="P2295" s="5"/>
    </row>
    <row r="2296" spans="1:30" x14ac:dyDescent="0.25">
      <c r="A2296" s="4">
        <v>42576</v>
      </c>
      <c r="B2296" t="s">
        <v>30</v>
      </c>
      <c r="C2296">
        <v>303</v>
      </c>
      <c r="D2296">
        <v>8</v>
      </c>
      <c r="E2296">
        <v>2</v>
      </c>
      <c r="F2296" t="s">
        <v>41</v>
      </c>
      <c r="G2296" t="s">
        <v>32</v>
      </c>
      <c r="H2296" t="s">
        <v>33</v>
      </c>
      <c r="I2296" t="s">
        <v>57</v>
      </c>
      <c r="O2296" s="5"/>
      <c r="P2296" s="5"/>
    </row>
    <row r="2297" spans="1:30" x14ac:dyDescent="0.25">
      <c r="A2297" s="4">
        <v>42576</v>
      </c>
      <c r="B2297" t="s">
        <v>30</v>
      </c>
      <c r="C2297">
        <v>303</v>
      </c>
      <c r="D2297">
        <v>9</v>
      </c>
      <c r="E2297">
        <v>1</v>
      </c>
      <c r="F2297" t="s">
        <v>41</v>
      </c>
      <c r="G2297" t="s">
        <v>32</v>
      </c>
      <c r="H2297" t="s">
        <v>33</v>
      </c>
      <c r="I2297" t="s">
        <v>34</v>
      </c>
      <c r="J2297" t="s">
        <v>35</v>
      </c>
      <c r="K2297" t="s">
        <v>114</v>
      </c>
      <c r="L2297" t="s">
        <v>43</v>
      </c>
      <c r="M2297">
        <v>0</v>
      </c>
      <c r="N2297">
        <v>0</v>
      </c>
      <c r="O2297" s="5">
        <v>50746</v>
      </c>
      <c r="P2297" s="5">
        <v>50745</v>
      </c>
      <c r="Q2297">
        <f>26-9.5</f>
        <v>16.5</v>
      </c>
      <c r="R2297" t="s">
        <v>65</v>
      </c>
      <c r="T2297">
        <v>19.5</v>
      </c>
      <c r="U2297">
        <v>90</v>
      </c>
      <c r="V2297">
        <v>14</v>
      </c>
      <c r="W2297">
        <v>12.9</v>
      </c>
      <c r="X2297">
        <v>26.4</v>
      </c>
      <c r="Z2297" t="s">
        <v>39</v>
      </c>
      <c r="AB2297" t="s">
        <v>87</v>
      </c>
      <c r="AC2297" t="s">
        <v>88</v>
      </c>
    </row>
    <row r="2298" spans="1:30" x14ac:dyDescent="0.25">
      <c r="A2298" s="4">
        <v>42576</v>
      </c>
      <c r="B2298" t="s">
        <v>30</v>
      </c>
      <c r="C2298">
        <v>303</v>
      </c>
      <c r="D2298">
        <v>10</v>
      </c>
      <c r="E2298">
        <v>1</v>
      </c>
      <c r="F2298" t="s">
        <v>41</v>
      </c>
      <c r="G2298" t="s">
        <v>32</v>
      </c>
      <c r="H2298" t="s">
        <v>33</v>
      </c>
      <c r="I2298" t="s">
        <v>58</v>
      </c>
      <c r="J2298" t="s">
        <v>35</v>
      </c>
      <c r="K2298" t="s">
        <v>36</v>
      </c>
      <c r="L2298" t="s">
        <v>43</v>
      </c>
      <c r="M2298">
        <v>0</v>
      </c>
      <c r="N2298">
        <v>0</v>
      </c>
      <c r="O2298" s="5"/>
      <c r="P2298" s="5">
        <v>50439</v>
      </c>
      <c r="Q2298">
        <v>23</v>
      </c>
      <c r="R2298" t="s">
        <v>47</v>
      </c>
      <c r="T2298">
        <v>18.5</v>
      </c>
      <c r="W2298">
        <v>12.9</v>
      </c>
      <c r="X2298">
        <v>27.5</v>
      </c>
      <c r="Z2298" t="s">
        <v>97</v>
      </c>
      <c r="AA2298" t="s">
        <v>283</v>
      </c>
      <c r="AB2298" t="s">
        <v>87</v>
      </c>
      <c r="AC2298" t="s">
        <v>88</v>
      </c>
    </row>
    <row r="2299" spans="1:30" x14ac:dyDescent="0.25">
      <c r="A2299" s="4">
        <v>42576</v>
      </c>
      <c r="B2299" t="s">
        <v>30</v>
      </c>
      <c r="C2299">
        <v>401</v>
      </c>
      <c r="D2299">
        <v>1</v>
      </c>
      <c r="E2299">
        <v>1</v>
      </c>
      <c r="F2299" t="s">
        <v>41</v>
      </c>
      <c r="G2299" t="s">
        <v>32</v>
      </c>
      <c r="H2299" t="s">
        <v>33</v>
      </c>
      <c r="I2299" t="s">
        <v>57</v>
      </c>
      <c r="O2299" s="5"/>
      <c r="P2299" s="5"/>
    </row>
    <row r="2300" spans="1:30" x14ac:dyDescent="0.25">
      <c r="A2300" s="4">
        <v>42576</v>
      </c>
      <c r="B2300" t="s">
        <v>30</v>
      </c>
      <c r="C2300">
        <v>401</v>
      </c>
      <c r="D2300">
        <v>3</v>
      </c>
      <c r="E2300">
        <v>1</v>
      </c>
      <c r="F2300" t="s">
        <v>41</v>
      </c>
      <c r="G2300" t="s">
        <v>32</v>
      </c>
      <c r="H2300" t="s">
        <v>33</v>
      </c>
      <c r="I2300" t="s">
        <v>58</v>
      </c>
      <c r="J2300" t="s">
        <v>42</v>
      </c>
      <c r="K2300" t="s">
        <v>36</v>
      </c>
      <c r="L2300" t="s">
        <v>37</v>
      </c>
      <c r="M2300">
        <v>0</v>
      </c>
      <c r="N2300">
        <v>1</v>
      </c>
      <c r="O2300" s="5">
        <v>50959</v>
      </c>
      <c r="P2300" s="5"/>
      <c r="Q2300">
        <f>36-14</f>
        <v>22</v>
      </c>
      <c r="R2300" t="s">
        <v>63</v>
      </c>
      <c r="S2300" t="s">
        <v>39</v>
      </c>
      <c r="Z2300" t="s">
        <v>97</v>
      </c>
      <c r="AA2300" t="s">
        <v>199</v>
      </c>
      <c r="AB2300" t="s">
        <v>87</v>
      </c>
      <c r="AC2300" t="s">
        <v>88</v>
      </c>
    </row>
    <row r="2301" spans="1:30" x14ac:dyDescent="0.25">
      <c r="A2301" s="4">
        <v>42576</v>
      </c>
      <c r="B2301" t="s">
        <v>30</v>
      </c>
      <c r="C2301">
        <v>401</v>
      </c>
      <c r="D2301">
        <v>3</v>
      </c>
      <c r="E2301">
        <v>2</v>
      </c>
      <c r="F2301" t="s">
        <v>41</v>
      </c>
      <c r="G2301" t="s">
        <v>32</v>
      </c>
      <c r="H2301" t="s">
        <v>33</v>
      </c>
      <c r="I2301" t="s">
        <v>34</v>
      </c>
      <c r="J2301" t="s">
        <v>35</v>
      </c>
      <c r="K2301" t="s">
        <v>114</v>
      </c>
      <c r="L2301" t="s">
        <v>43</v>
      </c>
      <c r="M2301">
        <v>0</v>
      </c>
      <c r="N2301">
        <v>0</v>
      </c>
      <c r="O2301" s="5">
        <v>50590</v>
      </c>
      <c r="P2301" s="5">
        <v>50589</v>
      </c>
      <c r="Q2301">
        <f>32-15</f>
        <v>17</v>
      </c>
      <c r="R2301" t="s">
        <v>47</v>
      </c>
      <c r="T2301">
        <v>19</v>
      </c>
      <c r="U2301">
        <v>78</v>
      </c>
      <c r="V2301">
        <v>13</v>
      </c>
      <c r="W2301">
        <v>12.9</v>
      </c>
      <c r="X2301">
        <v>26.8</v>
      </c>
      <c r="Z2301" t="s">
        <v>97</v>
      </c>
      <c r="AA2301" t="s">
        <v>199</v>
      </c>
      <c r="AB2301" t="s">
        <v>87</v>
      </c>
      <c r="AC2301" t="s">
        <v>88</v>
      </c>
      <c r="AD2301" t="s">
        <v>277</v>
      </c>
    </row>
    <row r="2302" spans="1:30" x14ac:dyDescent="0.25">
      <c r="A2302" s="4">
        <v>42576</v>
      </c>
      <c r="B2302" t="s">
        <v>30</v>
      </c>
      <c r="C2302">
        <v>401</v>
      </c>
      <c r="D2302">
        <v>4</v>
      </c>
      <c r="E2302">
        <v>1</v>
      </c>
      <c r="F2302" t="s">
        <v>41</v>
      </c>
      <c r="G2302" t="s">
        <v>32</v>
      </c>
      <c r="H2302" t="s">
        <v>33</v>
      </c>
      <c r="I2302" t="s">
        <v>57</v>
      </c>
      <c r="O2302" s="5"/>
      <c r="P2302" s="5"/>
    </row>
    <row r="2303" spans="1:30" x14ac:dyDescent="0.25">
      <c r="A2303" s="4">
        <v>42576</v>
      </c>
      <c r="B2303" t="s">
        <v>30</v>
      </c>
      <c r="C2303">
        <v>401</v>
      </c>
      <c r="D2303">
        <v>4</v>
      </c>
      <c r="E2303">
        <v>2</v>
      </c>
      <c r="F2303" t="s">
        <v>41</v>
      </c>
      <c r="G2303" t="s">
        <v>32</v>
      </c>
      <c r="H2303" t="s">
        <v>33</v>
      </c>
      <c r="I2303" t="s">
        <v>57</v>
      </c>
      <c r="O2303" s="5"/>
      <c r="P2303" s="5"/>
    </row>
    <row r="2304" spans="1:30" x14ac:dyDescent="0.25">
      <c r="A2304" s="4">
        <v>42576</v>
      </c>
      <c r="B2304" t="s">
        <v>30</v>
      </c>
      <c r="C2304">
        <v>401</v>
      </c>
      <c r="D2304">
        <v>5</v>
      </c>
      <c r="E2304">
        <v>1</v>
      </c>
      <c r="F2304" t="s">
        <v>41</v>
      </c>
      <c r="G2304" t="s">
        <v>32</v>
      </c>
      <c r="H2304" t="s">
        <v>33</v>
      </c>
      <c r="I2304" t="s">
        <v>53</v>
      </c>
      <c r="J2304" t="s">
        <v>62</v>
      </c>
      <c r="O2304" s="5"/>
      <c r="P2304" s="5"/>
    </row>
    <row r="2305" spans="1:30" x14ac:dyDescent="0.25">
      <c r="A2305" s="4">
        <v>42576</v>
      </c>
      <c r="B2305" t="s">
        <v>30</v>
      </c>
      <c r="C2305">
        <v>401</v>
      </c>
      <c r="D2305">
        <v>5</v>
      </c>
      <c r="E2305">
        <v>2</v>
      </c>
      <c r="F2305" t="s">
        <v>41</v>
      </c>
      <c r="G2305" t="s">
        <v>32</v>
      </c>
      <c r="H2305" t="s">
        <v>33</v>
      </c>
      <c r="I2305" t="s">
        <v>58</v>
      </c>
      <c r="J2305" t="s">
        <v>42</v>
      </c>
      <c r="K2305" t="s">
        <v>114</v>
      </c>
      <c r="L2305" t="s">
        <v>43</v>
      </c>
      <c r="M2305">
        <v>0</v>
      </c>
      <c r="N2305">
        <v>1</v>
      </c>
      <c r="O2305" s="5">
        <v>50958</v>
      </c>
      <c r="P2305" s="5"/>
      <c r="Q2305">
        <f>27.5-9.5</f>
        <v>18</v>
      </c>
      <c r="R2305" t="s">
        <v>47</v>
      </c>
      <c r="T2305">
        <v>18</v>
      </c>
      <c r="Z2305" t="s">
        <v>97</v>
      </c>
      <c r="AA2305" t="s">
        <v>199</v>
      </c>
      <c r="AB2305" t="s">
        <v>87</v>
      </c>
      <c r="AC2305" t="s">
        <v>88</v>
      </c>
    </row>
    <row r="2306" spans="1:30" x14ac:dyDescent="0.25">
      <c r="A2306" s="4">
        <v>42576</v>
      </c>
      <c r="B2306" t="s">
        <v>30</v>
      </c>
      <c r="C2306">
        <v>401</v>
      </c>
      <c r="D2306">
        <v>6</v>
      </c>
      <c r="E2306">
        <v>1</v>
      </c>
      <c r="F2306" t="s">
        <v>41</v>
      </c>
      <c r="G2306" t="s">
        <v>32</v>
      </c>
      <c r="H2306" t="s">
        <v>33</v>
      </c>
      <c r="I2306" t="s">
        <v>103</v>
      </c>
      <c r="J2306" t="s">
        <v>122</v>
      </c>
      <c r="O2306" s="5"/>
      <c r="P2306" s="5"/>
    </row>
    <row r="2307" spans="1:30" x14ac:dyDescent="0.25">
      <c r="A2307" s="4">
        <v>42576</v>
      </c>
      <c r="B2307" t="s">
        <v>30</v>
      </c>
      <c r="C2307">
        <v>401</v>
      </c>
      <c r="D2307">
        <v>7</v>
      </c>
      <c r="E2307">
        <v>1</v>
      </c>
      <c r="F2307" t="s">
        <v>41</v>
      </c>
      <c r="G2307" t="s">
        <v>32</v>
      </c>
      <c r="H2307" t="s">
        <v>33</v>
      </c>
      <c r="I2307" t="s">
        <v>91</v>
      </c>
      <c r="J2307" t="s">
        <v>42</v>
      </c>
      <c r="K2307" t="s">
        <v>36</v>
      </c>
      <c r="L2307" t="s">
        <v>37</v>
      </c>
      <c r="M2307">
        <v>0</v>
      </c>
      <c r="N2307">
        <v>1</v>
      </c>
      <c r="O2307" s="5">
        <v>50957</v>
      </c>
      <c r="P2307" s="5"/>
      <c r="Q2307">
        <f>40.5-14.5</f>
        <v>26</v>
      </c>
      <c r="R2307" t="s">
        <v>143</v>
      </c>
      <c r="S2307" t="s">
        <v>97</v>
      </c>
      <c r="T2307">
        <v>28</v>
      </c>
      <c r="W2307">
        <v>13.1</v>
      </c>
      <c r="X2307">
        <v>27.3</v>
      </c>
      <c r="Z2307" t="s">
        <v>97</v>
      </c>
      <c r="AA2307" t="s">
        <v>199</v>
      </c>
      <c r="AB2307" t="s">
        <v>87</v>
      </c>
      <c r="AC2307" t="s">
        <v>88</v>
      </c>
    </row>
    <row r="2308" spans="1:30" x14ac:dyDescent="0.25">
      <c r="A2308" s="4">
        <v>42576</v>
      </c>
      <c r="B2308" t="s">
        <v>30</v>
      </c>
      <c r="C2308">
        <v>703</v>
      </c>
      <c r="D2308">
        <v>1</v>
      </c>
      <c r="E2308">
        <v>1</v>
      </c>
      <c r="F2308" t="s">
        <v>284</v>
      </c>
      <c r="G2308" t="s">
        <v>32</v>
      </c>
      <c r="H2308" t="s">
        <v>33</v>
      </c>
      <c r="I2308" t="s">
        <v>58</v>
      </c>
      <c r="J2308" t="s">
        <v>35</v>
      </c>
      <c r="K2308" t="s">
        <v>36</v>
      </c>
      <c r="L2308" t="s">
        <v>43</v>
      </c>
      <c r="M2308">
        <v>0</v>
      </c>
      <c r="N2308">
        <v>0</v>
      </c>
      <c r="O2308" s="5">
        <v>50505</v>
      </c>
      <c r="P2308" s="5" t="s">
        <v>165</v>
      </c>
      <c r="Q2308">
        <v>20</v>
      </c>
      <c r="R2308" t="s">
        <v>47</v>
      </c>
      <c r="T2308">
        <v>18</v>
      </c>
      <c r="W2308">
        <v>13.8</v>
      </c>
      <c r="X2308">
        <v>30.2</v>
      </c>
      <c r="Z2308" t="s">
        <v>39</v>
      </c>
      <c r="AB2308" t="s">
        <v>87</v>
      </c>
      <c r="AC2308" t="s">
        <v>88</v>
      </c>
    </row>
    <row r="2309" spans="1:30" x14ac:dyDescent="0.25">
      <c r="A2309" s="4">
        <v>42576</v>
      </c>
      <c r="B2309" t="s">
        <v>30</v>
      </c>
      <c r="C2309">
        <v>703</v>
      </c>
      <c r="D2309">
        <v>1</v>
      </c>
      <c r="E2309">
        <v>2</v>
      </c>
      <c r="F2309" t="s">
        <v>284</v>
      </c>
      <c r="G2309" t="s">
        <v>32</v>
      </c>
      <c r="H2309" t="s">
        <v>33</v>
      </c>
      <c r="I2309" t="s">
        <v>57</v>
      </c>
      <c r="O2309" s="5"/>
      <c r="P2309" s="5"/>
    </row>
    <row r="2310" spans="1:30" x14ac:dyDescent="0.25">
      <c r="A2310" s="4">
        <v>42576</v>
      </c>
      <c r="B2310" t="s">
        <v>30</v>
      </c>
      <c r="C2310">
        <v>703</v>
      </c>
      <c r="D2310">
        <v>2</v>
      </c>
      <c r="E2310">
        <v>1</v>
      </c>
      <c r="F2310" t="s">
        <v>31</v>
      </c>
      <c r="G2310" t="s">
        <v>32</v>
      </c>
      <c r="H2310" t="s">
        <v>33</v>
      </c>
      <c r="I2310" t="s">
        <v>34</v>
      </c>
      <c r="J2310" t="s">
        <v>35</v>
      </c>
      <c r="K2310" t="s">
        <v>36</v>
      </c>
      <c r="L2310" t="s">
        <v>43</v>
      </c>
      <c r="M2310">
        <v>0</v>
      </c>
      <c r="N2310">
        <v>0</v>
      </c>
      <c r="O2310" s="5">
        <v>50468</v>
      </c>
      <c r="P2310" s="5">
        <v>50467</v>
      </c>
      <c r="Q2310">
        <f>31-9</f>
        <v>22</v>
      </c>
      <c r="R2310" t="s">
        <v>65</v>
      </c>
      <c r="T2310">
        <v>21</v>
      </c>
      <c r="U2310">
        <v>93</v>
      </c>
      <c r="V2310">
        <v>18</v>
      </c>
      <c r="W2310">
        <v>13.9</v>
      </c>
      <c r="X2310">
        <v>29.3</v>
      </c>
      <c r="Z2310" t="s">
        <v>39</v>
      </c>
      <c r="AB2310" t="s">
        <v>87</v>
      </c>
      <c r="AC2310" t="s">
        <v>88</v>
      </c>
    </row>
    <row r="2311" spans="1:30" x14ac:dyDescent="0.25">
      <c r="A2311" s="4">
        <v>42576</v>
      </c>
      <c r="B2311" t="s">
        <v>30</v>
      </c>
      <c r="C2311">
        <v>703</v>
      </c>
      <c r="D2311">
        <v>2</v>
      </c>
      <c r="E2311">
        <v>2</v>
      </c>
      <c r="F2311" t="s">
        <v>31</v>
      </c>
      <c r="G2311" t="s">
        <v>32</v>
      </c>
      <c r="H2311" t="s">
        <v>33</v>
      </c>
      <c r="O2311" s="5"/>
      <c r="P2311" s="5"/>
      <c r="AB2311" t="s">
        <v>87</v>
      </c>
      <c r="AC2311" t="s">
        <v>88</v>
      </c>
      <c r="AD2311" t="s">
        <v>285</v>
      </c>
    </row>
    <row r="2312" spans="1:30" x14ac:dyDescent="0.25">
      <c r="A2312" s="4">
        <v>42576</v>
      </c>
      <c r="B2312" t="s">
        <v>30</v>
      </c>
      <c r="C2312">
        <v>701</v>
      </c>
      <c r="D2312">
        <v>1</v>
      </c>
      <c r="E2312">
        <v>1</v>
      </c>
      <c r="F2312" t="s">
        <v>284</v>
      </c>
      <c r="G2312" t="s">
        <v>32</v>
      </c>
      <c r="H2312" t="s">
        <v>33</v>
      </c>
      <c r="I2312" t="s">
        <v>53</v>
      </c>
      <c r="J2312" t="s">
        <v>62</v>
      </c>
      <c r="O2312" s="5"/>
      <c r="P2312" s="5"/>
    </row>
    <row r="2313" spans="1:30" x14ac:dyDescent="0.25">
      <c r="A2313" s="4">
        <v>42576</v>
      </c>
      <c r="B2313" t="s">
        <v>30</v>
      </c>
      <c r="C2313">
        <v>701</v>
      </c>
      <c r="D2313">
        <v>2</v>
      </c>
      <c r="E2313">
        <v>1</v>
      </c>
      <c r="F2313" t="s">
        <v>284</v>
      </c>
      <c r="G2313" t="s">
        <v>32</v>
      </c>
      <c r="H2313" t="s">
        <v>33</v>
      </c>
      <c r="I2313" t="s">
        <v>34</v>
      </c>
      <c r="J2313" t="s">
        <v>35</v>
      </c>
      <c r="K2313" t="s">
        <v>36</v>
      </c>
      <c r="L2313" t="s">
        <v>43</v>
      </c>
      <c r="M2313">
        <v>0</v>
      </c>
      <c r="N2313">
        <v>0</v>
      </c>
      <c r="O2313" s="5">
        <v>50370</v>
      </c>
      <c r="P2313" s="5">
        <v>50369</v>
      </c>
      <c r="Q2313">
        <f>26-9.5</f>
        <v>16.5</v>
      </c>
      <c r="R2313" t="s">
        <v>47</v>
      </c>
      <c r="T2313">
        <v>19</v>
      </c>
      <c r="U2313">
        <v>76</v>
      </c>
      <c r="V2313">
        <v>18</v>
      </c>
      <c r="W2313">
        <v>13.7</v>
      </c>
      <c r="X2313">
        <v>30.1</v>
      </c>
      <c r="AB2313" t="s">
        <v>87</v>
      </c>
      <c r="AC2313" t="s">
        <v>88</v>
      </c>
    </row>
    <row r="2314" spans="1:30" x14ac:dyDescent="0.25">
      <c r="A2314" s="4">
        <v>42576</v>
      </c>
      <c r="B2314" t="s">
        <v>30</v>
      </c>
      <c r="C2314">
        <v>701</v>
      </c>
      <c r="D2314">
        <v>4</v>
      </c>
      <c r="E2314">
        <v>1</v>
      </c>
      <c r="F2314" t="s">
        <v>284</v>
      </c>
      <c r="G2314" t="s">
        <v>32</v>
      </c>
      <c r="H2314" t="s">
        <v>33</v>
      </c>
      <c r="I2314" t="s">
        <v>58</v>
      </c>
      <c r="J2314" t="s">
        <v>122</v>
      </c>
      <c r="O2314" s="5"/>
      <c r="P2314" s="5"/>
      <c r="Q2314">
        <f>35-10</f>
        <v>25</v>
      </c>
    </row>
    <row r="2315" spans="1:30" x14ac:dyDescent="0.25">
      <c r="A2315" s="4">
        <v>42576</v>
      </c>
      <c r="B2315" t="s">
        <v>30</v>
      </c>
      <c r="C2315">
        <v>701</v>
      </c>
      <c r="D2315">
        <v>5</v>
      </c>
      <c r="E2315">
        <v>2</v>
      </c>
      <c r="F2315" t="s">
        <v>284</v>
      </c>
      <c r="G2315" t="s">
        <v>32</v>
      </c>
      <c r="H2315" t="s">
        <v>33</v>
      </c>
      <c r="I2315" t="s">
        <v>34</v>
      </c>
      <c r="J2315" t="s">
        <v>35</v>
      </c>
      <c r="K2315" t="s">
        <v>36</v>
      </c>
      <c r="L2315" t="s">
        <v>37</v>
      </c>
      <c r="M2315">
        <v>0</v>
      </c>
      <c r="N2315">
        <v>0</v>
      </c>
      <c r="O2315" s="5">
        <v>50758</v>
      </c>
      <c r="P2315" s="5">
        <v>50757</v>
      </c>
      <c r="Q2315">
        <v>21</v>
      </c>
      <c r="R2315" t="s">
        <v>38</v>
      </c>
      <c r="S2315" t="s">
        <v>39</v>
      </c>
      <c r="T2315">
        <v>20</v>
      </c>
      <c r="U2315">
        <v>84</v>
      </c>
      <c r="V2315">
        <v>14</v>
      </c>
      <c r="W2315">
        <v>13</v>
      </c>
      <c r="X2315">
        <v>29.4</v>
      </c>
      <c r="Z2315" t="s">
        <v>39</v>
      </c>
      <c r="AB2315" t="s">
        <v>87</v>
      </c>
      <c r="AC2315" t="s">
        <v>88</v>
      </c>
    </row>
    <row r="2316" spans="1:30" x14ac:dyDescent="0.25">
      <c r="A2316" s="4">
        <v>42576</v>
      </c>
      <c r="B2316" t="s">
        <v>30</v>
      </c>
      <c r="C2316">
        <v>701</v>
      </c>
      <c r="D2316">
        <v>6</v>
      </c>
      <c r="E2316">
        <v>1</v>
      </c>
      <c r="F2316" t="s">
        <v>284</v>
      </c>
      <c r="G2316" t="s">
        <v>32</v>
      </c>
      <c r="H2316" t="s">
        <v>33</v>
      </c>
      <c r="I2316" t="s">
        <v>58</v>
      </c>
      <c r="J2316" t="s">
        <v>42</v>
      </c>
      <c r="K2316" t="s">
        <v>36</v>
      </c>
      <c r="L2316" t="s">
        <v>37</v>
      </c>
      <c r="M2316">
        <v>0</v>
      </c>
      <c r="N2316">
        <v>1</v>
      </c>
      <c r="O2316" s="5">
        <v>51000</v>
      </c>
      <c r="P2316" s="5"/>
      <c r="Q2316">
        <f>46-9.5</f>
        <v>36.5</v>
      </c>
      <c r="R2316" t="s">
        <v>74</v>
      </c>
      <c r="S2316" t="s">
        <v>97</v>
      </c>
      <c r="T2316">
        <v>20</v>
      </c>
      <c r="W2316">
        <v>14.6</v>
      </c>
      <c r="X2316">
        <v>30.9</v>
      </c>
      <c r="Z2316" t="s">
        <v>97</v>
      </c>
      <c r="AB2316" t="s">
        <v>87</v>
      </c>
      <c r="AC2316" t="s">
        <v>88</v>
      </c>
    </row>
    <row r="2317" spans="1:30" x14ac:dyDescent="0.25">
      <c r="A2317" s="4">
        <v>42576</v>
      </c>
      <c r="B2317" t="s">
        <v>30</v>
      </c>
      <c r="C2317">
        <v>701</v>
      </c>
      <c r="D2317">
        <v>8</v>
      </c>
      <c r="E2317">
        <v>1</v>
      </c>
      <c r="F2317" t="s">
        <v>284</v>
      </c>
      <c r="G2317" t="s">
        <v>32</v>
      </c>
      <c r="H2317" t="s">
        <v>33</v>
      </c>
      <c r="I2317" t="s">
        <v>57</v>
      </c>
      <c r="O2317" s="5"/>
      <c r="P2317" s="5"/>
    </row>
    <row r="2318" spans="1:30" x14ac:dyDescent="0.25">
      <c r="A2318" s="4">
        <v>42576</v>
      </c>
      <c r="B2318" t="s">
        <v>30</v>
      </c>
      <c r="C2318">
        <v>701</v>
      </c>
      <c r="D2318">
        <v>8</v>
      </c>
      <c r="E2318">
        <v>2</v>
      </c>
      <c r="F2318" t="s">
        <v>284</v>
      </c>
      <c r="G2318" t="s">
        <v>32</v>
      </c>
      <c r="H2318" t="s">
        <v>33</v>
      </c>
      <c r="I2318" t="s">
        <v>53</v>
      </c>
      <c r="J2318" t="s">
        <v>62</v>
      </c>
      <c r="O2318" s="5"/>
      <c r="P2318" s="5"/>
    </row>
    <row r="2319" spans="1:30" x14ac:dyDescent="0.25">
      <c r="A2319" s="4">
        <v>42576</v>
      </c>
      <c r="B2319" t="s">
        <v>30</v>
      </c>
      <c r="C2319">
        <v>701</v>
      </c>
      <c r="D2319">
        <v>9</v>
      </c>
      <c r="E2319">
        <v>1</v>
      </c>
      <c r="F2319" t="s">
        <v>284</v>
      </c>
      <c r="G2319" t="s">
        <v>32</v>
      </c>
      <c r="H2319" t="s">
        <v>33</v>
      </c>
      <c r="I2319" t="s">
        <v>53</v>
      </c>
      <c r="J2319" t="s">
        <v>123</v>
      </c>
      <c r="O2319" s="5"/>
      <c r="P2319" s="5"/>
    </row>
    <row r="2320" spans="1:30" x14ac:dyDescent="0.25">
      <c r="A2320" s="4">
        <v>42576</v>
      </c>
      <c r="B2320" t="s">
        <v>30</v>
      </c>
      <c r="C2320">
        <v>801</v>
      </c>
      <c r="D2320">
        <v>1</v>
      </c>
      <c r="E2320">
        <v>1</v>
      </c>
      <c r="F2320" t="s">
        <v>284</v>
      </c>
      <c r="G2320" t="s">
        <v>32</v>
      </c>
      <c r="H2320" t="s">
        <v>33</v>
      </c>
      <c r="I2320" t="s">
        <v>34</v>
      </c>
      <c r="J2320" t="s">
        <v>35</v>
      </c>
      <c r="K2320" t="s">
        <v>114</v>
      </c>
      <c r="L2320" t="s">
        <v>37</v>
      </c>
      <c r="M2320">
        <v>0</v>
      </c>
      <c r="N2320">
        <v>0</v>
      </c>
      <c r="O2320" s="5">
        <v>50868</v>
      </c>
      <c r="P2320" s="5">
        <v>50867</v>
      </c>
      <c r="Q2320">
        <f>24-9</f>
        <v>15</v>
      </c>
      <c r="R2320" t="s">
        <v>38</v>
      </c>
      <c r="S2320" t="s">
        <v>39</v>
      </c>
      <c r="T2320">
        <v>19</v>
      </c>
      <c r="U2320">
        <v>71</v>
      </c>
      <c r="V2320">
        <v>16</v>
      </c>
      <c r="W2320">
        <v>11.4</v>
      </c>
      <c r="X2320">
        <v>28.8</v>
      </c>
      <c r="Z2320" t="s">
        <v>39</v>
      </c>
      <c r="AB2320" t="s">
        <v>87</v>
      </c>
      <c r="AC2320" t="s">
        <v>88</v>
      </c>
    </row>
    <row r="2321" spans="1:29" x14ac:dyDescent="0.25">
      <c r="A2321" s="4">
        <v>42576</v>
      </c>
      <c r="B2321" t="s">
        <v>30</v>
      </c>
      <c r="C2321">
        <v>801</v>
      </c>
      <c r="D2321">
        <v>3</v>
      </c>
      <c r="E2321">
        <v>1</v>
      </c>
      <c r="F2321" t="s">
        <v>284</v>
      </c>
      <c r="G2321" t="s">
        <v>32</v>
      </c>
      <c r="H2321" t="s">
        <v>33</v>
      </c>
      <c r="I2321" t="s">
        <v>34</v>
      </c>
      <c r="J2321" t="s">
        <v>35</v>
      </c>
      <c r="K2321" t="s">
        <v>36</v>
      </c>
      <c r="L2321" t="s">
        <v>43</v>
      </c>
      <c r="M2321">
        <v>0</v>
      </c>
      <c r="N2321">
        <v>0</v>
      </c>
      <c r="O2321" s="5">
        <v>50677</v>
      </c>
      <c r="P2321" s="5">
        <v>50676</v>
      </c>
      <c r="Q2321">
        <v>22</v>
      </c>
      <c r="R2321" t="s">
        <v>47</v>
      </c>
      <c r="T2321">
        <v>20</v>
      </c>
      <c r="U2321">
        <v>86</v>
      </c>
      <c r="V2321">
        <v>15</v>
      </c>
      <c r="W2321">
        <v>13</v>
      </c>
      <c r="X2321">
        <v>28.8</v>
      </c>
      <c r="Z2321" t="s">
        <v>39</v>
      </c>
      <c r="AB2321" t="s">
        <v>87</v>
      </c>
      <c r="AC2321" t="s">
        <v>88</v>
      </c>
    </row>
    <row r="2322" spans="1:29" x14ac:dyDescent="0.25">
      <c r="A2322" s="4">
        <v>42576</v>
      </c>
      <c r="B2322" t="s">
        <v>30</v>
      </c>
      <c r="C2322">
        <v>801</v>
      </c>
      <c r="D2322">
        <v>3</v>
      </c>
      <c r="E2322">
        <v>2</v>
      </c>
      <c r="F2322" t="s">
        <v>284</v>
      </c>
      <c r="G2322" t="s">
        <v>32</v>
      </c>
      <c r="H2322" t="s">
        <v>33</v>
      </c>
      <c r="I2322" t="s">
        <v>34</v>
      </c>
      <c r="J2322" t="s">
        <v>42</v>
      </c>
      <c r="K2322" t="s">
        <v>89</v>
      </c>
      <c r="L2322" t="s">
        <v>37</v>
      </c>
      <c r="M2322">
        <v>0</v>
      </c>
      <c r="N2322">
        <v>1</v>
      </c>
      <c r="O2322" s="5">
        <v>50998</v>
      </c>
      <c r="P2322" s="5">
        <v>50999</v>
      </c>
      <c r="Q2322">
        <v>13</v>
      </c>
      <c r="R2322" t="s">
        <v>38</v>
      </c>
      <c r="S2322" t="s">
        <v>39</v>
      </c>
      <c r="T2322">
        <v>19.5</v>
      </c>
      <c r="U2322">
        <v>80</v>
      </c>
      <c r="V2322">
        <v>14</v>
      </c>
      <c r="W2322">
        <v>12.6</v>
      </c>
      <c r="X2322">
        <v>28.3</v>
      </c>
      <c r="Z2322" t="s">
        <v>39</v>
      </c>
      <c r="AB2322" t="s">
        <v>87</v>
      </c>
      <c r="AC2322" t="s">
        <v>88</v>
      </c>
    </row>
    <row r="2323" spans="1:29" x14ac:dyDescent="0.25">
      <c r="A2323" s="4">
        <v>42576</v>
      </c>
      <c r="B2323" t="s">
        <v>30</v>
      </c>
      <c r="C2323">
        <v>801</v>
      </c>
      <c r="D2323">
        <v>5</v>
      </c>
      <c r="E2323">
        <v>1</v>
      </c>
      <c r="F2323" t="s">
        <v>284</v>
      </c>
      <c r="G2323" t="s">
        <v>32</v>
      </c>
      <c r="H2323" t="s">
        <v>33</v>
      </c>
      <c r="I2323" t="s">
        <v>58</v>
      </c>
      <c r="J2323" t="s">
        <v>35</v>
      </c>
      <c r="K2323" t="s">
        <v>36</v>
      </c>
      <c r="L2323" t="s">
        <v>37</v>
      </c>
      <c r="M2323">
        <v>0</v>
      </c>
      <c r="N2323">
        <v>0</v>
      </c>
      <c r="O2323" s="5">
        <v>50756</v>
      </c>
      <c r="P2323" s="5"/>
      <c r="Q2323">
        <f>38-9.5</f>
        <v>28.5</v>
      </c>
      <c r="R2323" t="s">
        <v>74</v>
      </c>
      <c r="S2323" t="s">
        <v>97</v>
      </c>
      <c r="T2323">
        <v>17</v>
      </c>
      <c r="W2323">
        <v>13.5</v>
      </c>
      <c r="X2323">
        <v>30.8</v>
      </c>
      <c r="Z2323" t="s">
        <v>39</v>
      </c>
      <c r="AB2323" t="s">
        <v>87</v>
      </c>
      <c r="AC2323" t="s">
        <v>88</v>
      </c>
    </row>
    <row r="2324" spans="1:29" x14ac:dyDescent="0.25">
      <c r="A2324" s="4">
        <v>42576</v>
      </c>
      <c r="B2324" t="s">
        <v>30</v>
      </c>
      <c r="C2324">
        <v>801</v>
      </c>
      <c r="D2324">
        <v>5</v>
      </c>
      <c r="E2324">
        <v>2</v>
      </c>
      <c r="F2324" t="s">
        <v>284</v>
      </c>
      <c r="G2324" t="s">
        <v>32</v>
      </c>
      <c r="H2324" t="s">
        <v>33</v>
      </c>
      <c r="I2324" t="s">
        <v>34</v>
      </c>
      <c r="J2324" t="s">
        <v>35</v>
      </c>
      <c r="K2324" t="s">
        <v>36</v>
      </c>
      <c r="L2324" t="s">
        <v>37</v>
      </c>
      <c r="M2324">
        <v>0</v>
      </c>
      <c r="N2324">
        <v>0</v>
      </c>
      <c r="O2324" s="5">
        <v>50860</v>
      </c>
      <c r="P2324" s="5">
        <v>50859</v>
      </c>
      <c r="Q2324">
        <f>40-13.5</f>
        <v>26.5</v>
      </c>
      <c r="R2324" t="s">
        <v>81</v>
      </c>
      <c r="S2324" t="s">
        <v>39</v>
      </c>
      <c r="T2324">
        <v>20</v>
      </c>
      <c r="U2324">
        <v>95</v>
      </c>
      <c r="V2324">
        <v>16</v>
      </c>
      <c r="W2324">
        <v>13.2</v>
      </c>
      <c r="X2324">
        <v>27.6</v>
      </c>
      <c r="Z2324" t="s">
        <v>39</v>
      </c>
      <c r="AB2324" t="s">
        <v>87</v>
      </c>
      <c r="AC2324" t="s">
        <v>88</v>
      </c>
    </row>
    <row r="2325" spans="1:29" x14ac:dyDescent="0.25">
      <c r="A2325" s="4">
        <v>42576</v>
      </c>
      <c r="B2325" t="s">
        <v>30</v>
      </c>
      <c r="C2325">
        <v>801</v>
      </c>
      <c r="D2325">
        <v>7</v>
      </c>
      <c r="E2325">
        <v>1</v>
      </c>
      <c r="F2325" t="s">
        <v>284</v>
      </c>
      <c r="G2325" t="s">
        <v>32</v>
      </c>
      <c r="H2325" t="s">
        <v>33</v>
      </c>
      <c r="I2325" t="s">
        <v>70</v>
      </c>
      <c r="J2325" t="s">
        <v>123</v>
      </c>
      <c r="O2325" s="5"/>
      <c r="P2325" s="5"/>
      <c r="AB2325" t="s">
        <v>87</v>
      </c>
      <c r="AC2325" t="s">
        <v>88</v>
      </c>
    </row>
    <row r="2326" spans="1:29" x14ac:dyDescent="0.25">
      <c r="A2326" s="4">
        <v>42576</v>
      </c>
      <c r="B2326" t="s">
        <v>30</v>
      </c>
      <c r="C2326">
        <v>801</v>
      </c>
      <c r="D2326">
        <v>7</v>
      </c>
      <c r="E2326">
        <v>2</v>
      </c>
      <c r="F2326" t="s">
        <v>284</v>
      </c>
      <c r="G2326" t="s">
        <v>32</v>
      </c>
      <c r="H2326" t="s">
        <v>33</v>
      </c>
      <c r="I2326" t="s">
        <v>73</v>
      </c>
      <c r="J2326" t="s">
        <v>35</v>
      </c>
      <c r="K2326" t="s">
        <v>36</v>
      </c>
      <c r="L2326" t="s">
        <v>43</v>
      </c>
      <c r="M2326">
        <v>0</v>
      </c>
      <c r="N2326">
        <v>0</v>
      </c>
      <c r="O2326" s="5" t="s">
        <v>165</v>
      </c>
      <c r="P2326" s="5">
        <v>50392</v>
      </c>
      <c r="Q2326">
        <f>238-130</f>
        <v>108</v>
      </c>
      <c r="R2326" t="s">
        <v>47</v>
      </c>
      <c r="T2326">
        <v>32</v>
      </c>
      <c r="W2326">
        <v>27.4</v>
      </c>
      <c r="X2326">
        <v>45.3</v>
      </c>
      <c r="Z2326" t="s">
        <v>39</v>
      </c>
      <c r="AB2326" t="s">
        <v>87</v>
      </c>
      <c r="AC2326" t="s">
        <v>88</v>
      </c>
    </row>
    <row r="2327" spans="1:29" x14ac:dyDescent="0.25">
      <c r="A2327" s="4">
        <v>42576</v>
      </c>
      <c r="B2327" t="s">
        <v>30</v>
      </c>
      <c r="C2327">
        <v>801</v>
      </c>
      <c r="D2327">
        <v>8</v>
      </c>
      <c r="E2327">
        <v>1</v>
      </c>
      <c r="F2327" t="s">
        <v>284</v>
      </c>
      <c r="G2327" t="s">
        <v>32</v>
      </c>
      <c r="H2327" t="s">
        <v>33</v>
      </c>
      <c r="I2327" t="s">
        <v>57</v>
      </c>
      <c r="O2327" s="5"/>
      <c r="P2327" s="5"/>
    </row>
    <row r="2328" spans="1:29" x14ac:dyDescent="0.25">
      <c r="A2328" s="4">
        <v>42576</v>
      </c>
      <c r="B2328" t="s">
        <v>30</v>
      </c>
      <c r="C2328">
        <v>801</v>
      </c>
      <c r="D2328">
        <v>8</v>
      </c>
      <c r="E2328">
        <v>1</v>
      </c>
      <c r="F2328" t="s">
        <v>284</v>
      </c>
      <c r="G2328" t="s">
        <v>32</v>
      </c>
      <c r="H2328" t="s">
        <v>33</v>
      </c>
      <c r="I2328" t="s">
        <v>53</v>
      </c>
      <c r="J2328" t="s">
        <v>62</v>
      </c>
      <c r="O2328" s="5"/>
      <c r="P2328" s="5"/>
    </row>
    <row r="2329" spans="1:29" x14ac:dyDescent="0.25">
      <c r="A2329" s="4">
        <v>42576</v>
      </c>
      <c r="B2329" t="s">
        <v>30</v>
      </c>
      <c r="C2329">
        <v>801</v>
      </c>
      <c r="D2329">
        <v>10</v>
      </c>
      <c r="E2329">
        <v>1</v>
      </c>
      <c r="F2329" t="s">
        <v>284</v>
      </c>
      <c r="G2329" t="s">
        <v>32</v>
      </c>
      <c r="H2329" t="s">
        <v>33</v>
      </c>
      <c r="I2329" t="s">
        <v>57</v>
      </c>
      <c r="O2329" s="5"/>
      <c r="P2329" s="5"/>
    </row>
    <row r="2330" spans="1:29" x14ac:dyDescent="0.25">
      <c r="A2330" s="4">
        <v>42576</v>
      </c>
      <c r="B2330" t="s">
        <v>30</v>
      </c>
      <c r="C2330">
        <v>801</v>
      </c>
      <c r="D2330">
        <v>10</v>
      </c>
      <c r="E2330">
        <v>2</v>
      </c>
      <c r="F2330" t="s">
        <v>284</v>
      </c>
      <c r="G2330" t="s">
        <v>32</v>
      </c>
      <c r="H2330" t="s">
        <v>33</v>
      </c>
      <c r="I2330" t="s">
        <v>70</v>
      </c>
      <c r="J2330" t="s">
        <v>123</v>
      </c>
      <c r="O2330" s="5"/>
      <c r="P2330" s="5"/>
    </row>
    <row r="2331" spans="1:29" x14ac:dyDescent="0.25">
      <c r="A2331" s="4">
        <v>42576</v>
      </c>
      <c r="B2331" t="s">
        <v>30</v>
      </c>
      <c r="C2331">
        <v>801</v>
      </c>
      <c r="D2331">
        <v>9</v>
      </c>
      <c r="E2331">
        <v>2</v>
      </c>
      <c r="F2331" t="s">
        <v>284</v>
      </c>
      <c r="G2331" t="s">
        <v>32</v>
      </c>
      <c r="H2331" t="s">
        <v>33</v>
      </c>
      <c r="I2331" t="s">
        <v>73</v>
      </c>
      <c r="J2331" t="s">
        <v>122</v>
      </c>
      <c r="O2331" s="5"/>
      <c r="P2331" s="5"/>
      <c r="Q2331">
        <f>215-130</f>
        <v>85</v>
      </c>
    </row>
    <row r="2332" spans="1:29" x14ac:dyDescent="0.25">
      <c r="A2332" s="4">
        <v>42576</v>
      </c>
      <c r="B2332" t="s">
        <v>30</v>
      </c>
      <c r="C2332">
        <v>803</v>
      </c>
      <c r="D2332">
        <v>9</v>
      </c>
      <c r="E2332">
        <v>1</v>
      </c>
      <c r="F2332" t="s">
        <v>284</v>
      </c>
      <c r="G2332" t="s">
        <v>32</v>
      </c>
      <c r="H2332" t="s">
        <v>33</v>
      </c>
      <c r="I2332" t="s">
        <v>34</v>
      </c>
      <c r="J2332" t="s">
        <v>35</v>
      </c>
      <c r="K2332" t="s">
        <v>36</v>
      </c>
      <c r="L2332" t="s">
        <v>37</v>
      </c>
      <c r="M2332">
        <v>0</v>
      </c>
      <c r="N2332">
        <v>0</v>
      </c>
      <c r="O2332" s="5">
        <v>50862</v>
      </c>
      <c r="P2332" s="5">
        <v>50861</v>
      </c>
      <c r="Q2332">
        <v>21</v>
      </c>
      <c r="R2332" t="s">
        <v>38</v>
      </c>
      <c r="S2332" t="s">
        <v>39</v>
      </c>
      <c r="T2332">
        <v>19</v>
      </c>
      <c r="U2332">
        <v>91</v>
      </c>
      <c r="V2332">
        <v>16</v>
      </c>
      <c r="W2332">
        <v>13.2</v>
      </c>
      <c r="X2332">
        <v>28.5</v>
      </c>
      <c r="Z2332" t="s">
        <v>39</v>
      </c>
      <c r="AB2332" t="s">
        <v>87</v>
      </c>
      <c r="AC2332" t="s">
        <v>88</v>
      </c>
    </row>
    <row r="2333" spans="1:29" x14ac:dyDescent="0.25">
      <c r="A2333" s="4">
        <v>42576</v>
      </c>
      <c r="B2333" t="s">
        <v>30</v>
      </c>
      <c r="C2333">
        <v>803</v>
      </c>
      <c r="D2333">
        <v>6</v>
      </c>
      <c r="E2333">
        <v>1</v>
      </c>
      <c r="F2333" t="s">
        <v>284</v>
      </c>
      <c r="G2333" t="s">
        <v>32</v>
      </c>
      <c r="H2333" t="s">
        <v>33</v>
      </c>
      <c r="I2333" t="s">
        <v>57</v>
      </c>
      <c r="O2333" s="5"/>
      <c r="P2333" s="5"/>
    </row>
    <row r="2334" spans="1:29" x14ac:dyDescent="0.25">
      <c r="A2334" s="4">
        <v>42576</v>
      </c>
      <c r="B2334" t="s">
        <v>30</v>
      </c>
      <c r="C2334">
        <v>803</v>
      </c>
      <c r="D2334">
        <v>4</v>
      </c>
      <c r="E2334">
        <v>1</v>
      </c>
      <c r="F2334" t="s">
        <v>284</v>
      </c>
      <c r="G2334" t="s">
        <v>32</v>
      </c>
      <c r="H2334" t="s">
        <v>33</v>
      </c>
      <c r="I2334" t="s">
        <v>57</v>
      </c>
      <c r="O2334" s="5"/>
      <c r="P2334" s="5"/>
    </row>
    <row r="2335" spans="1:29" x14ac:dyDescent="0.25">
      <c r="A2335" s="4">
        <v>42576</v>
      </c>
      <c r="B2335" t="s">
        <v>30</v>
      </c>
      <c r="C2335">
        <v>803</v>
      </c>
      <c r="D2335">
        <v>3</v>
      </c>
      <c r="E2335">
        <v>1</v>
      </c>
      <c r="F2335" t="s">
        <v>284</v>
      </c>
      <c r="G2335" t="s">
        <v>32</v>
      </c>
      <c r="H2335" t="s">
        <v>33</v>
      </c>
      <c r="I2335" t="s">
        <v>57</v>
      </c>
      <c r="O2335" s="5"/>
      <c r="P2335" s="5"/>
    </row>
    <row r="2336" spans="1:29" x14ac:dyDescent="0.25">
      <c r="A2336" s="4">
        <v>42576</v>
      </c>
      <c r="B2336" t="s">
        <v>30</v>
      </c>
      <c r="C2336">
        <v>803</v>
      </c>
      <c r="D2336">
        <v>3</v>
      </c>
      <c r="E2336">
        <v>2</v>
      </c>
      <c r="F2336" t="s">
        <v>284</v>
      </c>
      <c r="G2336" t="s">
        <v>32</v>
      </c>
      <c r="H2336" t="s">
        <v>33</v>
      </c>
      <c r="I2336" t="s">
        <v>91</v>
      </c>
      <c r="J2336" t="s">
        <v>35</v>
      </c>
      <c r="K2336" t="s">
        <v>36</v>
      </c>
      <c r="L2336" t="s">
        <v>37</v>
      </c>
      <c r="M2336">
        <v>0</v>
      </c>
      <c r="N2336">
        <v>0</v>
      </c>
      <c r="O2336" s="5">
        <v>50751</v>
      </c>
      <c r="P2336" s="5"/>
      <c r="Q2336">
        <f>34-9</f>
        <v>25</v>
      </c>
      <c r="R2336" t="s">
        <v>74</v>
      </c>
      <c r="S2336" t="s">
        <v>97</v>
      </c>
      <c r="T2336">
        <v>28</v>
      </c>
      <c r="W2336">
        <v>13.2</v>
      </c>
      <c r="X2336">
        <v>29.3</v>
      </c>
      <c r="Z2336" t="s">
        <v>39</v>
      </c>
      <c r="AB2336" t="s">
        <v>87</v>
      </c>
      <c r="AC2336" t="s">
        <v>88</v>
      </c>
    </row>
    <row r="2337" spans="1:30" x14ac:dyDescent="0.25">
      <c r="A2337" s="4">
        <v>42576</v>
      </c>
      <c r="B2337" t="s">
        <v>30</v>
      </c>
      <c r="C2337">
        <v>803</v>
      </c>
      <c r="D2337">
        <v>2</v>
      </c>
      <c r="E2337">
        <v>1</v>
      </c>
      <c r="F2337" t="s">
        <v>284</v>
      </c>
      <c r="G2337" t="s">
        <v>32</v>
      </c>
      <c r="H2337" t="s">
        <v>33</v>
      </c>
      <c r="I2337" t="s">
        <v>57</v>
      </c>
      <c r="O2337" s="5"/>
      <c r="P2337" s="5"/>
    </row>
    <row r="2338" spans="1:30" x14ac:dyDescent="0.25">
      <c r="A2338" s="4">
        <v>42576</v>
      </c>
      <c r="B2338" t="s">
        <v>30</v>
      </c>
      <c r="C2338">
        <v>803</v>
      </c>
      <c r="D2338">
        <v>2</v>
      </c>
      <c r="E2338">
        <v>2</v>
      </c>
      <c r="F2338" t="s">
        <v>284</v>
      </c>
      <c r="G2338" t="s">
        <v>32</v>
      </c>
      <c r="H2338" t="s">
        <v>33</v>
      </c>
      <c r="I2338" t="s">
        <v>91</v>
      </c>
      <c r="J2338" t="s">
        <v>35</v>
      </c>
      <c r="K2338" t="s">
        <v>89</v>
      </c>
      <c r="L2338" t="s">
        <v>37</v>
      </c>
      <c r="M2338">
        <v>0</v>
      </c>
      <c r="N2338">
        <v>0</v>
      </c>
      <c r="O2338" s="5">
        <v>50994</v>
      </c>
      <c r="P2338" s="5"/>
      <c r="Q2338">
        <f>26-10.5</f>
        <v>15.5</v>
      </c>
      <c r="R2338" t="s">
        <v>38</v>
      </c>
      <c r="S2338" t="s">
        <v>39</v>
      </c>
      <c r="T2338">
        <v>31</v>
      </c>
      <c r="W2338">
        <v>12.6</v>
      </c>
      <c r="X2338">
        <v>24.1</v>
      </c>
      <c r="Z2338" t="s">
        <v>39</v>
      </c>
      <c r="AB2338" t="s">
        <v>87</v>
      </c>
      <c r="AC2338" t="s">
        <v>88</v>
      </c>
    </row>
    <row r="2339" spans="1:30" x14ac:dyDescent="0.25">
      <c r="A2339" s="4">
        <v>42576</v>
      </c>
      <c r="B2339" t="s">
        <v>30</v>
      </c>
      <c r="C2339">
        <v>901</v>
      </c>
      <c r="D2339">
        <v>2</v>
      </c>
      <c r="E2339">
        <v>2</v>
      </c>
      <c r="F2339" t="s">
        <v>284</v>
      </c>
      <c r="G2339" t="s">
        <v>32</v>
      </c>
      <c r="H2339" t="s">
        <v>33</v>
      </c>
      <c r="I2339" t="s">
        <v>34</v>
      </c>
      <c r="J2339" t="s">
        <v>35</v>
      </c>
      <c r="K2339" t="s">
        <v>36</v>
      </c>
      <c r="L2339" t="s">
        <v>37</v>
      </c>
      <c r="M2339">
        <v>0</v>
      </c>
      <c r="N2339">
        <v>0</v>
      </c>
      <c r="O2339" s="5" t="s">
        <v>104</v>
      </c>
      <c r="P2339" s="5" t="s">
        <v>171</v>
      </c>
      <c r="Q2339">
        <f>31-12</f>
        <v>19</v>
      </c>
      <c r="R2339" t="s">
        <v>38</v>
      </c>
      <c r="S2339" t="s">
        <v>39</v>
      </c>
      <c r="T2339">
        <v>19</v>
      </c>
      <c r="U2339">
        <v>89</v>
      </c>
      <c r="V2339">
        <v>19</v>
      </c>
      <c r="W2339">
        <v>12.6</v>
      </c>
      <c r="X2339">
        <v>24.1</v>
      </c>
      <c r="Z2339" t="s">
        <v>39</v>
      </c>
      <c r="AB2339" t="s">
        <v>87</v>
      </c>
      <c r="AC2339" t="s">
        <v>88</v>
      </c>
    </row>
    <row r="2340" spans="1:30" x14ac:dyDescent="0.25">
      <c r="A2340" s="4">
        <v>42576</v>
      </c>
      <c r="B2340" t="s">
        <v>30</v>
      </c>
      <c r="C2340">
        <v>901</v>
      </c>
      <c r="D2340">
        <v>3</v>
      </c>
      <c r="E2340">
        <v>1</v>
      </c>
      <c r="F2340" t="s">
        <v>284</v>
      </c>
      <c r="G2340" t="s">
        <v>32</v>
      </c>
      <c r="H2340" t="s">
        <v>33</v>
      </c>
      <c r="I2340" t="s">
        <v>34</v>
      </c>
      <c r="J2340" t="s">
        <v>35</v>
      </c>
      <c r="K2340" t="s">
        <v>36</v>
      </c>
      <c r="L2340" t="s">
        <v>43</v>
      </c>
      <c r="M2340">
        <v>0</v>
      </c>
      <c r="N2340">
        <v>0</v>
      </c>
      <c r="O2340" s="5">
        <v>50799</v>
      </c>
      <c r="P2340" s="5">
        <v>50798</v>
      </c>
      <c r="Q2340">
        <v>14</v>
      </c>
      <c r="R2340" t="s">
        <v>47</v>
      </c>
      <c r="T2340">
        <v>19</v>
      </c>
      <c r="U2340">
        <v>85</v>
      </c>
      <c r="V2340">
        <v>18</v>
      </c>
      <c r="W2340">
        <v>11.6</v>
      </c>
      <c r="X2340">
        <v>28.7</v>
      </c>
      <c r="Z2340" t="s">
        <v>39</v>
      </c>
      <c r="AB2340" t="s">
        <v>87</v>
      </c>
      <c r="AC2340" t="s">
        <v>88</v>
      </c>
    </row>
    <row r="2341" spans="1:30" x14ac:dyDescent="0.25">
      <c r="A2341" s="4">
        <v>42576</v>
      </c>
      <c r="B2341" t="s">
        <v>30</v>
      </c>
      <c r="C2341">
        <v>901</v>
      </c>
      <c r="D2341">
        <v>3</v>
      </c>
      <c r="E2341">
        <v>2</v>
      </c>
      <c r="F2341" t="s">
        <v>284</v>
      </c>
      <c r="G2341" t="s">
        <v>32</v>
      </c>
      <c r="H2341" t="s">
        <v>33</v>
      </c>
      <c r="I2341" t="s">
        <v>84</v>
      </c>
      <c r="O2341" s="5"/>
      <c r="P2341" s="5"/>
    </row>
    <row r="2342" spans="1:30" x14ac:dyDescent="0.25">
      <c r="A2342" s="4">
        <v>42576</v>
      </c>
      <c r="B2342" t="s">
        <v>30</v>
      </c>
      <c r="C2342">
        <v>901</v>
      </c>
      <c r="D2342">
        <v>8</v>
      </c>
      <c r="E2342">
        <v>1</v>
      </c>
      <c r="F2342" t="s">
        <v>284</v>
      </c>
      <c r="G2342" t="s">
        <v>32</v>
      </c>
      <c r="H2342" t="s">
        <v>33</v>
      </c>
      <c r="I2342" t="s">
        <v>57</v>
      </c>
      <c r="O2342" s="5"/>
      <c r="P2342" s="5"/>
    </row>
    <row r="2343" spans="1:30" x14ac:dyDescent="0.25">
      <c r="A2343" s="4">
        <v>42576</v>
      </c>
      <c r="B2343" t="s">
        <v>30</v>
      </c>
      <c r="C2343">
        <v>901</v>
      </c>
      <c r="D2343">
        <v>8</v>
      </c>
      <c r="E2343">
        <v>2</v>
      </c>
      <c r="F2343" t="s">
        <v>284</v>
      </c>
      <c r="G2343" t="s">
        <v>32</v>
      </c>
      <c r="H2343" t="s">
        <v>33</v>
      </c>
      <c r="I2343" t="s">
        <v>57</v>
      </c>
      <c r="O2343" s="5"/>
      <c r="P2343" s="5"/>
    </row>
    <row r="2344" spans="1:30" x14ac:dyDescent="0.25">
      <c r="A2344" s="4">
        <v>42576</v>
      </c>
      <c r="B2344" t="s">
        <v>30</v>
      </c>
      <c r="C2344">
        <v>901</v>
      </c>
      <c r="D2344">
        <v>10</v>
      </c>
      <c r="E2344">
        <v>1</v>
      </c>
      <c r="F2344" t="s">
        <v>284</v>
      </c>
      <c r="G2344" t="s">
        <v>32</v>
      </c>
      <c r="H2344" t="s">
        <v>33</v>
      </c>
      <c r="I2344" t="s">
        <v>84</v>
      </c>
      <c r="O2344" s="5"/>
      <c r="P2344" s="5"/>
    </row>
    <row r="2345" spans="1:30" x14ac:dyDescent="0.25">
      <c r="A2345" s="4">
        <v>42576</v>
      </c>
      <c r="B2345" t="s">
        <v>30</v>
      </c>
      <c r="C2345">
        <v>701</v>
      </c>
      <c r="D2345">
        <v>1</v>
      </c>
      <c r="E2345">
        <v>2</v>
      </c>
      <c r="F2345" t="s">
        <v>31</v>
      </c>
      <c r="G2345" t="s">
        <v>32</v>
      </c>
      <c r="H2345" t="s">
        <v>33</v>
      </c>
      <c r="I2345" t="s">
        <v>34</v>
      </c>
      <c r="J2345" t="s">
        <v>35</v>
      </c>
      <c r="K2345" t="s">
        <v>114</v>
      </c>
      <c r="L2345" t="s">
        <v>43</v>
      </c>
      <c r="M2345">
        <v>0</v>
      </c>
      <c r="N2345">
        <v>0</v>
      </c>
      <c r="O2345" s="5">
        <v>50506</v>
      </c>
      <c r="P2345" s="5">
        <v>50505</v>
      </c>
      <c r="Q2345">
        <f>24.5-9</f>
        <v>15.5</v>
      </c>
      <c r="R2345" t="s">
        <v>65</v>
      </c>
      <c r="T2345">
        <v>19</v>
      </c>
      <c r="U2345">
        <v>88</v>
      </c>
      <c r="V2345">
        <v>16</v>
      </c>
      <c r="W2345">
        <v>13.1</v>
      </c>
      <c r="X2345">
        <v>29</v>
      </c>
      <c r="Z2345" t="s">
        <v>97</v>
      </c>
      <c r="AB2345" t="s">
        <v>87</v>
      </c>
      <c r="AC2345" t="s">
        <v>88</v>
      </c>
    </row>
    <row r="2346" spans="1:30" x14ac:dyDescent="0.25">
      <c r="A2346" s="4">
        <v>42576</v>
      </c>
      <c r="B2346" t="s">
        <v>30</v>
      </c>
      <c r="C2346">
        <v>701</v>
      </c>
      <c r="D2346">
        <v>3</v>
      </c>
      <c r="E2346">
        <v>1</v>
      </c>
      <c r="F2346" t="s">
        <v>31</v>
      </c>
      <c r="G2346" t="s">
        <v>32</v>
      </c>
      <c r="H2346" t="s">
        <v>33</v>
      </c>
      <c r="I2346" t="s">
        <v>34</v>
      </c>
      <c r="J2346" t="s">
        <v>35</v>
      </c>
      <c r="K2346" t="s">
        <v>114</v>
      </c>
      <c r="L2346" t="s">
        <v>43</v>
      </c>
      <c r="M2346">
        <v>0</v>
      </c>
      <c r="N2346">
        <v>0</v>
      </c>
      <c r="O2346" s="5">
        <v>50503</v>
      </c>
      <c r="P2346" s="5">
        <v>50502</v>
      </c>
      <c r="Q2346">
        <f>26-10.5</f>
        <v>15.5</v>
      </c>
      <c r="R2346" t="s">
        <v>65</v>
      </c>
      <c r="T2346">
        <v>18</v>
      </c>
      <c r="U2346">
        <v>83</v>
      </c>
      <c r="V2346">
        <v>15</v>
      </c>
      <c r="W2346">
        <v>12.9</v>
      </c>
      <c r="X2346">
        <v>26.5</v>
      </c>
      <c r="Z2346" t="s">
        <v>39</v>
      </c>
      <c r="AB2346" t="s">
        <v>87</v>
      </c>
      <c r="AC2346" t="s">
        <v>88</v>
      </c>
    </row>
    <row r="2347" spans="1:30" x14ac:dyDescent="0.25">
      <c r="A2347" s="4">
        <v>42576</v>
      </c>
      <c r="B2347" t="s">
        <v>30</v>
      </c>
      <c r="C2347">
        <v>701</v>
      </c>
      <c r="D2347">
        <v>5</v>
      </c>
      <c r="E2347">
        <v>1</v>
      </c>
      <c r="F2347" t="s">
        <v>31</v>
      </c>
      <c r="G2347" t="s">
        <v>32</v>
      </c>
      <c r="H2347" t="s">
        <v>33</v>
      </c>
      <c r="I2347" t="s">
        <v>34</v>
      </c>
      <c r="J2347" t="s">
        <v>35</v>
      </c>
      <c r="K2347" t="s">
        <v>114</v>
      </c>
      <c r="L2347" t="s">
        <v>43</v>
      </c>
      <c r="M2347">
        <v>0</v>
      </c>
      <c r="N2347">
        <v>0</v>
      </c>
      <c r="O2347" s="5">
        <v>50761</v>
      </c>
      <c r="P2347" s="5">
        <v>50760</v>
      </c>
      <c r="Q2347">
        <f>27.5-10</f>
        <v>17.5</v>
      </c>
      <c r="R2347" t="s">
        <v>65</v>
      </c>
      <c r="T2347">
        <v>19</v>
      </c>
      <c r="U2347">
        <v>85</v>
      </c>
      <c r="V2347">
        <v>17</v>
      </c>
      <c r="W2347">
        <v>13.3</v>
      </c>
      <c r="X2347">
        <v>30.1</v>
      </c>
      <c r="Z2347" t="s">
        <v>97</v>
      </c>
      <c r="AB2347" t="s">
        <v>87</v>
      </c>
      <c r="AC2347" t="s">
        <v>88</v>
      </c>
    </row>
    <row r="2348" spans="1:30" x14ac:dyDescent="0.25">
      <c r="A2348" s="4">
        <v>42576</v>
      </c>
      <c r="B2348" t="s">
        <v>30</v>
      </c>
      <c r="C2348">
        <v>701</v>
      </c>
      <c r="D2348">
        <v>6</v>
      </c>
      <c r="E2348">
        <v>2</v>
      </c>
      <c r="F2348" t="s">
        <v>31</v>
      </c>
      <c r="G2348" t="s">
        <v>32</v>
      </c>
      <c r="H2348" t="s">
        <v>33</v>
      </c>
      <c r="I2348" t="s">
        <v>34</v>
      </c>
      <c r="J2348" t="s">
        <v>35</v>
      </c>
      <c r="K2348" t="s">
        <v>36</v>
      </c>
      <c r="L2348" t="s">
        <v>37</v>
      </c>
      <c r="M2348">
        <v>0</v>
      </c>
      <c r="N2348">
        <v>0</v>
      </c>
      <c r="O2348" s="5">
        <v>50459</v>
      </c>
      <c r="P2348" s="5">
        <v>50458</v>
      </c>
      <c r="Q2348">
        <f>28.5-11.5</f>
        <v>17</v>
      </c>
      <c r="R2348" t="s">
        <v>38</v>
      </c>
      <c r="S2348" t="s">
        <v>39</v>
      </c>
      <c r="T2348">
        <v>17</v>
      </c>
      <c r="U2348">
        <v>81.5</v>
      </c>
      <c r="V2348">
        <v>18</v>
      </c>
      <c r="W2348">
        <v>12</v>
      </c>
      <c r="X2348">
        <v>27</v>
      </c>
      <c r="Z2348" t="s">
        <v>97</v>
      </c>
      <c r="AB2348" t="s">
        <v>87</v>
      </c>
      <c r="AC2348" t="s">
        <v>88</v>
      </c>
    </row>
    <row r="2349" spans="1:30" x14ac:dyDescent="0.25">
      <c r="A2349" s="4">
        <v>42576</v>
      </c>
      <c r="B2349" t="s">
        <v>30</v>
      </c>
      <c r="C2349">
        <v>701</v>
      </c>
      <c r="D2349">
        <v>7</v>
      </c>
      <c r="E2349">
        <v>1</v>
      </c>
      <c r="F2349" t="s">
        <v>31</v>
      </c>
      <c r="G2349" t="s">
        <v>32</v>
      </c>
      <c r="H2349" t="s">
        <v>33</v>
      </c>
      <c r="I2349" t="s">
        <v>91</v>
      </c>
      <c r="J2349" t="s">
        <v>35</v>
      </c>
      <c r="K2349" t="s">
        <v>36</v>
      </c>
      <c r="L2349" t="s">
        <v>37</v>
      </c>
      <c r="M2349">
        <v>0</v>
      </c>
      <c r="N2349">
        <v>0</v>
      </c>
      <c r="O2349" s="5">
        <v>50858</v>
      </c>
      <c r="P2349" s="5"/>
      <c r="Q2349">
        <f>34.5-9.5</f>
        <v>25</v>
      </c>
      <c r="R2349" t="s">
        <v>74</v>
      </c>
      <c r="S2349" t="s">
        <v>97</v>
      </c>
      <c r="T2349">
        <v>30</v>
      </c>
      <c r="W2349">
        <v>13.5</v>
      </c>
      <c r="X2349">
        <v>26.7</v>
      </c>
      <c r="Z2349" t="s">
        <v>39</v>
      </c>
      <c r="AB2349" t="s">
        <v>87</v>
      </c>
      <c r="AC2349" t="s">
        <v>88</v>
      </c>
    </row>
    <row r="2350" spans="1:30" x14ac:dyDescent="0.25">
      <c r="A2350" s="4">
        <v>42576</v>
      </c>
      <c r="B2350" t="s">
        <v>30</v>
      </c>
      <c r="C2350">
        <v>701</v>
      </c>
      <c r="D2350">
        <v>10</v>
      </c>
      <c r="E2350">
        <v>1</v>
      </c>
      <c r="F2350" t="s">
        <v>31</v>
      </c>
      <c r="G2350" t="s">
        <v>32</v>
      </c>
      <c r="H2350" t="s">
        <v>33</v>
      </c>
      <c r="I2350" t="s">
        <v>34</v>
      </c>
      <c r="J2350" t="s">
        <v>35</v>
      </c>
      <c r="K2350" t="s">
        <v>89</v>
      </c>
      <c r="L2350" t="s">
        <v>37</v>
      </c>
      <c r="M2350">
        <v>0</v>
      </c>
      <c r="N2350">
        <v>0</v>
      </c>
      <c r="O2350" s="5">
        <v>50610</v>
      </c>
      <c r="P2350" s="5">
        <v>50609</v>
      </c>
      <c r="Q2350">
        <f>24-10.5</f>
        <v>13.5</v>
      </c>
      <c r="R2350" t="s">
        <v>38</v>
      </c>
      <c r="S2350" t="s">
        <v>39</v>
      </c>
      <c r="T2350">
        <v>18</v>
      </c>
      <c r="U2350">
        <v>79.5</v>
      </c>
      <c r="V2350">
        <v>21</v>
      </c>
      <c r="W2350">
        <v>12.5</v>
      </c>
      <c r="X2350">
        <v>25</v>
      </c>
      <c r="Z2350" t="s">
        <v>39</v>
      </c>
      <c r="AB2350" t="s">
        <v>87</v>
      </c>
      <c r="AC2350" t="s">
        <v>88</v>
      </c>
    </row>
    <row r="2351" spans="1:30" x14ac:dyDescent="0.25">
      <c r="A2351" s="4">
        <v>42576</v>
      </c>
      <c r="B2351" t="s">
        <v>30</v>
      </c>
      <c r="C2351">
        <v>801</v>
      </c>
      <c r="D2351">
        <v>2</v>
      </c>
      <c r="E2351">
        <v>1</v>
      </c>
      <c r="F2351" t="s">
        <v>31</v>
      </c>
      <c r="G2351" t="s">
        <v>32</v>
      </c>
      <c r="H2351" t="s">
        <v>33</v>
      </c>
      <c r="I2351" t="s">
        <v>34</v>
      </c>
      <c r="J2351" t="s">
        <v>35</v>
      </c>
      <c r="K2351" t="s">
        <v>114</v>
      </c>
      <c r="L2351" t="s">
        <v>43</v>
      </c>
      <c r="M2351">
        <v>0</v>
      </c>
      <c r="N2351">
        <v>0</v>
      </c>
      <c r="O2351" s="5">
        <v>50697</v>
      </c>
      <c r="P2351" s="5">
        <v>50696</v>
      </c>
      <c r="Q2351">
        <f>30.5-12</f>
        <v>18.5</v>
      </c>
      <c r="R2351" t="s">
        <v>47</v>
      </c>
      <c r="T2351">
        <v>18</v>
      </c>
      <c r="U2351">
        <v>82</v>
      </c>
      <c r="Z2351" t="s">
        <v>39</v>
      </c>
      <c r="AB2351" t="s">
        <v>87</v>
      </c>
      <c r="AC2351" t="s">
        <v>88</v>
      </c>
      <c r="AD2351" t="s">
        <v>286</v>
      </c>
    </row>
    <row r="2352" spans="1:30" x14ac:dyDescent="0.25">
      <c r="A2352" s="4">
        <v>42576</v>
      </c>
      <c r="B2352" t="s">
        <v>30</v>
      </c>
      <c r="C2352">
        <v>801</v>
      </c>
      <c r="D2352">
        <v>2</v>
      </c>
      <c r="E2352">
        <v>2</v>
      </c>
      <c r="F2352" t="s">
        <v>31</v>
      </c>
      <c r="G2352" t="s">
        <v>32</v>
      </c>
      <c r="H2352" t="s">
        <v>33</v>
      </c>
      <c r="I2352" t="s">
        <v>34</v>
      </c>
      <c r="J2352" t="s">
        <v>42</v>
      </c>
      <c r="K2352" t="s">
        <v>89</v>
      </c>
      <c r="L2352" t="s">
        <v>37</v>
      </c>
      <c r="M2352">
        <v>0</v>
      </c>
      <c r="N2352">
        <v>1</v>
      </c>
      <c r="O2352" s="5">
        <v>50872</v>
      </c>
      <c r="P2352" s="5">
        <v>50871</v>
      </c>
      <c r="Q2352">
        <f>24.5-12.5</f>
        <v>12</v>
      </c>
      <c r="R2352" t="s">
        <v>38</v>
      </c>
      <c r="S2352" t="s">
        <v>39</v>
      </c>
      <c r="T2352">
        <v>20</v>
      </c>
      <c r="U2352">
        <v>74.5</v>
      </c>
      <c r="V2352">
        <v>15</v>
      </c>
      <c r="W2352">
        <v>12.3</v>
      </c>
      <c r="X2352">
        <v>27.9</v>
      </c>
      <c r="Z2352" t="s">
        <v>39</v>
      </c>
      <c r="AB2352" t="s">
        <v>87</v>
      </c>
      <c r="AC2352" t="s">
        <v>88</v>
      </c>
    </row>
    <row r="2353" spans="1:30" x14ac:dyDescent="0.25">
      <c r="A2353" s="4">
        <v>42576</v>
      </c>
      <c r="B2353" t="s">
        <v>30</v>
      </c>
      <c r="C2353">
        <v>801</v>
      </c>
      <c r="D2353">
        <v>4</v>
      </c>
      <c r="E2353">
        <v>1</v>
      </c>
      <c r="F2353" t="s">
        <v>31</v>
      </c>
      <c r="G2353" t="s">
        <v>32</v>
      </c>
      <c r="H2353" t="s">
        <v>33</v>
      </c>
      <c r="I2353" t="s">
        <v>34</v>
      </c>
      <c r="J2353" t="s">
        <v>42</v>
      </c>
      <c r="K2353" t="s">
        <v>89</v>
      </c>
      <c r="L2353" t="s">
        <v>37</v>
      </c>
      <c r="M2353">
        <v>0</v>
      </c>
      <c r="N2353">
        <v>1</v>
      </c>
      <c r="O2353" s="5">
        <v>50874</v>
      </c>
      <c r="P2353" s="5">
        <v>50873</v>
      </c>
      <c r="Q2353">
        <f>22.5-10.5</f>
        <v>12</v>
      </c>
      <c r="R2353" t="s">
        <v>38</v>
      </c>
      <c r="S2353" t="s">
        <v>39</v>
      </c>
      <c r="T2353">
        <v>19</v>
      </c>
      <c r="U2353">
        <v>77.5</v>
      </c>
      <c r="V2353">
        <v>15</v>
      </c>
      <c r="W2353">
        <v>12.3</v>
      </c>
      <c r="X2353">
        <v>26.3</v>
      </c>
      <c r="Z2353" t="s">
        <v>39</v>
      </c>
      <c r="AB2353" t="s">
        <v>87</v>
      </c>
      <c r="AC2353" t="s">
        <v>88</v>
      </c>
    </row>
    <row r="2354" spans="1:30" x14ac:dyDescent="0.25">
      <c r="A2354" s="4">
        <v>42576</v>
      </c>
      <c r="B2354" t="s">
        <v>30</v>
      </c>
      <c r="C2354">
        <v>801</v>
      </c>
      <c r="D2354">
        <v>4</v>
      </c>
      <c r="E2354">
        <v>2</v>
      </c>
      <c r="F2354" t="s">
        <v>31</v>
      </c>
      <c r="G2354" t="s">
        <v>32</v>
      </c>
      <c r="H2354" t="s">
        <v>33</v>
      </c>
      <c r="I2354" t="s">
        <v>34</v>
      </c>
      <c r="J2354" t="s">
        <v>42</v>
      </c>
      <c r="K2354" t="s">
        <v>89</v>
      </c>
      <c r="L2354" t="s">
        <v>37</v>
      </c>
      <c r="M2354">
        <v>0</v>
      </c>
      <c r="N2354">
        <v>1</v>
      </c>
      <c r="O2354" s="5">
        <v>50875</v>
      </c>
      <c r="P2354" s="5">
        <v>50925</v>
      </c>
      <c r="Q2354">
        <v>11</v>
      </c>
      <c r="R2354" t="s">
        <v>38</v>
      </c>
      <c r="S2354" t="s">
        <v>39</v>
      </c>
      <c r="T2354">
        <v>19</v>
      </c>
      <c r="U2354">
        <v>77</v>
      </c>
      <c r="V2354">
        <v>17</v>
      </c>
      <c r="W2354">
        <v>12.3</v>
      </c>
      <c r="X2354">
        <v>27.4</v>
      </c>
      <c r="Z2354" t="s">
        <v>39</v>
      </c>
      <c r="AB2354" t="s">
        <v>87</v>
      </c>
      <c r="AC2354" t="s">
        <v>88</v>
      </c>
    </row>
    <row r="2355" spans="1:30" x14ac:dyDescent="0.25">
      <c r="A2355" s="4">
        <v>42576</v>
      </c>
      <c r="B2355" t="s">
        <v>30</v>
      </c>
      <c r="C2355">
        <v>801</v>
      </c>
      <c r="D2355">
        <v>6</v>
      </c>
      <c r="E2355">
        <v>1</v>
      </c>
      <c r="F2355" t="s">
        <v>31</v>
      </c>
      <c r="G2355" t="s">
        <v>32</v>
      </c>
      <c r="H2355" t="s">
        <v>33</v>
      </c>
      <c r="I2355" t="s">
        <v>58</v>
      </c>
      <c r="J2355" t="s">
        <v>42</v>
      </c>
      <c r="K2355" t="s">
        <v>89</v>
      </c>
      <c r="L2355" t="s">
        <v>43</v>
      </c>
      <c r="M2355">
        <v>0</v>
      </c>
      <c r="N2355">
        <v>1</v>
      </c>
      <c r="O2355" s="5">
        <v>50924</v>
      </c>
      <c r="P2355" s="5"/>
      <c r="Q2355">
        <v>17</v>
      </c>
      <c r="R2355" t="s">
        <v>65</v>
      </c>
      <c r="T2355">
        <v>17</v>
      </c>
      <c r="W2355">
        <v>13.2</v>
      </c>
      <c r="X2355">
        <v>26.1</v>
      </c>
      <c r="Z2355" t="s">
        <v>39</v>
      </c>
      <c r="AB2355" t="s">
        <v>87</v>
      </c>
      <c r="AC2355" t="s">
        <v>88</v>
      </c>
    </row>
    <row r="2356" spans="1:30" x14ac:dyDescent="0.25">
      <c r="A2356" s="4">
        <v>42576</v>
      </c>
      <c r="B2356" t="s">
        <v>30</v>
      </c>
      <c r="C2356">
        <v>801</v>
      </c>
      <c r="D2356">
        <v>6</v>
      </c>
      <c r="E2356">
        <v>2</v>
      </c>
      <c r="F2356" t="s">
        <v>31</v>
      </c>
      <c r="G2356" t="s">
        <v>32</v>
      </c>
      <c r="H2356" t="s">
        <v>33</v>
      </c>
      <c r="I2356" t="s">
        <v>34</v>
      </c>
      <c r="J2356" t="s">
        <v>35</v>
      </c>
      <c r="K2356" t="s">
        <v>114</v>
      </c>
      <c r="L2356" t="s">
        <v>37</v>
      </c>
      <c r="M2356">
        <v>0</v>
      </c>
      <c r="N2356">
        <v>0</v>
      </c>
      <c r="O2356" s="5">
        <v>50614</v>
      </c>
      <c r="P2356" s="5">
        <v>50613</v>
      </c>
      <c r="Q2356">
        <v>20</v>
      </c>
      <c r="R2356" t="s">
        <v>74</v>
      </c>
      <c r="S2356" t="s">
        <v>97</v>
      </c>
      <c r="T2356">
        <v>18</v>
      </c>
      <c r="U2356">
        <v>81</v>
      </c>
      <c r="V2356">
        <v>16</v>
      </c>
      <c r="W2356">
        <v>12.8</v>
      </c>
      <c r="X2356">
        <v>26.7</v>
      </c>
      <c r="Z2356" t="s">
        <v>39</v>
      </c>
      <c r="AB2356" t="s">
        <v>87</v>
      </c>
      <c r="AC2356" t="s">
        <v>88</v>
      </c>
    </row>
    <row r="2357" spans="1:30" x14ac:dyDescent="0.25">
      <c r="A2357" s="4">
        <v>42576</v>
      </c>
      <c r="B2357" t="s">
        <v>30</v>
      </c>
      <c r="C2357">
        <v>801</v>
      </c>
      <c r="D2357">
        <v>9</v>
      </c>
      <c r="E2357">
        <v>1</v>
      </c>
      <c r="F2357" t="s">
        <v>31</v>
      </c>
      <c r="G2357" t="s">
        <v>32</v>
      </c>
      <c r="H2357" t="s">
        <v>33</v>
      </c>
      <c r="I2357" t="s">
        <v>34</v>
      </c>
      <c r="J2357" t="s">
        <v>42</v>
      </c>
      <c r="K2357" t="s">
        <v>89</v>
      </c>
      <c r="L2357" t="s">
        <v>37</v>
      </c>
      <c r="M2357">
        <v>0</v>
      </c>
      <c r="N2357">
        <v>1</v>
      </c>
      <c r="O2357" s="5">
        <v>50923</v>
      </c>
      <c r="P2357" s="5">
        <v>50922</v>
      </c>
      <c r="Q2357">
        <f>27-15.5</f>
        <v>11.5</v>
      </c>
      <c r="R2357" t="s">
        <v>38</v>
      </c>
      <c r="S2357" t="s">
        <v>39</v>
      </c>
      <c r="T2357">
        <v>19</v>
      </c>
      <c r="U2357">
        <v>81</v>
      </c>
      <c r="V2357">
        <v>16</v>
      </c>
      <c r="W2357">
        <v>12.8</v>
      </c>
      <c r="X2357">
        <v>26.7</v>
      </c>
      <c r="Z2357" t="s">
        <v>39</v>
      </c>
      <c r="AB2357" t="s">
        <v>87</v>
      </c>
      <c r="AC2357" t="s">
        <v>88</v>
      </c>
    </row>
    <row r="2358" spans="1:30" x14ac:dyDescent="0.25">
      <c r="A2358" s="4">
        <v>42576</v>
      </c>
      <c r="B2358" t="s">
        <v>30</v>
      </c>
      <c r="C2358">
        <v>803</v>
      </c>
      <c r="D2358">
        <v>10</v>
      </c>
      <c r="E2358">
        <v>1</v>
      </c>
      <c r="F2358" t="s">
        <v>31</v>
      </c>
      <c r="G2358" t="s">
        <v>32</v>
      </c>
      <c r="H2358" t="s">
        <v>33</v>
      </c>
      <c r="I2358" t="s">
        <v>91</v>
      </c>
      <c r="J2358" t="s">
        <v>35</v>
      </c>
      <c r="K2358" t="s">
        <v>89</v>
      </c>
      <c r="L2358" t="s">
        <v>37</v>
      </c>
      <c r="M2358">
        <v>0</v>
      </c>
      <c r="N2358">
        <v>0</v>
      </c>
      <c r="O2358" s="5"/>
      <c r="P2358" s="5">
        <v>50771</v>
      </c>
      <c r="Q2358">
        <f>35.5-9.5</f>
        <v>26</v>
      </c>
      <c r="R2358" t="s">
        <v>74</v>
      </c>
      <c r="S2358" t="s">
        <v>97</v>
      </c>
      <c r="T2358">
        <v>29</v>
      </c>
      <c r="W2358">
        <v>13.3</v>
      </c>
      <c r="X2358">
        <v>27.1</v>
      </c>
      <c r="Z2358" t="s">
        <v>39</v>
      </c>
      <c r="AB2358" t="s">
        <v>87</v>
      </c>
      <c r="AC2358" t="s">
        <v>88</v>
      </c>
    </row>
    <row r="2359" spans="1:30" x14ac:dyDescent="0.25">
      <c r="A2359" s="4">
        <v>42576</v>
      </c>
      <c r="B2359" t="s">
        <v>30</v>
      </c>
      <c r="C2359">
        <v>803</v>
      </c>
      <c r="D2359">
        <v>7</v>
      </c>
      <c r="E2359">
        <v>1</v>
      </c>
      <c r="F2359" t="s">
        <v>31</v>
      </c>
      <c r="G2359" t="s">
        <v>32</v>
      </c>
      <c r="H2359" t="s">
        <v>33</v>
      </c>
      <c r="I2359" t="s">
        <v>57</v>
      </c>
      <c r="O2359" s="5"/>
      <c r="P2359" s="5"/>
    </row>
    <row r="2360" spans="1:30" x14ac:dyDescent="0.25">
      <c r="A2360" s="4">
        <v>42576</v>
      </c>
      <c r="B2360" t="s">
        <v>30</v>
      </c>
      <c r="C2360">
        <v>803</v>
      </c>
      <c r="D2360">
        <v>7</v>
      </c>
      <c r="E2360">
        <v>2</v>
      </c>
      <c r="F2360" t="s">
        <v>31</v>
      </c>
      <c r="G2360" t="s">
        <v>32</v>
      </c>
      <c r="H2360" t="s">
        <v>33</v>
      </c>
      <c r="I2360" t="s">
        <v>34</v>
      </c>
      <c r="J2360" t="s">
        <v>35</v>
      </c>
      <c r="K2360" t="s">
        <v>114</v>
      </c>
      <c r="L2360" t="s">
        <v>43</v>
      </c>
      <c r="M2360">
        <v>0</v>
      </c>
      <c r="N2360">
        <v>0</v>
      </c>
      <c r="O2360" s="5">
        <v>50864</v>
      </c>
      <c r="P2360" s="5">
        <v>50863</v>
      </c>
      <c r="Q2360">
        <f>26.5-10</f>
        <v>16.5</v>
      </c>
      <c r="R2360" t="s">
        <v>65</v>
      </c>
      <c r="T2360">
        <v>19</v>
      </c>
      <c r="U2360">
        <v>82</v>
      </c>
      <c r="V2360">
        <v>16</v>
      </c>
      <c r="W2360">
        <v>13.1</v>
      </c>
      <c r="X2360">
        <v>27</v>
      </c>
      <c r="Z2360" t="s">
        <v>39</v>
      </c>
      <c r="AB2360" t="s">
        <v>87</v>
      </c>
      <c r="AC2360" t="s">
        <v>88</v>
      </c>
    </row>
    <row r="2361" spans="1:30" x14ac:dyDescent="0.25">
      <c r="A2361" s="4">
        <v>42576</v>
      </c>
      <c r="B2361" t="s">
        <v>30</v>
      </c>
      <c r="C2361">
        <v>803</v>
      </c>
      <c r="D2361">
        <v>1</v>
      </c>
      <c r="E2361">
        <v>1</v>
      </c>
      <c r="F2361" t="s">
        <v>31</v>
      </c>
      <c r="G2361" t="s">
        <v>32</v>
      </c>
      <c r="H2361" t="s">
        <v>33</v>
      </c>
      <c r="I2361" t="s">
        <v>91</v>
      </c>
      <c r="J2361" t="s">
        <v>35</v>
      </c>
      <c r="K2361" t="s">
        <v>36</v>
      </c>
      <c r="L2361" t="s">
        <v>37</v>
      </c>
      <c r="M2361">
        <v>0</v>
      </c>
      <c r="N2361">
        <v>0</v>
      </c>
      <c r="O2361" s="5"/>
      <c r="P2361" s="5">
        <v>50615</v>
      </c>
      <c r="Q2361">
        <v>27</v>
      </c>
      <c r="R2361" t="s">
        <v>74</v>
      </c>
      <c r="S2361" t="s">
        <v>97</v>
      </c>
      <c r="T2361">
        <v>30</v>
      </c>
      <c r="W2361">
        <v>13</v>
      </c>
      <c r="X2361">
        <v>26.8</v>
      </c>
      <c r="Z2361" t="s">
        <v>39</v>
      </c>
      <c r="AB2361" t="s">
        <v>87</v>
      </c>
      <c r="AC2361" t="s">
        <v>88</v>
      </c>
    </row>
    <row r="2362" spans="1:30" x14ac:dyDescent="0.25">
      <c r="A2362" s="4">
        <v>42576</v>
      </c>
      <c r="B2362" t="s">
        <v>30</v>
      </c>
      <c r="C2362">
        <v>901</v>
      </c>
      <c r="D2362">
        <v>1</v>
      </c>
      <c r="E2362">
        <v>1</v>
      </c>
      <c r="F2362" t="s">
        <v>31</v>
      </c>
      <c r="G2362" t="s">
        <v>32</v>
      </c>
      <c r="H2362" t="s">
        <v>33</v>
      </c>
      <c r="I2362" t="s">
        <v>57</v>
      </c>
      <c r="O2362" s="5"/>
      <c r="P2362" s="5"/>
    </row>
    <row r="2363" spans="1:30" x14ac:dyDescent="0.25">
      <c r="A2363" s="4">
        <v>42576</v>
      </c>
      <c r="B2363" t="s">
        <v>30</v>
      </c>
      <c r="C2363">
        <v>901</v>
      </c>
      <c r="D2363">
        <v>1</v>
      </c>
      <c r="E2363">
        <v>2</v>
      </c>
      <c r="F2363" t="s">
        <v>31</v>
      </c>
      <c r="G2363" t="s">
        <v>32</v>
      </c>
      <c r="H2363" t="s">
        <v>33</v>
      </c>
      <c r="I2363" t="s">
        <v>57</v>
      </c>
      <c r="O2363" s="5"/>
      <c r="P2363" s="5"/>
    </row>
    <row r="2364" spans="1:30" x14ac:dyDescent="0.25">
      <c r="A2364" s="4">
        <v>42576</v>
      </c>
      <c r="B2364" t="s">
        <v>30</v>
      </c>
      <c r="C2364">
        <v>901</v>
      </c>
      <c r="D2364">
        <v>2</v>
      </c>
      <c r="E2364">
        <v>1</v>
      </c>
      <c r="F2364" t="s">
        <v>31</v>
      </c>
      <c r="G2364" t="s">
        <v>32</v>
      </c>
      <c r="H2364" t="s">
        <v>33</v>
      </c>
      <c r="I2364" t="s">
        <v>34</v>
      </c>
      <c r="J2364" t="s">
        <v>35</v>
      </c>
      <c r="K2364" t="s">
        <v>114</v>
      </c>
      <c r="L2364" t="s">
        <v>43</v>
      </c>
      <c r="M2364">
        <v>0</v>
      </c>
      <c r="N2364">
        <v>0</v>
      </c>
      <c r="O2364" s="5">
        <v>50766</v>
      </c>
      <c r="P2364" s="5">
        <v>50765</v>
      </c>
      <c r="Q2364">
        <f>26-9.5</f>
        <v>16.5</v>
      </c>
      <c r="R2364" t="s">
        <v>47</v>
      </c>
      <c r="T2364">
        <v>19</v>
      </c>
      <c r="U2364">
        <v>83</v>
      </c>
      <c r="V2364">
        <v>17</v>
      </c>
      <c r="W2364">
        <v>13.1</v>
      </c>
      <c r="Z2364" t="s">
        <v>39</v>
      </c>
      <c r="AB2364" t="s">
        <v>87</v>
      </c>
      <c r="AC2364" t="s">
        <v>88</v>
      </c>
    </row>
    <row r="2365" spans="1:30" x14ac:dyDescent="0.25">
      <c r="A2365" s="4">
        <v>42576</v>
      </c>
      <c r="B2365" t="s">
        <v>30</v>
      </c>
      <c r="C2365">
        <v>901</v>
      </c>
      <c r="D2365">
        <v>4</v>
      </c>
      <c r="E2365">
        <v>1</v>
      </c>
      <c r="F2365" t="s">
        <v>31</v>
      </c>
      <c r="G2365" t="s">
        <v>32</v>
      </c>
      <c r="H2365" t="s">
        <v>33</v>
      </c>
      <c r="I2365" t="s">
        <v>34</v>
      </c>
      <c r="J2365" t="s">
        <v>42</v>
      </c>
      <c r="K2365" t="s">
        <v>36</v>
      </c>
      <c r="L2365" t="s">
        <v>43</v>
      </c>
      <c r="M2365">
        <v>0</v>
      </c>
      <c r="N2365">
        <v>1</v>
      </c>
      <c r="O2365" s="5">
        <v>50920</v>
      </c>
      <c r="P2365" s="5">
        <v>50921</v>
      </c>
      <c r="Q2365">
        <f>32.5-12</f>
        <v>20.5</v>
      </c>
      <c r="R2365" t="s">
        <v>65</v>
      </c>
      <c r="T2365">
        <v>17</v>
      </c>
      <c r="U2365">
        <v>83</v>
      </c>
      <c r="V2365">
        <v>17</v>
      </c>
      <c r="W2365">
        <v>13.7</v>
      </c>
      <c r="X2365">
        <v>27</v>
      </c>
      <c r="Y2365" t="s">
        <v>287</v>
      </c>
      <c r="Z2365" t="s">
        <v>39</v>
      </c>
      <c r="AB2365" t="s">
        <v>87</v>
      </c>
      <c r="AC2365" t="s">
        <v>88</v>
      </c>
    </row>
    <row r="2366" spans="1:30" x14ac:dyDescent="0.25">
      <c r="A2366" s="4">
        <v>42584</v>
      </c>
      <c r="B2366" t="s">
        <v>30</v>
      </c>
      <c r="C2366">
        <v>111</v>
      </c>
      <c r="D2366">
        <v>2</v>
      </c>
      <c r="E2366">
        <v>1</v>
      </c>
      <c r="F2366" t="s">
        <v>41</v>
      </c>
      <c r="G2366" t="s">
        <v>32</v>
      </c>
      <c r="H2366" t="s">
        <v>33</v>
      </c>
      <c r="I2366" t="s">
        <v>34</v>
      </c>
      <c r="J2366" t="s">
        <v>35</v>
      </c>
      <c r="K2366" t="s">
        <v>89</v>
      </c>
      <c r="L2366" t="s">
        <v>43</v>
      </c>
      <c r="M2366">
        <v>0</v>
      </c>
      <c r="N2366">
        <v>0</v>
      </c>
      <c r="O2366" s="5">
        <v>50809</v>
      </c>
      <c r="P2366" s="5">
        <v>50808</v>
      </c>
      <c r="Q2366">
        <f>25-10</f>
        <v>15</v>
      </c>
      <c r="R2366" t="s">
        <v>65</v>
      </c>
      <c r="T2366">
        <v>19</v>
      </c>
      <c r="V2366">
        <v>15</v>
      </c>
      <c r="W2366">
        <v>12.9</v>
      </c>
      <c r="X2366">
        <v>27.7</v>
      </c>
      <c r="Z2366" t="s">
        <v>39</v>
      </c>
      <c r="AB2366" t="s">
        <v>87</v>
      </c>
      <c r="AC2366" t="s">
        <v>56</v>
      </c>
    </row>
    <row r="2367" spans="1:30" x14ac:dyDescent="0.25">
      <c r="A2367" s="4">
        <v>42584</v>
      </c>
      <c r="B2367" t="s">
        <v>30</v>
      </c>
      <c r="C2367">
        <v>111</v>
      </c>
      <c r="D2367">
        <v>3</v>
      </c>
      <c r="E2367">
        <v>1</v>
      </c>
      <c r="F2367" t="s">
        <v>41</v>
      </c>
      <c r="G2367" t="s">
        <v>32</v>
      </c>
      <c r="H2367" t="s">
        <v>33</v>
      </c>
      <c r="I2367" t="s">
        <v>34</v>
      </c>
      <c r="J2367" t="s">
        <v>35</v>
      </c>
      <c r="K2367" t="s">
        <v>114</v>
      </c>
      <c r="L2367" t="s">
        <v>43</v>
      </c>
      <c r="M2367">
        <v>0</v>
      </c>
      <c r="N2367">
        <v>0</v>
      </c>
      <c r="O2367" s="5">
        <v>50475</v>
      </c>
      <c r="P2367" s="5">
        <v>50308</v>
      </c>
      <c r="Q2367">
        <f>31-12</f>
        <v>19</v>
      </c>
      <c r="R2367" t="s">
        <v>47</v>
      </c>
      <c r="T2367">
        <v>19</v>
      </c>
      <c r="U2367">
        <v>90</v>
      </c>
      <c r="V2367">
        <v>16</v>
      </c>
      <c r="W2367">
        <v>12.9</v>
      </c>
      <c r="X2367">
        <v>27.5</v>
      </c>
      <c r="Z2367" t="s">
        <v>39</v>
      </c>
      <c r="AB2367" t="s">
        <v>87</v>
      </c>
      <c r="AC2367" t="s">
        <v>56</v>
      </c>
    </row>
    <row r="2368" spans="1:30" x14ac:dyDescent="0.25">
      <c r="A2368" s="4">
        <v>42584</v>
      </c>
      <c r="B2368" t="s">
        <v>30</v>
      </c>
      <c r="C2368">
        <v>111</v>
      </c>
      <c r="D2368">
        <v>3</v>
      </c>
      <c r="E2368">
        <v>2</v>
      </c>
      <c r="F2368" t="s">
        <v>41</v>
      </c>
      <c r="G2368" t="s">
        <v>32</v>
      </c>
      <c r="H2368" t="s">
        <v>33</v>
      </c>
      <c r="I2368" t="s">
        <v>34</v>
      </c>
      <c r="J2368" t="s">
        <v>35</v>
      </c>
      <c r="K2368" t="s">
        <v>36</v>
      </c>
      <c r="L2368" t="s">
        <v>43</v>
      </c>
      <c r="M2368">
        <v>0</v>
      </c>
      <c r="N2368">
        <v>0</v>
      </c>
      <c r="O2368" s="5">
        <v>50602</v>
      </c>
      <c r="P2368" s="5">
        <v>50601</v>
      </c>
      <c r="Q2368">
        <f>31.5-10.5</f>
        <v>21</v>
      </c>
      <c r="R2368" t="s">
        <v>47</v>
      </c>
      <c r="T2368">
        <v>18.5</v>
      </c>
      <c r="U2368">
        <v>93</v>
      </c>
      <c r="V2368">
        <v>16</v>
      </c>
      <c r="W2368">
        <v>12.9</v>
      </c>
      <c r="X2368">
        <v>27.5</v>
      </c>
      <c r="Z2368" t="s">
        <v>97</v>
      </c>
      <c r="AA2368" t="s">
        <v>199</v>
      </c>
      <c r="AB2368" t="s">
        <v>87</v>
      </c>
      <c r="AC2368" t="s">
        <v>56</v>
      </c>
      <c r="AD2368" t="s">
        <v>288</v>
      </c>
    </row>
    <row r="2369" spans="1:29" x14ac:dyDescent="0.25">
      <c r="A2369" s="4">
        <v>42584</v>
      </c>
      <c r="B2369" t="s">
        <v>30</v>
      </c>
      <c r="C2369">
        <v>111</v>
      </c>
      <c r="D2369">
        <v>4</v>
      </c>
      <c r="E2369">
        <v>1</v>
      </c>
      <c r="F2369" t="s">
        <v>41</v>
      </c>
      <c r="G2369" t="s">
        <v>32</v>
      </c>
      <c r="H2369" t="s">
        <v>33</v>
      </c>
      <c r="I2369" t="s">
        <v>34</v>
      </c>
      <c r="J2369" t="s">
        <v>35</v>
      </c>
      <c r="K2369" t="s">
        <v>36</v>
      </c>
      <c r="L2369" t="s">
        <v>37</v>
      </c>
      <c r="M2369">
        <v>0</v>
      </c>
      <c r="N2369">
        <v>0</v>
      </c>
      <c r="O2369" s="5">
        <v>50811</v>
      </c>
      <c r="P2369" s="5">
        <v>50810</v>
      </c>
      <c r="Q2369">
        <f>31.5-10.5</f>
        <v>21</v>
      </c>
      <c r="R2369" t="s">
        <v>143</v>
      </c>
      <c r="S2369" t="s">
        <v>97</v>
      </c>
      <c r="T2369">
        <v>20</v>
      </c>
      <c r="U2369">
        <v>96</v>
      </c>
      <c r="V2369">
        <v>17</v>
      </c>
      <c r="W2369">
        <v>13</v>
      </c>
      <c r="X2369">
        <v>28</v>
      </c>
      <c r="Z2369" t="s">
        <v>39</v>
      </c>
      <c r="AB2369" t="s">
        <v>87</v>
      </c>
      <c r="AC2369" t="s">
        <v>56</v>
      </c>
    </row>
    <row r="2370" spans="1:29" x14ac:dyDescent="0.25">
      <c r="A2370" s="4">
        <v>42584</v>
      </c>
      <c r="B2370" t="s">
        <v>30</v>
      </c>
      <c r="C2370">
        <v>111</v>
      </c>
      <c r="D2370">
        <v>4</v>
      </c>
      <c r="E2370">
        <v>2</v>
      </c>
      <c r="F2370" t="s">
        <v>41</v>
      </c>
      <c r="G2370" t="s">
        <v>32</v>
      </c>
      <c r="H2370" t="s">
        <v>33</v>
      </c>
      <c r="I2370" t="s">
        <v>34</v>
      </c>
      <c r="J2370" t="s">
        <v>35</v>
      </c>
      <c r="K2370" t="s">
        <v>36</v>
      </c>
      <c r="L2370" t="s">
        <v>37</v>
      </c>
      <c r="M2370">
        <v>0</v>
      </c>
      <c r="N2370">
        <v>0</v>
      </c>
      <c r="O2370" s="5">
        <v>50348</v>
      </c>
      <c r="P2370" s="5">
        <v>50347</v>
      </c>
      <c r="Q2370">
        <f>32-11.5</f>
        <v>20.5</v>
      </c>
      <c r="R2370" t="s">
        <v>164</v>
      </c>
      <c r="S2370" t="s">
        <v>97</v>
      </c>
      <c r="T2370">
        <v>19</v>
      </c>
      <c r="U2370">
        <v>90</v>
      </c>
      <c r="V2370">
        <v>16</v>
      </c>
      <c r="W2370">
        <v>13</v>
      </c>
      <c r="X2370">
        <v>28.3</v>
      </c>
      <c r="Z2370" t="s">
        <v>39</v>
      </c>
      <c r="AB2370" t="s">
        <v>87</v>
      </c>
      <c r="AC2370" t="s">
        <v>56</v>
      </c>
    </row>
    <row r="2371" spans="1:29" x14ac:dyDescent="0.25">
      <c r="A2371" s="4">
        <v>42584</v>
      </c>
      <c r="B2371" t="s">
        <v>30</v>
      </c>
      <c r="C2371">
        <v>111</v>
      </c>
      <c r="D2371">
        <v>5</v>
      </c>
      <c r="E2371">
        <v>1</v>
      </c>
      <c r="F2371" t="s">
        <v>41</v>
      </c>
      <c r="G2371" t="s">
        <v>32</v>
      </c>
      <c r="H2371" t="s">
        <v>33</v>
      </c>
      <c r="I2371" t="s">
        <v>34</v>
      </c>
      <c r="J2371" t="s">
        <v>35</v>
      </c>
      <c r="K2371" t="s">
        <v>36</v>
      </c>
      <c r="L2371" t="s">
        <v>43</v>
      </c>
      <c r="M2371">
        <v>0</v>
      </c>
      <c r="N2371">
        <v>0</v>
      </c>
      <c r="O2371" s="5">
        <v>50572</v>
      </c>
      <c r="P2371" s="5">
        <v>50571</v>
      </c>
      <c r="Q2371">
        <f>32-11.5</f>
        <v>20.5</v>
      </c>
      <c r="R2371" t="s">
        <v>47</v>
      </c>
      <c r="T2371">
        <v>21</v>
      </c>
      <c r="U2371">
        <v>91</v>
      </c>
      <c r="V2371">
        <v>18</v>
      </c>
      <c r="W2371">
        <v>13.1</v>
      </c>
      <c r="X2371">
        <v>27.8</v>
      </c>
      <c r="Y2371" t="s">
        <v>289</v>
      </c>
      <c r="Z2371" t="s">
        <v>97</v>
      </c>
      <c r="AA2371" t="s">
        <v>199</v>
      </c>
      <c r="AB2371" t="s">
        <v>87</v>
      </c>
      <c r="AC2371" t="s">
        <v>56</v>
      </c>
    </row>
    <row r="2372" spans="1:29" x14ac:dyDescent="0.25">
      <c r="A2372" s="4">
        <v>42584</v>
      </c>
      <c r="B2372" t="s">
        <v>30</v>
      </c>
      <c r="C2372">
        <v>111</v>
      </c>
      <c r="D2372">
        <v>6</v>
      </c>
      <c r="E2372">
        <v>1</v>
      </c>
      <c r="F2372" t="s">
        <v>41</v>
      </c>
      <c r="G2372" t="s">
        <v>32</v>
      </c>
      <c r="H2372" t="s">
        <v>33</v>
      </c>
      <c r="I2372" t="s">
        <v>57</v>
      </c>
      <c r="O2372" s="5"/>
      <c r="P2372" s="5"/>
    </row>
    <row r="2373" spans="1:29" x14ac:dyDescent="0.25">
      <c r="A2373" s="4">
        <v>42584</v>
      </c>
      <c r="B2373" t="s">
        <v>30</v>
      </c>
      <c r="C2373">
        <v>111</v>
      </c>
      <c r="D2373">
        <v>7</v>
      </c>
      <c r="E2373">
        <v>1</v>
      </c>
      <c r="F2373" t="s">
        <v>41</v>
      </c>
      <c r="G2373" t="s">
        <v>32</v>
      </c>
      <c r="H2373" t="s">
        <v>33</v>
      </c>
      <c r="I2373" t="s">
        <v>57</v>
      </c>
      <c r="O2373" s="5"/>
      <c r="P2373" s="5"/>
    </row>
    <row r="2374" spans="1:29" x14ac:dyDescent="0.25">
      <c r="A2374" s="4">
        <v>42584</v>
      </c>
      <c r="B2374" t="s">
        <v>30</v>
      </c>
      <c r="C2374">
        <v>111</v>
      </c>
      <c r="D2374">
        <v>8</v>
      </c>
      <c r="E2374">
        <v>1</v>
      </c>
      <c r="F2374" t="s">
        <v>41</v>
      </c>
      <c r="G2374" t="s">
        <v>32</v>
      </c>
      <c r="H2374" t="s">
        <v>33</v>
      </c>
      <c r="I2374" t="s">
        <v>34</v>
      </c>
      <c r="J2374" t="s">
        <v>35</v>
      </c>
      <c r="K2374" t="s">
        <v>114</v>
      </c>
      <c r="L2374" t="s">
        <v>43</v>
      </c>
      <c r="M2374">
        <v>0</v>
      </c>
      <c r="N2374">
        <v>0</v>
      </c>
      <c r="O2374" s="5">
        <v>50530</v>
      </c>
      <c r="P2374" s="5">
        <v>50529</v>
      </c>
      <c r="Q2374">
        <f>35-16</f>
        <v>19</v>
      </c>
      <c r="R2374" t="s">
        <v>65</v>
      </c>
      <c r="T2374">
        <v>19</v>
      </c>
      <c r="V2374">
        <v>17</v>
      </c>
      <c r="W2374">
        <v>12.8</v>
      </c>
      <c r="X2374">
        <v>28.9</v>
      </c>
      <c r="Z2374" t="s">
        <v>97</v>
      </c>
      <c r="AA2374" t="s">
        <v>199</v>
      </c>
      <c r="AB2374" t="s">
        <v>87</v>
      </c>
      <c r="AC2374" t="s">
        <v>56</v>
      </c>
    </row>
    <row r="2375" spans="1:29" x14ac:dyDescent="0.25">
      <c r="A2375" s="4">
        <v>42584</v>
      </c>
      <c r="B2375" t="s">
        <v>30</v>
      </c>
      <c r="C2375">
        <v>111</v>
      </c>
      <c r="D2375">
        <v>9</v>
      </c>
      <c r="E2375">
        <v>1</v>
      </c>
      <c r="F2375" t="s">
        <v>41</v>
      </c>
      <c r="G2375" t="s">
        <v>32</v>
      </c>
      <c r="H2375" t="s">
        <v>33</v>
      </c>
      <c r="I2375" t="s">
        <v>34</v>
      </c>
      <c r="J2375" t="s">
        <v>35</v>
      </c>
      <c r="K2375" t="s">
        <v>89</v>
      </c>
      <c r="L2375" t="s">
        <v>43</v>
      </c>
      <c r="M2375">
        <v>0</v>
      </c>
      <c r="N2375">
        <v>0</v>
      </c>
      <c r="O2375" s="5">
        <v>50813</v>
      </c>
      <c r="P2375" s="5">
        <v>50812</v>
      </c>
      <c r="Q2375">
        <f>24-10.5</f>
        <v>13.5</v>
      </c>
      <c r="R2375" t="s">
        <v>65</v>
      </c>
      <c r="T2375">
        <v>19</v>
      </c>
      <c r="V2375">
        <v>17</v>
      </c>
      <c r="W2375">
        <v>12.6</v>
      </c>
      <c r="X2375">
        <v>25</v>
      </c>
      <c r="Z2375" t="s">
        <v>39</v>
      </c>
      <c r="AB2375" t="s">
        <v>87</v>
      </c>
      <c r="AC2375" t="s">
        <v>56</v>
      </c>
    </row>
    <row r="2376" spans="1:29" x14ac:dyDescent="0.25">
      <c r="A2376" s="4">
        <v>42584</v>
      </c>
      <c r="B2376" t="s">
        <v>30</v>
      </c>
      <c r="C2376">
        <v>111</v>
      </c>
      <c r="D2376">
        <v>9</v>
      </c>
      <c r="E2376">
        <v>2</v>
      </c>
      <c r="F2376" t="s">
        <v>41</v>
      </c>
      <c r="G2376" t="s">
        <v>32</v>
      </c>
      <c r="H2376" t="s">
        <v>33</v>
      </c>
      <c r="I2376" t="s">
        <v>34</v>
      </c>
      <c r="J2376" t="s">
        <v>42</v>
      </c>
      <c r="K2376" t="s">
        <v>89</v>
      </c>
      <c r="L2376" t="s">
        <v>43</v>
      </c>
      <c r="M2376">
        <v>0</v>
      </c>
      <c r="N2376">
        <v>1</v>
      </c>
      <c r="O2376" s="5">
        <v>50952</v>
      </c>
      <c r="P2376" s="5">
        <v>50951</v>
      </c>
      <c r="Q2376">
        <f>24-9.5</f>
        <v>14.5</v>
      </c>
      <c r="R2376" t="s">
        <v>65</v>
      </c>
      <c r="T2376">
        <v>19</v>
      </c>
      <c r="V2376">
        <v>17</v>
      </c>
      <c r="W2376">
        <v>12.9</v>
      </c>
      <c r="X2376">
        <v>25.6</v>
      </c>
      <c r="Z2376" t="s">
        <v>39</v>
      </c>
      <c r="AB2376" t="s">
        <v>87</v>
      </c>
      <c r="AC2376" t="s">
        <v>56</v>
      </c>
    </row>
    <row r="2377" spans="1:29" x14ac:dyDescent="0.25">
      <c r="A2377" s="4">
        <v>42584</v>
      </c>
      <c r="B2377" t="s">
        <v>30</v>
      </c>
      <c r="C2377">
        <v>111</v>
      </c>
      <c r="D2377">
        <v>10</v>
      </c>
      <c r="E2377">
        <v>1</v>
      </c>
      <c r="F2377" t="s">
        <v>41</v>
      </c>
      <c r="G2377" t="s">
        <v>32</v>
      </c>
      <c r="H2377" t="s">
        <v>33</v>
      </c>
      <c r="I2377" t="s">
        <v>34</v>
      </c>
      <c r="J2377" t="s">
        <v>35</v>
      </c>
      <c r="K2377" t="s">
        <v>114</v>
      </c>
      <c r="L2377" t="s">
        <v>37</v>
      </c>
      <c r="M2377">
        <v>0</v>
      </c>
      <c r="N2377">
        <v>0</v>
      </c>
      <c r="O2377" s="5">
        <v>50721</v>
      </c>
      <c r="P2377" s="5">
        <v>50720</v>
      </c>
      <c r="Q2377">
        <f>28-12.5</f>
        <v>15.5</v>
      </c>
      <c r="R2377" t="s">
        <v>38</v>
      </c>
      <c r="S2377" t="s">
        <v>39</v>
      </c>
      <c r="T2377">
        <v>19</v>
      </c>
      <c r="V2377">
        <v>17</v>
      </c>
      <c r="W2377">
        <v>12.8</v>
      </c>
      <c r="X2377">
        <v>26.7</v>
      </c>
      <c r="Z2377" t="s">
        <v>39</v>
      </c>
      <c r="AB2377" t="s">
        <v>87</v>
      </c>
      <c r="AC2377" t="s">
        <v>56</v>
      </c>
    </row>
    <row r="2378" spans="1:29" x14ac:dyDescent="0.25">
      <c r="A2378" s="4">
        <v>42584</v>
      </c>
      <c r="B2378" t="s">
        <v>30</v>
      </c>
      <c r="C2378">
        <v>112</v>
      </c>
      <c r="D2378">
        <v>1</v>
      </c>
      <c r="E2378">
        <v>1</v>
      </c>
      <c r="F2378" t="s">
        <v>41</v>
      </c>
      <c r="G2378" t="s">
        <v>32</v>
      </c>
      <c r="H2378" t="s">
        <v>33</v>
      </c>
      <c r="I2378" t="s">
        <v>57</v>
      </c>
      <c r="O2378" s="5"/>
      <c r="P2378" s="5"/>
    </row>
    <row r="2379" spans="1:29" x14ac:dyDescent="0.25">
      <c r="A2379" s="4">
        <v>42584</v>
      </c>
      <c r="B2379" t="s">
        <v>30</v>
      </c>
      <c r="C2379">
        <v>112</v>
      </c>
      <c r="D2379">
        <v>1</v>
      </c>
      <c r="E2379">
        <v>2</v>
      </c>
      <c r="F2379" t="s">
        <v>41</v>
      </c>
      <c r="G2379" t="s">
        <v>32</v>
      </c>
      <c r="H2379" t="s">
        <v>33</v>
      </c>
      <c r="I2379" t="s">
        <v>57</v>
      </c>
      <c r="O2379" s="5"/>
      <c r="P2379" s="5"/>
    </row>
    <row r="2380" spans="1:29" x14ac:dyDescent="0.25">
      <c r="A2380" s="4">
        <v>42584</v>
      </c>
      <c r="B2380" t="s">
        <v>30</v>
      </c>
      <c r="C2380">
        <v>112</v>
      </c>
      <c r="D2380">
        <v>2</v>
      </c>
      <c r="E2380">
        <v>1</v>
      </c>
      <c r="F2380" t="s">
        <v>41</v>
      </c>
      <c r="G2380" t="s">
        <v>32</v>
      </c>
      <c r="H2380" t="s">
        <v>33</v>
      </c>
      <c r="I2380" t="s">
        <v>57</v>
      </c>
      <c r="O2380" s="5"/>
      <c r="P2380" s="5"/>
    </row>
    <row r="2381" spans="1:29" x14ac:dyDescent="0.25">
      <c r="A2381" s="4">
        <v>42584</v>
      </c>
      <c r="B2381" t="s">
        <v>30</v>
      </c>
      <c r="C2381">
        <v>112</v>
      </c>
      <c r="D2381">
        <v>2</v>
      </c>
      <c r="E2381">
        <v>2</v>
      </c>
      <c r="F2381" t="s">
        <v>41</v>
      </c>
      <c r="G2381" t="s">
        <v>32</v>
      </c>
      <c r="H2381" t="s">
        <v>33</v>
      </c>
      <c r="I2381" t="s">
        <v>34</v>
      </c>
      <c r="J2381" t="s">
        <v>35</v>
      </c>
      <c r="K2381" t="s">
        <v>114</v>
      </c>
      <c r="L2381" t="s">
        <v>37</v>
      </c>
      <c r="M2381">
        <v>0</v>
      </c>
      <c r="N2381">
        <v>0</v>
      </c>
      <c r="O2381" s="5">
        <v>50709</v>
      </c>
      <c r="P2381" s="5">
        <v>50708</v>
      </c>
      <c r="Q2381">
        <f>33-16</f>
        <v>17</v>
      </c>
      <c r="R2381" t="s">
        <v>164</v>
      </c>
      <c r="S2381" t="s">
        <v>97</v>
      </c>
      <c r="T2381">
        <v>19</v>
      </c>
      <c r="U2381">
        <v>85</v>
      </c>
      <c r="V2381">
        <v>16</v>
      </c>
      <c r="W2381">
        <v>12.7</v>
      </c>
      <c r="X2381">
        <v>27</v>
      </c>
      <c r="Z2381" t="s">
        <v>39</v>
      </c>
      <c r="AB2381" t="s">
        <v>87</v>
      </c>
      <c r="AC2381" t="s">
        <v>56</v>
      </c>
    </row>
    <row r="2382" spans="1:29" x14ac:dyDescent="0.25">
      <c r="A2382" s="4">
        <v>42584</v>
      </c>
      <c r="B2382" t="s">
        <v>30</v>
      </c>
      <c r="C2382">
        <v>112</v>
      </c>
      <c r="D2382">
        <v>3</v>
      </c>
      <c r="E2382">
        <v>1</v>
      </c>
      <c r="F2382" t="s">
        <v>41</v>
      </c>
      <c r="G2382" t="s">
        <v>32</v>
      </c>
      <c r="H2382" t="s">
        <v>33</v>
      </c>
      <c r="I2382" t="s">
        <v>57</v>
      </c>
      <c r="O2382" s="5"/>
      <c r="P2382" s="5"/>
    </row>
    <row r="2383" spans="1:29" x14ac:dyDescent="0.25">
      <c r="A2383" s="4">
        <v>42584</v>
      </c>
      <c r="B2383" t="s">
        <v>30</v>
      </c>
      <c r="C2383">
        <v>112</v>
      </c>
      <c r="D2383">
        <v>3</v>
      </c>
      <c r="E2383">
        <v>2</v>
      </c>
      <c r="F2383" t="s">
        <v>41</v>
      </c>
      <c r="G2383" t="s">
        <v>32</v>
      </c>
      <c r="H2383" t="s">
        <v>33</v>
      </c>
      <c r="I2383" t="s">
        <v>91</v>
      </c>
      <c r="J2383" t="s">
        <v>35</v>
      </c>
      <c r="K2383" t="s">
        <v>36</v>
      </c>
      <c r="L2383" t="s">
        <v>37</v>
      </c>
      <c r="M2383">
        <v>0</v>
      </c>
      <c r="N2383">
        <v>0</v>
      </c>
      <c r="O2383" s="5">
        <v>50817</v>
      </c>
      <c r="P2383" s="5"/>
      <c r="Q2383">
        <f>34.5-10</f>
        <v>24.5</v>
      </c>
      <c r="R2383" t="s">
        <v>143</v>
      </c>
      <c r="S2383" t="s">
        <v>97</v>
      </c>
      <c r="T2383">
        <v>29</v>
      </c>
      <c r="W2383">
        <v>13</v>
      </c>
      <c r="X2383">
        <v>26.7</v>
      </c>
      <c r="Z2383" t="s">
        <v>97</v>
      </c>
      <c r="AA2383" t="s">
        <v>199</v>
      </c>
      <c r="AB2383" t="s">
        <v>87</v>
      </c>
      <c r="AC2383" t="s">
        <v>56</v>
      </c>
    </row>
    <row r="2384" spans="1:29" x14ac:dyDescent="0.25">
      <c r="A2384" s="4">
        <v>42584</v>
      </c>
      <c r="B2384" t="s">
        <v>30</v>
      </c>
      <c r="C2384">
        <v>112</v>
      </c>
      <c r="D2384">
        <v>4</v>
      </c>
      <c r="E2384">
        <v>1</v>
      </c>
      <c r="F2384" t="s">
        <v>41</v>
      </c>
      <c r="G2384" t="s">
        <v>32</v>
      </c>
      <c r="H2384" t="s">
        <v>33</v>
      </c>
      <c r="I2384" t="s">
        <v>34</v>
      </c>
      <c r="J2384" t="s">
        <v>42</v>
      </c>
      <c r="K2384" t="s">
        <v>114</v>
      </c>
      <c r="L2384" t="s">
        <v>37</v>
      </c>
      <c r="M2384">
        <v>0</v>
      </c>
      <c r="N2384">
        <v>1</v>
      </c>
      <c r="O2384" s="5">
        <v>50954</v>
      </c>
      <c r="P2384" s="5">
        <v>50953</v>
      </c>
      <c r="Q2384">
        <f>38-13</f>
        <v>25</v>
      </c>
      <c r="R2384" t="s">
        <v>120</v>
      </c>
      <c r="S2384" t="s">
        <v>39</v>
      </c>
      <c r="T2384">
        <v>19</v>
      </c>
      <c r="U2384">
        <v>90</v>
      </c>
      <c r="V2384">
        <v>16</v>
      </c>
      <c r="W2384">
        <v>12.9</v>
      </c>
      <c r="X2384">
        <v>28.9</v>
      </c>
      <c r="Y2384" t="s">
        <v>290</v>
      </c>
      <c r="Z2384" t="s">
        <v>39</v>
      </c>
      <c r="AB2384" t="s">
        <v>87</v>
      </c>
      <c r="AC2384" t="s">
        <v>56</v>
      </c>
    </row>
    <row r="2385" spans="1:30" x14ac:dyDescent="0.25">
      <c r="A2385" s="4">
        <v>42584</v>
      </c>
      <c r="B2385" t="s">
        <v>30</v>
      </c>
      <c r="C2385">
        <v>112</v>
      </c>
      <c r="D2385">
        <v>5</v>
      </c>
      <c r="E2385">
        <v>1</v>
      </c>
      <c r="F2385" t="s">
        <v>41</v>
      </c>
      <c r="G2385" t="s">
        <v>32</v>
      </c>
      <c r="H2385" t="s">
        <v>33</v>
      </c>
      <c r="I2385" t="s">
        <v>57</v>
      </c>
      <c r="O2385" s="5"/>
      <c r="P2385" s="5"/>
    </row>
    <row r="2386" spans="1:30" x14ac:dyDescent="0.25">
      <c r="A2386" s="4">
        <v>42584</v>
      </c>
      <c r="B2386" t="s">
        <v>30</v>
      </c>
      <c r="C2386">
        <v>112</v>
      </c>
      <c r="D2386">
        <v>5</v>
      </c>
      <c r="E2386">
        <v>2</v>
      </c>
      <c r="F2386" t="s">
        <v>41</v>
      </c>
      <c r="G2386" t="s">
        <v>32</v>
      </c>
      <c r="H2386" t="s">
        <v>33</v>
      </c>
      <c r="I2386" t="s">
        <v>57</v>
      </c>
      <c r="O2386" s="5"/>
      <c r="P2386" s="5"/>
    </row>
    <row r="2387" spans="1:30" x14ac:dyDescent="0.25">
      <c r="A2387" s="4">
        <v>42584</v>
      </c>
      <c r="B2387" t="s">
        <v>30</v>
      </c>
      <c r="C2387">
        <v>112</v>
      </c>
      <c r="D2387">
        <v>6</v>
      </c>
      <c r="E2387">
        <v>1</v>
      </c>
      <c r="F2387" t="s">
        <v>41</v>
      </c>
      <c r="G2387" t="s">
        <v>32</v>
      </c>
      <c r="H2387" t="s">
        <v>33</v>
      </c>
      <c r="I2387" t="s">
        <v>34</v>
      </c>
      <c r="J2387" t="s">
        <v>35</v>
      </c>
      <c r="K2387" t="s">
        <v>114</v>
      </c>
      <c r="L2387" t="s">
        <v>43</v>
      </c>
      <c r="M2387">
        <v>0</v>
      </c>
      <c r="N2387">
        <v>0</v>
      </c>
      <c r="O2387" s="5">
        <v>50574</v>
      </c>
      <c r="P2387" s="5">
        <v>50573</v>
      </c>
      <c r="Q2387">
        <f>30.5-12</f>
        <v>18.5</v>
      </c>
      <c r="R2387" t="s">
        <v>47</v>
      </c>
      <c r="T2387">
        <v>19</v>
      </c>
      <c r="U2387">
        <v>94</v>
      </c>
      <c r="V2387">
        <v>16</v>
      </c>
      <c r="W2387">
        <v>13</v>
      </c>
      <c r="X2387">
        <v>26.9</v>
      </c>
      <c r="Z2387" t="s">
        <v>97</v>
      </c>
      <c r="AA2387" t="s">
        <v>199</v>
      </c>
      <c r="AB2387" t="s">
        <v>87</v>
      </c>
      <c r="AC2387" t="s">
        <v>56</v>
      </c>
    </row>
    <row r="2388" spans="1:30" x14ac:dyDescent="0.25">
      <c r="A2388" s="4">
        <v>42584</v>
      </c>
      <c r="B2388" t="s">
        <v>30</v>
      </c>
      <c r="C2388">
        <v>112</v>
      </c>
      <c r="D2388">
        <v>7</v>
      </c>
      <c r="E2388">
        <v>1</v>
      </c>
      <c r="F2388" t="s">
        <v>41</v>
      </c>
      <c r="G2388" t="s">
        <v>32</v>
      </c>
      <c r="H2388" t="s">
        <v>33</v>
      </c>
      <c r="I2388" t="s">
        <v>34</v>
      </c>
      <c r="J2388" t="s">
        <v>35</v>
      </c>
      <c r="K2388" t="s">
        <v>36</v>
      </c>
      <c r="L2388" t="s">
        <v>37</v>
      </c>
      <c r="M2388">
        <v>0</v>
      </c>
      <c r="N2388">
        <v>0</v>
      </c>
      <c r="O2388" s="5">
        <v>50956</v>
      </c>
      <c r="P2388" s="5">
        <v>50955</v>
      </c>
      <c r="Q2388">
        <f>36-17</f>
        <v>19</v>
      </c>
      <c r="R2388" t="s">
        <v>74</v>
      </c>
      <c r="S2388" t="s">
        <v>97</v>
      </c>
      <c r="T2388">
        <v>18</v>
      </c>
      <c r="U2388">
        <v>90</v>
      </c>
      <c r="V2388">
        <v>16</v>
      </c>
      <c r="W2388">
        <v>13</v>
      </c>
      <c r="X2388">
        <v>27.2</v>
      </c>
      <c r="Z2388" t="s">
        <v>97</v>
      </c>
      <c r="AA2388" t="s">
        <v>199</v>
      </c>
      <c r="AB2388" t="s">
        <v>87</v>
      </c>
      <c r="AC2388" t="s">
        <v>56</v>
      </c>
    </row>
    <row r="2389" spans="1:30" x14ac:dyDescent="0.25">
      <c r="A2389" s="4">
        <v>42584</v>
      </c>
      <c r="B2389" t="s">
        <v>30</v>
      </c>
      <c r="C2389">
        <v>112</v>
      </c>
      <c r="D2389">
        <v>8</v>
      </c>
      <c r="E2389">
        <v>1</v>
      </c>
      <c r="F2389" t="s">
        <v>41</v>
      </c>
      <c r="G2389" t="s">
        <v>32</v>
      </c>
      <c r="H2389" t="s">
        <v>33</v>
      </c>
      <c r="I2389" t="s">
        <v>57</v>
      </c>
      <c r="O2389" s="5"/>
      <c r="P2389" s="5"/>
    </row>
    <row r="2390" spans="1:30" x14ac:dyDescent="0.25">
      <c r="A2390" s="4">
        <v>42584</v>
      </c>
      <c r="B2390" t="s">
        <v>30</v>
      </c>
      <c r="C2390">
        <v>112</v>
      </c>
      <c r="D2390">
        <v>8</v>
      </c>
      <c r="E2390">
        <v>2</v>
      </c>
      <c r="F2390" t="s">
        <v>41</v>
      </c>
      <c r="G2390" t="s">
        <v>32</v>
      </c>
      <c r="H2390" t="s">
        <v>33</v>
      </c>
      <c r="I2390" t="s">
        <v>57</v>
      </c>
      <c r="O2390" s="5"/>
      <c r="P2390" s="5"/>
    </row>
    <row r="2391" spans="1:30" x14ac:dyDescent="0.25">
      <c r="A2391" s="4">
        <v>42584</v>
      </c>
      <c r="B2391" t="s">
        <v>30</v>
      </c>
      <c r="C2391">
        <v>112</v>
      </c>
      <c r="D2391">
        <v>9</v>
      </c>
      <c r="E2391">
        <v>1</v>
      </c>
      <c r="F2391" t="s">
        <v>41</v>
      </c>
      <c r="G2391" t="s">
        <v>32</v>
      </c>
      <c r="H2391" t="s">
        <v>33</v>
      </c>
      <c r="I2391" t="s">
        <v>34</v>
      </c>
      <c r="J2391" t="s">
        <v>35</v>
      </c>
      <c r="K2391" t="s">
        <v>36</v>
      </c>
      <c r="L2391" t="s">
        <v>43</v>
      </c>
      <c r="M2391">
        <v>0</v>
      </c>
      <c r="N2391">
        <v>0</v>
      </c>
      <c r="O2391" s="5">
        <v>50595</v>
      </c>
      <c r="P2391" s="5">
        <v>50594</v>
      </c>
      <c r="Q2391">
        <v>21</v>
      </c>
      <c r="R2391" t="s">
        <v>47</v>
      </c>
      <c r="T2391">
        <v>20</v>
      </c>
      <c r="U2391">
        <v>89</v>
      </c>
      <c r="V2391">
        <v>16</v>
      </c>
      <c r="W2391">
        <v>12.8</v>
      </c>
      <c r="X2391">
        <v>27.6</v>
      </c>
      <c r="Z2391" t="s">
        <v>97</v>
      </c>
      <c r="AA2391" t="s">
        <v>199</v>
      </c>
      <c r="AB2391" t="s">
        <v>87</v>
      </c>
      <c r="AC2391" t="s">
        <v>56</v>
      </c>
    </row>
    <row r="2392" spans="1:30" x14ac:dyDescent="0.25">
      <c r="A2392" s="4">
        <v>42584</v>
      </c>
      <c r="B2392" t="s">
        <v>30</v>
      </c>
      <c r="C2392">
        <v>112</v>
      </c>
      <c r="D2392">
        <v>9</v>
      </c>
      <c r="E2392">
        <v>2</v>
      </c>
      <c r="F2392" t="s">
        <v>41</v>
      </c>
      <c r="G2392" t="s">
        <v>32</v>
      </c>
      <c r="H2392" t="s">
        <v>33</v>
      </c>
      <c r="I2392" t="s">
        <v>34</v>
      </c>
      <c r="J2392" t="s">
        <v>42</v>
      </c>
      <c r="K2392" t="s">
        <v>89</v>
      </c>
      <c r="L2392" t="s">
        <v>43</v>
      </c>
      <c r="M2392">
        <v>0</v>
      </c>
      <c r="N2392">
        <v>1</v>
      </c>
      <c r="O2392" s="5">
        <v>50891</v>
      </c>
      <c r="P2392" s="5">
        <v>50890</v>
      </c>
      <c r="Q2392">
        <f>24-10</f>
        <v>14</v>
      </c>
      <c r="R2392" t="s">
        <v>65</v>
      </c>
      <c r="T2392">
        <v>19</v>
      </c>
      <c r="U2392">
        <v>85</v>
      </c>
      <c r="V2392">
        <v>15</v>
      </c>
      <c r="W2392">
        <v>12.9</v>
      </c>
      <c r="X2392">
        <v>27.2</v>
      </c>
      <c r="Z2392" t="s">
        <v>39</v>
      </c>
      <c r="AB2392" t="s">
        <v>87</v>
      </c>
      <c r="AC2392" t="s">
        <v>56</v>
      </c>
    </row>
    <row r="2393" spans="1:30" x14ac:dyDescent="0.25">
      <c r="A2393" s="4">
        <v>42584</v>
      </c>
      <c r="B2393" t="s">
        <v>30</v>
      </c>
      <c r="C2393">
        <v>112</v>
      </c>
      <c r="D2393">
        <v>10</v>
      </c>
      <c r="E2393">
        <v>1</v>
      </c>
      <c r="F2393" t="s">
        <v>41</v>
      </c>
      <c r="G2393" t="s">
        <v>32</v>
      </c>
      <c r="H2393" t="s">
        <v>33</v>
      </c>
      <c r="I2393" t="s">
        <v>91</v>
      </c>
      <c r="J2393" t="s">
        <v>42</v>
      </c>
      <c r="K2393" t="s">
        <v>36</v>
      </c>
      <c r="L2393" t="s">
        <v>43</v>
      </c>
      <c r="M2393">
        <v>0</v>
      </c>
      <c r="N2393">
        <v>1</v>
      </c>
      <c r="O2393" s="5">
        <v>50888</v>
      </c>
      <c r="P2393" s="5"/>
      <c r="Q2393">
        <f>31.5-10</f>
        <v>21.5</v>
      </c>
      <c r="R2393" t="s">
        <v>47</v>
      </c>
      <c r="T2393">
        <v>29</v>
      </c>
      <c r="W2393">
        <v>12.9</v>
      </c>
      <c r="X2393">
        <v>27.2</v>
      </c>
      <c r="Z2393" t="s">
        <v>97</v>
      </c>
      <c r="AA2393" t="s">
        <v>291</v>
      </c>
      <c r="AB2393" t="s">
        <v>87</v>
      </c>
      <c r="AC2393" t="s">
        <v>56</v>
      </c>
      <c r="AD2393" t="s">
        <v>292</v>
      </c>
    </row>
    <row r="2394" spans="1:30" x14ac:dyDescent="0.25">
      <c r="A2394" s="4">
        <v>42584</v>
      </c>
      <c r="B2394" t="s">
        <v>30</v>
      </c>
      <c r="C2394">
        <v>113</v>
      </c>
      <c r="D2394">
        <v>1</v>
      </c>
      <c r="E2394">
        <v>1</v>
      </c>
      <c r="F2394" t="s">
        <v>41</v>
      </c>
      <c r="G2394" t="s">
        <v>32</v>
      </c>
      <c r="H2394" t="s">
        <v>33</v>
      </c>
      <c r="I2394" t="s">
        <v>34</v>
      </c>
      <c r="J2394" t="s">
        <v>42</v>
      </c>
      <c r="K2394" t="s">
        <v>36</v>
      </c>
      <c r="L2394" t="s">
        <v>43</v>
      </c>
      <c r="M2394">
        <v>0</v>
      </c>
      <c r="N2394">
        <v>1</v>
      </c>
      <c r="O2394" s="5">
        <v>50900</v>
      </c>
      <c r="P2394" s="5">
        <v>50899</v>
      </c>
      <c r="Q2394">
        <f>31.5-13.5</f>
        <v>18</v>
      </c>
      <c r="R2394" t="s">
        <v>47</v>
      </c>
      <c r="T2394">
        <v>18</v>
      </c>
      <c r="U2394">
        <v>85</v>
      </c>
      <c r="V2394">
        <v>16</v>
      </c>
      <c r="W2394">
        <v>13</v>
      </c>
      <c r="X2394">
        <v>28.3</v>
      </c>
      <c r="Z2394" t="s">
        <v>97</v>
      </c>
      <c r="AA2394" t="s">
        <v>199</v>
      </c>
      <c r="AB2394" t="s">
        <v>87</v>
      </c>
      <c r="AC2394" t="s">
        <v>56</v>
      </c>
    </row>
    <row r="2395" spans="1:30" x14ac:dyDescent="0.25">
      <c r="A2395" s="4">
        <v>42584</v>
      </c>
      <c r="B2395" t="s">
        <v>30</v>
      </c>
      <c r="C2395">
        <v>113</v>
      </c>
      <c r="D2395">
        <v>2</v>
      </c>
      <c r="E2395">
        <v>1</v>
      </c>
      <c r="F2395" t="s">
        <v>41</v>
      </c>
      <c r="G2395" t="s">
        <v>32</v>
      </c>
      <c r="H2395" t="s">
        <v>33</v>
      </c>
      <c r="I2395" t="s">
        <v>34</v>
      </c>
      <c r="J2395" t="s">
        <v>42</v>
      </c>
      <c r="K2395" t="s">
        <v>89</v>
      </c>
      <c r="L2395" t="s">
        <v>37</v>
      </c>
      <c r="M2395">
        <v>0</v>
      </c>
      <c r="N2395">
        <v>1</v>
      </c>
      <c r="O2395" s="5">
        <v>50893</v>
      </c>
      <c r="P2395" s="5">
        <v>50892</v>
      </c>
      <c r="Q2395">
        <f>27.5-12</f>
        <v>15.5</v>
      </c>
      <c r="R2395" t="s">
        <v>38</v>
      </c>
      <c r="S2395" t="s">
        <v>39</v>
      </c>
      <c r="T2395">
        <v>19</v>
      </c>
      <c r="U2395">
        <v>85</v>
      </c>
      <c r="V2395">
        <v>14</v>
      </c>
      <c r="W2395">
        <v>12.9</v>
      </c>
      <c r="X2395">
        <v>26.7</v>
      </c>
      <c r="Z2395" t="s">
        <v>39</v>
      </c>
      <c r="AB2395" t="s">
        <v>87</v>
      </c>
      <c r="AC2395" t="s">
        <v>56</v>
      </c>
    </row>
    <row r="2396" spans="1:30" x14ac:dyDescent="0.25">
      <c r="A2396" s="4">
        <v>42584</v>
      </c>
      <c r="B2396" t="s">
        <v>30</v>
      </c>
      <c r="C2396">
        <v>113</v>
      </c>
      <c r="D2396">
        <v>3</v>
      </c>
      <c r="E2396">
        <v>1</v>
      </c>
      <c r="F2396" t="s">
        <v>41</v>
      </c>
      <c r="G2396" t="s">
        <v>32</v>
      </c>
      <c r="H2396" t="s">
        <v>33</v>
      </c>
      <c r="I2396" t="s">
        <v>53</v>
      </c>
      <c r="J2396" t="s">
        <v>62</v>
      </c>
      <c r="O2396" s="5"/>
      <c r="P2396" s="5"/>
    </row>
    <row r="2397" spans="1:30" x14ac:dyDescent="0.25">
      <c r="A2397" s="4">
        <v>42584</v>
      </c>
      <c r="B2397" t="s">
        <v>30</v>
      </c>
      <c r="C2397">
        <v>113</v>
      </c>
      <c r="D2397">
        <v>4</v>
      </c>
      <c r="E2397">
        <v>1</v>
      </c>
      <c r="F2397" t="s">
        <v>41</v>
      </c>
      <c r="G2397" t="s">
        <v>32</v>
      </c>
      <c r="H2397" t="s">
        <v>33</v>
      </c>
      <c r="I2397" t="s">
        <v>34</v>
      </c>
      <c r="J2397" t="s">
        <v>35</v>
      </c>
      <c r="K2397" t="s">
        <v>36</v>
      </c>
      <c r="L2397" t="s">
        <v>43</v>
      </c>
      <c r="M2397">
        <v>0</v>
      </c>
      <c r="N2397">
        <v>0</v>
      </c>
      <c r="O2397" s="5">
        <v>50716</v>
      </c>
      <c r="P2397" s="5">
        <v>50715</v>
      </c>
      <c r="Q2397">
        <f>35-14.5</f>
        <v>20.5</v>
      </c>
      <c r="R2397" t="s">
        <v>47</v>
      </c>
      <c r="T2397">
        <v>19</v>
      </c>
      <c r="U2397">
        <v>85</v>
      </c>
      <c r="V2397">
        <v>17</v>
      </c>
      <c r="W2397">
        <v>13</v>
      </c>
      <c r="X2397">
        <v>27.4</v>
      </c>
      <c r="Z2397" t="s">
        <v>39</v>
      </c>
      <c r="AB2397" t="s">
        <v>87</v>
      </c>
      <c r="AC2397" t="s">
        <v>56</v>
      </c>
    </row>
    <row r="2398" spans="1:30" x14ac:dyDescent="0.25">
      <c r="A2398" s="4">
        <v>42584</v>
      </c>
      <c r="B2398" t="s">
        <v>30</v>
      </c>
      <c r="C2398">
        <v>113</v>
      </c>
      <c r="D2398">
        <v>6</v>
      </c>
      <c r="E2398">
        <v>1</v>
      </c>
      <c r="F2398" t="s">
        <v>41</v>
      </c>
      <c r="G2398" t="s">
        <v>32</v>
      </c>
      <c r="H2398" t="s">
        <v>33</v>
      </c>
      <c r="I2398" t="s">
        <v>34</v>
      </c>
      <c r="J2398" t="s">
        <v>35</v>
      </c>
      <c r="K2398" t="s">
        <v>36</v>
      </c>
      <c r="L2398" t="s">
        <v>37</v>
      </c>
      <c r="M2398">
        <v>0</v>
      </c>
      <c r="N2398">
        <v>0</v>
      </c>
      <c r="O2398" s="5">
        <v>50520</v>
      </c>
      <c r="P2398" s="5">
        <v>50519</v>
      </c>
      <c r="Q2398">
        <f>31.5-11</f>
        <v>20.5</v>
      </c>
      <c r="R2398" t="s">
        <v>143</v>
      </c>
      <c r="S2398" t="s">
        <v>97</v>
      </c>
      <c r="T2398">
        <v>18.5</v>
      </c>
      <c r="U2398">
        <v>82</v>
      </c>
      <c r="V2398">
        <v>15</v>
      </c>
      <c r="W2398">
        <v>12.8</v>
      </c>
      <c r="X2398">
        <v>28.2</v>
      </c>
      <c r="Z2398" t="s">
        <v>39</v>
      </c>
      <c r="AB2398" t="s">
        <v>87</v>
      </c>
      <c r="AC2398" t="s">
        <v>56</v>
      </c>
    </row>
    <row r="2399" spans="1:30" x14ac:dyDescent="0.25">
      <c r="A2399" s="4">
        <v>42584</v>
      </c>
      <c r="B2399" t="s">
        <v>30</v>
      </c>
      <c r="C2399">
        <v>113</v>
      </c>
      <c r="D2399">
        <v>6</v>
      </c>
      <c r="E2399">
        <v>2</v>
      </c>
      <c r="F2399" t="s">
        <v>41</v>
      </c>
      <c r="G2399" t="s">
        <v>32</v>
      </c>
      <c r="H2399" t="s">
        <v>33</v>
      </c>
      <c r="I2399" t="s">
        <v>57</v>
      </c>
      <c r="O2399" s="5"/>
      <c r="P2399" s="5"/>
    </row>
    <row r="2400" spans="1:30" x14ac:dyDescent="0.25">
      <c r="A2400" s="4">
        <v>42584</v>
      </c>
      <c r="B2400" t="s">
        <v>30</v>
      </c>
      <c r="C2400">
        <v>113</v>
      </c>
      <c r="D2400">
        <v>7</v>
      </c>
      <c r="E2400">
        <v>1</v>
      </c>
      <c r="F2400" t="s">
        <v>41</v>
      </c>
      <c r="G2400" t="s">
        <v>32</v>
      </c>
      <c r="H2400" t="s">
        <v>33</v>
      </c>
      <c r="I2400" t="s">
        <v>57</v>
      </c>
      <c r="O2400" s="5"/>
      <c r="P2400" s="5"/>
    </row>
    <row r="2401" spans="1:30" x14ac:dyDescent="0.25">
      <c r="A2401" s="4">
        <v>42584</v>
      </c>
      <c r="B2401" t="s">
        <v>30</v>
      </c>
      <c r="C2401">
        <v>113</v>
      </c>
      <c r="D2401">
        <v>8</v>
      </c>
      <c r="E2401">
        <v>1</v>
      </c>
      <c r="F2401" t="s">
        <v>41</v>
      </c>
      <c r="G2401" t="s">
        <v>32</v>
      </c>
      <c r="H2401" t="s">
        <v>33</v>
      </c>
      <c r="I2401" t="s">
        <v>57</v>
      </c>
      <c r="O2401" s="5"/>
      <c r="P2401" s="5"/>
    </row>
    <row r="2402" spans="1:30" x14ac:dyDescent="0.25">
      <c r="A2402" s="4">
        <v>42584</v>
      </c>
      <c r="B2402" t="s">
        <v>30</v>
      </c>
      <c r="C2402">
        <v>113</v>
      </c>
      <c r="D2402">
        <v>8</v>
      </c>
      <c r="E2402">
        <v>2</v>
      </c>
      <c r="F2402" t="s">
        <v>41</v>
      </c>
      <c r="G2402" t="s">
        <v>32</v>
      </c>
      <c r="H2402" t="s">
        <v>33</v>
      </c>
      <c r="I2402" t="s">
        <v>57</v>
      </c>
      <c r="O2402" s="5"/>
      <c r="P2402" s="5"/>
    </row>
    <row r="2403" spans="1:30" x14ac:dyDescent="0.25">
      <c r="A2403" s="4">
        <v>42584</v>
      </c>
      <c r="B2403" t="s">
        <v>30</v>
      </c>
      <c r="C2403">
        <v>113</v>
      </c>
      <c r="D2403">
        <v>9</v>
      </c>
      <c r="E2403">
        <v>1</v>
      </c>
      <c r="F2403" t="s">
        <v>41</v>
      </c>
      <c r="G2403" t="s">
        <v>32</v>
      </c>
      <c r="H2403" t="s">
        <v>33</v>
      </c>
      <c r="I2403" t="s">
        <v>57</v>
      </c>
      <c r="O2403" s="5"/>
      <c r="P2403" s="5"/>
    </row>
    <row r="2404" spans="1:30" x14ac:dyDescent="0.25">
      <c r="A2404" s="4">
        <v>42584</v>
      </c>
      <c r="B2404" t="s">
        <v>30</v>
      </c>
      <c r="C2404">
        <v>113</v>
      </c>
      <c r="D2404">
        <v>9</v>
      </c>
      <c r="E2404">
        <v>2</v>
      </c>
      <c r="F2404" t="s">
        <v>41</v>
      </c>
      <c r="G2404" t="s">
        <v>32</v>
      </c>
      <c r="H2404" t="s">
        <v>33</v>
      </c>
      <c r="I2404" t="s">
        <v>57</v>
      </c>
      <c r="O2404" s="5"/>
      <c r="P2404" s="5"/>
    </row>
    <row r="2405" spans="1:30" x14ac:dyDescent="0.25">
      <c r="A2405" s="4">
        <v>42584</v>
      </c>
      <c r="B2405" t="s">
        <v>30</v>
      </c>
      <c r="C2405">
        <v>113</v>
      </c>
      <c r="D2405">
        <v>10</v>
      </c>
      <c r="E2405">
        <v>1</v>
      </c>
      <c r="F2405" t="s">
        <v>41</v>
      </c>
      <c r="G2405" t="s">
        <v>32</v>
      </c>
      <c r="H2405" t="s">
        <v>33</v>
      </c>
      <c r="I2405" t="s">
        <v>34</v>
      </c>
      <c r="J2405" t="s">
        <v>42</v>
      </c>
      <c r="K2405" t="s">
        <v>89</v>
      </c>
      <c r="L2405" t="s">
        <v>37</v>
      </c>
      <c r="M2405">
        <v>0</v>
      </c>
      <c r="N2405">
        <v>1</v>
      </c>
      <c r="O2405" s="5">
        <v>50895</v>
      </c>
      <c r="P2405" s="5">
        <v>50894</v>
      </c>
      <c r="Q2405">
        <f>23-11</f>
        <v>12</v>
      </c>
      <c r="R2405" t="s">
        <v>38</v>
      </c>
      <c r="S2405" t="s">
        <v>39</v>
      </c>
      <c r="T2405">
        <v>19</v>
      </c>
      <c r="U2405">
        <v>75</v>
      </c>
      <c r="V2405">
        <v>14</v>
      </c>
      <c r="W2405">
        <v>12.6</v>
      </c>
      <c r="X2405">
        <v>25.7</v>
      </c>
      <c r="Z2405" t="s">
        <v>39</v>
      </c>
      <c r="AB2405" t="s">
        <v>87</v>
      </c>
      <c r="AC2405" t="s">
        <v>56</v>
      </c>
    </row>
    <row r="2406" spans="1:30" x14ac:dyDescent="0.25">
      <c r="A2406" s="4">
        <v>42584</v>
      </c>
      <c r="B2406" t="s">
        <v>30</v>
      </c>
      <c r="C2406">
        <v>113</v>
      </c>
      <c r="D2406">
        <v>10</v>
      </c>
      <c r="E2406">
        <v>2</v>
      </c>
      <c r="F2406" t="s">
        <v>41</v>
      </c>
      <c r="G2406" t="s">
        <v>32</v>
      </c>
      <c r="H2406" t="s">
        <v>33</v>
      </c>
      <c r="I2406" t="s">
        <v>34</v>
      </c>
      <c r="J2406" t="s">
        <v>42</v>
      </c>
      <c r="K2406" t="s">
        <v>89</v>
      </c>
      <c r="L2406" t="s">
        <v>43</v>
      </c>
      <c r="M2406">
        <v>0</v>
      </c>
      <c r="N2406">
        <v>1</v>
      </c>
      <c r="O2406" s="5">
        <v>50897</v>
      </c>
      <c r="P2406" s="5">
        <v>50896</v>
      </c>
      <c r="Q2406">
        <f>30-16</f>
        <v>14</v>
      </c>
      <c r="R2406" t="s">
        <v>65</v>
      </c>
      <c r="T2406">
        <v>19</v>
      </c>
      <c r="U2406">
        <v>81</v>
      </c>
      <c r="V2406">
        <v>16</v>
      </c>
      <c r="W2406">
        <v>12.9</v>
      </c>
      <c r="X2406">
        <v>27.3</v>
      </c>
      <c r="Z2406" t="s">
        <v>97</v>
      </c>
      <c r="AA2406" t="s">
        <v>199</v>
      </c>
      <c r="AB2406" t="s">
        <v>87</v>
      </c>
      <c r="AC2406" t="s">
        <v>56</v>
      </c>
    </row>
    <row r="2407" spans="1:30" x14ac:dyDescent="0.25">
      <c r="A2407" s="4">
        <v>42584</v>
      </c>
      <c r="B2407" t="s">
        <v>30</v>
      </c>
      <c r="C2407">
        <v>402</v>
      </c>
      <c r="D2407">
        <v>1</v>
      </c>
      <c r="E2407">
        <v>1</v>
      </c>
      <c r="F2407" t="s">
        <v>41</v>
      </c>
      <c r="G2407" t="s">
        <v>32</v>
      </c>
      <c r="H2407" t="s">
        <v>33</v>
      </c>
      <c r="I2407" t="s">
        <v>57</v>
      </c>
      <c r="O2407" s="5"/>
      <c r="P2407" s="5"/>
    </row>
    <row r="2408" spans="1:30" x14ac:dyDescent="0.25">
      <c r="A2408" s="4">
        <v>42584</v>
      </c>
      <c r="B2408" t="s">
        <v>30</v>
      </c>
      <c r="C2408">
        <v>402</v>
      </c>
      <c r="D2408">
        <v>1</v>
      </c>
      <c r="E2408">
        <v>2</v>
      </c>
      <c r="F2408" t="s">
        <v>41</v>
      </c>
      <c r="G2408" t="s">
        <v>32</v>
      </c>
      <c r="H2408" t="s">
        <v>33</v>
      </c>
      <c r="I2408" t="s">
        <v>58</v>
      </c>
      <c r="J2408" t="s">
        <v>42</v>
      </c>
      <c r="K2408" t="s">
        <v>36</v>
      </c>
      <c r="L2408" t="s">
        <v>43</v>
      </c>
      <c r="M2408">
        <v>0</v>
      </c>
      <c r="N2408">
        <v>1</v>
      </c>
      <c r="O2408" s="5"/>
      <c r="P2408" s="5">
        <v>50776</v>
      </c>
      <c r="Q2408">
        <f>44-15</f>
        <v>29</v>
      </c>
      <c r="R2408" t="s">
        <v>47</v>
      </c>
      <c r="T2408">
        <v>18</v>
      </c>
      <c r="W2408">
        <v>13.1</v>
      </c>
      <c r="X2408">
        <v>28.7</v>
      </c>
      <c r="Z2408" t="s">
        <v>97</v>
      </c>
      <c r="AA2408" t="s">
        <v>293</v>
      </c>
      <c r="AB2408" t="s">
        <v>87</v>
      </c>
      <c r="AC2408" t="s">
        <v>56</v>
      </c>
      <c r="AD2408" t="s">
        <v>294</v>
      </c>
    </row>
    <row r="2409" spans="1:30" x14ac:dyDescent="0.25">
      <c r="A2409" s="4">
        <v>42584</v>
      </c>
      <c r="B2409" t="s">
        <v>30</v>
      </c>
      <c r="C2409">
        <v>402</v>
      </c>
      <c r="D2409">
        <v>2</v>
      </c>
      <c r="E2409">
        <v>1</v>
      </c>
      <c r="F2409" t="s">
        <v>41</v>
      </c>
      <c r="G2409" t="s">
        <v>32</v>
      </c>
      <c r="H2409" t="s">
        <v>33</v>
      </c>
      <c r="I2409" t="s">
        <v>58</v>
      </c>
      <c r="J2409" t="s">
        <v>42</v>
      </c>
      <c r="K2409" t="s">
        <v>36</v>
      </c>
      <c r="L2409" t="s">
        <v>37</v>
      </c>
      <c r="M2409">
        <v>0</v>
      </c>
      <c r="N2409">
        <v>1</v>
      </c>
      <c r="O2409" s="5">
        <v>50889</v>
      </c>
      <c r="P2409" s="5"/>
      <c r="Q2409">
        <f>54-11</f>
        <v>43</v>
      </c>
      <c r="R2409" t="s">
        <v>143</v>
      </c>
      <c r="S2409" t="s">
        <v>97</v>
      </c>
      <c r="T2409">
        <v>18</v>
      </c>
      <c r="W2409">
        <v>12.9</v>
      </c>
      <c r="X2409">
        <v>26.7</v>
      </c>
      <c r="Z2409" t="s">
        <v>97</v>
      </c>
      <c r="AA2409" t="s">
        <v>295</v>
      </c>
      <c r="AB2409" t="s">
        <v>87</v>
      </c>
      <c r="AC2409" t="s">
        <v>56</v>
      </c>
    </row>
    <row r="2410" spans="1:30" x14ac:dyDescent="0.25">
      <c r="A2410" s="4">
        <v>42584</v>
      </c>
      <c r="B2410" t="s">
        <v>30</v>
      </c>
      <c r="C2410">
        <v>402</v>
      </c>
      <c r="D2410">
        <v>3</v>
      </c>
      <c r="E2410">
        <v>1</v>
      </c>
      <c r="F2410" t="s">
        <v>41</v>
      </c>
      <c r="G2410" t="s">
        <v>32</v>
      </c>
      <c r="H2410" t="s">
        <v>33</v>
      </c>
      <c r="I2410" t="s">
        <v>57</v>
      </c>
      <c r="O2410" s="5"/>
      <c r="P2410" s="5"/>
    </row>
    <row r="2411" spans="1:30" x14ac:dyDescent="0.25">
      <c r="A2411" s="4">
        <v>42584</v>
      </c>
      <c r="B2411" t="s">
        <v>30</v>
      </c>
      <c r="C2411">
        <v>402</v>
      </c>
      <c r="D2411">
        <v>5</v>
      </c>
      <c r="E2411">
        <v>1</v>
      </c>
      <c r="F2411" t="s">
        <v>41</v>
      </c>
      <c r="G2411" t="s">
        <v>32</v>
      </c>
      <c r="H2411" t="s">
        <v>33</v>
      </c>
      <c r="I2411" t="s">
        <v>58</v>
      </c>
      <c r="J2411" t="s">
        <v>42</v>
      </c>
      <c r="K2411" t="s">
        <v>36</v>
      </c>
      <c r="L2411" t="s">
        <v>37</v>
      </c>
      <c r="M2411">
        <v>0</v>
      </c>
      <c r="N2411">
        <v>1</v>
      </c>
      <c r="O2411" s="5">
        <v>16350</v>
      </c>
      <c r="P2411" s="5"/>
      <c r="Q2411">
        <f>40-13</f>
        <v>27</v>
      </c>
      <c r="R2411" t="s">
        <v>120</v>
      </c>
      <c r="S2411" t="s">
        <v>39</v>
      </c>
      <c r="T2411">
        <v>18</v>
      </c>
      <c r="W2411">
        <v>12.9</v>
      </c>
      <c r="X2411">
        <v>28.5</v>
      </c>
      <c r="Z2411" t="s">
        <v>97</v>
      </c>
      <c r="AA2411" t="s">
        <v>199</v>
      </c>
      <c r="AB2411" t="s">
        <v>87</v>
      </c>
      <c r="AC2411" t="s">
        <v>56</v>
      </c>
    </row>
    <row r="2412" spans="1:30" x14ac:dyDescent="0.25">
      <c r="A2412" s="4">
        <v>42584</v>
      </c>
      <c r="B2412" t="s">
        <v>30</v>
      </c>
      <c r="C2412">
        <v>402</v>
      </c>
      <c r="D2412">
        <v>6</v>
      </c>
      <c r="E2412">
        <v>1</v>
      </c>
      <c r="F2412" t="s">
        <v>41</v>
      </c>
      <c r="G2412" t="s">
        <v>32</v>
      </c>
      <c r="H2412" t="s">
        <v>33</v>
      </c>
      <c r="I2412" t="s">
        <v>91</v>
      </c>
      <c r="J2412" t="s">
        <v>42</v>
      </c>
      <c r="K2412" t="s">
        <v>36</v>
      </c>
      <c r="M2412">
        <v>0</v>
      </c>
      <c r="N2412">
        <v>1</v>
      </c>
      <c r="O2412" s="5">
        <v>50827</v>
      </c>
      <c r="P2412" s="5"/>
      <c r="AD2412" t="s">
        <v>296</v>
      </c>
    </row>
    <row r="2413" spans="1:30" x14ac:dyDescent="0.25">
      <c r="A2413" s="4">
        <v>42584</v>
      </c>
      <c r="B2413" t="s">
        <v>30</v>
      </c>
      <c r="C2413">
        <v>402</v>
      </c>
      <c r="D2413">
        <v>8</v>
      </c>
      <c r="E2413">
        <v>1</v>
      </c>
      <c r="F2413" t="s">
        <v>41</v>
      </c>
      <c r="G2413" t="s">
        <v>32</v>
      </c>
      <c r="H2413" t="s">
        <v>33</v>
      </c>
      <c r="I2413" t="s">
        <v>57</v>
      </c>
      <c r="O2413" s="5"/>
      <c r="P2413" s="5"/>
    </row>
    <row r="2414" spans="1:30" x14ac:dyDescent="0.25">
      <c r="A2414" s="4">
        <v>42584</v>
      </c>
      <c r="B2414" t="s">
        <v>30</v>
      </c>
      <c r="C2414">
        <v>402</v>
      </c>
      <c r="D2414">
        <v>9</v>
      </c>
      <c r="E2414">
        <v>1</v>
      </c>
      <c r="F2414" t="s">
        <v>41</v>
      </c>
      <c r="G2414" t="s">
        <v>32</v>
      </c>
      <c r="H2414" t="s">
        <v>33</v>
      </c>
      <c r="I2414" t="s">
        <v>57</v>
      </c>
      <c r="O2414" s="5"/>
      <c r="P2414" s="5"/>
    </row>
    <row r="2415" spans="1:30" x14ac:dyDescent="0.25">
      <c r="A2415" s="4">
        <v>42584</v>
      </c>
      <c r="B2415" t="s">
        <v>30</v>
      </c>
      <c r="C2415">
        <v>402</v>
      </c>
      <c r="D2415">
        <v>10</v>
      </c>
      <c r="E2415">
        <v>1</v>
      </c>
      <c r="F2415" t="s">
        <v>41</v>
      </c>
      <c r="G2415" t="s">
        <v>32</v>
      </c>
      <c r="H2415" t="s">
        <v>33</v>
      </c>
      <c r="I2415" t="s">
        <v>91</v>
      </c>
      <c r="J2415" t="s">
        <v>42</v>
      </c>
      <c r="K2415" t="s">
        <v>36</v>
      </c>
      <c r="L2415" t="s">
        <v>43</v>
      </c>
      <c r="M2415">
        <v>0</v>
      </c>
      <c r="N2415">
        <v>1</v>
      </c>
      <c r="O2415" s="5">
        <v>50898</v>
      </c>
      <c r="P2415" s="5"/>
      <c r="Q2415">
        <f>30-11</f>
        <v>19</v>
      </c>
      <c r="R2415" t="s">
        <v>47</v>
      </c>
      <c r="T2415">
        <v>28</v>
      </c>
      <c r="W2415">
        <v>13</v>
      </c>
      <c r="X2415">
        <v>26.7</v>
      </c>
      <c r="Z2415" t="s">
        <v>97</v>
      </c>
      <c r="AA2415" t="s">
        <v>199</v>
      </c>
      <c r="AB2415" t="s">
        <v>87</v>
      </c>
      <c r="AC2415" t="s">
        <v>56</v>
      </c>
      <c r="AD2415" t="s">
        <v>297</v>
      </c>
    </row>
    <row r="2416" spans="1:30" x14ac:dyDescent="0.25">
      <c r="A2416" s="4">
        <v>42584</v>
      </c>
      <c r="B2416" t="s">
        <v>30</v>
      </c>
      <c r="C2416">
        <v>201</v>
      </c>
      <c r="D2416">
        <v>1</v>
      </c>
      <c r="E2416">
        <v>1</v>
      </c>
      <c r="F2416" t="s">
        <v>31</v>
      </c>
      <c r="G2416" t="s">
        <v>32</v>
      </c>
      <c r="H2416" t="s">
        <v>33</v>
      </c>
      <c r="I2416" t="s">
        <v>34</v>
      </c>
      <c r="J2416" t="s">
        <v>35</v>
      </c>
      <c r="K2416" t="s">
        <v>114</v>
      </c>
      <c r="L2416" t="s">
        <v>37</v>
      </c>
      <c r="M2416">
        <v>0</v>
      </c>
      <c r="N2416">
        <v>0</v>
      </c>
      <c r="O2416" s="5">
        <v>50780</v>
      </c>
      <c r="P2416" s="5">
        <v>50779</v>
      </c>
      <c r="Q2416">
        <f>31-12.5</f>
        <v>18.5</v>
      </c>
      <c r="R2416" t="s">
        <v>38</v>
      </c>
      <c r="S2416" t="s">
        <v>39</v>
      </c>
      <c r="T2416">
        <v>17</v>
      </c>
      <c r="U2416">
        <v>86</v>
      </c>
      <c r="V2416">
        <v>16</v>
      </c>
      <c r="W2416">
        <v>13.3</v>
      </c>
      <c r="X2416">
        <v>27.8</v>
      </c>
      <c r="Z2416" t="s">
        <v>97</v>
      </c>
      <c r="AA2416" t="s">
        <v>199</v>
      </c>
      <c r="AB2416" t="s">
        <v>40</v>
      </c>
      <c r="AC2416" t="s">
        <v>56</v>
      </c>
    </row>
    <row r="2417" spans="1:29" x14ac:dyDescent="0.25">
      <c r="A2417" s="4">
        <v>42584</v>
      </c>
      <c r="B2417" t="s">
        <v>30</v>
      </c>
      <c r="C2417">
        <v>201</v>
      </c>
      <c r="D2417">
        <v>3</v>
      </c>
      <c r="E2417">
        <v>1</v>
      </c>
      <c r="F2417" t="s">
        <v>31</v>
      </c>
      <c r="G2417" t="s">
        <v>32</v>
      </c>
      <c r="H2417" t="s">
        <v>33</v>
      </c>
      <c r="I2417" t="s">
        <v>57</v>
      </c>
      <c r="O2417" s="5"/>
      <c r="P2417" s="5"/>
    </row>
    <row r="2418" spans="1:29" x14ac:dyDescent="0.25">
      <c r="A2418" s="4">
        <v>42584</v>
      </c>
      <c r="B2418" t="s">
        <v>30</v>
      </c>
      <c r="C2418">
        <v>201</v>
      </c>
      <c r="D2418">
        <v>3</v>
      </c>
      <c r="E2418">
        <v>2</v>
      </c>
      <c r="F2418" t="s">
        <v>31</v>
      </c>
      <c r="G2418" t="s">
        <v>32</v>
      </c>
      <c r="H2418" t="s">
        <v>33</v>
      </c>
      <c r="I2418" t="s">
        <v>57</v>
      </c>
      <c r="O2418" s="5"/>
      <c r="P2418" s="5"/>
    </row>
    <row r="2419" spans="1:29" x14ac:dyDescent="0.25">
      <c r="A2419" s="4">
        <v>42584</v>
      </c>
      <c r="B2419" t="s">
        <v>30</v>
      </c>
      <c r="C2419">
        <v>201</v>
      </c>
      <c r="D2419">
        <v>4</v>
      </c>
      <c r="E2419">
        <v>1</v>
      </c>
      <c r="F2419" t="s">
        <v>31</v>
      </c>
      <c r="G2419" t="s">
        <v>32</v>
      </c>
      <c r="H2419" t="s">
        <v>33</v>
      </c>
      <c r="I2419" t="s">
        <v>58</v>
      </c>
      <c r="J2419" t="s">
        <v>42</v>
      </c>
      <c r="K2419" t="s">
        <v>36</v>
      </c>
      <c r="L2419" t="s">
        <v>37</v>
      </c>
      <c r="M2419">
        <v>0</v>
      </c>
      <c r="N2419">
        <v>1</v>
      </c>
      <c r="O2419" s="5">
        <v>50926</v>
      </c>
      <c r="P2419" s="5"/>
      <c r="Q2419">
        <f>41.5-14.5</f>
        <v>27</v>
      </c>
      <c r="R2419" t="s">
        <v>298</v>
      </c>
      <c r="S2419" t="s">
        <v>39</v>
      </c>
      <c r="T2419">
        <v>17</v>
      </c>
      <c r="W2419">
        <v>13</v>
      </c>
      <c r="X2419">
        <v>28.5</v>
      </c>
      <c r="Z2419" t="s">
        <v>97</v>
      </c>
      <c r="AA2419" t="s">
        <v>199</v>
      </c>
      <c r="AB2419" t="s">
        <v>40</v>
      </c>
      <c r="AC2419" t="s">
        <v>56</v>
      </c>
    </row>
    <row r="2420" spans="1:29" x14ac:dyDescent="0.25">
      <c r="A2420" s="4">
        <v>42584</v>
      </c>
      <c r="B2420" t="s">
        <v>30</v>
      </c>
      <c r="C2420">
        <v>201</v>
      </c>
      <c r="D2420">
        <v>5</v>
      </c>
      <c r="E2420">
        <v>1</v>
      </c>
      <c r="F2420" t="s">
        <v>31</v>
      </c>
      <c r="G2420" t="s">
        <v>32</v>
      </c>
      <c r="H2420" t="s">
        <v>33</v>
      </c>
      <c r="I2420" t="s">
        <v>57</v>
      </c>
      <c r="O2420" s="5"/>
      <c r="P2420" s="5"/>
    </row>
    <row r="2421" spans="1:29" x14ac:dyDescent="0.25">
      <c r="A2421" s="4">
        <v>42584</v>
      </c>
      <c r="B2421" t="s">
        <v>30</v>
      </c>
      <c r="C2421">
        <v>201</v>
      </c>
      <c r="D2421">
        <v>5</v>
      </c>
      <c r="E2421">
        <v>2</v>
      </c>
      <c r="F2421" t="s">
        <v>31</v>
      </c>
      <c r="G2421" t="s">
        <v>32</v>
      </c>
      <c r="H2421" t="s">
        <v>33</v>
      </c>
      <c r="I2421" t="s">
        <v>34</v>
      </c>
      <c r="J2421" t="s">
        <v>42</v>
      </c>
      <c r="K2421" t="s">
        <v>114</v>
      </c>
      <c r="L2421" t="s">
        <v>43</v>
      </c>
      <c r="M2421">
        <v>0</v>
      </c>
      <c r="N2421">
        <v>1</v>
      </c>
      <c r="O2421" s="5">
        <v>50928</v>
      </c>
      <c r="P2421" s="5">
        <v>50927</v>
      </c>
      <c r="Q2421">
        <f>27-12.5</f>
        <v>14.5</v>
      </c>
      <c r="R2421" t="s">
        <v>65</v>
      </c>
      <c r="T2421">
        <v>17</v>
      </c>
      <c r="U2421">
        <v>80</v>
      </c>
      <c r="V2421">
        <v>15.5</v>
      </c>
      <c r="W2421">
        <v>12.6</v>
      </c>
      <c r="X2421">
        <v>25.3</v>
      </c>
      <c r="Z2421" t="s">
        <v>39</v>
      </c>
      <c r="AA2421" t="s">
        <v>199</v>
      </c>
      <c r="AB2421" t="s">
        <v>40</v>
      </c>
      <c r="AC2421" t="s">
        <v>56</v>
      </c>
    </row>
    <row r="2422" spans="1:29" x14ac:dyDescent="0.25">
      <c r="A2422" s="4">
        <v>42584</v>
      </c>
      <c r="B2422" t="s">
        <v>30</v>
      </c>
      <c r="C2422">
        <v>201</v>
      </c>
      <c r="D2422">
        <v>6</v>
      </c>
      <c r="E2422">
        <v>1</v>
      </c>
      <c r="F2422" t="s">
        <v>31</v>
      </c>
      <c r="G2422" t="s">
        <v>32</v>
      </c>
      <c r="H2422" t="s">
        <v>33</v>
      </c>
      <c r="I2422" t="s">
        <v>34</v>
      </c>
      <c r="J2422" t="s">
        <v>35</v>
      </c>
      <c r="K2422" t="s">
        <v>114</v>
      </c>
      <c r="L2422" t="s">
        <v>43</v>
      </c>
      <c r="M2422">
        <v>0</v>
      </c>
      <c r="N2422">
        <v>0</v>
      </c>
      <c r="O2422" s="5">
        <v>50848</v>
      </c>
      <c r="P2422" s="5">
        <v>50847</v>
      </c>
      <c r="Q2422">
        <f>30-13</f>
        <v>17</v>
      </c>
      <c r="R2422" t="s">
        <v>47</v>
      </c>
      <c r="T2422">
        <v>17</v>
      </c>
      <c r="U2422">
        <v>86</v>
      </c>
      <c r="V2422">
        <v>14</v>
      </c>
      <c r="W2422">
        <v>13.1</v>
      </c>
      <c r="X2422">
        <v>25.2</v>
      </c>
      <c r="Z2422" t="s">
        <v>97</v>
      </c>
      <c r="AA2422" t="s">
        <v>199</v>
      </c>
      <c r="AB2422" t="s">
        <v>40</v>
      </c>
      <c r="AC2422" t="s">
        <v>56</v>
      </c>
    </row>
    <row r="2423" spans="1:29" x14ac:dyDescent="0.25">
      <c r="A2423" s="4">
        <v>42584</v>
      </c>
      <c r="B2423" t="s">
        <v>30</v>
      </c>
      <c r="C2423">
        <v>201</v>
      </c>
      <c r="D2423">
        <v>7</v>
      </c>
      <c r="E2423">
        <v>1</v>
      </c>
      <c r="F2423" t="s">
        <v>31</v>
      </c>
      <c r="G2423" t="s">
        <v>32</v>
      </c>
      <c r="H2423" t="s">
        <v>33</v>
      </c>
      <c r="I2423" t="s">
        <v>34</v>
      </c>
      <c r="J2423" t="s">
        <v>35</v>
      </c>
      <c r="K2423" t="s">
        <v>114</v>
      </c>
      <c r="L2423" t="s">
        <v>43</v>
      </c>
      <c r="M2423">
        <v>0</v>
      </c>
      <c r="N2423">
        <v>0</v>
      </c>
      <c r="O2423" s="5">
        <v>50850</v>
      </c>
      <c r="P2423" s="5">
        <v>50849</v>
      </c>
      <c r="Q2423">
        <f>32.5-13.5</f>
        <v>19</v>
      </c>
      <c r="R2423" t="s">
        <v>47</v>
      </c>
      <c r="T2423">
        <v>18</v>
      </c>
      <c r="U2423">
        <v>81</v>
      </c>
      <c r="V2423">
        <v>17</v>
      </c>
      <c r="W2423">
        <v>13.2</v>
      </c>
      <c r="X2423">
        <v>26.8</v>
      </c>
      <c r="Y2423" t="s">
        <v>299</v>
      </c>
      <c r="Z2423" t="s">
        <v>39</v>
      </c>
      <c r="AA2423" t="s">
        <v>199</v>
      </c>
      <c r="AB2423" t="s">
        <v>40</v>
      </c>
      <c r="AC2423" t="s">
        <v>56</v>
      </c>
    </row>
    <row r="2424" spans="1:29" x14ac:dyDescent="0.25">
      <c r="A2424" s="4">
        <v>42584</v>
      </c>
      <c r="B2424" t="s">
        <v>30</v>
      </c>
      <c r="C2424">
        <v>201</v>
      </c>
      <c r="D2424">
        <v>7</v>
      </c>
      <c r="E2424">
        <v>2</v>
      </c>
      <c r="F2424" t="s">
        <v>31</v>
      </c>
      <c r="G2424" t="s">
        <v>32</v>
      </c>
      <c r="H2424" t="s">
        <v>33</v>
      </c>
      <c r="I2424" t="s">
        <v>34</v>
      </c>
      <c r="J2424" t="s">
        <v>42</v>
      </c>
      <c r="K2424" t="s">
        <v>89</v>
      </c>
      <c r="L2424" t="s">
        <v>37</v>
      </c>
      <c r="M2424">
        <v>0</v>
      </c>
      <c r="N2424">
        <v>1</v>
      </c>
      <c r="O2424" s="5">
        <v>50930</v>
      </c>
      <c r="P2424" s="5">
        <v>50929</v>
      </c>
      <c r="Q2424">
        <f>27-14</f>
        <v>13</v>
      </c>
      <c r="R2424" t="s">
        <v>38</v>
      </c>
      <c r="S2424" t="s">
        <v>39</v>
      </c>
      <c r="T2424">
        <v>16</v>
      </c>
      <c r="U2424">
        <v>79</v>
      </c>
      <c r="V2424">
        <v>16</v>
      </c>
      <c r="W2424">
        <v>12.8</v>
      </c>
      <c r="X2424">
        <v>25</v>
      </c>
      <c r="Z2424" t="s">
        <v>39</v>
      </c>
      <c r="AA2424" t="s">
        <v>199</v>
      </c>
      <c r="AB2424" t="s">
        <v>40</v>
      </c>
      <c r="AC2424" t="s">
        <v>56</v>
      </c>
    </row>
    <row r="2425" spans="1:29" x14ac:dyDescent="0.25">
      <c r="A2425" s="4">
        <v>42584</v>
      </c>
      <c r="B2425" t="s">
        <v>30</v>
      </c>
      <c r="C2425">
        <v>201</v>
      </c>
      <c r="D2425">
        <v>8</v>
      </c>
      <c r="E2425">
        <v>1</v>
      </c>
      <c r="F2425" t="s">
        <v>31</v>
      </c>
      <c r="G2425" t="s">
        <v>32</v>
      </c>
      <c r="H2425" t="s">
        <v>33</v>
      </c>
      <c r="I2425" t="s">
        <v>34</v>
      </c>
      <c r="J2425" t="s">
        <v>35</v>
      </c>
      <c r="K2425" t="s">
        <v>89</v>
      </c>
      <c r="L2425" t="s">
        <v>37</v>
      </c>
      <c r="M2425">
        <v>0</v>
      </c>
      <c r="N2425">
        <v>0</v>
      </c>
      <c r="O2425" s="5">
        <v>50846</v>
      </c>
      <c r="P2425" s="5">
        <v>50845</v>
      </c>
      <c r="Q2425">
        <f>29-15.5</f>
        <v>13.5</v>
      </c>
      <c r="R2425" t="s">
        <v>38</v>
      </c>
      <c r="S2425" t="s">
        <v>39</v>
      </c>
      <c r="T2425">
        <v>18</v>
      </c>
      <c r="U2425">
        <v>72</v>
      </c>
      <c r="V2425">
        <v>18</v>
      </c>
      <c r="W2425">
        <v>12.7</v>
      </c>
      <c r="X2425">
        <v>26.5</v>
      </c>
      <c r="Z2425" t="s">
        <v>39</v>
      </c>
      <c r="AA2425" t="s">
        <v>199</v>
      </c>
      <c r="AB2425" t="s">
        <v>40</v>
      </c>
      <c r="AC2425" t="s">
        <v>56</v>
      </c>
    </row>
    <row r="2426" spans="1:29" x14ac:dyDescent="0.25">
      <c r="A2426" s="4">
        <v>42584</v>
      </c>
      <c r="B2426" t="s">
        <v>30</v>
      </c>
      <c r="C2426">
        <v>201</v>
      </c>
      <c r="D2426">
        <v>9</v>
      </c>
      <c r="E2426">
        <v>1</v>
      </c>
      <c r="F2426" t="s">
        <v>31</v>
      </c>
      <c r="G2426" t="s">
        <v>32</v>
      </c>
      <c r="H2426" t="s">
        <v>33</v>
      </c>
      <c r="I2426" t="s">
        <v>91</v>
      </c>
      <c r="J2426" t="s">
        <v>42</v>
      </c>
      <c r="K2426" t="s">
        <v>36</v>
      </c>
      <c r="L2426" t="s">
        <v>43</v>
      </c>
      <c r="M2426">
        <v>0</v>
      </c>
      <c r="N2426">
        <v>1</v>
      </c>
      <c r="O2426" s="5">
        <v>50931</v>
      </c>
      <c r="P2426" s="5"/>
      <c r="Q2426">
        <f>48.5-22.5</f>
        <v>26</v>
      </c>
      <c r="R2426" t="s">
        <v>47</v>
      </c>
      <c r="T2426">
        <v>28.5</v>
      </c>
      <c r="W2426">
        <v>13</v>
      </c>
      <c r="X2426">
        <v>25.8</v>
      </c>
      <c r="Z2426" t="s">
        <v>97</v>
      </c>
      <c r="AA2426" t="s">
        <v>199</v>
      </c>
      <c r="AB2426" t="s">
        <v>40</v>
      </c>
      <c r="AC2426" t="s">
        <v>56</v>
      </c>
    </row>
    <row r="2427" spans="1:29" x14ac:dyDescent="0.25">
      <c r="A2427" s="4">
        <v>42584</v>
      </c>
      <c r="B2427" t="s">
        <v>30</v>
      </c>
      <c r="C2427">
        <v>203</v>
      </c>
      <c r="D2427">
        <v>1</v>
      </c>
      <c r="E2427">
        <v>1</v>
      </c>
      <c r="F2427" t="s">
        <v>31</v>
      </c>
      <c r="G2427" t="s">
        <v>32</v>
      </c>
      <c r="H2427" t="s">
        <v>33</v>
      </c>
      <c r="I2427" t="s">
        <v>34</v>
      </c>
      <c r="J2427" t="s">
        <v>51</v>
      </c>
      <c r="K2427" t="s">
        <v>114</v>
      </c>
      <c r="L2427" t="s">
        <v>37</v>
      </c>
      <c r="M2427">
        <v>1</v>
      </c>
      <c r="N2427">
        <v>0</v>
      </c>
      <c r="O2427" s="5">
        <v>50841</v>
      </c>
      <c r="P2427" s="5">
        <v>50950</v>
      </c>
      <c r="Q2427">
        <f>31-14</f>
        <v>17</v>
      </c>
      <c r="R2427" t="s">
        <v>38</v>
      </c>
      <c r="S2427" t="s">
        <v>39</v>
      </c>
      <c r="T2427">
        <v>18</v>
      </c>
      <c r="U2427">
        <v>93</v>
      </c>
      <c r="V2427">
        <v>15</v>
      </c>
      <c r="W2427">
        <v>12.8</v>
      </c>
      <c r="X2427">
        <v>25.3</v>
      </c>
      <c r="Z2427" t="s">
        <v>97</v>
      </c>
      <c r="AA2427" t="s">
        <v>199</v>
      </c>
      <c r="AB2427" t="s">
        <v>40</v>
      </c>
      <c r="AC2427" t="s">
        <v>56</v>
      </c>
    </row>
    <row r="2428" spans="1:29" x14ac:dyDescent="0.25">
      <c r="A2428" s="4">
        <v>42584</v>
      </c>
      <c r="B2428" t="s">
        <v>30</v>
      </c>
      <c r="C2428">
        <v>203</v>
      </c>
      <c r="D2428">
        <v>1</v>
      </c>
      <c r="E2428">
        <v>2</v>
      </c>
      <c r="F2428" t="s">
        <v>31</v>
      </c>
      <c r="G2428" t="s">
        <v>32</v>
      </c>
      <c r="H2428" t="s">
        <v>33</v>
      </c>
      <c r="I2428" t="s">
        <v>53</v>
      </c>
      <c r="J2428" t="s">
        <v>62</v>
      </c>
      <c r="O2428" s="5"/>
      <c r="P2428" s="5"/>
      <c r="AB2428" t="s">
        <v>40</v>
      </c>
      <c r="AC2428" t="s">
        <v>56</v>
      </c>
    </row>
    <row r="2429" spans="1:29" x14ac:dyDescent="0.25">
      <c r="A2429" s="4">
        <v>42584</v>
      </c>
      <c r="B2429" t="s">
        <v>30</v>
      </c>
      <c r="C2429">
        <v>203</v>
      </c>
      <c r="D2429">
        <v>2</v>
      </c>
      <c r="E2429">
        <v>1</v>
      </c>
      <c r="F2429" t="s">
        <v>31</v>
      </c>
      <c r="G2429" t="s">
        <v>32</v>
      </c>
      <c r="H2429" t="s">
        <v>33</v>
      </c>
      <c r="I2429" t="s">
        <v>57</v>
      </c>
      <c r="O2429" s="5"/>
      <c r="P2429" s="5"/>
    </row>
    <row r="2430" spans="1:29" x14ac:dyDescent="0.25">
      <c r="A2430" s="4">
        <v>42584</v>
      </c>
      <c r="B2430" t="s">
        <v>30</v>
      </c>
      <c r="C2430">
        <v>203</v>
      </c>
      <c r="D2430">
        <v>2</v>
      </c>
      <c r="E2430">
        <v>2</v>
      </c>
      <c r="F2430" t="s">
        <v>31</v>
      </c>
      <c r="G2430" t="s">
        <v>32</v>
      </c>
      <c r="H2430" t="s">
        <v>33</v>
      </c>
      <c r="I2430" t="s">
        <v>34</v>
      </c>
      <c r="J2430" t="s">
        <v>51</v>
      </c>
      <c r="K2430" t="s">
        <v>114</v>
      </c>
      <c r="L2430" t="s">
        <v>37</v>
      </c>
      <c r="M2430">
        <v>1</v>
      </c>
      <c r="N2430">
        <v>0</v>
      </c>
      <c r="O2430" s="5">
        <v>50342</v>
      </c>
      <c r="P2430" s="5">
        <v>50932</v>
      </c>
      <c r="Q2430">
        <f>34.5-15</f>
        <v>19.5</v>
      </c>
      <c r="R2430" t="s">
        <v>83</v>
      </c>
      <c r="S2430" t="s">
        <v>39</v>
      </c>
      <c r="T2430">
        <v>17</v>
      </c>
      <c r="U2430">
        <v>86</v>
      </c>
      <c r="V2430">
        <v>18</v>
      </c>
      <c r="W2430">
        <v>13.1</v>
      </c>
      <c r="X2430">
        <v>25.5</v>
      </c>
      <c r="Z2430" t="s">
        <v>97</v>
      </c>
      <c r="AA2430" t="s">
        <v>199</v>
      </c>
      <c r="AB2430" t="s">
        <v>40</v>
      </c>
      <c r="AC2430" t="s">
        <v>56</v>
      </c>
    </row>
    <row r="2431" spans="1:29" x14ac:dyDescent="0.25">
      <c r="A2431" s="4">
        <v>42584</v>
      </c>
      <c r="B2431" t="s">
        <v>30</v>
      </c>
      <c r="C2431">
        <v>203</v>
      </c>
      <c r="D2431">
        <v>3</v>
      </c>
      <c r="E2431">
        <v>1</v>
      </c>
      <c r="F2431" t="s">
        <v>31</v>
      </c>
      <c r="G2431" t="s">
        <v>32</v>
      </c>
      <c r="H2431" t="s">
        <v>33</v>
      </c>
      <c r="I2431" t="s">
        <v>57</v>
      </c>
      <c r="O2431" s="5"/>
      <c r="P2431" s="5"/>
    </row>
    <row r="2432" spans="1:29" x14ac:dyDescent="0.25">
      <c r="A2432" s="4">
        <v>42584</v>
      </c>
      <c r="B2432" t="s">
        <v>30</v>
      </c>
      <c r="C2432">
        <v>203</v>
      </c>
      <c r="D2432">
        <v>3</v>
      </c>
      <c r="E2432">
        <v>2</v>
      </c>
      <c r="F2432" t="s">
        <v>31</v>
      </c>
      <c r="G2432" t="s">
        <v>32</v>
      </c>
      <c r="H2432" t="s">
        <v>33</v>
      </c>
      <c r="I2432" t="s">
        <v>57</v>
      </c>
      <c r="O2432" s="5"/>
      <c r="P2432" s="5"/>
    </row>
    <row r="2433" spans="1:29" x14ac:dyDescent="0.25">
      <c r="A2433" s="4">
        <v>42584</v>
      </c>
      <c r="B2433" t="s">
        <v>30</v>
      </c>
      <c r="C2433">
        <v>203</v>
      </c>
      <c r="D2433">
        <v>4</v>
      </c>
      <c r="E2433">
        <v>1</v>
      </c>
      <c r="F2433" t="s">
        <v>31</v>
      </c>
      <c r="G2433" t="s">
        <v>32</v>
      </c>
      <c r="H2433" t="s">
        <v>33</v>
      </c>
      <c r="I2433" t="s">
        <v>57</v>
      </c>
      <c r="O2433" s="5"/>
      <c r="P2433" s="5"/>
    </row>
    <row r="2434" spans="1:29" x14ac:dyDescent="0.25">
      <c r="A2434" s="4">
        <v>42584</v>
      </c>
      <c r="B2434" t="s">
        <v>30</v>
      </c>
      <c r="C2434">
        <v>203</v>
      </c>
      <c r="D2434">
        <v>4</v>
      </c>
      <c r="E2434">
        <v>2</v>
      </c>
      <c r="F2434" t="s">
        <v>31</v>
      </c>
      <c r="G2434" t="s">
        <v>32</v>
      </c>
      <c r="H2434" t="s">
        <v>33</v>
      </c>
      <c r="I2434" t="s">
        <v>34</v>
      </c>
      <c r="J2434" t="s">
        <v>51</v>
      </c>
      <c r="K2434" t="s">
        <v>114</v>
      </c>
      <c r="L2434" t="s">
        <v>43</v>
      </c>
      <c r="M2434">
        <v>1</v>
      </c>
      <c r="N2434">
        <v>0</v>
      </c>
      <c r="O2434" s="5">
        <v>50840</v>
      </c>
      <c r="P2434" s="5">
        <v>50933</v>
      </c>
      <c r="Q2434">
        <f>31.5-13.5</f>
        <v>18</v>
      </c>
      <c r="R2434" t="s">
        <v>47</v>
      </c>
      <c r="T2434">
        <v>19</v>
      </c>
      <c r="U2434">
        <v>90</v>
      </c>
      <c r="V2434">
        <v>18</v>
      </c>
      <c r="W2434">
        <v>13.3</v>
      </c>
      <c r="X2434">
        <v>27.7</v>
      </c>
      <c r="Z2434" t="s">
        <v>39</v>
      </c>
      <c r="AA2434" t="s">
        <v>199</v>
      </c>
      <c r="AB2434" t="s">
        <v>40</v>
      </c>
      <c r="AC2434" t="s">
        <v>56</v>
      </c>
    </row>
    <row r="2435" spans="1:29" x14ac:dyDescent="0.25">
      <c r="A2435" s="4">
        <v>42584</v>
      </c>
      <c r="B2435" t="s">
        <v>30</v>
      </c>
      <c r="C2435">
        <v>203</v>
      </c>
      <c r="D2435">
        <v>5</v>
      </c>
      <c r="E2435">
        <v>1</v>
      </c>
      <c r="F2435" t="s">
        <v>31</v>
      </c>
      <c r="G2435" t="s">
        <v>32</v>
      </c>
      <c r="H2435" t="s">
        <v>33</v>
      </c>
      <c r="I2435" t="s">
        <v>57</v>
      </c>
      <c r="O2435" s="5"/>
      <c r="P2435" s="5"/>
    </row>
    <row r="2436" spans="1:29" x14ac:dyDescent="0.25">
      <c r="A2436" s="4">
        <v>42584</v>
      </c>
      <c r="B2436" t="s">
        <v>30</v>
      </c>
      <c r="C2436">
        <v>203</v>
      </c>
      <c r="D2436">
        <v>5</v>
      </c>
      <c r="E2436">
        <v>2</v>
      </c>
      <c r="F2436" t="s">
        <v>31</v>
      </c>
      <c r="G2436" t="s">
        <v>32</v>
      </c>
      <c r="H2436" t="s">
        <v>33</v>
      </c>
      <c r="I2436" t="s">
        <v>91</v>
      </c>
      <c r="J2436" t="s">
        <v>35</v>
      </c>
      <c r="K2436" t="s">
        <v>36</v>
      </c>
      <c r="L2436" t="s">
        <v>37</v>
      </c>
      <c r="M2436">
        <v>0</v>
      </c>
      <c r="N2436">
        <v>0</v>
      </c>
      <c r="O2436" s="5" t="s">
        <v>165</v>
      </c>
      <c r="P2436" s="5">
        <v>50838</v>
      </c>
      <c r="Q2436">
        <f>34-12.5</f>
        <v>21.5</v>
      </c>
      <c r="R2436" t="s">
        <v>74</v>
      </c>
      <c r="S2436" t="s">
        <v>97</v>
      </c>
      <c r="T2436">
        <v>28.5</v>
      </c>
      <c r="W2436">
        <v>12.5</v>
      </c>
      <c r="X2436">
        <v>26.3</v>
      </c>
      <c r="Z2436" t="s">
        <v>97</v>
      </c>
      <c r="AA2436" t="s">
        <v>300</v>
      </c>
      <c r="AB2436" t="s">
        <v>40</v>
      </c>
      <c r="AC2436" t="s">
        <v>56</v>
      </c>
    </row>
    <row r="2437" spans="1:29" x14ac:dyDescent="0.25">
      <c r="A2437" s="4">
        <v>42584</v>
      </c>
      <c r="B2437" t="s">
        <v>30</v>
      </c>
      <c r="C2437">
        <v>203</v>
      </c>
      <c r="D2437">
        <v>6</v>
      </c>
      <c r="E2437">
        <v>1</v>
      </c>
      <c r="F2437" t="s">
        <v>31</v>
      </c>
      <c r="G2437" t="s">
        <v>32</v>
      </c>
      <c r="H2437" t="s">
        <v>33</v>
      </c>
      <c r="I2437" t="s">
        <v>57</v>
      </c>
      <c r="O2437" s="5"/>
      <c r="P2437" s="5"/>
    </row>
    <row r="2438" spans="1:29" x14ac:dyDescent="0.25">
      <c r="A2438" s="4">
        <v>42584</v>
      </c>
      <c r="B2438" t="s">
        <v>30</v>
      </c>
      <c r="C2438">
        <v>203</v>
      </c>
      <c r="D2438">
        <v>6</v>
      </c>
      <c r="E2438">
        <v>2</v>
      </c>
      <c r="F2438" t="s">
        <v>31</v>
      </c>
      <c r="G2438" t="s">
        <v>32</v>
      </c>
      <c r="H2438" t="s">
        <v>33</v>
      </c>
      <c r="I2438" t="s">
        <v>57</v>
      </c>
      <c r="O2438" s="5"/>
      <c r="P2438" s="5"/>
    </row>
    <row r="2439" spans="1:29" x14ac:dyDescent="0.25">
      <c r="A2439" s="4">
        <v>42584</v>
      </c>
      <c r="B2439" t="s">
        <v>30</v>
      </c>
      <c r="C2439">
        <v>203</v>
      </c>
      <c r="D2439">
        <v>7</v>
      </c>
      <c r="E2439">
        <v>1</v>
      </c>
      <c r="F2439" t="s">
        <v>31</v>
      </c>
      <c r="G2439" t="s">
        <v>32</v>
      </c>
      <c r="H2439" t="s">
        <v>33</v>
      </c>
      <c r="I2439" t="s">
        <v>58</v>
      </c>
      <c r="J2439" t="s">
        <v>42</v>
      </c>
      <c r="K2439" t="s">
        <v>89</v>
      </c>
      <c r="L2439" t="s">
        <v>37</v>
      </c>
      <c r="M2439">
        <v>0</v>
      </c>
      <c r="N2439">
        <v>1</v>
      </c>
      <c r="O2439" s="5">
        <v>50934</v>
      </c>
      <c r="P2439" s="5"/>
      <c r="Q2439">
        <f>31-14</f>
        <v>17</v>
      </c>
      <c r="R2439" t="s">
        <v>38</v>
      </c>
      <c r="S2439" t="s">
        <v>39</v>
      </c>
      <c r="T2439">
        <v>17.5</v>
      </c>
      <c r="W2439">
        <v>12.2</v>
      </c>
      <c r="X2439">
        <v>25.6</v>
      </c>
      <c r="Z2439" t="s">
        <v>97</v>
      </c>
      <c r="AA2439" t="s">
        <v>301</v>
      </c>
      <c r="AB2439" t="s">
        <v>40</v>
      </c>
      <c r="AC2439" t="s">
        <v>56</v>
      </c>
    </row>
    <row r="2440" spans="1:29" x14ac:dyDescent="0.25">
      <c r="A2440" s="4">
        <v>42584</v>
      </c>
      <c r="B2440" t="s">
        <v>30</v>
      </c>
      <c r="C2440">
        <v>203</v>
      </c>
      <c r="D2440">
        <v>7</v>
      </c>
      <c r="E2440">
        <v>2</v>
      </c>
      <c r="F2440" t="s">
        <v>31</v>
      </c>
      <c r="G2440" t="s">
        <v>32</v>
      </c>
      <c r="H2440" t="s">
        <v>33</v>
      </c>
      <c r="I2440" t="s">
        <v>91</v>
      </c>
      <c r="J2440" t="s">
        <v>35</v>
      </c>
      <c r="K2440" t="s">
        <v>36</v>
      </c>
      <c r="L2440" t="s">
        <v>37</v>
      </c>
      <c r="M2440">
        <v>0</v>
      </c>
      <c r="N2440">
        <v>0</v>
      </c>
      <c r="O2440" s="5" t="s">
        <v>165</v>
      </c>
      <c r="P2440" s="5">
        <v>50656</v>
      </c>
      <c r="Q2440">
        <f>36.5-13.5</f>
        <v>23</v>
      </c>
      <c r="R2440" t="s">
        <v>38</v>
      </c>
      <c r="S2440" t="s">
        <v>39</v>
      </c>
      <c r="T2440">
        <v>28</v>
      </c>
      <c r="W2440">
        <v>13.2</v>
      </c>
      <c r="X2440">
        <v>26</v>
      </c>
      <c r="Z2440" t="s">
        <v>39</v>
      </c>
      <c r="AB2440" t="s">
        <v>40</v>
      </c>
      <c r="AC2440" t="s">
        <v>56</v>
      </c>
    </row>
    <row r="2441" spans="1:29" x14ac:dyDescent="0.25">
      <c r="A2441" s="4">
        <v>42584</v>
      </c>
      <c r="B2441" t="s">
        <v>30</v>
      </c>
      <c r="C2441">
        <v>203</v>
      </c>
      <c r="D2441">
        <v>8</v>
      </c>
      <c r="E2441">
        <v>1</v>
      </c>
      <c r="F2441" t="s">
        <v>31</v>
      </c>
      <c r="G2441" t="s">
        <v>32</v>
      </c>
      <c r="H2441" t="s">
        <v>33</v>
      </c>
      <c r="I2441" t="s">
        <v>57</v>
      </c>
      <c r="O2441" s="5"/>
      <c r="P2441" s="5"/>
    </row>
    <row r="2442" spans="1:29" x14ac:dyDescent="0.25">
      <c r="A2442" s="4">
        <v>42584</v>
      </c>
      <c r="B2442" t="s">
        <v>30</v>
      </c>
      <c r="C2442">
        <v>203</v>
      </c>
      <c r="D2442">
        <v>9</v>
      </c>
      <c r="E2442">
        <v>1</v>
      </c>
      <c r="F2442" t="s">
        <v>31</v>
      </c>
      <c r="G2442" t="s">
        <v>32</v>
      </c>
      <c r="H2442" t="s">
        <v>33</v>
      </c>
      <c r="I2442" t="s">
        <v>34</v>
      </c>
      <c r="J2442" t="s">
        <v>51</v>
      </c>
      <c r="K2442" t="s">
        <v>114</v>
      </c>
      <c r="L2442" t="s">
        <v>37</v>
      </c>
      <c r="M2442">
        <v>1</v>
      </c>
      <c r="N2442">
        <v>0</v>
      </c>
      <c r="O2442" s="5">
        <v>50836</v>
      </c>
      <c r="P2442" s="5">
        <v>50935</v>
      </c>
      <c r="Q2442">
        <f>29.5-14</f>
        <v>15.5</v>
      </c>
      <c r="R2442" t="s">
        <v>38</v>
      </c>
      <c r="S2442" t="s">
        <v>39</v>
      </c>
      <c r="T2442">
        <v>17</v>
      </c>
      <c r="U2442">
        <v>89</v>
      </c>
      <c r="V2442">
        <v>17</v>
      </c>
      <c r="W2442">
        <v>13.3</v>
      </c>
      <c r="X2442">
        <v>26.9</v>
      </c>
      <c r="Z2442" t="s">
        <v>39</v>
      </c>
      <c r="AB2442" t="s">
        <v>40</v>
      </c>
      <c r="AC2442" t="s">
        <v>56</v>
      </c>
    </row>
    <row r="2443" spans="1:29" x14ac:dyDescent="0.25">
      <c r="A2443" s="4">
        <v>42584</v>
      </c>
      <c r="B2443" t="s">
        <v>30</v>
      </c>
      <c r="C2443">
        <v>203</v>
      </c>
      <c r="D2443">
        <v>9</v>
      </c>
      <c r="E2443">
        <v>2</v>
      </c>
      <c r="F2443" t="s">
        <v>31</v>
      </c>
      <c r="G2443" t="s">
        <v>32</v>
      </c>
      <c r="H2443" t="s">
        <v>33</v>
      </c>
      <c r="I2443" t="s">
        <v>34</v>
      </c>
      <c r="J2443" t="s">
        <v>35</v>
      </c>
      <c r="K2443" t="s">
        <v>114</v>
      </c>
      <c r="L2443" t="s">
        <v>43</v>
      </c>
      <c r="M2443">
        <v>0</v>
      </c>
      <c r="N2443">
        <v>0</v>
      </c>
      <c r="O2443" s="5">
        <v>50665</v>
      </c>
      <c r="P2443" s="5">
        <v>50664</v>
      </c>
      <c r="Q2443">
        <f>30-13</f>
        <v>17</v>
      </c>
      <c r="R2443" t="s">
        <v>65</v>
      </c>
      <c r="T2443">
        <v>18</v>
      </c>
      <c r="U2443">
        <v>96</v>
      </c>
      <c r="V2443">
        <v>17</v>
      </c>
      <c r="W2443">
        <v>13.2</v>
      </c>
      <c r="X2443">
        <v>25.3</v>
      </c>
      <c r="Z2443" t="s">
        <v>39</v>
      </c>
      <c r="AB2443" t="s">
        <v>40</v>
      </c>
      <c r="AC2443" t="s">
        <v>56</v>
      </c>
    </row>
    <row r="2444" spans="1:29" x14ac:dyDescent="0.25">
      <c r="A2444" s="4">
        <v>42584</v>
      </c>
      <c r="B2444" t="s">
        <v>30</v>
      </c>
      <c r="C2444">
        <v>203</v>
      </c>
      <c r="D2444">
        <v>10</v>
      </c>
      <c r="E2444">
        <v>1</v>
      </c>
      <c r="F2444" t="s">
        <v>31</v>
      </c>
      <c r="G2444" t="s">
        <v>32</v>
      </c>
      <c r="H2444" t="s">
        <v>33</v>
      </c>
      <c r="I2444" t="s">
        <v>34</v>
      </c>
      <c r="J2444" t="s">
        <v>35</v>
      </c>
      <c r="K2444" t="s">
        <v>114</v>
      </c>
      <c r="L2444" t="s">
        <v>37</v>
      </c>
      <c r="M2444">
        <v>0</v>
      </c>
      <c r="N2444">
        <v>0</v>
      </c>
      <c r="O2444" s="5">
        <v>50633</v>
      </c>
      <c r="P2444" s="5">
        <v>50634</v>
      </c>
      <c r="Q2444">
        <f>35-14</f>
        <v>21</v>
      </c>
      <c r="R2444" t="s">
        <v>149</v>
      </c>
      <c r="S2444" t="s">
        <v>97</v>
      </c>
      <c r="T2444">
        <v>20.5</v>
      </c>
      <c r="U2444">
        <v>80.5</v>
      </c>
      <c r="V2444">
        <v>15</v>
      </c>
      <c r="W2444">
        <v>32</v>
      </c>
      <c r="X2444">
        <v>29</v>
      </c>
      <c r="Z2444" t="s">
        <v>97</v>
      </c>
      <c r="AB2444" t="s">
        <v>40</v>
      </c>
      <c r="AC2444" t="s">
        <v>56</v>
      </c>
    </row>
    <row r="2445" spans="1:29" x14ac:dyDescent="0.25">
      <c r="A2445" s="4">
        <v>42584</v>
      </c>
      <c r="B2445" t="s">
        <v>30</v>
      </c>
      <c r="C2445">
        <v>203</v>
      </c>
      <c r="D2445">
        <v>10</v>
      </c>
      <c r="E2445">
        <v>2</v>
      </c>
      <c r="F2445" t="s">
        <v>31</v>
      </c>
      <c r="G2445" t="s">
        <v>32</v>
      </c>
      <c r="H2445" t="s">
        <v>33</v>
      </c>
      <c r="I2445" t="s">
        <v>57</v>
      </c>
      <c r="O2445" s="5"/>
      <c r="P2445" s="5"/>
    </row>
    <row r="2446" spans="1:29" x14ac:dyDescent="0.25">
      <c r="A2446" s="4">
        <v>42584</v>
      </c>
      <c r="B2446" t="s">
        <v>30</v>
      </c>
      <c r="C2446">
        <v>202</v>
      </c>
      <c r="D2446">
        <v>1</v>
      </c>
      <c r="E2446">
        <v>1</v>
      </c>
      <c r="F2446" t="s">
        <v>31</v>
      </c>
      <c r="G2446" t="s">
        <v>32</v>
      </c>
      <c r="H2446" t="s">
        <v>33</v>
      </c>
      <c r="I2446" t="s">
        <v>34</v>
      </c>
      <c r="J2446" t="s">
        <v>35</v>
      </c>
      <c r="K2446" t="s">
        <v>114</v>
      </c>
      <c r="L2446" t="s">
        <v>37</v>
      </c>
      <c r="M2446">
        <v>0</v>
      </c>
      <c r="N2446">
        <v>0</v>
      </c>
      <c r="O2446" s="5">
        <v>50778</v>
      </c>
      <c r="P2446" s="5">
        <v>50777</v>
      </c>
      <c r="Q2446">
        <v>16</v>
      </c>
      <c r="R2446" t="s">
        <v>81</v>
      </c>
      <c r="S2446" t="s">
        <v>39</v>
      </c>
      <c r="T2446">
        <v>18</v>
      </c>
      <c r="U2446">
        <v>75</v>
      </c>
      <c r="V2446">
        <v>16</v>
      </c>
      <c r="W2446">
        <v>12.3</v>
      </c>
      <c r="X2446">
        <v>24.7</v>
      </c>
      <c r="Z2446" t="s">
        <v>97</v>
      </c>
      <c r="AB2446" t="s">
        <v>40</v>
      </c>
      <c r="AC2446" t="s">
        <v>56</v>
      </c>
    </row>
    <row r="2447" spans="1:29" x14ac:dyDescent="0.25">
      <c r="A2447" s="4">
        <v>42584</v>
      </c>
      <c r="B2447" t="s">
        <v>30</v>
      </c>
      <c r="C2447">
        <v>202</v>
      </c>
      <c r="D2447">
        <v>2</v>
      </c>
      <c r="E2447">
        <v>1</v>
      </c>
      <c r="F2447" t="s">
        <v>31</v>
      </c>
      <c r="G2447" t="s">
        <v>32</v>
      </c>
      <c r="H2447" t="s">
        <v>33</v>
      </c>
      <c r="I2447" t="s">
        <v>57</v>
      </c>
      <c r="O2447" s="5"/>
      <c r="P2447" s="5"/>
    </row>
    <row r="2448" spans="1:29" x14ac:dyDescent="0.25">
      <c r="A2448" s="4">
        <v>42584</v>
      </c>
      <c r="B2448" t="s">
        <v>30</v>
      </c>
      <c r="C2448">
        <v>202</v>
      </c>
      <c r="D2448">
        <v>2</v>
      </c>
      <c r="E2448">
        <v>2</v>
      </c>
      <c r="F2448" t="s">
        <v>31</v>
      </c>
      <c r="G2448" t="s">
        <v>32</v>
      </c>
      <c r="H2448" t="s">
        <v>33</v>
      </c>
      <c r="I2448" t="s">
        <v>34</v>
      </c>
      <c r="J2448" t="s">
        <v>42</v>
      </c>
      <c r="K2448" t="s">
        <v>114</v>
      </c>
      <c r="L2448" t="s">
        <v>43</v>
      </c>
      <c r="M2448">
        <v>0</v>
      </c>
      <c r="N2448">
        <v>1</v>
      </c>
      <c r="O2448" s="5">
        <v>50937</v>
      </c>
      <c r="P2448" s="5">
        <v>50936</v>
      </c>
      <c r="Q2448">
        <f>28-12.5</f>
        <v>15.5</v>
      </c>
      <c r="R2448" t="s">
        <v>65</v>
      </c>
      <c r="T2448">
        <v>19</v>
      </c>
      <c r="U2448">
        <v>86</v>
      </c>
      <c r="V2448">
        <v>16</v>
      </c>
      <c r="W2448">
        <v>12.8</v>
      </c>
      <c r="X2448">
        <v>26.4</v>
      </c>
      <c r="Z2448" t="s">
        <v>39</v>
      </c>
      <c r="AB2448" t="s">
        <v>40</v>
      </c>
      <c r="AC2448" t="s">
        <v>56</v>
      </c>
    </row>
    <row r="2449" spans="1:30" x14ac:dyDescent="0.25">
      <c r="A2449" s="4">
        <v>42584</v>
      </c>
      <c r="B2449" t="s">
        <v>30</v>
      </c>
      <c r="C2449">
        <v>202</v>
      </c>
      <c r="D2449">
        <v>3</v>
      </c>
      <c r="E2449">
        <v>1</v>
      </c>
      <c r="F2449" t="s">
        <v>31</v>
      </c>
      <c r="G2449" t="s">
        <v>32</v>
      </c>
      <c r="H2449" t="s">
        <v>33</v>
      </c>
      <c r="I2449" t="s">
        <v>57</v>
      </c>
      <c r="O2449" s="5"/>
      <c r="P2449" s="5"/>
    </row>
    <row r="2450" spans="1:30" x14ac:dyDescent="0.25">
      <c r="A2450" s="4">
        <v>42584</v>
      </c>
      <c r="B2450" t="s">
        <v>30</v>
      </c>
      <c r="C2450">
        <v>202</v>
      </c>
      <c r="D2450">
        <v>4</v>
      </c>
      <c r="E2450">
        <v>1</v>
      </c>
      <c r="F2450" t="s">
        <v>31</v>
      </c>
      <c r="G2450" t="s">
        <v>32</v>
      </c>
      <c r="H2450" t="s">
        <v>33</v>
      </c>
      <c r="I2450" t="s">
        <v>57</v>
      </c>
      <c r="O2450" s="5"/>
      <c r="P2450" s="5"/>
    </row>
    <row r="2451" spans="1:30" x14ac:dyDescent="0.25">
      <c r="A2451" s="4">
        <v>42584</v>
      </c>
      <c r="B2451" t="s">
        <v>30</v>
      </c>
      <c r="C2451">
        <v>202</v>
      </c>
      <c r="D2451">
        <v>4</v>
      </c>
      <c r="E2451">
        <v>2</v>
      </c>
      <c r="F2451" t="s">
        <v>31</v>
      </c>
      <c r="G2451" t="s">
        <v>32</v>
      </c>
      <c r="H2451" t="s">
        <v>33</v>
      </c>
      <c r="I2451" t="s">
        <v>53</v>
      </c>
      <c r="J2451" t="s">
        <v>62</v>
      </c>
      <c r="O2451" s="5"/>
      <c r="P2451" s="5"/>
    </row>
    <row r="2452" spans="1:30" x14ac:dyDescent="0.25">
      <c r="A2452" s="4">
        <v>42584</v>
      </c>
      <c r="B2452" t="s">
        <v>30</v>
      </c>
      <c r="C2452">
        <v>202</v>
      </c>
      <c r="D2452">
        <v>5</v>
      </c>
      <c r="E2452">
        <v>1</v>
      </c>
      <c r="F2452" t="s">
        <v>31</v>
      </c>
      <c r="G2452" t="s">
        <v>32</v>
      </c>
      <c r="H2452" t="s">
        <v>33</v>
      </c>
      <c r="I2452" t="s">
        <v>91</v>
      </c>
      <c r="J2452" t="s">
        <v>42</v>
      </c>
      <c r="K2452" t="s">
        <v>114</v>
      </c>
      <c r="L2452" t="s">
        <v>43</v>
      </c>
      <c r="M2452">
        <v>1</v>
      </c>
      <c r="N2452">
        <v>0</v>
      </c>
      <c r="O2452" s="5">
        <v>50938</v>
      </c>
      <c r="P2452" s="5"/>
      <c r="Q2452">
        <f>28.5-12.5</f>
        <v>16</v>
      </c>
      <c r="R2452" t="s">
        <v>47</v>
      </c>
      <c r="T2452">
        <v>29</v>
      </c>
      <c r="W2452">
        <v>12.25</v>
      </c>
      <c r="X2452">
        <v>25</v>
      </c>
      <c r="Z2452" t="s">
        <v>97</v>
      </c>
      <c r="AA2452" t="s">
        <v>302</v>
      </c>
      <c r="AB2452" t="s">
        <v>40</v>
      </c>
      <c r="AC2452" t="s">
        <v>56</v>
      </c>
    </row>
    <row r="2453" spans="1:30" x14ac:dyDescent="0.25">
      <c r="A2453" s="4">
        <v>42584</v>
      </c>
      <c r="B2453" t="s">
        <v>30</v>
      </c>
      <c r="C2453">
        <v>202</v>
      </c>
      <c r="D2453">
        <v>8</v>
      </c>
      <c r="E2453">
        <v>1</v>
      </c>
      <c r="F2453" t="s">
        <v>31</v>
      </c>
      <c r="G2453" t="s">
        <v>32</v>
      </c>
      <c r="H2453" t="s">
        <v>33</v>
      </c>
      <c r="I2453" t="s">
        <v>57</v>
      </c>
      <c r="O2453" s="5"/>
      <c r="P2453" s="5"/>
    </row>
    <row r="2454" spans="1:30" x14ac:dyDescent="0.25">
      <c r="A2454" s="4">
        <v>42584</v>
      </c>
      <c r="B2454" t="s">
        <v>30</v>
      </c>
      <c r="C2454">
        <v>202</v>
      </c>
      <c r="D2454">
        <v>8</v>
      </c>
      <c r="E2454">
        <v>2</v>
      </c>
      <c r="F2454" t="s">
        <v>31</v>
      </c>
      <c r="G2454" t="s">
        <v>32</v>
      </c>
      <c r="H2454" t="s">
        <v>33</v>
      </c>
      <c r="I2454" t="s">
        <v>53</v>
      </c>
      <c r="J2454" t="s">
        <v>62</v>
      </c>
      <c r="O2454" s="5"/>
      <c r="P2454" s="5"/>
    </row>
    <row r="2455" spans="1:30" x14ac:dyDescent="0.25">
      <c r="A2455" s="4">
        <v>42584</v>
      </c>
      <c r="B2455" t="s">
        <v>30</v>
      </c>
      <c r="C2455">
        <v>202</v>
      </c>
      <c r="D2455">
        <v>9</v>
      </c>
      <c r="E2455">
        <v>1</v>
      </c>
      <c r="F2455" t="s">
        <v>31</v>
      </c>
      <c r="G2455" t="s">
        <v>32</v>
      </c>
      <c r="H2455" t="s">
        <v>33</v>
      </c>
      <c r="I2455" t="s">
        <v>57</v>
      </c>
      <c r="O2455" s="5"/>
      <c r="P2455" s="5"/>
    </row>
    <row r="2456" spans="1:30" x14ac:dyDescent="0.25">
      <c r="A2456" s="4">
        <v>42584</v>
      </c>
      <c r="B2456" t="s">
        <v>30</v>
      </c>
      <c r="C2456">
        <v>202</v>
      </c>
      <c r="D2456">
        <v>9</v>
      </c>
      <c r="E2456">
        <v>2</v>
      </c>
      <c r="F2456" t="s">
        <v>31</v>
      </c>
      <c r="G2456" t="s">
        <v>32</v>
      </c>
      <c r="H2456" t="s">
        <v>33</v>
      </c>
      <c r="I2456" t="s">
        <v>57</v>
      </c>
      <c r="O2456" s="5"/>
      <c r="P2456" s="5"/>
    </row>
    <row r="2457" spans="1:30" x14ac:dyDescent="0.25">
      <c r="A2457" s="4">
        <v>42584</v>
      </c>
      <c r="B2457" t="s">
        <v>30</v>
      </c>
      <c r="C2457">
        <v>304</v>
      </c>
      <c r="D2457">
        <v>10</v>
      </c>
      <c r="E2457">
        <v>1</v>
      </c>
      <c r="F2457" t="s">
        <v>31</v>
      </c>
      <c r="G2457" t="s">
        <v>32</v>
      </c>
      <c r="H2457" t="s">
        <v>33</v>
      </c>
      <c r="I2457" t="s">
        <v>91</v>
      </c>
      <c r="J2457" t="s">
        <v>42</v>
      </c>
      <c r="K2457" t="s">
        <v>36</v>
      </c>
      <c r="L2457" t="s">
        <v>37</v>
      </c>
      <c r="M2457">
        <v>0</v>
      </c>
      <c r="N2457">
        <v>1</v>
      </c>
      <c r="O2457" s="5">
        <v>50939</v>
      </c>
      <c r="P2457" s="5"/>
      <c r="Q2457">
        <f>34.5-13</f>
        <v>21.5</v>
      </c>
      <c r="R2457" t="s">
        <v>74</v>
      </c>
      <c r="S2457" t="s">
        <v>97</v>
      </c>
      <c r="T2457">
        <v>26</v>
      </c>
      <c r="W2457">
        <v>12.9</v>
      </c>
      <c r="X2457">
        <v>26</v>
      </c>
      <c r="Z2457" t="s">
        <v>39</v>
      </c>
      <c r="AB2457" t="s">
        <v>40</v>
      </c>
      <c r="AC2457" t="s">
        <v>56</v>
      </c>
    </row>
    <row r="2458" spans="1:30" x14ac:dyDescent="0.25">
      <c r="A2458" s="4">
        <v>42584</v>
      </c>
      <c r="B2458" t="s">
        <v>30</v>
      </c>
      <c r="C2458">
        <v>304</v>
      </c>
      <c r="D2458">
        <v>9</v>
      </c>
      <c r="E2458">
        <v>1</v>
      </c>
      <c r="F2458" t="s">
        <v>31</v>
      </c>
      <c r="G2458" t="s">
        <v>32</v>
      </c>
      <c r="H2458" t="s">
        <v>33</v>
      </c>
      <c r="I2458" t="s">
        <v>53</v>
      </c>
      <c r="J2458" t="s">
        <v>62</v>
      </c>
      <c r="O2458" s="5"/>
      <c r="P2458" s="5"/>
    </row>
    <row r="2459" spans="1:30" x14ac:dyDescent="0.25">
      <c r="A2459" s="4">
        <v>42584</v>
      </c>
      <c r="B2459" t="s">
        <v>30</v>
      </c>
      <c r="C2459">
        <v>304</v>
      </c>
      <c r="D2459">
        <v>9</v>
      </c>
      <c r="E2459">
        <v>2</v>
      </c>
      <c r="F2459" t="s">
        <v>31</v>
      </c>
      <c r="G2459" t="s">
        <v>32</v>
      </c>
      <c r="H2459" t="s">
        <v>33</v>
      </c>
      <c r="I2459" t="s">
        <v>58</v>
      </c>
      <c r="J2459" t="s">
        <v>42</v>
      </c>
      <c r="K2459" t="s">
        <v>89</v>
      </c>
      <c r="L2459" t="s">
        <v>37</v>
      </c>
      <c r="M2459">
        <v>0</v>
      </c>
      <c r="N2459">
        <v>1</v>
      </c>
      <c r="O2459" s="5">
        <v>50940</v>
      </c>
      <c r="P2459" s="5"/>
      <c r="Q2459">
        <f>26-13</f>
        <v>13</v>
      </c>
      <c r="R2459" t="s">
        <v>38</v>
      </c>
      <c r="S2459" t="s">
        <v>39</v>
      </c>
      <c r="T2459">
        <v>15</v>
      </c>
      <c r="W2459">
        <v>11.8</v>
      </c>
      <c r="X2459">
        <v>26</v>
      </c>
      <c r="Z2459" t="s">
        <v>97</v>
      </c>
      <c r="AA2459" t="s">
        <v>303</v>
      </c>
      <c r="AB2459" t="s">
        <v>40</v>
      </c>
      <c r="AC2459" t="s">
        <v>56</v>
      </c>
      <c r="AD2459" t="s">
        <v>304</v>
      </c>
    </row>
    <row r="2460" spans="1:30" x14ac:dyDescent="0.25">
      <c r="A2460" s="4">
        <v>42584</v>
      </c>
      <c r="B2460" t="s">
        <v>30</v>
      </c>
      <c r="C2460">
        <v>304</v>
      </c>
      <c r="D2460">
        <v>8</v>
      </c>
      <c r="E2460">
        <v>1</v>
      </c>
      <c r="F2460" t="s">
        <v>31</v>
      </c>
      <c r="G2460" t="s">
        <v>32</v>
      </c>
      <c r="H2460" t="s">
        <v>33</v>
      </c>
      <c r="I2460" t="s">
        <v>57</v>
      </c>
      <c r="O2460" s="5"/>
      <c r="P2460" s="5"/>
    </row>
    <row r="2461" spans="1:30" x14ac:dyDescent="0.25">
      <c r="A2461" s="4">
        <v>42584</v>
      </c>
      <c r="B2461" t="s">
        <v>30</v>
      </c>
      <c r="C2461">
        <v>304</v>
      </c>
      <c r="D2461">
        <v>7</v>
      </c>
      <c r="E2461">
        <v>1</v>
      </c>
      <c r="F2461" t="s">
        <v>31</v>
      </c>
      <c r="G2461" t="s">
        <v>32</v>
      </c>
      <c r="H2461" t="s">
        <v>33</v>
      </c>
      <c r="I2461" t="s">
        <v>57</v>
      </c>
      <c r="O2461" s="5"/>
      <c r="P2461" s="5"/>
    </row>
    <row r="2462" spans="1:30" x14ac:dyDescent="0.25">
      <c r="A2462" s="4">
        <v>42584</v>
      </c>
      <c r="B2462" t="s">
        <v>30</v>
      </c>
      <c r="C2462">
        <v>304</v>
      </c>
      <c r="D2462">
        <v>7</v>
      </c>
      <c r="E2462">
        <v>2</v>
      </c>
      <c r="F2462" t="s">
        <v>31</v>
      </c>
      <c r="G2462" t="s">
        <v>32</v>
      </c>
      <c r="H2462" t="s">
        <v>33</v>
      </c>
      <c r="I2462" t="s">
        <v>34</v>
      </c>
      <c r="J2462" t="s">
        <v>35</v>
      </c>
      <c r="K2462" t="s">
        <v>114</v>
      </c>
      <c r="L2462" t="s">
        <v>43</v>
      </c>
      <c r="M2462">
        <v>0</v>
      </c>
      <c r="N2462">
        <v>0</v>
      </c>
      <c r="O2462" s="5">
        <v>50829</v>
      </c>
      <c r="P2462" s="5">
        <v>50828</v>
      </c>
      <c r="Q2462">
        <f>31-13</f>
        <v>18</v>
      </c>
      <c r="R2462" t="s">
        <v>65</v>
      </c>
      <c r="T2462">
        <v>20</v>
      </c>
      <c r="U2462">
        <v>86</v>
      </c>
      <c r="V2462">
        <v>17</v>
      </c>
      <c r="W2462">
        <v>13.2</v>
      </c>
      <c r="X2462">
        <v>26.5</v>
      </c>
      <c r="Z2462" t="s">
        <v>97</v>
      </c>
      <c r="AA2462" t="s">
        <v>305</v>
      </c>
      <c r="AB2462" t="s">
        <v>40</v>
      </c>
      <c r="AC2462" t="s">
        <v>56</v>
      </c>
    </row>
    <row r="2463" spans="1:30" x14ac:dyDescent="0.25">
      <c r="A2463" s="4">
        <v>42584</v>
      </c>
      <c r="B2463" t="s">
        <v>30</v>
      </c>
      <c r="C2463">
        <v>304</v>
      </c>
      <c r="D2463">
        <v>6</v>
      </c>
      <c r="E2463">
        <v>1</v>
      </c>
      <c r="F2463" t="s">
        <v>31</v>
      </c>
      <c r="G2463" t="s">
        <v>32</v>
      </c>
      <c r="H2463" t="s">
        <v>33</v>
      </c>
      <c r="I2463" t="s">
        <v>57</v>
      </c>
      <c r="O2463" s="5"/>
      <c r="P2463" s="5"/>
    </row>
    <row r="2464" spans="1:30" x14ac:dyDescent="0.25">
      <c r="A2464" s="4">
        <v>42584</v>
      </c>
      <c r="B2464" t="s">
        <v>30</v>
      </c>
      <c r="C2464">
        <v>304</v>
      </c>
      <c r="D2464">
        <v>6</v>
      </c>
      <c r="E2464">
        <v>2</v>
      </c>
      <c r="F2464" t="s">
        <v>31</v>
      </c>
      <c r="G2464" t="s">
        <v>32</v>
      </c>
      <c r="H2464" t="s">
        <v>33</v>
      </c>
      <c r="I2464" t="s">
        <v>53</v>
      </c>
      <c r="J2464" t="s">
        <v>62</v>
      </c>
      <c r="O2464" s="5"/>
      <c r="P2464" s="5"/>
    </row>
    <row r="2465" spans="1:30" x14ac:dyDescent="0.25">
      <c r="A2465" s="4">
        <v>42584</v>
      </c>
      <c r="B2465" t="s">
        <v>30</v>
      </c>
      <c r="C2465">
        <v>304</v>
      </c>
      <c r="D2465">
        <v>5</v>
      </c>
      <c r="E2465">
        <v>1</v>
      </c>
      <c r="F2465" t="s">
        <v>31</v>
      </c>
      <c r="G2465" t="s">
        <v>32</v>
      </c>
      <c r="H2465" t="s">
        <v>33</v>
      </c>
      <c r="I2465" t="s">
        <v>57</v>
      </c>
      <c r="O2465" s="5"/>
      <c r="P2465" s="5"/>
    </row>
    <row r="2466" spans="1:30" x14ac:dyDescent="0.25">
      <c r="A2466" s="4">
        <v>42584</v>
      </c>
      <c r="B2466" t="s">
        <v>30</v>
      </c>
      <c r="C2466">
        <v>304</v>
      </c>
      <c r="D2466">
        <v>5</v>
      </c>
      <c r="E2466">
        <v>2</v>
      </c>
      <c r="F2466" t="s">
        <v>31</v>
      </c>
      <c r="G2466" t="s">
        <v>32</v>
      </c>
      <c r="H2466" t="s">
        <v>33</v>
      </c>
      <c r="I2466" t="s">
        <v>53</v>
      </c>
      <c r="J2466" t="s">
        <v>62</v>
      </c>
      <c r="O2466" s="5"/>
      <c r="P2466" s="5"/>
    </row>
    <row r="2467" spans="1:30" x14ac:dyDescent="0.25">
      <c r="A2467" s="4">
        <v>42584</v>
      </c>
      <c r="B2467" t="s">
        <v>30</v>
      </c>
      <c r="C2467">
        <v>304</v>
      </c>
      <c r="D2467">
        <v>4</v>
      </c>
      <c r="E2467">
        <v>1</v>
      </c>
      <c r="F2467" t="s">
        <v>31</v>
      </c>
      <c r="G2467" t="s">
        <v>32</v>
      </c>
      <c r="H2467" t="s">
        <v>33</v>
      </c>
      <c r="I2467" t="s">
        <v>57</v>
      </c>
      <c r="O2467" s="5"/>
      <c r="P2467" s="5"/>
    </row>
    <row r="2468" spans="1:30" x14ac:dyDescent="0.25">
      <c r="A2468" s="4">
        <v>42584</v>
      </c>
      <c r="B2468" t="s">
        <v>30</v>
      </c>
      <c r="C2468">
        <v>304</v>
      </c>
      <c r="D2468">
        <v>4</v>
      </c>
      <c r="E2468">
        <v>2</v>
      </c>
      <c r="F2468" t="s">
        <v>31</v>
      </c>
      <c r="G2468" t="s">
        <v>32</v>
      </c>
      <c r="H2468" t="s">
        <v>33</v>
      </c>
      <c r="I2468" t="s">
        <v>73</v>
      </c>
      <c r="J2468" t="s">
        <v>35</v>
      </c>
      <c r="K2468" t="s">
        <v>89</v>
      </c>
      <c r="L2468" t="s">
        <v>43</v>
      </c>
      <c r="M2468">
        <v>0</v>
      </c>
      <c r="N2468">
        <v>0</v>
      </c>
      <c r="O2468" s="5">
        <v>50782</v>
      </c>
      <c r="P2468" s="5"/>
      <c r="Q2468">
        <f>183-90</f>
        <v>93</v>
      </c>
      <c r="R2468" t="s">
        <v>65</v>
      </c>
      <c r="T2468">
        <v>34</v>
      </c>
      <c r="W2468">
        <v>22.3</v>
      </c>
      <c r="X2468">
        <v>43.7</v>
      </c>
      <c r="Z2468" t="s">
        <v>39</v>
      </c>
      <c r="AB2468" t="s">
        <v>40</v>
      </c>
      <c r="AC2468" t="s">
        <v>56</v>
      </c>
    </row>
    <row r="2469" spans="1:30" x14ac:dyDescent="0.25">
      <c r="A2469" s="4">
        <v>42584</v>
      </c>
      <c r="B2469" t="s">
        <v>30</v>
      </c>
      <c r="C2469">
        <v>304</v>
      </c>
      <c r="D2469">
        <v>3</v>
      </c>
      <c r="E2469">
        <v>1</v>
      </c>
      <c r="F2469" t="s">
        <v>31</v>
      </c>
      <c r="G2469" t="s">
        <v>32</v>
      </c>
      <c r="H2469" t="s">
        <v>33</v>
      </c>
      <c r="I2469" t="s">
        <v>57</v>
      </c>
      <c r="O2469" s="5"/>
      <c r="P2469" s="5"/>
    </row>
    <row r="2470" spans="1:30" x14ac:dyDescent="0.25">
      <c r="A2470" s="4">
        <v>42584</v>
      </c>
      <c r="B2470" t="s">
        <v>30</v>
      </c>
      <c r="C2470">
        <v>304</v>
      </c>
      <c r="D2470">
        <v>3</v>
      </c>
      <c r="E2470">
        <v>2</v>
      </c>
      <c r="F2470" t="s">
        <v>31</v>
      </c>
      <c r="G2470" t="s">
        <v>32</v>
      </c>
      <c r="H2470" t="s">
        <v>33</v>
      </c>
      <c r="I2470" t="s">
        <v>58</v>
      </c>
      <c r="J2470" t="s">
        <v>42</v>
      </c>
      <c r="K2470" t="s">
        <v>89</v>
      </c>
      <c r="L2470" t="s">
        <v>37</v>
      </c>
      <c r="M2470">
        <v>0</v>
      </c>
      <c r="N2470">
        <v>1</v>
      </c>
      <c r="O2470" s="5">
        <v>50941</v>
      </c>
      <c r="P2470" s="5"/>
      <c r="Q2470">
        <f>34-14</f>
        <v>20</v>
      </c>
      <c r="R2470" t="s">
        <v>38</v>
      </c>
      <c r="S2470" t="s">
        <v>39</v>
      </c>
      <c r="T2470">
        <v>17</v>
      </c>
      <c r="W2470">
        <v>12.5</v>
      </c>
      <c r="X2470">
        <v>24.5</v>
      </c>
      <c r="Z2470" t="s">
        <v>97</v>
      </c>
      <c r="AA2470" t="s">
        <v>306</v>
      </c>
      <c r="AB2470" t="s">
        <v>40</v>
      </c>
      <c r="AC2470" t="s">
        <v>56</v>
      </c>
    </row>
    <row r="2471" spans="1:30" x14ac:dyDescent="0.25">
      <c r="A2471" s="4">
        <v>42584</v>
      </c>
      <c r="B2471" t="s">
        <v>30</v>
      </c>
      <c r="C2471">
        <v>304</v>
      </c>
      <c r="D2471">
        <v>2</v>
      </c>
      <c r="E2471">
        <v>1</v>
      </c>
      <c r="F2471" t="s">
        <v>31</v>
      </c>
      <c r="G2471" t="s">
        <v>32</v>
      </c>
      <c r="H2471" t="s">
        <v>33</v>
      </c>
      <c r="I2471" t="s">
        <v>58</v>
      </c>
      <c r="J2471" t="s">
        <v>42</v>
      </c>
      <c r="K2471" t="s">
        <v>36</v>
      </c>
      <c r="L2471" t="s">
        <v>43</v>
      </c>
      <c r="M2471">
        <v>0</v>
      </c>
      <c r="N2471">
        <v>1</v>
      </c>
      <c r="O2471" s="5">
        <v>50942</v>
      </c>
      <c r="P2471" s="5"/>
      <c r="R2471" t="s">
        <v>47</v>
      </c>
      <c r="T2471">
        <v>18</v>
      </c>
      <c r="W2471">
        <v>13.2</v>
      </c>
      <c r="X2471">
        <v>26.4</v>
      </c>
      <c r="Z2471" t="s">
        <v>97</v>
      </c>
      <c r="AA2471" t="s">
        <v>307</v>
      </c>
      <c r="AB2471" t="s">
        <v>40</v>
      </c>
      <c r="AC2471" t="s">
        <v>56</v>
      </c>
      <c r="AD2471" t="s">
        <v>308</v>
      </c>
    </row>
    <row r="2472" spans="1:30" x14ac:dyDescent="0.25">
      <c r="A2472" s="4">
        <v>42584</v>
      </c>
      <c r="B2472" t="s">
        <v>30</v>
      </c>
      <c r="C2472">
        <v>304</v>
      </c>
      <c r="D2472">
        <v>1</v>
      </c>
      <c r="E2472">
        <v>1</v>
      </c>
      <c r="F2472" t="s">
        <v>31</v>
      </c>
      <c r="G2472" t="s">
        <v>32</v>
      </c>
      <c r="H2472" t="s">
        <v>33</v>
      </c>
      <c r="I2472" t="s">
        <v>57</v>
      </c>
      <c r="O2472" s="5"/>
      <c r="P2472" s="5"/>
    </row>
    <row r="2473" spans="1:30" x14ac:dyDescent="0.25">
      <c r="A2473" s="4">
        <v>42584</v>
      </c>
      <c r="B2473" t="s">
        <v>30</v>
      </c>
      <c r="C2473">
        <v>304</v>
      </c>
      <c r="D2473">
        <v>1</v>
      </c>
      <c r="E2473">
        <v>2</v>
      </c>
      <c r="F2473" t="s">
        <v>31</v>
      </c>
      <c r="G2473" t="s">
        <v>32</v>
      </c>
      <c r="H2473" t="s">
        <v>33</v>
      </c>
      <c r="I2473" t="s">
        <v>34</v>
      </c>
      <c r="J2473" t="s">
        <v>42</v>
      </c>
      <c r="K2473" t="s">
        <v>114</v>
      </c>
      <c r="L2473" t="s">
        <v>43</v>
      </c>
      <c r="M2473">
        <v>0</v>
      </c>
      <c r="N2473">
        <v>1</v>
      </c>
      <c r="O2473" s="5">
        <v>50944</v>
      </c>
      <c r="P2473" s="5">
        <v>50943</v>
      </c>
      <c r="R2473" t="s">
        <v>65</v>
      </c>
      <c r="T2473">
        <v>20</v>
      </c>
      <c r="U2473">
        <v>83</v>
      </c>
      <c r="V2473">
        <v>16</v>
      </c>
      <c r="W2473">
        <v>13.1</v>
      </c>
      <c r="X2473">
        <v>29.1</v>
      </c>
      <c r="Z2473" t="s">
        <v>39</v>
      </c>
      <c r="AB2473" t="s">
        <v>40</v>
      </c>
      <c r="AC2473" t="s">
        <v>56</v>
      </c>
    </row>
    <row r="2474" spans="1:30" x14ac:dyDescent="0.25">
      <c r="A2474" s="4">
        <v>42585</v>
      </c>
      <c r="B2474" t="s">
        <v>30</v>
      </c>
      <c r="C2474">
        <v>201</v>
      </c>
      <c r="D2474">
        <v>1</v>
      </c>
      <c r="E2474">
        <v>1</v>
      </c>
      <c r="F2474" t="s">
        <v>31</v>
      </c>
      <c r="G2474" t="s">
        <v>32</v>
      </c>
      <c r="H2474" t="s">
        <v>33</v>
      </c>
      <c r="I2474" t="s">
        <v>34</v>
      </c>
      <c r="J2474" t="s">
        <v>35</v>
      </c>
      <c r="K2474" t="s">
        <v>114</v>
      </c>
      <c r="L2474" t="s">
        <v>37</v>
      </c>
      <c r="M2474">
        <v>0</v>
      </c>
      <c r="N2474">
        <v>0</v>
      </c>
      <c r="O2474" s="5">
        <v>50780</v>
      </c>
      <c r="P2474" s="5">
        <v>50779</v>
      </c>
      <c r="Q2474">
        <f>33-13</f>
        <v>20</v>
      </c>
      <c r="R2474" t="s">
        <v>38</v>
      </c>
      <c r="S2474" t="s">
        <v>39</v>
      </c>
      <c r="T2474">
        <v>17</v>
      </c>
      <c r="U2474">
        <v>81</v>
      </c>
      <c r="V2474">
        <v>18</v>
      </c>
      <c r="W2474">
        <v>13.1</v>
      </c>
      <c r="X2474">
        <v>27.1</v>
      </c>
      <c r="Z2474" t="s">
        <v>39</v>
      </c>
      <c r="AB2474" t="s">
        <v>40</v>
      </c>
      <c r="AC2474" t="s">
        <v>56</v>
      </c>
    </row>
    <row r="2475" spans="1:30" x14ac:dyDescent="0.25">
      <c r="A2475" s="4">
        <v>42585</v>
      </c>
      <c r="B2475" t="s">
        <v>30</v>
      </c>
      <c r="C2475">
        <v>201</v>
      </c>
      <c r="D2475">
        <v>1</v>
      </c>
      <c r="E2475">
        <v>2</v>
      </c>
      <c r="F2475" t="s">
        <v>31</v>
      </c>
      <c r="G2475" t="s">
        <v>32</v>
      </c>
      <c r="H2475" t="s">
        <v>33</v>
      </c>
      <c r="I2475" t="s">
        <v>34</v>
      </c>
      <c r="J2475" t="s">
        <v>35</v>
      </c>
      <c r="K2475" t="s">
        <v>36</v>
      </c>
      <c r="L2475" t="s">
        <v>43</v>
      </c>
      <c r="M2475">
        <v>0</v>
      </c>
      <c r="N2475">
        <v>0</v>
      </c>
      <c r="O2475" s="5">
        <v>50335</v>
      </c>
      <c r="P2475" s="5">
        <v>50334</v>
      </c>
      <c r="Q2475">
        <f>35-12.5</f>
        <v>22.5</v>
      </c>
      <c r="R2475" t="s">
        <v>47</v>
      </c>
      <c r="T2475">
        <v>20</v>
      </c>
      <c r="U2475">
        <v>84.5</v>
      </c>
      <c r="V2475">
        <v>14.5</v>
      </c>
      <c r="W2475">
        <v>13.1</v>
      </c>
      <c r="X2475">
        <v>27.4</v>
      </c>
      <c r="Z2475" t="s">
        <v>39</v>
      </c>
      <c r="AB2475" t="s">
        <v>40</v>
      </c>
      <c r="AC2475" t="s">
        <v>56</v>
      </c>
    </row>
    <row r="2476" spans="1:30" x14ac:dyDescent="0.25">
      <c r="A2476" s="4">
        <v>42585</v>
      </c>
      <c r="B2476" t="s">
        <v>30</v>
      </c>
      <c r="C2476">
        <v>201</v>
      </c>
      <c r="D2476">
        <v>3</v>
      </c>
      <c r="E2476">
        <v>1</v>
      </c>
      <c r="F2476" t="s">
        <v>31</v>
      </c>
      <c r="G2476" t="s">
        <v>32</v>
      </c>
      <c r="H2476" t="s">
        <v>33</v>
      </c>
      <c r="I2476" t="s">
        <v>34</v>
      </c>
      <c r="J2476" t="s">
        <v>35</v>
      </c>
      <c r="K2476" t="s">
        <v>114</v>
      </c>
      <c r="L2476" t="s">
        <v>37</v>
      </c>
      <c r="M2476">
        <v>0</v>
      </c>
      <c r="N2476">
        <v>0</v>
      </c>
      <c r="O2476" s="5">
        <v>50846</v>
      </c>
      <c r="P2476" s="5">
        <v>50845</v>
      </c>
      <c r="Q2476">
        <f>29-13</f>
        <v>16</v>
      </c>
      <c r="R2476" t="s">
        <v>38</v>
      </c>
      <c r="S2476" t="s">
        <v>39</v>
      </c>
      <c r="T2476">
        <v>18</v>
      </c>
      <c r="U2476">
        <v>71</v>
      </c>
      <c r="V2476">
        <v>17</v>
      </c>
      <c r="W2476">
        <v>12.5</v>
      </c>
      <c r="X2476">
        <v>24</v>
      </c>
      <c r="Z2476" t="s">
        <v>39</v>
      </c>
      <c r="AB2476" t="s">
        <v>40</v>
      </c>
      <c r="AC2476" t="s">
        <v>56</v>
      </c>
    </row>
    <row r="2477" spans="1:30" x14ac:dyDescent="0.25">
      <c r="A2477" s="4">
        <v>42585</v>
      </c>
      <c r="B2477" t="s">
        <v>30</v>
      </c>
      <c r="C2477">
        <v>201</v>
      </c>
      <c r="D2477">
        <v>3</v>
      </c>
      <c r="E2477">
        <v>2</v>
      </c>
      <c r="F2477" t="s">
        <v>31</v>
      </c>
      <c r="G2477" t="s">
        <v>32</v>
      </c>
      <c r="H2477" t="s">
        <v>33</v>
      </c>
      <c r="I2477" t="s">
        <v>58</v>
      </c>
      <c r="J2477" t="s">
        <v>35</v>
      </c>
      <c r="K2477" t="s">
        <v>36</v>
      </c>
      <c r="L2477" t="s">
        <v>37</v>
      </c>
      <c r="M2477">
        <v>0</v>
      </c>
      <c r="N2477">
        <v>0</v>
      </c>
      <c r="O2477" s="5">
        <v>50794</v>
      </c>
      <c r="P2477" s="5"/>
      <c r="Q2477">
        <f>39-12.5</f>
        <v>26.5</v>
      </c>
      <c r="R2477" t="s">
        <v>38</v>
      </c>
      <c r="S2477" t="s">
        <v>39</v>
      </c>
      <c r="T2477">
        <v>17</v>
      </c>
      <c r="W2477">
        <v>13.5</v>
      </c>
      <c r="X2477">
        <v>26.7</v>
      </c>
      <c r="Z2477" t="s">
        <v>97</v>
      </c>
      <c r="AB2477" t="s">
        <v>40</v>
      </c>
      <c r="AC2477" t="s">
        <v>56</v>
      </c>
    </row>
    <row r="2478" spans="1:30" x14ac:dyDescent="0.25">
      <c r="A2478" s="4">
        <v>42585</v>
      </c>
      <c r="B2478" t="s">
        <v>30</v>
      </c>
      <c r="C2478">
        <v>201</v>
      </c>
      <c r="D2478">
        <v>4</v>
      </c>
      <c r="E2478">
        <v>1</v>
      </c>
      <c r="F2478" t="s">
        <v>31</v>
      </c>
      <c r="G2478" t="s">
        <v>32</v>
      </c>
      <c r="H2478" t="s">
        <v>33</v>
      </c>
      <c r="I2478" t="s">
        <v>34</v>
      </c>
      <c r="J2478" t="s">
        <v>35</v>
      </c>
      <c r="K2478" t="s">
        <v>114</v>
      </c>
      <c r="L2478" t="s">
        <v>43</v>
      </c>
      <c r="M2478">
        <v>0</v>
      </c>
      <c r="N2478">
        <v>0</v>
      </c>
      <c r="O2478" s="5">
        <v>50928</v>
      </c>
      <c r="P2478" s="5">
        <v>50927</v>
      </c>
      <c r="Q2478">
        <f>27.5-13</f>
        <v>14.5</v>
      </c>
      <c r="R2478" t="s">
        <v>47</v>
      </c>
      <c r="T2478">
        <v>19</v>
      </c>
      <c r="U2478">
        <v>81</v>
      </c>
      <c r="V2478">
        <v>15</v>
      </c>
      <c r="W2478">
        <v>12.7</v>
      </c>
      <c r="X2478">
        <v>25.2</v>
      </c>
      <c r="Z2478" t="s">
        <v>39</v>
      </c>
      <c r="AB2478" t="s">
        <v>40</v>
      </c>
      <c r="AC2478" t="s">
        <v>56</v>
      </c>
    </row>
    <row r="2479" spans="1:30" x14ac:dyDescent="0.25">
      <c r="A2479" s="4">
        <v>42585</v>
      </c>
      <c r="B2479" t="s">
        <v>30</v>
      </c>
      <c r="C2479">
        <v>201</v>
      </c>
      <c r="D2479">
        <v>5</v>
      </c>
      <c r="E2479">
        <v>1</v>
      </c>
      <c r="F2479" t="s">
        <v>31</v>
      </c>
      <c r="G2479" t="s">
        <v>32</v>
      </c>
      <c r="H2479" t="s">
        <v>33</v>
      </c>
      <c r="I2479" t="s">
        <v>34</v>
      </c>
      <c r="J2479" t="s">
        <v>35</v>
      </c>
      <c r="K2479" t="s">
        <v>114</v>
      </c>
      <c r="L2479" t="s">
        <v>43</v>
      </c>
      <c r="M2479">
        <v>0</v>
      </c>
      <c r="N2479">
        <v>0</v>
      </c>
      <c r="O2479" s="5">
        <v>50848</v>
      </c>
      <c r="P2479" s="5">
        <v>50847</v>
      </c>
      <c r="Q2479">
        <f>31.5-14</f>
        <v>17.5</v>
      </c>
      <c r="R2479" t="s">
        <v>47</v>
      </c>
      <c r="T2479">
        <v>18</v>
      </c>
      <c r="U2479">
        <v>85</v>
      </c>
      <c r="V2479">
        <v>17</v>
      </c>
      <c r="W2479">
        <v>13</v>
      </c>
      <c r="X2479">
        <v>26.4</v>
      </c>
      <c r="Z2479" t="s">
        <v>39</v>
      </c>
      <c r="AB2479" t="s">
        <v>40</v>
      </c>
      <c r="AC2479" t="s">
        <v>56</v>
      </c>
    </row>
    <row r="2480" spans="1:30" x14ac:dyDescent="0.25">
      <c r="A2480" s="4">
        <v>42585</v>
      </c>
      <c r="B2480" t="s">
        <v>30</v>
      </c>
      <c r="C2480">
        <v>201</v>
      </c>
      <c r="D2480">
        <v>5</v>
      </c>
      <c r="E2480">
        <v>2</v>
      </c>
      <c r="F2480" t="s">
        <v>31</v>
      </c>
      <c r="G2480" t="s">
        <v>32</v>
      </c>
      <c r="H2480" t="s">
        <v>33</v>
      </c>
      <c r="I2480" t="s">
        <v>34</v>
      </c>
      <c r="J2480" t="s">
        <v>35</v>
      </c>
      <c r="K2480" t="s">
        <v>114</v>
      </c>
      <c r="L2480" t="s">
        <v>43</v>
      </c>
      <c r="M2480">
        <v>0</v>
      </c>
      <c r="N2480">
        <v>0</v>
      </c>
      <c r="O2480" s="5">
        <v>50850</v>
      </c>
      <c r="P2480" s="5">
        <v>50849</v>
      </c>
      <c r="Q2480">
        <f>32.5-14</f>
        <v>18.5</v>
      </c>
      <c r="R2480" t="s">
        <v>47</v>
      </c>
      <c r="T2480">
        <v>17</v>
      </c>
      <c r="U2480">
        <v>80</v>
      </c>
      <c r="V2480">
        <v>17</v>
      </c>
      <c r="W2480">
        <v>13.4</v>
      </c>
      <c r="X2480">
        <v>26.9</v>
      </c>
      <c r="Z2480" t="s">
        <v>39</v>
      </c>
      <c r="AB2480" t="s">
        <v>40</v>
      </c>
      <c r="AC2480" t="s">
        <v>56</v>
      </c>
      <c r="AD2480" t="s">
        <v>309</v>
      </c>
    </row>
    <row r="2481" spans="1:30" x14ac:dyDescent="0.25">
      <c r="A2481" s="4">
        <v>42585</v>
      </c>
      <c r="B2481" t="s">
        <v>30</v>
      </c>
      <c r="C2481">
        <v>201</v>
      </c>
      <c r="D2481">
        <v>6</v>
      </c>
      <c r="E2481">
        <v>1</v>
      </c>
      <c r="F2481" t="s">
        <v>31</v>
      </c>
      <c r="G2481" t="s">
        <v>32</v>
      </c>
      <c r="H2481" t="s">
        <v>33</v>
      </c>
      <c r="I2481" t="s">
        <v>57</v>
      </c>
      <c r="O2481" s="5"/>
      <c r="P2481" s="5"/>
    </row>
    <row r="2482" spans="1:30" x14ac:dyDescent="0.25">
      <c r="A2482" s="4">
        <v>42585</v>
      </c>
      <c r="B2482" t="s">
        <v>30</v>
      </c>
      <c r="C2482">
        <v>201</v>
      </c>
      <c r="D2482">
        <v>6</v>
      </c>
      <c r="E2482">
        <v>2</v>
      </c>
      <c r="F2482" t="s">
        <v>31</v>
      </c>
      <c r="G2482" t="s">
        <v>32</v>
      </c>
      <c r="H2482" t="s">
        <v>33</v>
      </c>
      <c r="I2482" t="s">
        <v>34</v>
      </c>
      <c r="J2482" t="s">
        <v>35</v>
      </c>
      <c r="K2482" t="s">
        <v>114</v>
      </c>
      <c r="L2482" t="s">
        <v>37</v>
      </c>
      <c r="M2482">
        <v>0</v>
      </c>
      <c r="N2482">
        <v>0</v>
      </c>
      <c r="O2482" s="5">
        <v>50844</v>
      </c>
      <c r="P2482" s="5">
        <v>50843</v>
      </c>
      <c r="Q2482">
        <f>29-14</f>
        <v>15</v>
      </c>
      <c r="R2482" t="s">
        <v>38</v>
      </c>
      <c r="S2482" t="s">
        <v>39</v>
      </c>
      <c r="T2482">
        <v>19</v>
      </c>
      <c r="U2482">
        <v>77</v>
      </c>
      <c r="V2482">
        <v>16.5</v>
      </c>
      <c r="W2482">
        <v>13</v>
      </c>
      <c r="X2482">
        <v>27.1</v>
      </c>
      <c r="Z2482" t="s">
        <v>97</v>
      </c>
      <c r="AB2482" t="s">
        <v>40</v>
      </c>
      <c r="AC2482" t="s">
        <v>56</v>
      </c>
    </row>
    <row r="2483" spans="1:30" x14ac:dyDescent="0.25">
      <c r="A2483" s="4">
        <v>42585</v>
      </c>
      <c r="B2483" t="s">
        <v>30</v>
      </c>
      <c r="C2483">
        <v>201</v>
      </c>
      <c r="D2483">
        <v>7</v>
      </c>
      <c r="E2483">
        <v>1</v>
      </c>
      <c r="F2483" t="s">
        <v>31</v>
      </c>
      <c r="G2483" t="s">
        <v>32</v>
      </c>
      <c r="H2483" t="s">
        <v>33</v>
      </c>
      <c r="I2483" t="s">
        <v>57</v>
      </c>
      <c r="O2483" s="5"/>
      <c r="P2483" s="5"/>
    </row>
    <row r="2484" spans="1:30" x14ac:dyDescent="0.25">
      <c r="A2484" s="4">
        <v>42585</v>
      </c>
      <c r="B2484" t="s">
        <v>30</v>
      </c>
      <c r="C2484">
        <v>201</v>
      </c>
      <c r="D2484">
        <v>7</v>
      </c>
      <c r="E2484">
        <v>2</v>
      </c>
      <c r="F2484" t="s">
        <v>31</v>
      </c>
      <c r="G2484" t="s">
        <v>32</v>
      </c>
      <c r="H2484" t="s">
        <v>33</v>
      </c>
      <c r="I2484" t="s">
        <v>34</v>
      </c>
      <c r="J2484" t="s">
        <v>35</v>
      </c>
      <c r="K2484" t="s">
        <v>89</v>
      </c>
      <c r="L2484" t="s">
        <v>37</v>
      </c>
      <c r="M2484">
        <v>0</v>
      </c>
      <c r="N2484">
        <v>0</v>
      </c>
      <c r="O2484" s="5" t="s">
        <v>165</v>
      </c>
      <c r="P2484" s="5">
        <v>50929</v>
      </c>
      <c r="Q2484">
        <v>13</v>
      </c>
      <c r="R2484" t="s">
        <v>38</v>
      </c>
      <c r="S2484" t="s">
        <v>39</v>
      </c>
      <c r="Z2484" t="s">
        <v>39</v>
      </c>
      <c r="AB2484" t="s">
        <v>40</v>
      </c>
      <c r="AC2484" t="s">
        <v>56</v>
      </c>
      <c r="AD2484" t="s">
        <v>310</v>
      </c>
    </row>
    <row r="2485" spans="1:30" x14ac:dyDescent="0.25">
      <c r="A2485" s="4">
        <v>42585</v>
      </c>
      <c r="B2485" t="s">
        <v>30</v>
      </c>
      <c r="C2485">
        <v>201</v>
      </c>
      <c r="D2485">
        <v>8</v>
      </c>
      <c r="E2485">
        <v>1</v>
      </c>
      <c r="F2485" t="s">
        <v>31</v>
      </c>
      <c r="G2485" t="s">
        <v>32</v>
      </c>
      <c r="H2485" t="s">
        <v>33</v>
      </c>
      <c r="I2485" t="s">
        <v>57</v>
      </c>
      <c r="O2485" s="5"/>
      <c r="P2485" s="5"/>
    </row>
    <row r="2486" spans="1:30" x14ac:dyDescent="0.25">
      <c r="A2486" s="4">
        <v>42585</v>
      </c>
      <c r="B2486" t="s">
        <v>30</v>
      </c>
      <c r="C2486">
        <v>201</v>
      </c>
      <c r="D2486">
        <v>8</v>
      </c>
      <c r="E2486">
        <v>2</v>
      </c>
      <c r="F2486" t="s">
        <v>31</v>
      </c>
      <c r="G2486" t="s">
        <v>32</v>
      </c>
      <c r="H2486" t="s">
        <v>33</v>
      </c>
      <c r="I2486" t="s">
        <v>34</v>
      </c>
      <c r="J2486" t="s">
        <v>35</v>
      </c>
      <c r="K2486" t="s">
        <v>36</v>
      </c>
      <c r="L2486" t="s">
        <v>37</v>
      </c>
      <c r="M2486">
        <v>0</v>
      </c>
      <c r="N2486">
        <v>0</v>
      </c>
      <c r="O2486" s="5">
        <v>50359</v>
      </c>
      <c r="P2486" s="5">
        <v>50358</v>
      </c>
      <c r="Q2486">
        <f>36-12</f>
        <v>24</v>
      </c>
      <c r="R2486" t="s">
        <v>81</v>
      </c>
      <c r="S2486" t="s">
        <v>39</v>
      </c>
      <c r="T2486">
        <v>17</v>
      </c>
      <c r="U2486">
        <v>91</v>
      </c>
      <c r="V2486">
        <v>19</v>
      </c>
      <c r="W2486">
        <v>13.6</v>
      </c>
      <c r="X2486">
        <v>28.8</v>
      </c>
      <c r="Z2486" t="s">
        <v>97</v>
      </c>
      <c r="AB2486" t="s">
        <v>40</v>
      </c>
      <c r="AC2486" t="s">
        <v>56</v>
      </c>
    </row>
    <row r="2487" spans="1:30" x14ac:dyDescent="0.25">
      <c r="A2487" s="4">
        <v>42585</v>
      </c>
      <c r="B2487" t="s">
        <v>30</v>
      </c>
      <c r="C2487">
        <v>201</v>
      </c>
      <c r="D2487">
        <v>10</v>
      </c>
      <c r="E2487">
        <v>1</v>
      </c>
      <c r="F2487" t="s">
        <v>31</v>
      </c>
      <c r="G2487" t="s">
        <v>32</v>
      </c>
      <c r="H2487" t="s">
        <v>33</v>
      </c>
      <c r="I2487" t="s">
        <v>57</v>
      </c>
      <c r="O2487" s="5"/>
      <c r="P2487" s="5"/>
    </row>
    <row r="2488" spans="1:30" x14ac:dyDescent="0.25">
      <c r="A2488" s="4">
        <v>42585</v>
      </c>
      <c r="B2488" t="s">
        <v>30</v>
      </c>
      <c r="C2488">
        <v>203</v>
      </c>
      <c r="D2488">
        <v>1</v>
      </c>
      <c r="E2488">
        <v>1</v>
      </c>
      <c r="F2488" t="s">
        <v>31</v>
      </c>
      <c r="G2488" t="s">
        <v>32</v>
      </c>
      <c r="H2488" t="s">
        <v>33</v>
      </c>
      <c r="I2488" t="s">
        <v>53</v>
      </c>
      <c r="J2488" t="s">
        <v>62</v>
      </c>
      <c r="O2488" s="5"/>
      <c r="P2488" s="5"/>
    </row>
    <row r="2489" spans="1:30" x14ac:dyDescent="0.25">
      <c r="A2489" s="4">
        <v>42585</v>
      </c>
      <c r="B2489" t="s">
        <v>30</v>
      </c>
      <c r="C2489">
        <v>203</v>
      </c>
      <c r="D2489">
        <v>1</v>
      </c>
      <c r="E2489">
        <v>2</v>
      </c>
      <c r="F2489" t="s">
        <v>31</v>
      </c>
      <c r="G2489" t="s">
        <v>32</v>
      </c>
      <c r="H2489" t="s">
        <v>33</v>
      </c>
      <c r="I2489" t="s">
        <v>91</v>
      </c>
      <c r="J2489" t="s">
        <v>35</v>
      </c>
      <c r="K2489" t="s">
        <v>36</v>
      </c>
      <c r="L2489" t="s">
        <v>37</v>
      </c>
      <c r="M2489">
        <v>0</v>
      </c>
      <c r="N2489">
        <v>0</v>
      </c>
      <c r="O2489" s="5" t="s">
        <v>165</v>
      </c>
      <c r="P2489" s="5">
        <v>50656</v>
      </c>
      <c r="Q2489">
        <f>36-12.5</f>
        <v>23.5</v>
      </c>
      <c r="R2489" t="s">
        <v>74</v>
      </c>
      <c r="S2489" t="s">
        <v>97</v>
      </c>
      <c r="T2489">
        <v>29</v>
      </c>
      <c r="W2489">
        <v>13.1</v>
      </c>
      <c r="X2489">
        <v>26.4</v>
      </c>
      <c r="Z2489" t="s">
        <v>39</v>
      </c>
      <c r="AB2489" t="s">
        <v>40</v>
      </c>
      <c r="AC2489" t="s">
        <v>56</v>
      </c>
    </row>
    <row r="2490" spans="1:30" x14ac:dyDescent="0.25">
      <c r="A2490" s="4">
        <v>42585</v>
      </c>
      <c r="B2490" t="s">
        <v>30</v>
      </c>
      <c r="C2490">
        <v>203</v>
      </c>
      <c r="D2490">
        <v>2</v>
      </c>
      <c r="E2490">
        <v>1</v>
      </c>
      <c r="F2490" t="s">
        <v>31</v>
      </c>
      <c r="G2490" t="s">
        <v>32</v>
      </c>
      <c r="H2490" t="s">
        <v>33</v>
      </c>
      <c r="I2490" t="s">
        <v>34</v>
      </c>
      <c r="J2490" t="s">
        <v>35</v>
      </c>
      <c r="K2490" t="s">
        <v>114</v>
      </c>
      <c r="L2490" t="s">
        <v>37</v>
      </c>
      <c r="M2490">
        <v>0</v>
      </c>
      <c r="N2490">
        <v>0</v>
      </c>
      <c r="O2490" s="5">
        <v>50842</v>
      </c>
      <c r="P2490" s="5">
        <v>50932</v>
      </c>
      <c r="Q2490">
        <f>30-13.5</f>
        <v>16.5</v>
      </c>
      <c r="R2490" t="s">
        <v>38</v>
      </c>
      <c r="S2490" t="s">
        <v>39</v>
      </c>
      <c r="T2490">
        <v>17</v>
      </c>
      <c r="U2490">
        <v>86</v>
      </c>
      <c r="V2490">
        <v>17</v>
      </c>
      <c r="W2490">
        <v>12.95</v>
      </c>
      <c r="X2490">
        <v>25.1</v>
      </c>
      <c r="Z2490" t="s">
        <v>39</v>
      </c>
      <c r="AB2490" t="s">
        <v>40</v>
      </c>
      <c r="AC2490" t="s">
        <v>56</v>
      </c>
    </row>
    <row r="2491" spans="1:30" x14ac:dyDescent="0.25">
      <c r="A2491" s="4">
        <v>42585</v>
      </c>
      <c r="B2491" t="s">
        <v>30</v>
      </c>
      <c r="C2491">
        <v>203</v>
      </c>
      <c r="D2491">
        <v>3</v>
      </c>
      <c r="E2491">
        <v>1</v>
      </c>
      <c r="F2491" t="s">
        <v>31</v>
      </c>
      <c r="G2491" t="s">
        <v>32</v>
      </c>
      <c r="H2491" t="s">
        <v>33</v>
      </c>
      <c r="I2491" t="s">
        <v>34</v>
      </c>
      <c r="J2491" t="s">
        <v>35</v>
      </c>
      <c r="K2491" t="s">
        <v>114</v>
      </c>
      <c r="L2491" t="s">
        <v>37</v>
      </c>
      <c r="M2491">
        <v>0</v>
      </c>
      <c r="N2491">
        <v>0</v>
      </c>
      <c r="O2491" s="5">
        <v>50841</v>
      </c>
      <c r="P2491" s="5">
        <v>50950</v>
      </c>
      <c r="Q2491">
        <f>30.5-15</f>
        <v>15.5</v>
      </c>
      <c r="R2491" t="s">
        <v>38</v>
      </c>
      <c r="S2491" t="s">
        <v>39</v>
      </c>
      <c r="T2491">
        <v>18</v>
      </c>
      <c r="U2491">
        <v>91</v>
      </c>
      <c r="V2491">
        <v>17</v>
      </c>
      <c r="W2491">
        <v>13.1</v>
      </c>
      <c r="X2491">
        <v>26.4</v>
      </c>
      <c r="Z2491" t="s">
        <v>97</v>
      </c>
      <c r="AB2491" t="s">
        <v>40</v>
      </c>
      <c r="AC2491" t="s">
        <v>56</v>
      </c>
    </row>
    <row r="2492" spans="1:30" x14ac:dyDescent="0.25">
      <c r="A2492" s="4">
        <v>42585</v>
      </c>
      <c r="B2492" t="s">
        <v>30</v>
      </c>
      <c r="C2492">
        <v>203</v>
      </c>
      <c r="D2492">
        <v>4</v>
      </c>
      <c r="E2492">
        <v>1</v>
      </c>
      <c r="F2492" t="s">
        <v>31</v>
      </c>
      <c r="G2492" t="s">
        <v>32</v>
      </c>
      <c r="H2492" t="s">
        <v>33</v>
      </c>
      <c r="I2492" t="s">
        <v>34</v>
      </c>
      <c r="J2492" t="s">
        <v>35</v>
      </c>
      <c r="K2492" t="s">
        <v>114</v>
      </c>
      <c r="L2492" t="s">
        <v>43</v>
      </c>
      <c r="M2492">
        <v>0</v>
      </c>
      <c r="N2492">
        <v>0</v>
      </c>
      <c r="O2492" s="5">
        <v>50840</v>
      </c>
      <c r="P2492" s="5">
        <v>50933</v>
      </c>
      <c r="Q2492">
        <f>33.5-14</f>
        <v>19.5</v>
      </c>
      <c r="R2492" t="s">
        <v>47</v>
      </c>
      <c r="T2492">
        <v>19</v>
      </c>
      <c r="U2492">
        <v>85</v>
      </c>
      <c r="V2492">
        <v>16</v>
      </c>
      <c r="W2492">
        <v>13.4</v>
      </c>
      <c r="X2492">
        <v>27</v>
      </c>
      <c r="Z2492" t="s">
        <v>39</v>
      </c>
      <c r="AB2492" t="s">
        <v>40</v>
      </c>
      <c r="AC2492" t="s">
        <v>56</v>
      </c>
    </row>
    <row r="2493" spans="1:30" x14ac:dyDescent="0.25">
      <c r="A2493" s="4">
        <v>42585</v>
      </c>
      <c r="B2493" t="s">
        <v>30</v>
      </c>
      <c r="C2493">
        <v>203</v>
      </c>
      <c r="D2493">
        <v>5</v>
      </c>
      <c r="E2493">
        <v>1</v>
      </c>
      <c r="F2493" t="s">
        <v>31</v>
      </c>
      <c r="G2493" t="s">
        <v>32</v>
      </c>
      <c r="H2493" t="s">
        <v>33</v>
      </c>
      <c r="I2493" t="s">
        <v>57</v>
      </c>
      <c r="O2493" s="5"/>
      <c r="P2493" s="5"/>
    </row>
    <row r="2494" spans="1:30" x14ac:dyDescent="0.25">
      <c r="A2494" s="4">
        <v>42585</v>
      </c>
      <c r="B2494" t="s">
        <v>30</v>
      </c>
      <c r="C2494">
        <v>203</v>
      </c>
      <c r="D2494">
        <v>5</v>
      </c>
      <c r="E2494">
        <v>2</v>
      </c>
      <c r="F2494" t="s">
        <v>31</v>
      </c>
      <c r="G2494" t="s">
        <v>32</v>
      </c>
      <c r="H2494" t="s">
        <v>33</v>
      </c>
      <c r="I2494" t="s">
        <v>34</v>
      </c>
      <c r="J2494" t="s">
        <v>35</v>
      </c>
      <c r="K2494" t="s">
        <v>36</v>
      </c>
      <c r="L2494" t="s">
        <v>43</v>
      </c>
      <c r="M2494">
        <v>0</v>
      </c>
      <c r="N2494">
        <v>0</v>
      </c>
      <c r="O2494" s="5">
        <v>50491</v>
      </c>
      <c r="P2494" s="5">
        <v>50357</v>
      </c>
      <c r="Q2494">
        <f>41-17</f>
        <v>24</v>
      </c>
      <c r="R2494" t="s">
        <v>47</v>
      </c>
      <c r="T2494">
        <v>20</v>
      </c>
      <c r="U2494">
        <v>96</v>
      </c>
      <c r="V2494">
        <v>18</v>
      </c>
      <c r="W2494">
        <v>13.7</v>
      </c>
      <c r="X2494">
        <v>27.3</v>
      </c>
      <c r="Z2494" t="s">
        <v>97</v>
      </c>
      <c r="AB2494" t="s">
        <v>40</v>
      </c>
      <c r="AC2494" t="s">
        <v>56</v>
      </c>
    </row>
    <row r="2495" spans="1:30" x14ac:dyDescent="0.25">
      <c r="A2495" s="4">
        <v>42585</v>
      </c>
      <c r="B2495" t="s">
        <v>30</v>
      </c>
      <c r="C2495">
        <v>203</v>
      </c>
      <c r="D2495">
        <v>6</v>
      </c>
      <c r="E2495">
        <v>1</v>
      </c>
      <c r="F2495" t="s">
        <v>31</v>
      </c>
      <c r="G2495" t="s">
        <v>32</v>
      </c>
      <c r="H2495" t="s">
        <v>33</v>
      </c>
      <c r="I2495" t="s">
        <v>53</v>
      </c>
      <c r="J2495" t="s">
        <v>62</v>
      </c>
      <c r="O2495" s="5"/>
      <c r="P2495" s="5"/>
    </row>
    <row r="2496" spans="1:30" x14ac:dyDescent="0.25">
      <c r="A2496" s="4">
        <v>42585</v>
      </c>
      <c r="B2496" t="s">
        <v>30</v>
      </c>
      <c r="C2496">
        <v>203</v>
      </c>
      <c r="D2496">
        <v>6</v>
      </c>
      <c r="E2496">
        <v>2</v>
      </c>
      <c r="F2496" t="s">
        <v>31</v>
      </c>
      <c r="G2496" t="s">
        <v>32</v>
      </c>
      <c r="H2496" t="s">
        <v>33</v>
      </c>
      <c r="I2496" t="s">
        <v>57</v>
      </c>
      <c r="O2496" s="5"/>
      <c r="P2496" s="5"/>
    </row>
    <row r="2497" spans="1:29" x14ac:dyDescent="0.25">
      <c r="A2497" s="4">
        <v>42585</v>
      </c>
      <c r="B2497" t="s">
        <v>30</v>
      </c>
      <c r="C2497">
        <v>203</v>
      </c>
      <c r="D2497">
        <v>7</v>
      </c>
      <c r="E2497">
        <v>1</v>
      </c>
      <c r="F2497" t="s">
        <v>31</v>
      </c>
      <c r="G2497" t="s">
        <v>32</v>
      </c>
      <c r="H2497" t="s">
        <v>33</v>
      </c>
      <c r="I2497" t="s">
        <v>91</v>
      </c>
      <c r="J2497" t="s">
        <v>35</v>
      </c>
      <c r="K2497" t="s">
        <v>36</v>
      </c>
      <c r="L2497" t="s">
        <v>37</v>
      </c>
      <c r="M2497">
        <v>0</v>
      </c>
      <c r="N2497">
        <v>0</v>
      </c>
      <c r="O2497" s="5" t="s">
        <v>165</v>
      </c>
      <c r="P2497" s="5">
        <v>50838</v>
      </c>
      <c r="Q2497">
        <f>33.5-12</f>
        <v>21.5</v>
      </c>
      <c r="R2497" t="s">
        <v>74</v>
      </c>
      <c r="S2497" t="s">
        <v>97</v>
      </c>
      <c r="T2497">
        <v>29</v>
      </c>
      <c r="W2497">
        <v>12.5</v>
      </c>
      <c r="X2497">
        <v>25.1</v>
      </c>
      <c r="Z2497" t="s">
        <v>39</v>
      </c>
      <c r="AB2497" t="s">
        <v>40</v>
      </c>
      <c r="AC2497" t="s">
        <v>56</v>
      </c>
    </row>
    <row r="2498" spans="1:29" x14ac:dyDescent="0.25">
      <c r="A2498" s="4">
        <v>42585</v>
      </c>
      <c r="B2498" t="s">
        <v>30</v>
      </c>
      <c r="C2498">
        <v>203</v>
      </c>
      <c r="D2498">
        <v>8</v>
      </c>
      <c r="E2498">
        <v>1</v>
      </c>
      <c r="F2498" t="s">
        <v>31</v>
      </c>
      <c r="G2498" t="s">
        <v>32</v>
      </c>
      <c r="H2498" t="s">
        <v>33</v>
      </c>
      <c r="I2498" t="s">
        <v>34</v>
      </c>
      <c r="J2498" t="s">
        <v>35</v>
      </c>
      <c r="K2498" t="s">
        <v>114</v>
      </c>
      <c r="L2498" t="s">
        <v>43</v>
      </c>
      <c r="M2498">
        <v>0</v>
      </c>
      <c r="N2498">
        <v>0</v>
      </c>
      <c r="O2498" s="5">
        <v>50665</v>
      </c>
      <c r="P2498" s="5">
        <v>50664</v>
      </c>
      <c r="Q2498">
        <f>29.5-13</f>
        <v>16.5</v>
      </c>
      <c r="R2498" t="s">
        <v>65</v>
      </c>
      <c r="T2498">
        <v>18</v>
      </c>
      <c r="U2498">
        <v>95</v>
      </c>
      <c r="V2498">
        <v>17</v>
      </c>
      <c r="W2498">
        <v>13</v>
      </c>
      <c r="X2498">
        <v>27.3</v>
      </c>
      <c r="Z2498" t="s">
        <v>39</v>
      </c>
      <c r="AB2498" t="s">
        <v>40</v>
      </c>
      <c r="AC2498" t="s">
        <v>56</v>
      </c>
    </row>
    <row r="2499" spans="1:29" x14ac:dyDescent="0.25">
      <c r="A2499" s="4">
        <v>42585</v>
      </c>
      <c r="B2499" t="s">
        <v>30</v>
      </c>
      <c r="C2499">
        <v>203</v>
      </c>
      <c r="D2499">
        <v>9</v>
      </c>
      <c r="E2499">
        <v>1</v>
      </c>
      <c r="F2499" t="s">
        <v>31</v>
      </c>
      <c r="G2499" t="s">
        <v>32</v>
      </c>
      <c r="H2499" t="s">
        <v>33</v>
      </c>
      <c r="I2499" t="s">
        <v>34</v>
      </c>
      <c r="J2499" t="s">
        <v>42</v>
      </c>
      <c r="K2499" t="s">
        <v>114</v>
      </c>
      <c r="L2499" t="s">
        <v>43</v>
      </c>
      <c r="M2499">
        <v>0</v>
      </c>
      <c r="N2499">
        <v>0</v>
      </c>
      <c r="O2499" s="5">
        <v>50949</v>
      </c>
      <c r="P2499" s="5">
        <v>50948</v>
      </c>
      <c r="Q2499">
        <f>28.5-13.5</f>
        <v>15</v>
      </c>
      <c r="R2499" t="s">
        <v>65</v>
      </c>
      <c r="T2499">
        <v>19</v>
      </c>
      <c r="U2499">
        <v>88.5</v>
      </c>
      <c r="V2499">
        <v>17</v>
      </c>
      <c r="W2499">
        <v>12.8</v>
      </c>
      <c r="X2499">
        <v>27.6</v>
      </c>
      <c r="Y2499" t="s">
        <v>311</v>
      </c>
      <c r="Z2499" t="s">
        <v>39</v>
      </c>
      <c r="AB2499" t="s">
        <v>40</v>
      </c>
      <c r="AC2499" t="s">
        <v>56</v>
      </c>
    </row>
    <row r="2500" spans="1:29" x14ac:dyDescent="0.25">
      <c r="A2500" s="4">
        <v>42585</v>
      </c>
      <c r="B2500" t="s">
        <v>30</v>
      </c>
      <c r="C2500">
        <v>203</v>
      </c>
      <c r="D2500">
        <v>9</v>
      </c>
      <c r="E2500">
        <v>2</v>
      </c>
      <c r="F2500" t="s">
        <v>31</v>
      </c>
      <c r="G2500" t="s">
        <v>32</v>
      </c>
      <c r="H2500" t="s">
        <v>33</v>
      </c>
      <c r="I2500" t="s">
        <v>34</v>
      </c>
      <c r="J2500" t="s">
        <v>35</v>
      </c>
      <c r="K2500" t="s">
        <v>114</v>
      </c>
      <c r="L2500" t="s">
        <v>37</v>
      </c>
      <c r="M2500">
        <v>0</v>
      </c>
      <c r="N2500">
        <v>0</v>
      </c>
      <c r="O2500" s="5">
        <v>50634</v>
      </c>
      <c r="P2500" s="5">
        <v>50633</v>
      </c>
      <c r="Q2500">
        <f>35-13.5</f>
        <v>21.5</v>
      </c>
      <c r="R2500" t="s">
        <v>312</v>
      </c>
      <c r="S2500" t="s">
        <v>97</v>
      </c>
      <c r="T2500">
        <v>18.5</v>
      </c>
      <c r="U2500">
        <v>80</v>
      </c>
      <c r="Z2500" t="s">
        <v>39</v>
      </c>
      <c r="AB2500" t="s">
        <v>40</v>
      </c>
      <c r="AC2500" t="s">
        <v>56</v>
      </c>
    </row>
    <row r="2501" spans="1:29" x14ac:dyDescent="0.25">
      <c r="A2501" s="4">
        <v>42585</v>
      </c>
      <c r="B2501" t="s">
        <v>30</v>
      </c>
      <c r="C2501">
        <v>203</v>
      </c>
      <c r="D2501">
        <v>10</v>
      </c>
      <c r="E2501">
        <v>2</v>
      </c>
      <c r="F2501" t="s">
        <v>31</v>
      </c>
      <c r="G2501" t="s">
        <v>32</v>
      </c>
      <c r="H2501" t="s">
        <v>33</v>
      </c>
      <c r="I2501" t="s">
        <v>34</v>
      </c>
      <c r="J2501" t="s">
        <v>35</v>
      </c>
      <c r="K2501" t="s">
        <v>114</v>
      </c>
      <c r="L2501" t="s">
        <v>37</v>
      </c>
      <c r="M2501">
        <v>0</v>
      </c>
      <c r="N2501">
        <v>0</v>
      </c>
      <c r="O2501" s="5">
        <v>50836</v>
      </c>
      <c r="P2501" s="5">
        <v>50935</v>
      </c>
      <c r="Q2501">
        <f>28-13</f>
        <v>15</v>
      </c>
      <c r="R2501" t="s">
        <v>38</v>
      </c>
      <c r="S2501" t="s">
        <v>39</v>
      </c>
      <c r="T2501">
        <v>19</v>
      </c>
      <c r="U2501">
        <v>88</v>
      </c>
      <c r="V2501">
        <v>16</v>
      </c>
      <c r="W2501">
        <v>13.2</v>
      </c>
      <c r="X2501">
        <v>26.5</v>
      </c>
      <c r="Z2501" t="s">
        <v>39</v>
      </c>
      <c r="AB2501" t="s">
        <v>40</v>
      </c>
      <c r="AC2501" t="s">
        <v>56</v>
      </c>
    </row>
    <row r="2502" spans="1:29" x14ac:dyDescent="0.25">
      <c r="A2502" s="4">
        <v>42585</v>
      </c>
      <c r="B2502" t="s">
        <v>30</v>
      </c>
      <c r="C2502">
        <v>202</v>
      </c>
      <c r="D2502">
        <v>2</v>
      </c>
      <c r="E2502">
        <v>1</v>
      </c>
      <c r="F2502" t="s">
        <v>31</v>
      </c>
      <c r="G2502" t="s">
        <v>32</v>
      </c>
      <c r="H2502" t="s">
        <v>33</v>
      </c>
      <c r="I2502" t="s">
        <v>34</v>
      </c>
      <c r="J2502" t="s">
        <v>35</v>
      </c>
      <c r="K2502" t="s">
        <v>114</v>
      </c>
      <c r="L2502" t="s">
        <v>43</v>
      </c>
      <c r="M2502">
        <v>0</v>
      </c>
      <c r="N2502">
        <v>0</v>
      </c>
      <c r="O2502" s="5">
        <v>50937</v>
      </c>
      <c r="P2502" s="5">
        <v>50936</v>
      </c>
      <c r="Q2502">
        <f>29-14</f>
        <v>15</v>
      </c>
      <c r="R2502" t="s">
        <v>65</v>
      </c>
      <c r="T2502">
        <v>19</v>
      </c>
      <c r="U2502">
        <v>87</v>
      </c>
      <c r="V2502">
        <v>15</v>
      </c>
      <c r="W2502">
        <v>12.5</v>
      </c>
      <c r="X2502">
        <v>24.5</v>
      </c>
      <c r="Z2502" t="s">
        <v>39</v>
      </c>
      <c r="AB2502" t="s">
        <v>40</v>
      </c>
      <c r="AC2502" t="s">
        <v>56</v>
      </c>
    </row>
    <row r="2503" spans="1:29" x14ac:dyDescent="0.25">
      <c r="A2503" s="4">
        <v>42585</v>
      </c>
      <c r="B2503" t="s">
        <v>30</v>
      </c>
      <c r="C2503">
        <v>202</v>
      </c>
      <c r="D2503">
        <v>2</v>
      </c>
      <c r="E2503">
        <v>2</v>
      </c>
      <c r="F2503" t="s">
        <v>31</v>
      </c>
      <c r="G2503" t="s">
        <v>32</v>
      </c>
      <c r="H2503" t="s">
        <v>33</v>
      </c>
      <c r="I2503" t="s">
        <v>34</v>
      </c>
      <c r="J2503" t="s">
        <v>35</v>
      </c>
      <c r="K2503" t="s">
        <v>114</v>
      </c>
      <c r="L2503" t="s">
        <v>37</v>
      </c>
      <c r="M2503">
        <v>0</v>
      </c>
      <c r="N2503">
        <v>0</v>
      </c>
      <c r="O2503" s="5">
        <v>50778</v>
      </c>
      <c r="P2503" s="5">
        <v>50777</v>
      </c>
      <c r="Q2503">
        <f>31.5-16.5</f>
        <v>15</v>
      </c>
      <c r="R2503" t="s">
        <v>38</v>
      </c>
      <c r="S2503" t="s">
        <v>39</v>
      </c>
      <c r="T2503">
        <v>18</v>
      </c>
      <c r="V2503">
        <v>16</v>
      </c>
      <c r="W2503">
        <v>12.1</v>
      </c>
      <c r="X2503">
        <v>25.2</v>
      </c>
      <c r="Z2503" t="s">
        <v>97</v>
      </c>
      <c r="AB2503" t="s">
        <v>40</v>
      </c>
      <c r="AC2503" t="s">
        <v>56</v>
      </c>
    </row>
    <row r="2504" spans="1:29" x14ac:dyDescent="0.25">
      <c r="A2504" s="4">
        <v>42585</v>
      </c>
      <c r="B2504" t="s">
        <v>30</v>
      </c>
      <c r="C2504">
        <v>202</v>
      </c>
      <c r="D2504">
        <v>3</v>
      </c>
      <c r="E2504">
        <v>1</v>
      </c>
      <c r="F2504" t="s">
        <v>31</v>
      </c>
      <c r="G2504" t="s">
        <v>32</v>
      </c>
      <c r="H2504" t="s">
        <v>33</v>
      </c>
      <c r="I2504" t="s">
        <v>57</v>
      </c>
      <c r="O2504" s="5"/>
      <c r="P2504" s="5"/>
    </row>
    <row r="2505" spans="1:29" x14ac:dyDescent="0.25">
      <c r="A2505" s="4">
        <v>42585</v>
      </c>
      <c r="B2505" t="s">
        <v>30</v>
      </c>
      <c r="C2505">
        <v>202</v>
      </c>
      <c r="D2505">
        <v>3</v>
      </c>
      <c r="E2505">
        <v>2</v>
      </c>
      <c r="F2505" t="s">
        <v>31</v>
      </c>
      <c r="G2505" t="s">
        <v>32</v>
      </c>
      <c r="H2505" t="s">
        <v>33</v>
      </c>
      <c r="I2505" t="s">
        <v>57</v>
      </c>
      <c r="O2505" s="5"/>
      <c r="P2505" s="5"/>
    </row>
    <row r="2506" spans="1:29" x14ac:dyDescent="0.25">
      <c r="A2506" s="4">
        <v>42585</v>
      </c>
      <c r="B2506" t="s">
        <v>30</v>
      </c>
      <c r="C2506">
        <v>202</v>
      </c>
      <c r="D2506">
        <v>4</v>
      </c>
      <c r="E2506">
        <v>1</v>
      </c>
      <c r="F2506" t="s">
        <v>31</v>
      </c>
      <c r="G2506" t="s">
        <v>32</v>
      </c>
      <c r="H2506" t="s">
        <v>33</v>
      </c>
      <c r="I2506" t="s">
        <v>34</v>
      </c>
      <c r="J2506" t="s">
        <v>51</v>
      </c>
      <c r="K2506" t="s">
        <v>114</v>
      </c>
      <c r="L2506" t="s">
        <v>43</v>
      </c>
      <c r="M2506">
        <v>0</v>
      </c>
      <c r="N2506">
        <v>0</v>
      </c>
      <c r="O2506" s="5">
        <v>50833</v>
      </c>
      <c r="P2506" s="5">
        <v>50945</v>
      </c>
      <c r="Q2506">
        <f>30-14.5</f>
        <v>15.5</v>
      </c>
      <c r="R2506" t="s">
        <v>65</v>
      </c>
      <c r="T2506">
        <v>19</v>
      </c>
      <c r="U2506">
        <v>95</v>
      </c>
      <c r="V2506">
        <v>18.5</v>
      </c>
      <c r="W2506">
        <v>13</v>
      </c>
      <c r="X2506">
        <v>24.9</v>
      </c>
      <c r="Z2506" t="s">
        <v>97</v>
      </c>
      <c r="AB2506" t="s">
        <v>40</v>
      </c>
      <c r="AC2506" t="s">
        <v>56</v>
      </c>
    </row>
    <row r="2507" spans="1:29" x14ac:dyDescent="0.25">
      <c r="A2507" s="4">
        <v>42585</v>
      </c>
      <c r="B2507" t="s">
        <v>30</v>
      </c>
      <c r="C2507">
        <v>202</v>
      </c>
      <c r="D2507">
        <v>4</v>
      </c>
      <c r="E2507">
        <v>2</v>
      </c>
      <c r="F2507" t="s">
        <v>31</v>
      </c>
      <c r="G2507" t="s">
        <v>32</v>
      </c>
      <c r="H2507" t="s">
        <v>33</v>
      </c>
      <c r="I2507" t="s">
        <v>58</v>
      </c>
      <c r="J2507" t="s">
        <v>42</v>
      </c>
      <c r="K2507" t="s">
        <v>36</v>
      </c>
      <c r="L2507" t="s">
        <v>37</v>
      </c>
      <c r="M2507">
        <v>0</v>
      </c>
      <c r="N2507">
        <v>0</v>
      </c>
      <c r="O2507" s="5">
        <v>50947</v>
      </c>
      <c r="P2507" s="5"/>
      <c r="Q2507">
        <f>43.5-13</f>
        <v>30.5</v>
      </c>
      <c r="R2507" t="s">
        <v>149</v>
      </c>
      <c r="S2507" t="s">
        <v>97</v>
      </c>
      <c r="T2507">
        <v>16.5</v>
      </c>
      <c r="W2507">
        <v>13.35</v>
      </c>
      <c r="X2507">
        <v>26.9</v>
      </c>
      <c r="Z2507" t="s">
        <v>97</v>
      </c>
      <c r="AB2507" t="s">
        <v>40</v>
      </c>
      <c r="AC2507" t="s">
        <v>56</v>
      </c>
    </row>
    <row r="2508" spans="1:29" x14ac:dyDescent="0.25">
      <c r="A2508" s="4">
        <v>42585</v>
      </c>
      <c r="B2508" t="s">
        <v>30</v>
      </c>
      <c r="C2508">
        <v>202</v>
      </c>
      <c r="D2508">
        <v>6</v>
      </c>
      <c r="E2508">
        <v>1</v>
      </c>
      <c r="F2508" t="s">
        <v>31</v>
      </c>
      <c r="G2508" t="s">
        <v>32</v>
      </c>
      <c r="H2508" t="s">
        <v>33</v>
      </c>
      <c r="I2508" t="s">
        <v>34</v>
      </c>
      <c r="J2508" t="s">
        <v>35</v>
      </c>
      <c r="K2508" t="s">
        <v>89</v>
      </c>
      <c r="L2508" t="s">
        <v>37</v>
      </c>
      <c r="M2508">
        <v>0</v>
      </c>
      <c r="N2508">
        <v>0</v>
      </c>
      <c r="O2508" s="5">
        <v>50786</v>
      </c>
      <c r="P2508" s="5">
        <v>50785</v>
      </c>
      <c r="Q2508">
        <f>29-14.5</f>
        <v>14.5</v>
      </c>
      <c r="R2508" t="s">
        <v>38</v>
      </c>
      <c r="S2508" t="s">
        <v>39</v>
      </c>
      <c r="T2508">
        <v>18</v>
      </c>
      <c r="V2508">
        <v>16.5</v>
      </c>
      <c r="W2508">
        <v>12.5</v>
      </c>
      <c r="X2508">
        <v>25.5</v>
      </c>
      <c r="Z2508" t="s">
        <v>97</v>
      </c>
      <c r="AB2508" t="s">
        <v>40</v>
      </c>
      <c r="AC2508" t="s">
        <v>56</v>
      </c>
    </row>
    <row r="2509" spans="1:29" x14ac:dyDescent="0.25">
      <c r="A2509" s="4">
        <v>42585</v>
      </c>
      <c r="B2509" t="s">
        <v>30</v>
      </c>
      <c r="C2509">
        <v>202</v>
      </c>
      <c r="D2509">
        <v>7</v>
      </c>
      <c r="E2509">
        <v>1</v>
      </c>
      <c r="F2509" t="s">
        <v>31</v>
      </c>
      <c r="G2509" t="s">
        <v>32</v>
      </c>
      <c r="H2509" t="s">
        <v>33</v>
      </c>
      <c r="I2509" t="s">
        <v>34</v>
      </c>
      <c r="J2509" t="s">
        <v>42</v>
      </c>
      <c r="K2509" t="s">
        <v>114</v>
      </c>
      <c r="L2509" t="s">
        <v>43</v>
      </c>
      <c r="M2509">
        <v>0</v>
      </c>
      <c r="N2509">
        <v>1</v>
      </c>
      <c r="O2509" s="5" t="s">
        <v>313</v>
      </c>
      <c r="P2509" s="5" t="s">
        <v>314</v>
      </c>
      <c r="Q2509">
        <f>28-13</f>
        <v>15</v>
      </c>
      <c r="R2509" t="s">
        <v>65</v>
      </c>
      <c r="T2509">
        <v>18</v>
      </c>
      <c r="U2509">
        <v>85</v>
      </c>
      <c r="V2509">
        <v>18</v>
      </c>
      <c r="W2509">
        <v>12.7</v>
      </c>
      <c r="X2509">
        <v>26.8</v>
      </c>
      <c r="Z2509" t="s">
        <v>39</v>
      </c>
      <c r="AB2509" t="s">
        <v>40</v>
      </c>
      <c r="AC2509" t="s">
        <v>56</v>
      </c>
    </row>
    <row r="2510" spans="1:29" x14ac:dyDescent="0.25">
      <c r="A2510" s="4">
        <v>42585</v>
      </c>
      <c r="B2510" t="s">
        <v>30</v>
      </c>
      <c r="C2510">
        <v>202</v>
      </c>
      <c r="D2510">
        <v>8</v>
      </c>
      <c r="E2510">
        <v>1</v>
      </c>
      <c r="F2510" t="s">
        <v>31</v>
      </c>
      <c r="G2510" t="s">
        <v>32</v>
      </c>
      <c r="H2510" t="s">
        <v>33</v>
      </c>
      <c r="I2510" t="s">
        <v>58</v>
      </c>
      <c r="J2510" t="s">
        <v>42</v>
      </c>
      <c r="K2510" t="s">
        <v>89</v>
      </c>
      <c r="L2510" t="s">
        <v>43</v>
      </c>
      <c r="M2510">
        <v>0</v>
      </c>
      <c r="N2510">
        <v>1</v>
      </c>
      <c r="O2510" s="5" t="s">
        <v>315</v>
      </c>
      <c r="P2510" s="5"/>
      <c r="Q2510">
        <f>32-14</f>
        <v>18</v>
      </c>
      <c r="R2510" t="s">
        <v>65</v>
      </c>
      <c r="T2510">
        <v>16</v>
      </c>
      <c r="W2510">
        <v>13</v>
      </c>
      <c r="X2510">
        <v>26.3</v>
      </c>
      <c r="Z2510" t="s">
        <v>97</v>
      </c>
      <c r="AA2510" t="s">
        <v>316</v>
      </c>
      <c r="AB2510" t="s">
        <v>40</v>
      </c>
      <c r="AC2510" t="s">
        <v>56</v>
      </c>
    </row>
    <row r="2511" spans="1:29" x14ac:dyDescent="0.25">
      <c r="A2511" s="4">
        <v>42585</v>
      </c>
      <c r="B2511" t="s">
        <v>30</v>
      </c>
      <c r="C2511">
        <v>202</v>
      </c>
      <c r="D2511">
        <v>9</v>
      </c>
      <c r="E2511">
        <v>1</v>
      </c>
      <c r="F2511" t="s">
        <v>31</v>
      </c>
      <c r="G2511" t="s">
        <v>32</v>
      </c>
      <c r="H2511" t="s">
        <v>33</v>
      </c>
      <c r="I2511" t="s">
        <v>57</v>
      </c>
      <c r="O2511" s="5"/>
      <c r="P2511" s="5"/>
    </row>
    <row r="2512" spans="1:29" x14ac:dyDescent="0.25">
      <c r="A2512" s="4">
        <v>42585</v>
      </c>
      <c r="B2512" t="s">
        <v>30</v>
      </c>
      <c r="C2512">
        <v>202</v>
      </c>
      <c r="D2512">
        <v>9</v>
      </c>
      <c r="E2512">
        <v>2</v>
      </c>
      <c r="F2512" t="s">
        <v>31</v>
      </c>
      <c r="G2512" t="s">
        <v>32</v>
      </c>
      <c r="H2512" t="s">
        <v>33</v>
      </c>
      <c r="I2512" t="s">
        <v>57</v>
      </c>
      <c r="O2512" s="5"/>
      <c r="P2512" s="5"/>
    </row>
    <row r="2513" spans="1:30" x14ac:dyDescent="0.25">
      <c r="A2513" s="4">
        <v>42585</v>
      </c>
      <c r="B2513" t="s">
        <v>30</v>
      </c>
      <c r="C2513">
        <v>202</v>
      </c>
      <c r="D2513">
        <v>10</v>
      </c>
      <c r="E2513">
        <v>1</v>
      </c>
      <c r="F2513" t="s">
        <v>31</v>
      </c>
      <c r="G2513" t="s">
        <v>32</v>
      </c>
      <c r="H2513" t="s">
        <v>33</v>
      </c>
      <c r="I2513" t="s">
        <v>57</v>
      </c>
      <c r="O2513" s="5"/>
      <c r="P2513" s="5"/>
    </row>
    <row r="2514" spans="1:30" x14ac:dyDescent="0.25">
      <c r="A2514" s="4">
        <v>42585</v>
      </c>
      <c r="B2514" t="s">
        <v>30</v>
      </c>
      <c r="C2514">
        <v>202</v>
      </c>
      <c r="D2514">
        <v>10</v>
      </c>
      <c r="E2514">
        <v>2</v>
      </c>
      <c r="F2514" t="s">
        <v>31</v>
      </c>
      <c r="G2514" t="s">
        <v>32</v>
      </c>
      <c r="H2514" t="s">
        <v>33</v>
      </c>
      <c r="I2514" t="s">
        <v>57</v>
      </c>
      <c r="O2514" s="5"/>
      <c r="P2514" s="5"/>
    </row>
    <row r="2515" spans="1:30" x14ac:dyDescent="0.25">
      <c r="A2515" s="4">
        <v>42585</v>
      </c>
      <c r="B2515" t="s">
        <v>30</v>
      </c>
      <c r="C2515">
        <v>403</v>
      </c>
      <c r="D2515">
        <v>5</v>
      </c>
      <c r="E2515">
        <v>1</v>
      </c>
      <c r="F2515" t="s">
        <v>31</v>
      </c>
      <c r="G2515" t="s">
        <v>32</v>
      </c>
      <c r="H2515" t="s">
        <v>33</v>
      </c>
      <c r="I2515" t="s">
        <v>53</v>
      </c>
      <c r="J2515" t="s">
        <v>62</v>
      </c>
      <c r="O2515" s="5"/>
      <c r="P2515" s="5"/>
    </row>
    <row r="2516" spans="1:30" x14ac:dyDescent="0.25">
      <c r="A2516" s="4">
        <v>42585</v>
      </c>
      <c r="B2516" t="s">
        <v>30</v>
      </c>
      <c r="C2516">
        <v>403</v>
      </c>
      <c r="D2516">
        <v>4</v>
      </c>
      <c r="E2516">
        <v>1</v>
      </c>
      <c r="F2516" t="s">
        <v>31</v>
      </c>
      <c r="G2516" t="s">
        <v>32</v>
      </c>
      <c r="H2516" t="s">
        <v>33</v>
      </c>
      <c r="I2516" t="s">
        <v>34</v>
      </c>
      <c r="J2516" t="s">
        <v>42</v>
      </c>
      <c r="K2516" t="s">
        <v>114</v>
      </c>
      <c r="L2516" t="s">
        <v>37</v>
      </c>
      <c r="M2516">
        <v>0</v>
      </c>
      <c r="N2516">
        <v>1</v>
      </c>
      <c r="O2516" s="5" t="s">
        <v>317</v>
      </c>
      <c r="P2516" s="5" t="s">
        <v>318</v>
      </c>
      <c r="Q2516">
        <f>29.5-14</f>
        <v>15.5</v>
      </c>
      <c r="R2516" t="s">
        <v>38</v>
      </c>
      <c r="S2516" t="s">
        <v>39</v>
      </c>
      <c r="T2516">
        <v>16</v>
      </c>
      <c r="U2516">
        <v>75</v>
      </c>
      <c r="V2516">
        <v>16</v>
      </c>
      <c r="W2516">
        <v>13</v>
      </c>
      <c r="X2516">
        <v>26.85</v>
      </c>
      <c r="Z2516" t="s">
        <v>39</v>
      </c>
      <c r="AB2516" t="s">
        <v>40</v>
      </c>
      <c r="AC2516" t="s">
        <v>56</v>
      </c>
    </row>
    <row r="2517" spans="1:30" x14ac:dyDescent="0.25">
      <c r="A2517" s="4">
        <v>42585</v>
      </c>
      <c r="B2517" t="s">
        <v>30</v>
      </c>
      <c r="C2517">
        <v>403</v>
      </c>
      <c r="D2517">
        <v>4</v>
      </c>
      <c r="E2517">
        <v>2</v>
      </c>
      <c r="F2517" t="s">
        <v>31</v>
      </c>
      <c r="G2517" t="s">
        <v>32</v>
      </c>
      <c r="H2517" t="s">
        <v>33</v>
      </c>
      <c r="I2517" t="s">
        <v>73</v>
      </c>
      <c r="J2517" t="s">
        <v>35</v>
      </c>
      <c r="K2517" t="s">
        <v>36</v>
      </c>
      <c r="L2517" t="s">
        <v>43</v>
      </c>
      <c r="M2517">
        <v>0</v>
      </c>
      <c r="N2517">
        <v>0</v>
      </c>
      <c r="O2517" s="5">
        <v>50732</v>
      </c>
      <c r="P2517" s="5"/>
      <c r="Q2517">
        <v>90</v>
      </c>
      <c r="R2517" t="s">
        <v>65</v>
      </c>
      <c r="T2517">
        <v>30</v>
      </c>
      <c r="W2517">
        <v>22.5</v>
      </c>
      <c r="X2517">
        <v>44.3</v>
      </c>
      <c r="Z2517" t="s">
        <v>39</v>
      </c>
      <c r="AB2517" t="s">
        <v>40</v>
      </c>
      <c r="AC2517" t="s">
        <v>56</v>
      </c>
    </row>
    <row r="2518" spans="1:30" x14ac:dyDescent="0.25">
      <c r="A2518" s="4">
        <v>42585</v>
      </c>
      <c r="B2518" t="s">
        <v>30</v>
      </c>
      <c r="C2518">
        <v>403</v>
      </c>
      <c r="D2518">
        <v>2</v>
      </c>
      <c r="E2518">
        <v>1</v>
      </c>
      <c r="F2518" t="s">
        <v>31</v>
      </c>
      <c r="G2518" t="s">
        <v>32</v>
      </c>
      <c r="H2518" t="s">
        <v>33</v>
      </c>
      <c r="I2518" t="s">
        <v>58</v>
      </c>
      <c r="J2518" t="s">
        <v>35</v>
      </c>
      <c r="K2518" t="s">
        <v>89</v>
      </c>
      <c r="L2518" t="s">
        <v>37</v>
      </c>
      <c r="M2518">
        <v>0</v>
      </c>
      <c r="N2518">
        <v>0</v>
      </c>
      <c r="O2518" s="5">
        <v>50941</v>
      </c>
      <c r="P2518" s="5"/>
      <c r="Q2518">
        <f>36-15.5</f>
        <v>20.5</v>
      </c>
      <c r="R2518" t="s">
        <v>38</v>
      </c>
      <c r="S2518" t="s">
        <v>39</v>
      </c>
      <c r="T2518">
        <v>16</v>
      </c>
      <c r="W2518">
        <v>12.8</v>
      </c>
      <c r="X2518">
        <v>27</v>
      </c>
      <c r="Z2518" t="s">
        <v>39</v>
      </c>
      <c r="AB2518" t="s">
        <v>40</v>
      </c>
      <c r="AC2518" t="s">
        <v>56</v>
      </c>
      <c r="AD2518" t="s">
        <v>319</v>
      </c>
    </row>
    <row r="2519" spans="1:30" x14ac:dyDescent="0.25">
      <c r="A2519" s="4">
        <v>42585</v>
      </c>
      <c r="B2519" t="s">
        <v>30</v>
      </c>
      <c r="C2519">
        <v>403</v>
      </c>
      <c r="D2519">
        <v>1</v>
      </c>
      <c r="E2519">
        <v>2</v>
      </c>
      <c r="F2519" t="s">
        <v>31</v>
      </c>
      <c r="G2519" t="s">
        <v>32</v>
      </c>
      <c r="H2519" t="s">
        <v>33</v>
      </c>
      <c r="I2519" t="s">
        <v>34</v>
      </c>
      <c r="J2519" t="s">
        <v>35</v>
      </c>
      <c r="K2519" t="s">
        <v>114</v>
      </c>
      <c r="L2519" t="s">
        <v>43</v>
      </c>
      <c r="M2519">
        <v>0</v>
      </c>
      <c r="N2519">
        <v>0</v>
      </c>
      <c r="O2519" s="5">
        <v>50829</v>
      </c>
      <c r="P2519" s="5">
        <v>50828</v>
      </c>
      <c r="Q2519">
        <f>36-18</f>
        <v>18</v>
      </c>
      <c r="R2519" t="s">
        <v>65</v>
      </c>
      <c r="T2519">
        <v>20.5</v>
      </c>
      <c r="U2519">
        <v>87</v>
      </c>
      <c r="V2519">
        <v>18.5</v>
      </c>
      <c r="W2519">
        <v>13.1</v>
      </c>
      <c r="X2519">
        <v>27.3</v>
      </c>
      <c r="Z2519" t="s">
        <v>39</v>
      </c>
      <c r="AB2519" t="s">
        <v>40</v>
      </c>
      <c r="AC2519" t="s">
        <v>56</v>
      </c>
    </row>
    <row r="2520" spans="1:30" x14ac:dyDescent="0.25">
      <c r="A2520" s="4">
        <v>42585</v>
      </c>
      <c r="B2520" t="s">
        <v>30</v>
      </c>
      <c r="C2520">
        <v>111</v>
      </c>
      <c r="D2520">
        <v>1</v>
      </c>
      <c r="E2520">
        <v>1</v>
      </c>
      <c r="F2520" t="s">
        <v>320</v>
      </c>
      <c r="G2520" t="s">
        <v>32</v>
      </c>
      <c r="H2520" t="s">
        <v>33</v>
      </c>
      <c r="I2520" t="s">
        <v>84</v>
      </c>
      <c r="O2520" s="5"/>
      <c r="P2520" s="5"/>
    </row>
    <row r="2521" spans="1:30" x14ac:dyDescent="0.25">
      <c r="A2521" s="4">
        <v>42585</v>
      </c>
      <c r="B2521" t="s">
        <v>30</v>
      </c>
      <c r="C2521">
        <v>111</v>
      </c>
      <c r="D2521">
        <v>1</v>
      </c>
      <c r="E2521">
        <v>2</v>
      </c>
      <c r="F2521" t="s">
        <v>320</v>
      </c>
      <c r="G2521" t="s">
        <v>32</v>
      </c>
      <c r="H2521" t="s">
        <v>33</v>
      </c>
      <c r="I2521" t="s">
        <v>84</v>
      </c>
      <c r="O2521" s="5"/>
      <c r="P2521" s="5"/>
    </row>
    <row r="2522" spans="1:30" x14ac:dyDescent="0.25">
      <c r="A2522" s="4">
        <v>42585</v>
      </c>
      <c r="B2522" t="s">
        <v>30</v>
      </c>
      <c r="C2522">
        <v>111</v>
      </c>
      <c r="D2522">
        <v>2</v>
      </c>
      <c r="E2522">
        <v>1</v>
      </c>
      <c r="F2522" t="s">
        <v>320</v>
      </c>
      <c r="G2522" t="s">
        <v>32</v>
      </c>
      <c r="H2522" t="s">
        <v>33</v>
      </c>
      <c r="I2522" t="s">
        <v>84</v>
      </c>
      <c r="O2522" s="5"/>
      <c r="P2522" s="5"/>
    </row>
    <row r="2523" spans="1:30" x14ac:dyDescent="0.25">
      <c r="A2523" s="4">
        <v>42585</v>
      </c>
      <c r="B2523" t="s">
        <v>30</v>
      </c>
      <c r="C2523">
        <v>111</v>
      </c>
      <c r="D2523">
        <v>3</v>
      </c>
      <c r="E2523">
        <v>1</v>
      </c>
      <c r="F2523" t="s">
        <v>320</v>
      </c>
      <c r="G2523" t="s">
        <v>32</v>
      </c>
      <c r="H2523" t="s">
        <v>33</v>
      </c>
      <c r="I2523" t="s">
        <v>57</v>
      </c>
      <c r="O2523" s="5"/>
      <c r="P2523" s="5"/>
    </row>
    <row r="2524" spans="1:30" x14ac:dyDescent="0.25">
      <c r="A2524" s="4">
        <v>42585</v>
      </c>
      <c r="B2524" t="s">
        <v>30</v>
      </c>
      <c r="C2524">
        <v>111</v>
      </c>
      <c r="D2524">
        <v>2</v>
      </c>
      <c r="E2524">
        <v>3</v>
      </c>
      <c r="F2524" t="s">
        <v>320</v>
      </c>
      <c r="G2524" t="s">
        <v>32</v>
      </c>
      <c r="H2524" t="s">
        <v>33</v>
      </c>
      <c r="I2524" t="s">
        <v>57</v>
      </c>
      <c r="O2524" s="5"/>
      <c r="P2524" s="5"/>
    </row>
    <row r="2525" spans="1:30" x14ac:dyDescent="0.25">
      <c r="A2525" s="4">
        <v>42585</v>
      </c>
      <c r="B2525" t="s">
        <v>30</v>
      </c>
      <c r="C2525">
        <v>111</v>
      </c>
      <c r="D2525">
        <v>4</v>
      </c>
      <c r="E2525">
        <v>1</v>
      </c>
      <c r="F2525" t="s">
        <v>320</v>
      </c>
      <c r="G2525" t="s">
        <v>32</v>
      </c>
      <c r="H2525" t="s">
        <v>33</v>
      </c>
      <c r="I2525" t="s">
        <v>86</v>
      </c>
      <c r="O2525" s="5"/>
      <c r="P2525" s="5"/>
    </row>
    <row r="2526" spans="1:30" x14ac:dyDescent="0.25">
      <c r="A2526" s="4">
        <v>42585</v>
      </c>
      <c r="B2526" t="s">
        <v>30</v>
      </c>
      <c r="C2526">
        <v>111</v>
      </c>
      <c r="D2526">
        <v>4</v>
      </c>
      <c r="E2526">
        <v>2</v>
      </c>
      <c r="F2526" t="s">
        <v>320</v>
      </c>
      <c r="G2526" t="s">
        <v>32</v>
      </c>
      <c r="H2526" t="s">
        <v>33</v>
      </c>
      <c r="I2526" t="s">
        <v>86</v>
      </c>
      <c r="O2526" s="5"/>
      <c r="P2526" s="5"/>
    </row>
    <row r="2527" spans="1:30" x14ac:dyDescent="0.25">
      <c r="A2527" s="4">
        <v>42585</v>
      </c>
      <c r="B2527" t="s">
        <v>30</v>
      </c>
      <c r="C2527">
        <v>111</v>
      </c>
      <c r="D2527">
        <v>5</v>
      </c>
      <c r="E2527">
        <v>1</v>
      </c>
      <c r="F2527" t="s">
        <v>320</v>
      </c>
      <c r="G2527" t="s">
        <v>32</v>
      </c>
      <c r="H2527" t="s">
        <v>33</v>
      </c>
      <c r="I2527" t="s">
        <v>86</v>
      </c>
      <c r="O2527" s="5"/>
      <c r="P2527" s="5"/>
    </row>
    <row r="2528" spans="1:30" x14ac:dyDescent="0.25">
      <c r="A2528" s="4">
        <v>42585</v>
      </c>
      <c r="B2528" t="s">
        <v>30</v>
      </c>
      <c r="C2528">
        <v>111</v>
      </c>
      <c r="D2528">
        <v>5</v>
      </c>
      <c r="E2528">
        <v>2</v>
      </c>
      <c r="F2528" t="s">
        <v>320</v>
      </c>
      <c r="G2528" t="s">
        <v>32</v>
      </c>
      <c r="H2528" t="s">
        <v>33</v>
      </c>
      <c r="I2528" t="s">
        <v>86</v>
      </c>
      <c r="O2528" s="5"/>
      <c r="P2528" s="5"/>
    </row>
    <row r="2529" spans="1:29" x14ac:dyDescent="0.25">
      <c r="A2529" s="4">
        <v>42585</v>
      </c>
      <c r="B2529" t="s">
        <v>30</v>
      </c>
      <c r="C2529">
        <v>111</v>
      </c>
      <c r="D2529">
        <v>6</v>
      </c>
      <c r="E2529">
        <v>1</v>
      </c>
      <c r="F2529" t="s">
        <v>320</v>
      </c>
      <c r="G2529" t="s">
        <v>32</v>
      </c>
      <c r="H2529" t="s">
        <v>33</v>
      </c>
      <c r="I2529" t="s">
        <v>86</v>
      </c>
      <c r="O2529" s="5"/>
      <c r="P2529" s="5"/>
    </row>
    <row r="2530" spans="1:29" x14ac:dyDescent="0.25">
      <c r="A2530" s="4">
        <v>42585</v>
      </c>
      <c r="B2530" t="s">
        <v>30</v>
      </c>
      <c r="C2530">
        <v>111</v>
      </c>
      <c r="D2530">
        <v>6</v>
      </c>
      <c r="E2530">
        <v>2</v>
      </c>
      <c r="F2530" t="s">
        <v>320</v>
      </c>
      <c r="G2530" t="s">
        <v>32</v>
      </c>
      <c r="H2530" t="s">
        <v>33</v>
      </c>
      <c r="I2530" t="s">
        <v>86</v>
      </c>
      <c r="O2530" s="5"/>
      <c r="P2530" s="5"/>
    </row>
    <row r="2531" spans="1:29" x14ac:dyDescent="0.25">
      <c r="A2531" s="4">
        <v>42585</v>
      </c>
      <c r="B2531" t="s">
        <v>30</v>
      </c>
      <c r="C2531">
        <v>111</v>
      </c>
      <c r="D2531">
        <v>7</v>
      </c>
      <c r="E2531">
        <v>1</v>
      </c>
      <c r="F2531" t="s">
        <v>320</v>
      </c>
      <c r="G2531" t="s">
        <v>32</v>
      </c>
      <c r="H2531" t="s">
        <v>33</v>
      </c>
      <c r="I2531" t="s">
        <v>86</v>
      </c>
      <c r="O2531" s="5"/>
      <c r="P2531" s="5"/>
    </row>
    <row r="2532" spans="1:29" x14ac:dyDescent="0.25">
      <c r="A2532" s="4">
        <v>42585</v>
      </c>
      <c r="B2532" t="s">
        <v>30</v>
      </c>
      <c r="C2532">
        <v>111</v>
      </c>
      <c r="D2532">
        <v>7</v>
      </c>
      <c r="E2532">
        <v>2</v>
      </c>
      <c r="F2532" t="s">
        <v>320</v>
      </c>
      <c r="G2532" t="s">
        <v>32</v>
      </c>
      <c r="H2532" t="s">
        <v>33</v>
      </c>
      <c r="I2532" t="s">
        <v>86</v>
      </c>
      <c r="O2532" s="5"/>
      <c r="P2532" s="5"/>
    </row>
    <row r="2533" spans="1:29" x14ac:dyDescent="0.25">
      <c r="A2533" s="4">
        <v>42585</v>
      </c>
      <c r="B2533" t="s">
        <v>30</v>
      </c>
      <c r="C2533">
        <v>111</v>
      </c>
      <c r="D2533">
        <v>8</v>
      </c>
      <c r="E2533">
        <v>1</v>
      </c>
      <c r="F2533" t="s">
        <v>320</v>
      </c>
      <c r="G2533" t="s">
        <v>32</v>
      </c>
      <c r="H2533" t="s">
        <v>33</v>
      </c>
      <c r="I2533" t="s">
        <v>86</v>
      </c>
      <c r="O2533" s="5"/>
      <c r="P2533" s="5"/>
    </row>
    <row r="2534" spans="1:29" x14ac:dyDescent="0.25">
      <c r="A2534" s="4">
        <v>42585</v>
      </c>
      <c r="B2534" t="s">
        <v>30</v>
      </c>
      <c r="C2534">
        <v>111</v>
      </c>
      <c r="D2534">
        <v>8</v>
      </c>
      <c r="E2534">
        <v>2</v>
      </c>
      <c r="F2534" t="s">
        <v>320</v>
      </c>
      <c r="G2534" t="s">
        <v>32</v>
      </c>
      <c r="H2534" t="s">
        <v>33</v>
      </c>
      <c r="I2534" t="s">
        <v>86</v>
      </c>
      <c r="O2534" s="5"/>
      <c r="P2534" s="5"/>
    </row>
    <row r="2535" spans="1:29" x14ac:dyDescent="0.25">
      <c r="A2535" s="4">
        <v>42585</v>
      </c>
      <c r="B2535" t="s">
        <v>30</v>
      </c>
      <c r="C2535">
        <v>111</v>
      </c>
      <c r="D2535">
        <v>9</v>
      </c>
      <c r="E2535">
        <v>1</v>
      </c>
      <c r="F2535" t="s">
        <v>320</v>
      </c>
      <c r="G2535" t="s">
        <v>32</v>
      </c>
      <c r="H2535" t="s">
        <v>33</v>
      </c>
      <c r="I2535" t="s">
        <v>86</v>
      </c>
      <c r="O2535" s="5"/>
      <c r="P2535" s="5"/>
    </row>
    <row r="2536" spans="1:29" x14ac:dyDescent="0.25">
      <c r="A2536" s="4">
        <v>42585</v>
      </c>
      <c r="B2536" t="s">
        <v>30</v>
      </c>
      <c r="C2536">
        <v>111</v>
      </c>
      <c r="D2536">
        <v>9</v>
      </c>
      <c r="E2536">
        <v>2</v>
      </c>
      <c r="F2536" t="s">
        <v>320</v>
      </c>
      <c r="G2536" t="s">
        <v>32</v>
      </c>
      <c r="H2536" t="s">
        <v>33</v>
      </c>
      <c r="I2536" t="s">
        <v>86</v>
      </c>
      <c r="O2536" s="5"/>
      <c r="P2536" s="5"/>
    </row>
    <row r="2537" spans="1:29" x14ac:dyDescent="0.25">
      <c r="A2537" s="4">
        <v>42585</v>
      </c>
      <c r="B2537" t="s">
        <v>30</v>
      </c>
      <c r="C2537">
        <v>111</v>
      </c>
      <c r="D2537">
        <v>10</v>
      </c>
      <c r="E2537">
        <v>1</v>
      </c>
      <c r="F2537" t="s">
        <v>320</v>
      </c>
      <c r="G2537" t="s">
        <v>32</v>
      </c>
      <c r="H2537" t="s">
        <v>33</v>
      </c>
      <c r="I2537" t="s">
        <v>86</v>
      </c>
      <c r="O2537" s="5"/>
      <c r="P2537" s="5"/>
    </row>
    <row r="2538" spans="1:29" x14ac:dyDescent="0.25">
      <c r="A2538" s="4">
        <v>42585</v>
      </c>
      <c r="B2538" t="s">
        <v>30</v>
      </c>
      <c r="C2538">
        <v>112</v>
      </c>
      <c r="D2538">
        <v>1</v>
      </c>
      <c r="E2538">
        <v>1</v>
      </c>
      <c r="F2538" t="s">
        <v>320</v>
      </c>
      <c r="G2538" t="s">
        <v>32</v>
      </c>
      <c r="H2538" t="s">
        <v>33</v>
      </c>
      <c r="I2538" t="s">
        <v>57</v>
      </c>
      <c r="O2538" s="5"/>
      <c r="P2538" s="5"/>
    </row>
    <row r="2539" spans="1:29" x14ac:dyDescent="0.25">
      <c r="A2539" s="4">
        <v>42585</v>
      </c>
      <c r="B2539" t="s">
        <v>30</v>
      </c>
      <c r="C2539">
        <v>112</v>
      </c>
      <c r="D2539">
        <v>1</v>
      </c>
      <c r="E2539">
        <v>2</v>
      </c>
      <c r="F2539" t="s">
        <v>320</v>
      </c>
      <c r="G2539" t="s">
        <v>32</v>
      </c>
      <c r="H2539" t="s">
        <v>33</v>
      </c>
      <c r="I2539" t="s">
        <v>91</v>
      </c>
      <c r="J2539" t="s">
        <v>42</v>
      </c>
      <c r="K2539" t="s">
        <v>36</v>
      </c>
      <c r="L2539" t="s">
        <v>37</v>
      </c>
      <c r="M2539">
        <v>0</v>
      </c>
      <c r="N2539">
        <v>1</v>
      </c>
      <c r="O2539" s="5" t="s">
        <v>321</v>
      </c>
      <c r="P2539" s="5"/>
      <c r="Q2539">
        <f>28.5-5</f>
        <v>23.5</v>
      </c>
      <c r="R2539" t="s">
        <v>136</v>
      </c>
      <c r="S2539" t="s">
        <v>97</v>
      </c>
      <c r="T2539">
        <v>27</v>
      </c>
      <c r="W2539">
        <v>12.9</v>
      </c>
      <c r="X2539">
        <v>26.7</v>
      </c>
      <c r="Z2539" t="s">
        <v>39</v>
      </c>
      <c r="AB2539" t="s">
        <v>59</v>
      </c>
      <c r="AC2539" t="s">
        <v>88</v>
      </c>
    </row>
    <row r="2540" spans="1:29" x14ac:dyDescent="0.25">
      <c r="A2540" s="4">
        <v>42585</v>
      </c>
      <c r="B2540" t="s">
        <v>30</v>
      </c>
      <c r="C2540">
        <v>112</v>
      </c>
      <c r="D2540">
        <v>2</v>
      </c>
      <c r="E2540">
        <v>1</v>
      </c>
      <c r="F2540" t="s">
        <v>320</v>
      </c>
      <c r="G2540" t="s">
        <v>32</v>
      </c>
      <c r="H2540" t="s">
        <v>33</v>
      </c>
      <c r="I2540" t="s">
        <v>34</v>
      </c>
      <c r="J2540" t="s">
        <v>35</v>
      </c>
      <c r="K2540" t="s">
        <v>114</v>
      </c>
      <c r="L2540" t="s">
        <v>37</v>
      </c>
      <c r="M2540">
        <v>0</v>
      </c>
      <c r="N2540">
        <v>0</v>
      </c>
      <c r="O2540" s="5">
        <v>50709</v>
      </c>
      <c r="P2540" s="5">
        <v>50708</v>
      </c>
      <c r="Q2540">
        <f>22-5.5</f>
        <v>16.5</v>
      </c>
      <c r="R2540" t="s">
        <v>164</v>
      </c>
      <c r="S2540" t="s">
        <v>97</v>
      </c>
      <c r="T2540">
        <v>19</v>
      </c>
      <c r="U2540">
        <v>87</v>
      </c>
      <c r="V2540">
        <v>16</v>
      </c>
      <c r="W2540">
        <v>12.8</v>
      </c>
      <c r="X2540">
        <v>27.8</v>
      </c>
      <c r="Z2540" t="s">
        <v>39</v>
      </c>
      <c r="AB2540" t="s">
        <v>59</v>
      </c>
      <c r="AC2540" t="s">
        <v>88</v>
      </c>
    </row>
    <row r="2541" spans="1:29" x14ac:dyDescent="0.25">
      <c r="A2541" s="4">
        <v>42585</v>
      </c>
      <c r="B2541" t="s">
        <v>30</v>
      </c>
      <c r="C2541">
        <v>112</v>
      </c>
      <c r="D2541">
        <v>2</v>
      </c>
      <c r="E2541">
        <v>2</v>
      </c>
      <c r="F2541" t="s">
        <v>320</v>
      </c>
      <c r="G2541" t="s">
        <v>32</v>
      </c>
      <c r="H2541" t="s">
        <v>33</v>
      </c>
      <c r="I2541" t="s">
        <v>91</v>
      </c>
      <c r="J2541" t="s">
        <v>42</v>
      </c>
      <c r="K2541" t="s">
        <v>36</v>
      </c>
      <c r="L2541" t="s">
        <v>43</v>
      </c>
      <c r="M2541">
        <v>0</v>
      </c>
      <c r="N2541">
        <v>1</v>
      </c>
      <c r="O2541" s="5" t="s">
        <v>322</v>
      </c>
      <c r="P2541" s="5"/>
      <c r="Q2541">
        <f>24-4.5</f>
        <v>19.5</v>
      </c>
      <c r="R2541" t="s">
        <v>47</v>
      </c>
      <c r="T2541">
        <v>29</v>
      </c>
      <c r="W2541">
        <v>13</v>
      </c>
      <c r="X2541">
        <v>25.5</v>
      </c>
      <c r="Z2541" t="s">
        <v>97</v>
      </c>
      <c r="AA2541" t="s">
        <v>199</v>
      </c>
      <c r="AB2541" t="s">
        <v>59</v>
      </c>
      <c r="AC2541" t="s">
        <v>88</v>
      </c>
    </row>
    <row r="2542" spans="1:29" x14ac:dyDescent="0.25">
      <c r="A2542" s="4">
        <v>42585</v>
      </c>
      <c r="B2542" t="s">
        <v>30</v>
      </c>
      <c r="C2542">
        <v>112</v>
      </c>
      <c r="D2542">
        <v>3</v>
      </c>
      <c r="E2542">
        <v>1</v>
      </c>
      <c r="F2542" t="s">
        <v>320</v>
      </c>
      <c r="G2542" t="s">
        <v>32</v>
      </c>
      <c r="H2542" t="s">
        <v>33</v>
      </c>
      <c r="I2542" t="s">
        <v>57</v>
      </c>
      <c r="O2542" s="5"/>
      <c r="P2542" s="5"/>
    </row>
    <row r="2543" spans="1:29" x14ac:dyDescent="0.25">
      <c r="A2543" s="4">
        <v>42585</v>
      </c>
      <c r="B2543" t="s">
        <v>30</v>
      </c>
      <c r="C2543">
        <v>112</v>
      </c>
      <c r="D2543">
        <v>3</v>
      </c>
      <c r="E2543">
        <v>2</v>
      </c>
      <c r="F2543" t="s">
        <v>320</v>
      </c>
      <c r="G2543" t="s">
        <v>32</v>
      </c>
      <c r="H2543" t="s">
        <v>33</v>
      </c>
      <c r="I2543" t="s">
        <v>34</v>
      </c>
      <c r="J2543" t="s">
        <v>42</v>
      </c>
      <c r="K2543" t="s">
        <v>114</v>
      </c>
      <c r="L2543" t="s">
        <v>37</v>
      </c>
      <c r="M2543">
        <v>0</v>
      </c>
      <c r="N2543">
        <v>1</v>
      </c>
      <c r="O2543" s="5" t="s">
        <v>323</v>
      </c>
      <c r="P2543" s="5" t="s">
        <v>324</v>
      </c>
      <c r="Q2543">
        <f>24.5-5</f>
        <v>19.5</v>
      </c>
      <c r="R2543" t="s">
        <v>149</v>
      </c>
      <c r="S2543" t="s">
        <v>97</v>
      </c>
      <c r="T2543">
        <v>20</v>
      </c>
      <c r="U2543">
        <v>88</v>
      </c>
      <c r="V2543">
        <v>14</v>
      </c>
      <c r="W2543">
        <v>12.9</v>
      </c>
      <c r="X2543">
        <v>27.2</v>
      </c>
      <c r="Z2543" t="s">
        <v>39</v>
      </c>
      <c r="AB2543" t="s">
        <v>59</v>
      </c>
      <c r="AC2543" t="s">
        <v>88</v>
      </c>
    </row>
    <row r="2544" spans="1:29" x14ac:dyDescent="0.25">
      <c r="A2544" s="4">
        <v>42585</v>
      </c>
      <c r="B2544" t="s">
        <v>30</v>
      </c>
      <c r="C2544">
        <v>112</v>
      </c>
      <c r="D2544">
        <v>4</v>
      </c>
      <c r="E2544">
        <v>1</v>
      </c>
      <c r="F2544" t="s">
        <v>320</v>
      </c>
      <c r="G2544" t="s">
        <v>32</v>
      </c>
      <c r="H2544" t="s">
        <v>33</v>
      </c>
      <c r="I2544" t="s">
        <v>57</v>
      </c>
      <c r="O2544" s="5"/>
      <c r="P2544" s="5"/>
    </row>
    <row r="2545" spans="1:30" x14ac:dyDescent="0.25">
      <c r="A2545" s="4">
        <v>42585</v>
      </c>
      <c r="B2545" t="s">
        <v>30</v>
      </c>
      <c r="C2545">
        <v>112</v>
      </c>
      <c r="D2545">
        <v>4</v>
      </c>
      <c r="E2545">
        <v>2</v>
      </c>
      <c r="F2545" t="s">
        <v>320</v>
      </c>
      <c r="G2545" t="s">
        <v>32</v>
      </c>
      <c r="H2545" t="s">
        <v>33</v>
      </c>
      <c r="I2545" t="s">
        <v>91</v>
      </c>
      <c r="J2545" t="s">
        <v>42</v>
      </c>
      <c r="K2545" t="s">
        <v>114</v>
      </c>
      <c r="L2545" t="s">
        <v>43</v>
      </c>
      <c r="M2545">
        <v>0</v>
      </c>
      <c r="N2545">
        <v>1</v>
      </c>
      <c r="O2545" s="5" t="s">
        <v>325</v>
      </c>
      <c r="P2545" s="5"/>
      <c r="Q2545">
        <f>20.5-4</f>
        <v>16.5</v>
      </c>
      <c r="R2545" t="s">
        <v>65</v>
      </c>
      <c r="T2545">
        <v>28</v>
      </c>
      <c r="W2545">
        <v>12.8</v>
      </c>
      <c r="Z2545" t="s">
        <v>97</v>
      </c>
      <c r="AA2545" t="s">
        <v>199</v>
      </c>
      <c r="AB2545" t="s">
        <v>59</v>
      </c>
      <c r="AC2545" t="s">
        <v>88</v>
      </c>
    </row>
    <row r="2546" spans="1:30" x14ac:dyDescent="0.25">
      <c r="A2546" s="4">
        <v>42585</v>
      </c>
      <c r="B2546" t="s">
        <v>30</v>
      </c>
      <c r="C2546">
        <v>112</v>
      </c>
      <c r="D2546">
        <v>5</v>
      </c>
      <c r="E2546">
        <v>1</v>
      </c>
      <c r="F2546" t="s">
        <v>320</v>
      </c>
      <c r="G2546" t="s">
        <v>32</v>
      </c>
      <c r="H2546" t="s">
        <v>33</v>
      </c>
      <c r="I2546" t="s">
        <v>34</v>
      </c>
      <c r="J2546" t="s">
        <v>35</v>
      </c>
      <c r="K2546" t="s">
        <v>114</v>
      </c>
      <c r="L2546" t="s">
        <v>43</v>
      </c>
      <c r="M2546">
        <v>0</v>
      </c>
      <c r="N2546">
        <v>0</v>
      </c>
      <c r="O2546" s="5">
        <v>50574</v>
      </c>
      <c r="P2546" s="5">
        <v>50573</v>
      </c>
      <c r="Q2546">
        <f>21-4</f>
        <v>17</v>
      </c>
      <c r="R2546" t="s">
        <v>65</v>
      </c>
      <c r="T2546">
        <v>19</v>
      </c>
      <c r="U2546">
        <v>96</v>
      </c>
      <c r="V2546">
        <v>14</v>
      </c>
      <c r="W2546">
        <v>13</v>
      </c>
      <c r="X2546">
        <v>27.3</v>
      </c>
      <c r="Z2546" t="s">
        <v>97</v>
      </c>
      <c r="AA2546" t="s">
        <v>199</v>
      </c>
      <c r="AB2546" t="s">
        <v>59</v>
      </c>
      <c r="AC2546" t="s">
        <v>88</v>
      </c>
    </row>
    <row r="2547" spans="1:30" x14ac:dyDescent="0.25">
      <c r="A2547" s="4">
        <v>42585</v>
      </c>
      <c r="B2547" t="s">
        <v>30</v>
      </c>
      <c r="C2547">
        <v>112</v>
      </c>
      <c r="D2547">
        <v>5</v>
      </c>
      <c r="E2547">
        <v>2</v>
      </c>
      <c r="F2547" t="s">
        <v>320</v>
      </c>
      <c r="G2547" t="s">
        <v>32</v>
      </c>
      <c r="H2547" t="s">
        <v>33</v>
      </c>
      <c r="I2547" t="s">
        <v>34</v>
      </c>
      <c r="J2547" t="s">
        <v>35</v>
      </c>
      <c r="K2547" t="s">
        <v>114</v>
      </c>
      <c r="L2547" t="s">
        <v>37</v>
      </c>
      <c r="M2547">
        <v>0</v>
      </c>
      <c r="N2547">
        <v>0</v>
      </c>
      <c r="O2547" s="5">
        <v>50954</v>
      </c>
      <c r="P2547" s="5">
        <v>50953</v>
      </c>
      <c r="Q2547">
        <v>20</v>
      </c>
      <c r="R2547" t="s">
        <v>164</v>
      </c>
      <c r="S2547" t="s">
        <v>97</v>
      </c>
      <c r="T2547">
        <v>19</v>
      </c>
      <c r="U2547">
        <v>92</v>
      </c>
      <c r="V2547">
        <v>17</v>
      </c>
      <c r="W2547">
        <v>12.8</v>
      </c>
      <c r="X2547">
        <v>27.8</v>
      </c>
      <c r="Z2547" t="s">
        <v>39</v>
      </c>
      <c r="AB2547" t="s">
        <v>59</v>
      </c>
      <c r="AC2547" t="s">
        <v>88</v>
      </c>
    </row>
    <row r="2548" spans="1:30" x14ac:dyDescent="0.25">
      <c r="A2548" s="4">
        <v>42585</v>
      </c>
      <c r="B2548" t="s">
        <v>30</v>
      </c>
      <c r="C2548">
        <v>112</v>
      </c>
      <c r="D2548">
        <v>6</v>
      </c>
      <c r="E2548">
        <v>1</v>
      </c>
      <c r="F2548" t="s">
        <v>320</v>
      </c>
      <c r="G2548" t="s">
        <v>32</v>
      </c>
      <c r="H2548" t="s">
        <v>33</v>
      </c>
      <c r="I2548" t="s">
        <v>34</v>
      </c>
      <c r="J2548" t="s">
        <v>35</v>
      </c>
      <c r="K2548" t="s">
        <v>36</v>
      </c>
      <c r="L2548" t="s">
        <v>37</v>
      </c>
      <c r="M2548">
        <v>0</v>
      </c>
      <c r="N2548">
        <v>0</v>
      </c>
      <c r="O2548" s="5">
        <v>50956</v>
      </c>
      <c r="P2548" s="5">
        <v>50955</v>
      </c>
      <c r="Q2548">
        <f>25-5</f>
        <v>20</v>
      </c>
      <c r="R2548" t="s">
        <v>164</v>
      </c>
      <c r="S2548" t="s">
        <v>97</v>
      </c>
      <c r="T2548">
        <v>19</v>
      </c>
      <c r="U2548">
        <v>90</v>
      </c>
      <c r="V2548">
        <v>14</v>
      </c>
      <c r="W2548">
        <v>12.8</v>
      </c>
      <c r="X2548">
        <v>27.2</v>
      </c>
      <c r="Z2548" t="s">
        <v>97</v>
      </c>
      <c r="AA2548" t="s">
        <v>199</v>
      </c>
      <c r="AB2548" t="s">
        <v>59</v>
      </c>
      <c r="AC2548" t="s">
        <v>88</v>
      </c>
    </row>
    <row r="2549" spans="1:30" x14ac:dyDescent="0.25">
      <c r="A2549" s="4">
        <v>42585</v>
      </c>
      <c r="B2549" t="s">
        <v>30</v>
      </c>
      <c r="C2549">
        <v>112</v>
      </c>
      <c r="D2549">
        <v>6</v>
      </c>
      <c r="E2549">
        <v>2</v>
      </c>
      <c r="F2549" t="s">
        <v>320</v>
      </c>
      <c r="G2549" t="s">
        <v>32</v>
      </c>
      <c r="H2549" t="s">
        <v>33</v>
      </c>
      <c r="I2549" t="s">
        <v>34</v>
      </c>
      <c r="J2549" t="s">
        <v>42</v>
      </c>
      <c r="K2549" t="s">
        <v>89</v>
      </c>
      <c r="L2549" t="s">
        <v>43</v>
      </c>
      <c r="M2549">
        <v>0</v>
      </c>
      <c r="N2549">
        <v>1</v>
      </c>
      <c r="O2549" s="5" t="s">
        <v>326</v>
      </c>
      <c r="P2549" s="5" t="s">
        <v>327</v>
      </c>
      <c r="Q2549">
        <f>19-5</f>
        <v>14</v>
      </c>
      <c r="R2549" t="s">
        <v>65</v>
      </c>
      <c r="T2549">
        <v>18.5</v>
      </c>
      <c r="U2549">
        <v>84</v>
      </c>
      <c r="V2549">
        <v>15</v>
      </c>
      <c r="W2549">
        <v>12.8</v>
      </c>
      <c r="X2549">
        <v>26.8</v>
      </c>
      <c r="Z2549" t="s">
        <v>39</v>
      </c>
      <c r="AB2549" t="s">
        <v>59</v>
      </c>
      <c r="AC2549" t="s">
        <v>88</v>
      </c>
    </row>
    <row r="2550" spans="1:30" x14ac:dyDescent="0.25">
      <c r="A2550" s="4">
        <v>42585</v>
      </c>
      <c r="B2550" t="s">
        <v>30</v>
      </c>
      <c r="C2550">
        <v>112</v>
      </c>
      <c r="D2550">
        <v>7</v>
      </c>
      <c r="E2550">
        <v>1</v>
      </c>
      <c r="F2550" t="s">
        <v>320</v>
      </c>
      <c r="G2550" t="s">
        <v>32</v>
      </c>
      <c r="H2550" t="s">
        <v>33</v>
      </c>
      <c r="I2550" t="s">
        <v>57</v>
      </c>
      <c r="O2550" s="5"/>
      <c r="P2550" s="5"/>
    </row>
    <row r="2551" spans="1:30" x14ac:dyDescent="0.25">
      <c r="A2551" s="4">
        <v>42585</v>
      </c>
      <c r="B2551" t="s">
        <v>30</v>
      </c>
      <c r="C2551">
        <v>112</v>
      </c>
      <c r="D2551">
        <v>7</v>
      </c>
      <c r="E2551">
        <v>2</v>
      </c>
      <c r="F2551" t="s">
        <v>320</v>
      </c>
      <c r="G2551" t="s">
        <v>32</v>
      </c>
      <c r="H2551" t="s">
        <v>33</v>
      </c>
      <c r="I2551" t="s">
        <v>34</v>
      </c>
      <c r="J2551" t="s">
        <v>35</v>
      </c>
      <c r="K2551" t="s">
        <v>36</v>
      </c>
      <c r="L2551" t="s">
        <v>43</v>
      </c>
      <c r="M2551">
        <v>0</v>
      </c>
      <c r="N2551">
        <v>0</v>
      </c>
      <c r="O2551" s="5">
        <v>50497</v>
      </c>
      <c r="P2551" s="5">
        <v>50496</v>
      </c>
      <c r="Q2551">
        <v>20</v>
      </c>
      <c r="R2551" t="s">
        <v>47</v>
      </c>
      <c r="T2551">
        <v>20</v>
      </c>
      <c r="U2551">
        <v>82</v>
      </c>
      <c r="V2551">
        <v>15</v>
      </c>
      <c r="X2551">
        <v>12.9</v>
      </c>
      <c r="Z2551" t="s">
        <v>39</v>
      </c>
      <c r="AB2551" t="s">
        <v>59</v>
      </c>
      <c r="AC2551" t="s">
        <v>88</v>
      </c>
      <c r="AD2551" t="s">
        <v>328</v>
      </c>
    </row>
    <row r="2552" spans="1:30" x14ac:dyDescent="0.25">
      <c r="A2552" s="4">
        <v>42585</v>
      </c>
      <c r="B2552" t="s">
        <v>30</v>
      </c>
      <c r="C2552">
        <v>112</v>
      </c>
      <c r="D2552">
        <v>8</v>
      </c>
      <c r="E2552">
        <v>1</v>
      </c>
      <c r="F2552" t="s">
        <v>320</v>
      </c>
      <c r="G2552" t="s">
        <v>32</v>
      </c>
      <c r="H2552" t="s">
        <v>33</v>
      </c>
      <c r="I2552" t="s">
        <v>57</v>
      </c>
      <c r="O2552" s="5"/>
      <c r="P2552" s="5"/>
    </row>
    <row r="2553" spans="1:30" x14ac:dyDescent="0.25">
      <c r="A2553" s="4">
        <v>42585</v>
      </c>
      <c r="B2553" t="s">
        <v>30</v>
      </c>
      <c r="C2553">
        <v>112</v>
      </c>
      <c r="D2553">
        <v>8</v>
      </c>
      <c r="E2553">
        <v>2</v>
      </c>
      <c r="F2553" t="s">
        <v>320</v>
      </c>
      <c r="G2553" t="s">
        <v>32</v>
      </c>
      <c r="H2553" t="s">
        <v>33</v>
      </c>
      <c r="I2553" t="s">
        <v>58</v>
      </c>
      <c r="J2553" t="s">
        <v>42</v>
      </c>
      <c r="K2553" t="s">
        <v>114</v>
      </c>
      <c r="L2553" t="s">
        <v>43</v>
      </c>
      <c r="M2553">
        <v>0</v>
      </c>
      <c r="N2553">
        <v>1</v>
      </c>
      <c r="O2553" s="5" t="s">
        <v>329</v>
      </c>
      <c r="P2553" s="5"/>
      <c r="Q2553">
        <f>25.5-8.5</f>
        <v>17</v>
      </c>
      <c r="R2553" t="s">
        <v>65</v>
      </c>
      <c r="T2553">
        <v>18</v>
      </c>
      <c r="W2553">
        <v>12.7</v>
      </c>
      <c r="X2553">
        <v>26.7</v>
      </c>
      <c r="Z2553" t="s">
        <v>39</v>
      </c>
      <c r="AB2553" t="s">
        <v>59</v>
      </c>
      <c r="AC2553" t="s">
        <v>88</v>
      </c>
    </row>
    <row r="2554" spans="1:30" x14ac:dyDescent="0.25">
      <c r="A2554" s="4">
        <v>42585</v>
      </c>
      <c r="B2554" t="s">
        <v>30</v>
      </c>
      <c r="C2554">
        <v>112</v>
      </c>
      <c r="D2554">
        <v>9</v>
      </c>
      <c r="E2554">
        <v>1</v>
      </c>
      <c r="F2554" t="s">
        <v>320</v>
      </c>
      <c r="G2554" t="s">
        <v>32</v>
      </c>
      <c r="H2554" t="s">
        <v>33</v>
      </c>
      <c r="I2554" t="s">
        <v>57</v>
      </c>
      <c r="O2554" s="5"/>
      <c r="P2554" s="5"/>
    </row>
    <row r="2555" spans="1:30" x14ac:dyDescent="0.25">
      <c r="A2555" s="4">
        <v>42585</v>
      </c>
      <c r="B2555" t="s">
        <v>30</v>
      </c>
      <c r="C2555">
        <v>112</v>
      </c>
      <c r="D2555">
        <v>9</v>
      </c>
      <c r="E2555">
        <v>2</v>
      </c>
      <c r="F2555" t="s">
        <v>320</v>
      </c>
      <c r="G2555" t="s">
        <v>32</v>
      </c>
      <c r="H2555" t="s">
        <v>33</v>
      </c>
      <c r="I2555" t="s">
        <v>91</v>
      </c>
      <c r="J2555" t="s">
        <v>42</v>
      </c>
      <c r="K2555" t="s">
        <v>36</v>
      </c>
      <c r="L2555" t="s">
        <v>43</v>
      </c>
      <c r="M2555">
        <v>0</v>
      </c>
      <c r="N2555">
        <v>1</v>
      </c>
      <c r="O2555" s="5" t="s">
        <v>330</v>
      </c>
      <c r="P2555" s="5"/>
      <c r="Q2555">
        <f>22.5-4</f>
        <v>18.5</v>
      </c>
      <c r="R2555" t="s">
        <v>47</v>
      </c>
      <c r="T2555">
        <v>30</v>
      </c>
      <c r="W2555">
        <v>12.8</v>
      </c>
      <c r="X2555">
        <v>26.9</v>
      </c>
      <c r="Z2555" t="s">
        <v>97</v>
      </c>
      <c r="AA2555" t="s">
        <v>199</v>
      </c>
      <c r="AB2555" t="s">
        <v>59</v>
      </c>
      <c r="AC2555" t="s">
        <v>88</v>
      </c>
    </row>
    <row r="2556" spans="1:30" x14ac:dyDescent="0.25">
      <c r="A2556" s="4">
        <v>42585</v>
      </c>
      <c r="B2556" t="s">
        <v>30</v>
      </c>
      <c r="C2556">
        <v>112</v>
      </c>
      <c r="D2556">
        <v>10</v>
      </c>
      <c r="E2556">
        <v>1</v>
      </c>
      <c r="F2556" t="s">
        <v>320</v>
      </c>
      <c r="G2556" t="s">
        <v>32</v>
      </c>
      <c r="H2556" t="s">
        <v>33</v>
      </c>
      <c r="I2556" t="s">
        <v>34</v>
      </c>
      <c r="J2556" t="s">
        <v>35</v>
      </c>
      <c r="K2556" t="s">
        <v>36</v>
      </c>
      <c r="L2556" t="s">
        <v>43</v>
      </c>
      <c r="M2556">
        <v>0</v>
      </c>
      <c r="N2556">
        <v>0</v>
      </c>
      <c r="O2556" s="5">
        <v>50595</v>
      </c>
      <c r="P2556" s="5">
        <v>50594</v>
      </c>
      <c r="Q2556">
        <f>23.5-4</f>
        <v>19.5</v>
      </c>
      <c r="R2556" t="s">
        <v>47</v>
      </c>
      <c r="T2556">
        <v>19</v>
      </c>
      <c r="U2556">
        <v>15</v>
      </c>
      <c r="V2556">
        <v>88</v>
      </c>
      <c r="W2556">
        <v>12.7</v>
      </c>
      <c r="X2556">
        <v>26.6</v>
      </c>
      <c r="Z2556" t="s">
        <v>97</v>
      </c>
      <c r="AA2556" t="s">
        <v>199</v>
      </c>
      <c r="AB2556" t="s">
        <v>59</v>
      </c>
      <c r="AC2556" t="s">
        <v>88</v>
      </c>
    </row>
    <row r="2557" spans="1:30" x14ac:dyDescent="0.25">
      <c r="A2557" s="4">
        <v>42585</v>
      </c>
      <c r="B2557" t="s">
        <v>30</v>
      </c>
      <c r="C2557">
        <v>112</v>
      </c>
      <c r="D2557">
        <v>10</v>
      </c>
      <c r="E2557">
        <v>2</v>
      </c>
      <c r="F2557" t="s">
        <v>320</v>
      </c>
      <c r="G2557" t="s">
        <v>32</v>
      </c>
      <c r="H2557" t="s">
        <v>33</v>
      </c>
      <c r="I2557" t="s">
        <v>57</v>
      </c>
      <c r="O2557" s="5"/>
      <c r="P2557" s="5"/>
    </row>
    <row r="2558" spans="1:30" x14ac:dyDescent="0.25">
      <c r="A2558" s="4">
        <v>42585</v>
      </c>
      <c r="B2558" t="s">
        <v>30</v>
      </c>
      <c r="C2558">
        <v>113</v>
      </c>
      <c r="D2558">
        <v>1</v>
      </c>
      <c r="E2558">
        <v>1</v>
      </c>
      <c r="F2558" t="s">
        <v>320</v>
      </c>
      <c r="G2558" t="s">
        <v>32</v>
      </c>
      <c r="H2558" t="s">
        <v>33</v>
      </c>
      <c r="I2558" t="s">
        <v>34</v>
      </c>
      <c r="J2558" t="s">
        <v>35</v>
      </c>
      <c r="K2558" t="s">
        <v>89</v>
      </c>
      <c r="L2558" t="s">
        <v>37</v>
      </c>
      <c r="M2558">
        <v>0</v>
      </c>
      <c r="N2558">
        <v>0</v>
      </c>
      <c r="O2558" s="5">
        <v>50893</v>
      </c>
      <c r="P2558" s="5">
        <v>50892</v>
      </c>
      <c r="Q2558">
        <f>17-4</f>
        <v>13</v>
      </c>
      <c r="R2558" t="s">
        <v>38</v>
      </c>
      <c r="S2558" t="s">
        <v>39</v>
      </c>
      <c r="T2558">
        <v>19</v>
      </c>
      <c r="U2558">
        <v>85</v>
      </c>
      <c r="V2558">
        <v>15</v>
      </c>
      <c r="W2558">
        <v>12.9</v>
      </c>
      <c r="X2558">
        <v>26.6</v>
      </c>
      <c r="Z2558" t="s">
        <v>39</v>
      </c>
      <c r="AB2558" t="s">
        <v>59</v>
      </c>
      <c r="AC2558" t="s">
        <v>88</v>
      </c>
    </row>
    <row r="2559" spans="1:30" x14ac:dyDescent="0.25">
      <c r="A2559" s="4">
        <v>42585</v>
      </c>
      <c r="B2559" t="s">
        <v>30</v>
      </c>
      <c r="C2559">
        <v>113</v>
      </c>
      <c r="D2559">
        <v>2</v>
      </c>
      <c r="E2559">
        <v>1</v>
      </c>
      <c r="F2559" t="s">
        <v>320</v>
      </c>
      <c r="G2559" t="s">
        <v>32</v>
      </c>
      <c r="H2559" t="s">
        <v>33</v>
      </c>
      <c r="I2559" t="s">
        <v>34</v>
      </c>
      <c r="J2559" t="s">
        <v>35</v>
      </c>
      <c r="M2559">
        <v>0</v>
      </c>
      <c r="N2559">
        <v>0</v>
      </c>
      <c r="O2559" s="5">
        <v>50716</v>
      </c>
      <c r="P2559" s="5">
        <v>50715</v>
      </c>
      <c r="AB2559" t="s">
        <v>59</v>
      </c>
      <c r="AC2559" t="s">
        <v>88</v>
      </c>
      <c r="AD2559" t="s">
        <v>331</v>
      </c>
    </row>
    <row r="2560" spans="1:30" x14ac:dyDescent="0.25">
      <c r="A2560" s="4">
        <v>42585</v>
      </c>
      <c r="B2560" t="s">
        <v>30</v>
      </c>
      <c r="C2560">
        <v>113</v>
      </c>
      <c r="D2560">
        <v>2</v>
      </c>
      <c r="E2560">
        <v>2</v>
      </c>
      <c r="F2560" t="s">
        <v>320</v>
      </c>
      <c r="G2560" t="s">
        <v>32</v>
      </c>
      <c r="H2560" t="s">
        <v>33</v>
      </c>
      <c r="I2560" t="s">
        <v>34</v>
      </c>
      <c r="J2560" t="s">
        <v>35</v>
      </c>
      <c r="K2560" t="s">
        <v>114</v>
      </c>
      <c r="L2560" t="s">
        <v>43</v>
      </c>
      <c r="M2560">
        <v>0</v>
      </c>
      <c r="N2560">
        <v>0</v>
      </c>
      <c r="O2560" s="5">
        <v>50900</v>
      </c>
      <c r="P2560" s="5">
        <v>50899</v>
      </c>
      <c r="Q2560">
        <f>21-2</f>
        <v>19</v>
      </c>
      <c r="R2560" t="s">
        <v>47</v>
      </c>
      <c r="T2560">
        <v>18.5</v>
      </c>
      <c r="U2560">
        <v>86</v>
      </c>
      <c r="V2560">
        <v>17</v>
      </c>
      <c r="W2560">
        <v>12.9</v>
      </c>
      <c r="X2560">
        <v>27.4</v>
      </c>
      <c r="Y2560" t="s">
        <v>332</v>
      </c>
      <c r="Z2560" t="s">
        <v>39</v>
      </c>
      <c r="AB2560" t="s">
        <v>59</v>
      </c>
      <c r="AC2560" t="s">
        <v>88</v>
      </c>
    </row>
    <row r="2561" spans="1:30" x14ac:dyDescent="0.25">
      <c r="A2561" s="4">
        <v>42585</v>
      </c>
      <c r="B2561" t="s">
        <v>30</v>
      </c>
      <c r="C2561">
        <v>113</v>
      </c>
      <c r="D2561">
        <v>3</v>
      </c>
      <c r="E2561">
        <v>1</v>
      </c>
      <c r="F2561" t="s">
        <v>320</v>
      </c>
      <c r="G2561" t="s">
        <v>32</v>
      </c>
      <c r="H2561" t="s">
        <v>33</v>
      </c>
      <c r="I2561" t="s">
        <v>57</v>
      </c>
      <c r="O2561" s="5"/>
      <c r="P2561" s="5"/>
    </row>
    <row r="2562" spans="1:30" x14ac:dyDescent="0.25">
      <c r="A2562" s="4">
        <v>42585</v>
      </c>
      <c r="B2562" t="s">
        <v>30</v>
      </c>
      <c r="C2562">
        <v>113</v>
      </c>
      <c r="D2562">
        <v>3</v>
      </c>
      <c r="E2562">
        <v>2</v>
      </c>
      <c r="F2562" t="s">
        <v>320</v>
      </c>
      <c r="G2562" t="s">
        <v>32</v>
      </c>
      <c r="H2562" t="s">
        <v>33</v>
      </c>
      <c r="I2562" t="s">
        <v>53</v>
      </c>
      <c r="J2562" t="s">
        <v>62</v>
      </c>
      <c r="O2562" s="5"/>
      <c r="P2562" s="5"/>
    </row>
    <row r="2563" spans="1:30" x14ac:dyDescent="0.25">
      <c r="A2563" s="4">
        <v>42585</v>
      </c>
      <c r="B2563" t="s">
        <v>30</v>
      </c>
      <c r="C2563">
        <v>113</v>
      </c>
      <c r="D2563">
        <v>4</v>
      </c>
      <c r="E2563">
        <v>1</v>
      </c>
      <c r="F2563" t="s">
        <v>320</v>
      </c>
      <c r="G2563" t="s">
        <v>32</v>
      </c>
      <c r="H2563" t="s">
        <v>33</v>
      </c>
      <c r="I2563" t="s">
        <v>57</v>
      </c>
      <c r="O2563" s="5"/>
      <c r="P2563" s="5"/>
    </row>
    <row r="2564" spans="1:30" x14ac:dyDescent="0.25">
      <c r="A2564" s="4">
        <v>42585</v>
      </c>
      <c r="B2564" t="s">
        <v>30</v>
      </c>
      <c r="C2564">
        <v>113</v>
      </c>
      <c r="D2564">
        <v>4</v>
      </c>
      <c r="E2564">
        <v>2</v>
      </c>
      <c r="F2564" t="s">
        <v>320</v>
      </c>
      <c r="G2564" t="s">
        <v>32</v>
      </c>
      <c r="H2564" t="s">
        <v>33</v>
      </c>
      <c r="I2564" t="s">
        <v>34</v>
      </c>
      <c r="J2564" t="s">
        <v>35</v>
      </c>
      <c r="K2564" t="s">
        <v>114</v>
      </c>
      <c r="L2564" t="s">
        <v>43</v>
      </c>
      <c r="M2564">
        <v>0</v>
      </c>
      <c r="N2564">
        <v>0</v>
      </c>
      <c r="O2564" s="5">
        <v>50825</v>
      </c>
      <c r="P2564" s="5">
        <v>50824</v>
      </c>
      <c r="Q2564">
        <f>23.5-7.5</f>
        <v>16</v>
      </c>
      <c r="R2564" t="s">
        <v>47</v>
      </c>
      <c r="T2564">
        <v>20.5</v>
      </c>
      <c r="U2564">
        <v>80</v>
      </c>
      <c r="V2564">
        <v>16</v>
      </c>
      <c r="W2564">
        <v>12.9</v>
      </c>
      <c r="X2564">
        <v>26.6</v>
      </c>
      <c r="Z2564" t="s">
        <v>97</v>
      </c>
      <c r="AA2564" t="s">
        <v>199</v>
      </c>
      <c r="AB2564" t="s">
        <v>59</v>
      </c>
      <c r="AC2564" t="s">
        <v>88</v>
      </c>
    </row>
    <row r="2565" spans="1:30" x14ac:dyDescent="0.25">
      <c r="A2565" s="4">
        <v>42585</v>
      </c>
      <c r="B2565" t="s">
        <v>30</v>
      </c>
      <c r="C2565">
        <v>113</v>
      </c>
      <c r="D2565">
        <v>5</v>
      </c>
      <c r="E2565">
        <v>1</v>
      </c>
      <c r="F2565" t="s">
        <v>320</v>
      </c>
      <c r="G2565" t="s">
        <v>32</v>
      </c>
      <c r="H2565" t="s">
        <v>33</v>
      </c>
      <c r="I2565" t="s">
        <v>57</v>
      </c>
      <c r="O2565" s="5"/>
      <c r="P2565" s="5"/>
    </row>
    <row r="2566" spans="1:30" x14ac:dyDescent="0.25">
      <c r="A2566" s="4">
        <v>42585</v>
      </c>
      <c r="B2566" t="s">
        <v>30</v>
      </c>
      <c r="C2566">
        <v>113</v>
      </c>
      <c r="D2566">
        <v>5</v>
      </c>
      <c r="E2566">
        <v>2</v>
      </c>
      <c r="F2566" t="s">
        <v>320</v>
      </c>
      <c r="G2566" t="s">
        <v>32</v>
      </c>
      <c r="H2566" t="s">
        <v>33</v>
      </c>
      <c r="I2566" t="s">
        <v>57</v>
      </c>
      <c r="O2566" s="5"/>
      <c r="P2566" s="5"/>
    </row>
    <row r="2567" spans="1:30" x14ac:dyDescent="0.25">
      <c r="A2567" s="4">
        <v>42585</v>
      </c>
      <c r="B2567" t="s">
        <v>30</v>
      </c>
      <c r="C2567">
        <v>113</v>
      </c>
      <c r="D2567">
        <v>6</v>
      </c>
      <c r="E2567">
        <v>1</v>
      </c>
      <c r="F2567" t="s">
        <v>320</v>
      </c>
      <c r="G2567" t="s">
        <v>32</v>
      </c>
      <c r="H2567" t="s">
        <v>33</v>
      </c>
      <c r="I2567" t="s">
        <v>57</v>
      </c>
      <c r="O2567" s="5"/>
      <c r="P2567" s="5"/>
    </row>
    <row r="2568" spans="1:30" x14ac:dyDescent="0.25">
      <c r="A2568" s="4">
        <v>42585</v>
      </c>
      <c r="B2568" t="s">
        <v>30</v>
      </c>
      <c r="C2568">
        <v>113</v>
      </c>
      <c r="D2568">
        <v>6</v>
      </c>
      <c r="E2568">
        <v>2</v>
      </c>
      <c r="F2568" t="s">
        <v>320</v>
      </c>
      <c r="G2568" t="s">
        <v>32</v>
      </c>
      <c r="H2568" t="s">
        <v>33</v>
      </c>
      <c r="I2568" t="s">
        <v>57</v>
      </c>
      <c r="O2568" s="5"/>
      <c r="P2568" s="5"/>
    </row>
    <row r="2569" spans="1:30" x14ac:dyDescent="0.25">
      <c r="A2569" s="4">
        <v>42585</v>
      </c>
      <c r="B2569" t="s">
        <v>30</v>
      </c>
      <c r="C2569">
        <v>113</v>
      </c>
      <c r="D2569">
        <v>7</v>
      </c>
      <c r="E2569">
        <v>1</v>
      </c>
      <c r="F2569" t="s">
        <v>320</v>
      </c>
      <c r="G2569" t="s">
        <v>32</v>
      </c>
      <c r="H2569" t="s">
        <v>33</v>
      </c>
      <c r="I2569" t="s">
        <v>57</v>
      </c>
      <c r="O2569" s="5"/>
      <c r="P2569" s="5"/>
    </row>
    <row r="2570" spans="1:30" x14ac:dyDescent="0.25">
      <c r="A2570" s="4">
        <v>42585</v>
      </c>
      <c r="B2570" t="s">
        <v>30</v>
      </c>
      <c r="C2570">
        <v>113</v>
      </c>
      <c r="D2570">
        <v>7</v>
      </c>
      <c r="E2570">
        <v>2</v>
      </c>
      <c r="F2570" t="s">
        <v>320</v>
      </c>
      <c r="G2570" t="s">
        <v>32</v>
      </c>
      <c r="H2570" t="s">
        <v>33</v>
      </c>
      <c r="I2570" t="s">
        <v>73</v>
      </c>
      <c r="J2570" t="s">
        <v>35</v>
      </c>
      <c r="K2570" t="s">
        <v>36</v>
      </c>
      <c r="L2570" t="s">
        <v>43</v>
      </c>
      <c r="M2570">
        <v>0</v>
      </c>
      <c r="N2570">
        <v>0</v>
      </c>
      <c r="O2570" s="5">
        <v>50482</v>
      </c>
      <c r="P2570" s="5"/>
      <c r="Q2570">
        <f>136-48</f>
        <v>88</v>
      </c>
      <c r="R2570" t="s">
        <v>47</v>
      </c>
      <c r="T2570">
        <v>31</v>
      </c>
      <c r="Z2570" t="s">
        <v>39</v>
      </c>
      <c r="AB2570" t="s">
        <v>59</v>
      </c>
      <c r="AC2570" t="s">
        <v>88</v>
      </c>
      <c r="AD2570" t="s">
        <v>333</v>
      </c>
    </row>
    <row r="2571" spans="1:30" x14ac:dyDescent="0.25">
      <c r="A2571" s="4">
        <v>42585</v>
      </c>
      <c r="B2571" t="s">
        <v>30</v>
      </c>
      <c r="C2571">
        <v>113</v>
      </c>
      <c r="D2571">
        <v>8</v>
      </c>
      <c r="E2571">
        <v>1</v>
      </c>
      <c r="F2571" t="s">
        <v>320</v>
      </c>
      <c r="G2571" t="s">
        <v>32</v>
      </c>
      <c r="H2571" t="s">
        <v>33</v>
      </c>
      <c r="I2571" t="s">
        <v>57</v>
      </c>
      <c r="O2571" s="5"/>
      <c r="P2571" s="5"/>
    </row>
    <row r="2572" spans="1:30" x14ac:dyDescent="0.25">
      <c r="A2572" s="4">
        <v>42585</v>
      </c>
      <c r="B2572" t="s">
        <v>30</v>
      </c>
      <c r="C2572">
        <v>113</v>
      </c>
      <c r="D2572">
        <v>8</v>
      </c>
      <c r="E2572">
        <v>2</v>
      </c>
      <c r="F2572" t="s">
        <v>320</v>
      </c>
      <c r="G2572" t="s">
        <v>32</v>
      </c>
      <c r="H2572" t="s">
        <v>33</v>
      </c>
      <c r="I2572" t="s">
        <v>57</v>
      </c>
      <c r="O2572" s="5"/>
      <c r="P2572" s="5"/>
    </row>
    <row r="2573" spans="1:30" x14ac:dyDescent="0.25">
      <c r="A2573" s="4">
        <v>42585</v>
      </c>
      <c r="B2573" t="s">
        <v>30</v>
      </c>
      <c r="C2573">
        <v>113</v>
      </c>
      <c r="D2573">
        <v>9</v>
      </c>
      <c r="E2573">
        <v>1</v>
      </c>
      <c r="F2573" t="s">
        <v>320</v>
      </c>
      <c r="G2573" t="s">
        <v>32</v>
      </c>
      <c r="H2573" t="s">
        <v>33</v>
      </c>
      <c r="I2573" t="s">
        <v>57</v>
      </c>
      <c r="O2573" s="5"/>
      <c r="P2573" s="5"/>
    </row>
    <row r="2574" spans="1:30" x14ac:dyDescent="0.25">
      <c r="A2574" s="4">
        <v>42585</v>
      </c>
      <c r="B2574" t="s">
        <v>30</v>
      </c>
      <c r="C2574">
        <v>113</v>
      </c>
      <c r="D2574">
        <v>9</v>
      </c>
      <c r="E2574">
        <v>2</v>
      </c>
      <c r="F2574" t="s">
        <v>320</v>
      </c>
      <c r="G2574" t="s">
        <v>32</v>
      </c>
      <c r="H2574" t="s">
        <v>33</v>
      </c>
      <c r="I2574" t="s">
        <v>57</v>
      </c>
      <c r="O2574" s="5"/>
      <c r="P2574" s="5"/>
    </row>
    <row r="2575" spans="1:30" x14ac:dyDescent="0.25">
      <c r="A2575" s="4">
        <v>42585</v>
      </c>
      <c r="B2575" t="s">
        <v>30</v>
      </c>
      <c r="C2575">
        <v>113</v>
      </c>
      <c r="D2575">
        <v>10</v>
      </c>
      <c r="E2575">
        <v>1</v>
      </c>
      <c r="F2575" t="s">
        <v>320</v>
      </c>
      <c r="G2575" t="s">
        <v>32</v>
      </c>
      <c r="H2575" t="s">
        <v>33</v>
      </c>
      <c r="I2575" t="s">
        <v>34</v>
      </c>
      <c r="J2575" t="s">
        <v>35</v>
      </c>
      <c r="K2575" t="s">
        <v>36</v>
      </c>
      <c r="L2575" t="s">
        <v>37</v>
      </c>
      <c r="M2575">
        <v>0</v>
      </c>
      <c r="N2575">
        <v>0</v>
      </c>
      <c r="O2575" s="5">
        <v>50854</v>
      </c>
      <c r="P2575" s="5">
        <v>50853</v>
      </c>
      <c r="Q2575">
        <f>28.5-6</f>
        <v>22.5</v>
      </c>
      <c r="R2575" t="s">
        <v>149</v>
      </c>
      <c r="S2575" t="s">
        <v>97</v>
      </c>
      <c r="T2575">
        <v>19</v>
      </c>
      <c r="U2575">
        <v>95</v>
      </c>
      <c r="V2575">
        <v>16</v>
      </c>
      <c r="W2575">
        <v>13</v>
      </c>
      <c r="X2575">
        <v>27.4</v>
      </c>
      <c r="Z2575" t="s">
        <v>39</v>
      </c>
      <c r="AB2575" t="s">
        <v>59</v>
      </c>
      <c r="AC2575" t="s">
        <v>88</v>
      </c>
    </row>
    <row r="2576" spans="1:30" x14ac:dyDescent="0.25">
      <c r="A2576" s="4">
        <v>42585</v>
      </c>
      <c r="B2576" t="s">
        <v>30</v>
      </c>
      <c r="C2576">
        <v>113</v>
      </c>
      <c r="D2576">
        <v>10</v>
      </c>
      <c r="E2576">
        <v>2</v>
      </c>
      <c r="F2576" t="s">
        <v>320</v>
      </c>
      <c r="G2576" t="s">
        <v>32</v>
      </c>
      <c r="H2576" t="s">
        <v>33</v>
      </c>
      <c r="I2576" t="s">
        <v>34</v>
      </c>
      <c r="J2576" t="s">
        <v>35</v>
      </c>
      <c r="K2576" t="s">
        <v>36</v>
      </c>
      <c r="L2576" t="s">
        <v>37</v>
      </c>
      <c r="M2576">
        <v>0</v>
      </c>
      <c r="N2576">
        <v>0</v>
      </c>
      <c r="O2576" s="5">
        <v>50520</v>
      </c>
      <c r="P2576" s="5">
        <v>50519</v>
      </c>
      <c r="Q2576">
        <f>27-8</f>
        <v>19</v>
      </c>
      <c r="R2576" t="s">
        <v>149</v>
      </c>
      <c r="S2576" t="s">
        <v>97</v>
      </c>
      <c r="T2576">
        <v>19</v>
      </c>
      <c r="U2576">
        <v>87</v>
      </c>
      <c r="V2576">
        <v>15</v>
      </c>
      <c r="W2576">
        <v>12.8</v>
      </c>
      <c r="X2576">
        <v>27.6</v>
      </c>
      <c r="Z2576" t="s">
        <v>39</v>
      </c>
      <c r="AB2576" t="s">
        <v>59</v>
      </c>
      <c r="AC2576" t="s">
        <v>88</v>
      </c>
    </row>
    <row r="2577" spans="1:29" x14ac:dyDescent="0.25">
      <c r="A2577" s="4">
        <v>42585</v>
      </c>
      <c r="B2577" t="s">
        <v>30</v>
      </c>
      <c r="C2577">
        <v>402</v>
      </c>
      <c r="D2577">
        <v>1</v>
      </c>
      <c r="E2577" t="s">
        <v>334</v>
      </c>
      <c r="F2577" t="s">
        <v>320</v>
      </c>
      <c r="G2577" t="s">
        <v>32</v>
      </c>
      <c r="H2577" t="s">
        <v>33</v>
      </c>
      <c r="I2577" t="s">
        <v>58</v>
      </c>
      <c r="J2577" t="s">
        <v>35</v>
      </c>
      <c r="K2577" t="s">
        <v>36</v>
      </c>
      <c r="L2577" t="s">
        <v>43</v>
      </c>
      <c r="M2577">
        <v>0</v>
      </c>
      <c r="N2577">
        <v>0</v>
      </c>
      <c r="O2577" s="5">
        <v>50807</v>
      </c>
      <c r="P2577" s="5"/>
      <c r="Q2577">
        <f>29-6</f>
        <v>23</v>
      </c>
      <c r="R2577" t="s">
        <v>47</v>
      </c>
      <c r="T2577">
        <v>17</v>
      </c>
      <c r="W2577">
        <v>12.6</v>
      </c>
      <c r="X2577">
        <v>25.3</v>
      </c>
      <c r="Z2577" t="s">
        <v>97</v>
      </c>
      <c r="AA2577" t="s">
        <v>199</v>
      </c>
      <c r="AB2577" t="s">
        <v>59</v>
      </c>
      <c r="AC2577" t="s">
        <v>88</v>
      </c>
    </row>
    <row r="2578" spans="1:29" x14ac:dyDescent="0.25">
      <c r="A2578" s="4">
        <v>42585</v>
      </c>
      <c r="B2578" t="s">
        <v>30</v>
      </c>
      <c r="C2578">
        <v>402</v>
      </c>
      <c r="D2578">
        <v>1</v>
      </c>
      <c r="E2578" t="s">
        <v>335</v>
      </c>
      <c r="F2578" t="s">
        <v>320</v>
      </c>
      <c r="G2578" t="s">
        <v>32</v>
      </c>
      <c r="H2578" t="s">
        <v>33</v>
      </c>
      <c r="I2578" t="s">
        <v>58</v>
      </c>
      <c r="J2578" t="s">
        <v>35</v>
      </c>
      <c r="K2578" t="s">
        <v>114</v>
      </c>
      <c r="L2578" t="s">
        <v>43</v>
      </c>
      <c r="M2578">
        <v>0</v>
      </c>
      <c r="N2578">
        <v>0</v>
      </c>
      <c r="O2578" s="5">
        <v>50806</v>
      </c>
      <c r="P2578" s="5"/>
      <c r="Q2578">
        <f>26.5-5</f>
        <v>21.5</v>
      </c>
      <c r="R2578" t="s">
        <v>65</v>
      </c>
      <c r="Z2578" t="s">
        <v>97</v>
      </c>
      <c r="AA2578" t="s">
        <v>199</v>
      </c>
      <c r="AB2578" t="s">
        <v>59</v>
      </c>
      <c r="AC2578" t="s">
        <v>88</v>
      </c>
    </row>
    <row r="2579" spans="1:29" x14ac:dyDescent="0.25">
      <c r="A2579" s="4">
        <v>42585</v>
      </c>
      <c r="B2579" t="s">
        <v>30</v>
      </c>
      <c r="C2579">
        <v>402</v>
      </c>
      <c r="D2579">
        <v>1</v>
      </c>
      <c r="E2579">
        <v>2</v>
      </c>
      <c r="F2579" t="s">
        <v>320</v>
      </c>
      <c r="G2579" t="s">
        <v>32</v>
      </c>
      <c r="H2579" t="s">
        <v>33</v>
      </c>
      <c r="I2579" t="s">
        <v>58</v>
      </c>
      <c r="J2579" t="s">
        <v>42</v>
      </c>
      <c r="K2579" t="s">
        <v>114</v>
      </c>
      <c r="L2579" t="s">
        <v>43</v>
      </c>
      <c r="M2579">
        <v>0</v>
      </c>
      <c r="N2579">
        <v>1</v>
      </c>
      <c r="O2579" s="5" t="s">
        <v>336</v>
      </c>
      <c r="P2579" s="5"/>
      <c r="Q2579">
        <f>24-6</f>
        <v>18</v>
      </c>
      <c r="R2579" t="s">
        <v>65</v>
      </c>
      <c r="T2579">
        <v>18</v>
      </c>
      <c r="W2579">
        <v>12.9</v>
      </c>
      <c r="Z2579" t="s">
        <v>97</v>
      </c>
      <c r="AA2579" t="s">
        <v>199</v>
      </c>
      <c r="AB2579" t="s">
        <v>59</v>
      </c>
      <c r="AC2579" t="s">
        <v>88</v>
      </c>
    </row>
    <row r="2580" spans="1:29" x14ac:dyDescent="0.25">
      <c r="A2580" s="4">
        <v>42585</v>
      </c>
      <c r="B2580" t="s">
        <v>30</v>
      </c>
      <c r="C2580">
        <v>402</v>
      </c>
      <c r="D2580">
        <v>2</v>
      </c>
      <c r="E2580">
        <v>1</v>
      </c>
      <c r="F2580" t="s">
        <v>320</v>
      </c>
      <c r="G2580" t="s">
        <v>32</v>
      </c>
      <c r="H2580" t="s">
        <v>33</v>
      </c>
      <c r="I2580" t="s">
        <v>58</v>
      </c>
      <c r="J2580" t="s">
        <v>35</v>
      </c>
      <c r="K2580" t="s">
        <v>36</v>
      </c>
      <c r="L2580" t="s">
        <v>37</v>
      </c>
      <c r="M2580">
        <v>0</v>
      </c>
      <c r="N2580">
        <v>0</v>
      </c>
      <c r="O2580" s="5">
        <v>50889</v>
      </c>
      <c r="P2580" s="5"/>
      <c r="Q2580">
        <f>29-5</f>
        <v>24</v>
      </c>
      <c r="R2580" t="s">
        <v>149</v>
      </c>
      <c r="S2580" t="s">
        <v>97</v>
      </c>
      <c r="T2580">
        <v>18</v>
      </c>
      <c r="W2580">
        <v>12.8</v>
      </c>
      <c r="X2580">
        <v>26.7</v>
      </c>
      <c r="Z2580" t="s">
        <v>97</v>
      </c>
      <c r="AA2580" t="s">
        <v>199</v>
      </c>
      <c r="AB2580" t="s">
        <v>59</v>
      </c>
      <c r="AC2580" t="s">
        <v>88</v>
      </c>
    </row>
    <row r="2581" spans="1:29" x14ac:dyDescent="0.25">
      <c r="A2581" s="4">
        <v>42585</v>
      </c>
      <c r="B2581" t="s">
        <v>30</v>
      </c>
      <c r="C2581">
        <v>402</v>
      </c>
      <c r="D2581">
        <v>3</v>
      </c>
      <c r="E2581">
        <v>1</v>
      </c>
      <c r="F2581" t="s">
        <v>320</v>
      </c>
      <c r="G2581" t="s">
        <v>32</v>
      </c>
      <c r="H2581" t="s">
        <v>33</v>
      </c>
      <c r="I2581" t="s">
        <v>57</v>
      </c>
      <c r="O2581" s="5"/>
      <c r="P2581" s="5"/>
    </row>
    <row r="2582" spans="1:29" x14ac:dyDescent="0.25">
      <c r="A2582" s="4">
        <v>42585</v>
      </c>
      <c r="B2582" t="s">
        <v>30</v>
      </c>
      <c r="C2582">
        <v>402</v>
      </c>
      <c r="D2582">
        <v>3</v>
      </c>
      <c r="E2582">
        <v>2</v>
      </c>
      <c r="F2582" t="s">
        <v>320</v>
      </c>
      <c r="G2582" t="s">
        <v>32</v>
      </c>
      <c r="H2582" t="s">
        <v>33</v>
      </c>
      <c r="I2582" t="s">
        <v>57</v>
      </c>
      <c r="O2582" s="5"/>
      <c r="P2582" s="5"/>
    </row>
    <row r="2583" spans="1:29" x14ac:dyDescent="0.25">
      <c r="A2583" s="4">
        <v>42585</v>
      </c>
      <c r="B2583" t="s">
        <v>30</v>
      </c>
      <c r="C2583">
        <v>402</v>
      </c>
      <c r="D2583">
        <v>4</v>
      </c>
      <c r="E2583">
        <v>1</v>
      </c>
      <c r="F2583" t="s">
        <v>320</v>
      </c>
      <c r="G2583" t="s">
        <v>32</v>
      </c>
      <c r="H2583" t="s">
        <v>33</v>
      </c>
      <c r="I2583" t="s">
        <v>57</v>
      </c>
      <c r="O2583" s="5"/>
      <c r="P2583" s="5"/>
    </row>
    <row r="2584" spans="1:29" x14ac:dyDescent="0.25">
      <c r="A2584" s="4">
        <v>42585</v>
      </c>
      <c r="B2584" t="s">
        <v>30</v>
      </c>
      <c r="C2584">
        <v>402</v>
      </c>
      <c r="D2584">
        <v>5</v>
      </c>
      <c r="E2584">
        <v>1</v>
      </c>
      <c r="F2584" t="s">
        <v>320</v>
      </c>
      <c r="G2584" t="s">
        <v>32</v>
      </c>
      <c r="H2584" t="s">
        <v>33</v>
      </c>
      <c r="I2584" t="s">
        <v>57</v>
      </c>
      <c r="O2584" s="5"/>
      <c r="P2584" s="5"/>
    </row>
    <row r="2585" spans="1:29" x14ac:dyDescent="0.25">
      <c r="A2585" s="4">
        <v>42585</v>
      </c>
      <c r="B2585" t="s">
        <v>30</v>
      </c>
      <c r="C2585">
        <v>402</v>
      </c>
      <c r="D2585">
        <v>5</v>
      </c>
      <c r="E2585">
        <v>2</v>
      </c>
      <c r="F2585" t="s">
        <v>320</v>
      </c>
      <c r="G2585" t="s">
        <v>32</v>
      </c>
      <c r="H2585" t="s">
        <v>33</v>
      </c>
      <c r="I2585" t="s">
        <v>57</v>
      </c>
      <c r="O2585" s="5"/>
      <c r="P2585" s="5"/>
    </row>
    <row r="2586" spans="1:29" x14ac:dyDescent="0.25">
      <c r="A2586" s="4">
        <v>42585</v>
      </c>
      <c r="B2586" t="s">
        <v>30</v>
      </c>
      <c r="C2586">
        <v>402</v>
      </c>
      <c r="D2586">
        <v>6</v>
      </c>
      <c r="E2586">
        <v>1</v>
      </c>
      <c r="F2586" t="s">
        <v>320</v>
      </c>
      <c r="G2586" t="s">
        <v>32</v>
      </c>
      <c r="H2586" t="s">
        <v>33</v>
      </c>
      <c r="I2586" t="s">
        <v>58</v>
      </c>
      <c r="J2586" t="s">
        <v>35</v>
      </c>
      <c r="K2586" t="s">
        <v>36</v>
      </c>
      <c r="L2586" t="s">
        <v>43</v>
      </c>
      <c r="M2586">
        <v>0</v>
      </c>
      <c r="N2586">
        <v>0</v>
      </c>
      <c r="O2586" s="5">
        <v>10350</v>
      </c>
      <c r="P2586" s="5"/>
      <c r="Q2586">
        <f>29-5</f>
        <v>24</v>
      </c>
      <c r="R2586" t="s">
        <v>47</v>
      </c>
      <c r="T2586">
        <v>17</v>
      </c>
      <c r="W2586">
        <v>12.8</v>
      </c>
      <c r="X2586">
        <v>29.1</v>
      </c>
      <c r="Z2586" t="s">
        <v>97</v>
      </c>
      <c r="AA2586" t="s">
        <v>199</v>
      </c>
      <c r="AB2586" t="s">
        <v>59</v>
      </c>
      <c r="AC2586" t="s">
        <v>88</v>
      </c>
    </row>
    <row r="2587" spans="1:29" x14ac:dyDescent="0.25">
      <c r="A2587" s="4">
        <v>42585</v>
      </c>
      <c r="B2587" t="s">
        <v>30</v>
      </c>
      <c r="C2587">
        <v>402</v>
      </c>
      <c r="D2587">
        <v>6</v>
      </c>
      <c r="E2587">
        <v>2</v>
      </c>
      <c r="F2587" t="s">
        <v>320</v>
      </c>
      <c r="G2587" t="s">
        <v>32</v>
      </c>
      <c r="H2587" t="s">
        <v>33</v>
      </c>
      <c r="I2587" t="s">
        <v>73</v>
      </c>
      <c r="J2587" t="s">
        <v>42</v>
      </c>
      <c r="K2587" t="s">
        <v>114</v>
      </c>
      <c r="L2587" t="s">
        <v>43</v>
      </c>
      <c r="M2587">
        <v>0</v>
      </c>
      <c r="N2587">
        <v>1</v>
      </c>
      <c r="O2587" s="5" t="s">
        <v>325</v>
      </c>
      <c r="P2587" s="5"/>
      <c r="Q2587">
        <f>132-48</f>
        <v>84</v>
      </c>
      <c r="R2587" t="s">
        <v>65</v>
      </c>
      <c r="T2587">
        <v>31</v>
      </c>
      <c r="W2587">
        <v>21.5</v>
      </c>
      <c r="X2587">
        <v>49</v>
      </c>
      <c r="Z2587" t="s">
        <v>97</v>
      </c>
      <c r="AA2587" t="s">
        <v>199</v>
      </c>
      <c r="AB2587" t="s">
        <v>59</v>
      </c>
      <c r="AC2587" t="s">
        <v>88</v>
      </c>
    </row>
    <row r="2588" spans="1:29" x14ac:dyDescent="0.25">
      <c r="A2588" s="4">
        <v>42585</v>
      </c>
      <c r="B2588" t="s">
        <v>30</v>
      </c>
      <c r="C2588">
        <v>402</v>
      </c>
      <c r="D2588">
        <v>7</v>
      </c>
      <c r="E2588">
        <v>1</v>
      </c>
      <c r="F2588" t="s">
        <v>320</v>
      </c>
      <c r="G2588" t="s">
        <v>32</v>
      </c>
      <c r="H2588" t="s">
        <v>33</v>
      </c>
      <c r="I2588" t="s">
        <v>57</v>
      </c>
      <c r="O2588" s="5"/>
      <c r="P2588" s="5"/>
    </row>
    <row r="2589" spans="1:29" x14ac:dyDescent="0.25">
      <c r="A2589" s="4">
        <v>42585</v>
      </c>
      <c r="B2589" t="s">
        <v>30</v>
      </c>
      <c r="C2589">
        <v>402</v>
      </c>
      <c r="D2589">
        <v>8</v>
      </c>
      <c r="E2589">
        <v>1</v>
      </c>
      <c r="F2589" t="s">
        <v>320</v>
      </c>
      <c r="G2589" t="s">
        <v>32</v>
      </c>
      <c r="H2589" t="s">
        <v>33</v>
      </c>
      <c r="I2589" t="s">
        <v>57</v>
      </c>
      <c r="O2589" s="5"/>
      <c r="P2589" s="5"/>
    </row>
    <row r="2590" spans="1:29" x14ac:dyDescent="0.25">
      <c r="A2590" s="4">
        <v>42585</v>
      </c>
      <c r="B2590" t="s">
        <v>30</v>
      </c>
      <c r="C2590">
        <v>402</v>
      </c>
      <c r="D2590">
        <v>10</v>
      </c>
      <c r="E2590">
        <v>1</v>
      </c>
      <c r="F2590" t="s">
        <v>320</v>
      </c>
      <c r="G2590" t="s">
        <v>32</v>
      </c>
      <c r="H2590" t="s">
        <v>33</v>
      </c>
      <c r="I2590" t="s">
        <v>58</v>
      </c>
      <c r="J2590" t="s">
        <v>42</v>
      </c>
      <c r="K2590" t="s">
        <v>36</v>
      </c>
      <c r="L2590" t="s">
        <v>37</v>
      </c>
      <c r="M2590">
        <v>0</v>
      </c>
      <c r="N2590">
        <v>1</v>
      </c>
      <c r="O2590" s="5" t="s">
        <v>337</v>
      </c>
      <c r="P2590" s="5"/>
      <c r="Q2590">
        <f>35-6</f>
        <v>29</v>
      </c>
      <c r="R2590" t="s">
        <v>143</v>
      </c>
      <c r="S2590" t="s">
        <v>97</v>
      </c>
      <c r="T2590">
        <v>18</v>
      </c>
      <c r="W2590">
        <v>12.8</v>
      </c>
      <c r="X2590">
        <v>26.8</v>
      </c>
      <c r="Z2590" t="s">
        <v>97</v>
      </c>
      <c r="AA2590" t="s">
        <v>199</v>
      </c>
      <c r="AB2590" t="s">
        <v>59</v>
      </c>
      <c r="AC2590" t="s">
        <v>88</v>
      </c>
    </row>
    <row r="2591" spans="1:29" x14ac:dyDescent="0.25">
      <c r="A2591" s="4">
        <v>42585</v>
      </c>
      <c r="B2591" t="s">
        <v>30</v>
      </c>
      <c r="C2591">
        <v>402</v>
      </c>
      <c r="D2591">
        <v>10</v>
      </c>
      <c r="E2591">
        <v>2</v>
      </c>
      <c r="F2591" t="s">
        <v>320</v>
      </c>
      <c r="G2591" t="s">
        <v>32</v>
      </c>
      <c r="H2591" t="s">
        <v>33</v>
      </c>
      <c r="I2591" t="s">
        <v>64</v>
      </c>
      <c r="J2591" t="s">
        <v>42</v>
      </c>
      <c r="K2591" t="s">
        <v>89</v>
      </c>
      <c r="L2591" t="s">
        <v>37</v>
      </c>
      <c r="M2591">
        <v>0</v>
      </c>
      <c r="N2591">
        <v>1</v>
      </c>
      <c r="O2591" s="5" t="s">
        <v>338</v>
      </c>
      <c r="P2591" s="5"/>
      <c r="Q2591">
        <f>166-46</f>
        <v>120</v>
      </c>
      <c r="R2591" t="s">
        <v>38</v>
      </c>
      <c r="S2591" t="s">
        <v>39</v>
      </c>
      <c r="T2591">
        <v>36</v>
      </c>
      <c r="W2591">
        <v>25</v>
      </c>
      <c r="X2591">
        <v>43.7</v>
      </c>
      <c r="Z2591" t="s">
        <v>97</v>
      </c>
      <c r="AA2591" t="s">
        <v>199</v>
      </c>
      <c r="AB2591" t="s">
        <v>59</v>
      </c>
      <c r="AC2591" t="s">
        <v>88</v>
      </c>
    </row>
    <row r="2592" spans="1:29" x14ac:dyDescent="0.25">
      <c r="A2592" s="4">
        <v>42585</v>
      </c>
      <c r="B2592" t="s">
        <v>30</v>
      </c>
      <c r="C2592">
        <v>304</v>
      </c>
      <c r="D2592">
        <v>10</v>
      </c>
      <c r="E2592">
        <v>1</v>
      </c>
      <c r="F2592" t="s">
        <v>320</v>
      </c>
      <c r="G2592" t="s">
        <v>32</v>
      </c>
      <c r="H2592" t="s">
        <v>33</v>
      </c>
      <c r="I2592" t="s">
        <v>57</v>
      </c>
      <c r="O2592" s="5"/>
      <c r="P2592" s="5"/>
    </row>
    <row r="2593" spans="1:30" x14ac:dyDescent="0.25">
      <c r="A2593" s="4">
        <v>42585</v>
      </c>
      <c r="B2593" t="s">
        <v>30</v>
      </c>
      <c r="C2593">
        <v>304</v>
      </c>
      <c r="D2593">
        <v>10</v>
      </c>
      <c r="E2593">
        <v>2</v>
      </c>
      <c r="F2593" t="s">
        <v>320</v>
      </c>
      <c r="G2593" t="s">
        <v>32</v>
      </c>
      <c r="H2593" t="s">
        <v>33</v>
      </c>
      <c r="I2593" t="s">
        <v>53</v>
      </c>
      <c r="J2593" t="s">
        <v>62</v>
      </c>
      <c r="O2593" s="5"/>
      <c r="P2593" s="5"/>
    </row>
    <row r="2594" spans="1:30" x14ac:dyDescent="0.25">
      <c r="A2594" s="4">
        <v>42585</v>
      </c>
      <c r="B2594" t="s">
        <v>30</v>
      </c>
      <c r="C2594">
        <v>304</v>
      </c>
      <c r="D2594">
        <v>9</v>
      </c>
      <c r="E2594">
        <v>1</v>
      </c>
      <c r="F2594" t="s">
        <v>320</v>
      </c>
      <c r="G2594" t="s">
        <v>32</v>
      </c>
      <c r="H2594" t="s">
        <v>33</v>
      </c>
      <c r="I2594" t="s">
        <v>34</v>
      </c>
      <c r="J2594" t="s">
        <v>42</v>
      </c>
      <c r="K2594" t="s">
        <v>89</v>
      </c>
      <c r="L2594" t="s">
        <v>37</v>
      </c>
      <c r="M2594">
        <v>0</v>
      </c>
      <c r="N2594">
        <v>1</v>
      </c>
      <c r="O2594" s="5" t="s">
        <v>339</v>
      </c>
      <c r="P2594" s="5" t="s">
        <v>340</v>
      </c>
      <c r="Q2594">
        <f>18-4.5</f>
        <v>13.5</v>
      </c>
      <c r="R2594" t="s">
        <v>38</v>
      </c>
      <c r="S2594" t="s">
        <v>39</v>
      </c>
      <c r="T2594">
        <v>19</v>
      </c>
      <c r="U2594">
        <v>79</v>
      </c>
      <c r="V2594">
        <v>15</v>
      </c>
      <c r="W2594">
        <v>12.7</v>
      </c>
      <c r="X2594">
        <v>26.8</v>
      </c>
      <c r="Z2594" t="s">
        <v>39</v>
      </c>
      <c r="AB2594" t="s">
        <v>59</v>
      </c>
      <c r="AC2594" t="s">
        <v>88</v>
      </c>
    </row>
    <row r="2595" spans="1:30" x14ac:dyDescent="0.25">
      <c r="A2595" s="4">
        <v>42585</v>
      </c>
      <c r="B2595" t="s">
        <v>30</v>
      </c>
      <c r="C2595">
        <v>304</v>
      </c>
      <c r="D2595">
        <v>7</v>
      </c>
      <c r="E2595">
        <v>1</v>
      </c>
      <c r="F2595" t="s">
        <v>320</v>
      </c>
      <c r="G2595" t="s">
        <v>32</v>
      </c>
      <c r="H2595" t="s">
        <v>33</v>
      </c>
      <c r="I2595" t="s">
        <v>57</v>
      </c>
      <c r="O2595" s="5"/>
      <c r="P2595" s="5"/>
    </row>
    <row r="2596" spans="1:30" x14ac:dyDescent="0.25">
      <c r="A2596" s="4">
        <v>42585</v>
      </c>
      <c r="B2596" t="s">
        <v>30</v>
      </c>
      <c r="C2596">
        <v>304</v>
      </c>
      <c r="D2596">
        <v>7</v>
      </c>
      <c r="E2596">
        <v>2</v>
      </c>
      <c r="F2596" t="s">
        <v>320</v>
      </c>
      <c r="G2596" t="s">
        <v>32</v>
      </c>
      <c r="H2596" t="s">
        <v>33</v>
      </c>
      <c r="I2596" t="s">
        <v>58</v>
      </c>
      <c r="J2596" t="s">
        <v>35</v>
      </c>
      <c r="K2596" t="s">
        <v>36</v>
      </c>
      <c r="L2596" t="s">
        <v>43</v>
      </c>
      <c r="M2596">
        <v>0</v>
      </c>
      <c r="N2596">
        <v>0</v>
      </c>
      <c r="O2596" s="5">
        <v>50942</v>
      </c>
      <c r="P2596" s="5"/>
      <c r="Q2596">
        <f>35.5-5</f>
        <v>30.5</v>
      </c>
      <c r="R2596" t="s">
        <v>47</v>
      </c>
      <c r="T2596">
        <v>18</v>
      </c>
      <c r="W2596">
        <v>12.8</v>
      </c>
      <c r="X2596">
        <v>28.2</v>
      </c>
      <c r="Z2596" t="s">
        <v>97</v>
      </c>
      <c r="AA2596" t="s">
        <v>199</v>
      </c>
      <c r="AB2596" t="s">
        <v>59</v>
      </c>
      <c r="AC2596" t="s">
        <v>88</v>
      </c>
    </row>
    <row r="2597" spans="1:30" x14ac:dyDescent="0.25">
      <c r="A2597" s="4">
        <v>42585</v>
      </c>
      <c r="B2597" t="s">
        <v>30</v>
      </c>
      <c r="C2597">
        <v>304</v>
      </c>
      <c r="D2597">
        <v>6</v>
      </c>
      <c r="E2597">
        <v>1</v>
      </c>
      <c r="F2597" t="s">
        <v>320</v>
      </c>
      <c r="G2597" t="s">
        <v>32</v>
      </c>
      <c r="H2597" t="s">
        <v>33</v>
      </c>
      <c r="I2597" t="s">
        <v>58</v>
      </c>
      <c r="J2597" t="s">
        <v>42</v>
      </c>
      <c r="K2597" t="s">
        <v>36</v>
      </c>
      <c r="L2597" t="s">
        <v>37</v>
      </c>
      <c r="M2597">
        <v>0</v>
      </c>
      <c r="N2597">
        <v>1</v>
      </c>
      <c r="O2597" s="5" t="s">
        <v>341</v>
      </c>
      <c r="P2597" s="5"/>
      <c r="Q2597">
        <f>33-6</f>
        <v>27</v>
      </c>
      <c r="R2597" t="s">
        <v>136</v>
      </c>
      <c r="S2597" t="s">
        <v>97</v>
      </c>
      <c r="T2597">
        <v>17</v>
      </c>
      <c r="W2597">
        <v>12.9</v>
      </c>
      <c r="X2597">
        <v>25.6</v>
      </c>
      <c r="Z2597" t="s">
        <v>97</v>
      </c>
      <c r="AA2597" t="s">
        <v>199</v>
      </c>
      <c r="AB2597" t="s">
        <v>59</v>
      </c>
      <c r="AC2597" t="s">
        <v>88</v>
      </c>
      <c r="AD2597" t="s">
        <v>342</v>
      </c>
    </row>
    <row r="2598" spans="1:30" x14ac:dyDescent="0.25">
      <c r="A2598" s="4">
        <v>42585</v>
      </c>
      <c r="B2598" t="s">
        <v>30</v>
      </c>
      <c r="C2598">
        <v>304</v>
      </c>
      <c r="D2598">
        <v>3</v>
      </c>
      <c r="E2598">
        <v>1</v>
      </c>
      <c r="F2598" t="s">
        <v>320</v>
      </c>
      <c r="G2598" t="s">
        <v>32</v>
      </c>
      <c r="H2598" t="s">
        <v>33</v>
      </c>
      <c r="I2598" t="s">
        <v>53</v>
      </c>
      <c r="J2598" t="s">
        <v>62</v>
      </c>
      <c r="O2598" s="5"/>
      <c r="P2598" s="5"/>
    </row>
    <row r="2599" spans="1:30" x14ac:dyDescent="0.25">
      <c r="A2599" s="4">
        <v>42585</v>
      </c>
      <c r="B2599" t="s">
        <v>30</v>
      </c>
      <c r="C2599">
        <v>304</v>
      </c>
      <c r="D2599">
        <v>3</v>
      </c>
      <c r="E2599">
        <v>2</v>
      </c>
      <c r="F2599" t="s">
        <v>320</v>
      </c>
      <c r="G2599" t="s">
        <v>32</v>
      </c>
      <c r="H2599" t="s">
        <v>33</v>
      </c>
      <c r="I2599" t="s">
        <v>34</v>
      </c>
      <c r="J2599" t="s">
        <v>42</v>
      </c>
      <c r="K2599" t="s">
        <v>114</v>
      </c>
      <c r="L2599" t="s">
        <v>37</v>
      </c>
      <c r="M2599">
        <v>0</v>
      </c>
      <c r="N2599">
        <v>1</v>
      </c>
      <c r="O2599" s="5" t="s">
        <v>343</v>
      </c>
      <c r="P2599" s="5" t="s">
        <v>344</v>
      </c>
      <c r="Q2599">
        <f>25.5-9</f>
        <v>16.5</v>
      </c>
      <c r="R2599" t="s">
        <v>38</v>
      </c>
      <c r="S2599" t="s">
        <v>39</v>
      </c>
      <c r="T2599">
        <v>19</v>
      </c>
      <c r="U2599">
        <v>80</v>
      </c>
      <c r="V2599">
        <v>17</v>
      </c>
      <c r="W2599">
        <v>12.9</v>
      </c>
      <c r="X2599">
        <v>25.7</v>
      </c>
      <c r="Z2599" t="s">
        <v>97</v>
      </c>
      <c r="AA2599" t="s">
        <v>199</v>
      </c>
      <c r="AB2599" t="s">
        <v>59</v>
      </c>
      <c r="AC2599" t="s">
        <v>88</v>
      </c>
      <c r="AD2599" t="s">
        <v>345</v>
      </c>
    </row>
    <row r="2600" spans="1:30" x14ac:dyDescent="0.25">
      <c r="A2600" s="4">
        <v>42585</v>
      </c>
      <c r="B2600" t="s">
        <v>30</v>
      </c>
      <c r="C2600">
        <v>304</v>
      </c>
      <c r="D2600">
        <v>2</v>
      </c>
      <c r="E2600">
        <v>2</v>
      </c>
      <c r="F2600" t="s">
        <v>320</v>
      </c>
      <c r="G2600" t="s">
        <v>32</v>
      </c>
      <c r="H2600" t="s">
        <v>33</v>
      </c>
      <c r="I2600" t="s">
        <v>34</v>
      </c>
      <c r="J2600" t="s">
        <v>42</v>
      </c>
      <c r="K2600" t="s">
        <v>89</v>
      </c>
      <c r="L2600" t="s">
        <v>43</v>
      </c>
      <c r="M2600">
        <v>0</v>
      </c>
      <c r="N2600">
        <v>1</v>
      </c>
      <c r="O2600" s="5" t="s">
        <v>346</v>
      </c>
      <c r="P2600" s="5" t="s">
        <v>347</v>
      </c>
      <c r="Q2600">
        <f>24-8.5</f>
        <v>15.5</v>
      </c>
      <c r="R2600" t="s">
        <v>65</v>
      </c>
      <c r="T2600">
        <v>20</v>
      </c>
      <c r="U2600">
        <v>91</v>
      </c>
      <c r="V2600">
        <v>15</v>
      </c>
      <c r="W2600">
        <v>12.9</v>
      </c>
      <c r="X2600">
        <v>26.8</v>
      </c>
      <c r="Z2600" t="s">
        <v>39</v>
      </c>
      <c r="AB2600" t="s">
        <v>59</v>
      </c>
      <c r="AC2600" t="s">
        <v>88</v>
      </c>
    </row>
    <row r="2601" spans="1:30" x14ac:dyDescent="0.25">
      <c r="A2601" s="4">
        <v>42585</v>
      </c>
      <c r="B2601" t="s">
        <v>30</v>
      </c>
      <c r="C2601">
        <v>304</v>
      </c>
      <c r="D2601">
        <v>1</v>
      </c>
      <c r="E2601">
        <v>1</v>
      </c>
      <c r="F2601" t="s">
        <v>320</v>
      </c>
      <c r="G2601" t="s">
        <v>32</v>
      </c>
      <c r="H2601" t="s">
        <v>33</v>
      </c>
      <c r="I2601" t="s">
        <v>34</v>
      </c>
      <c r="J2601" t="s">
        <v>35</v>
      </c>
      <c r="K2601" t="s">
        <v>114</v>
      </c>
      <c r="L2601" t="s">
        <v>43</v>
      </c>
      <c r="M2601">
        <v>0</v>
      </c>
      <c r="N2601">
        <v>0</v>
      </c>
      <c r="O2601" s="5">
        <v>50944</v>
      </c>
      <c r="P2601" s="5">
        <v>50943</v>
      </c>
      <c r="Q2601">
        <f>30-13.5</f>
        <v>16.5</v>
      </c>
      <c r="R2601" t="s">
        <v>65</v>
      </c>
      <c r="T2601">
        <v>19</v>
      </c>
      <c r="U2601">
        <v>85</v>
      </c>
      <c r="V2601">
        <v>15</v>
      </c>
      <c r="W2601">
        <v>12.8</v>
      </c>
      <c r="X2601">
        <v>27.1</v>
      </c>
      <c r="Z2601" t="s">
        <v>97</v>
      </c>
      <c r="AA2601" t="s">
        <v>199</v>
      </c>
      <c r="AB2601" t="s">
        <v>59</v>
      </c>
      <c r="AC2601" t="s">
        <v>88</v>
      </c>
    </row>
    <row r="2602" spans="1:30" x14ac:dyDescent="0.25">
      <c r="A2602" s="4">
        <v>42586</v>
      </c>
      <c r="B2602" t="s">
        <v>30</v>
      </c>
      <c r="C2602">
        <v>201</v>
      </c>
      <c r="D2602">
        <v>1</v>
      </c>
      <c r="E2602">
        <v>1</v>
      </c>
      <c r="F2602" t="s">
        <v>31</v>
      </c>
      <c r="G2602" t="s">
        <v>32</v>
      </c>
      <c r="H2602" t="s">
        <v>33</v>
      </c>
      <c r="I2602" t="s">
        <v>34</v>
      </c>
      <c r="J2602" t="s">
        <v>35</v>
      </c>
      <c r="K2602" t="s">
        <v>114</v>
      </c>
      <c r="L2602" t="s">
        <v>37</v>
      </c>
      <c r="M2602">
        <v>0</v>
      </c>
      <c r="N2602">
        <v>0</v>
      </c>
      <c r="O2602" s="5">
        <v>50780</v>
      </c>
      <c r="P2602" s="5">
        <v>50779</v>
      </c>
      <c r="Q2602">
        <f>31.5-13</f>
        <v>18.5</v>
      </c>
      <c r="R2602" t="s">
        <v>38</v>
      </c>
      <c r="S2602" t="s">
        <v>39</v>
      </c>
      <c r="T2602">
        <v>18</v>
      </c>
      <c r="U2602">
        <v>81</v>
      </c>
      <c r="V2602">
        <v>16</v>
      </c>
      <c r="W2602">
        <v>13.4</v>
      </c>
      <c r="X2602">
        <v>27</v>
      </c>
      <c r="Z2602" t="s">
        <v>97</v>
      </c>
      <c r="AB2602" t="s">
        <v>40</v>
      </c>
      <c r="AC2602" t="s">
        <v>56</v>
      </c>
    </row>
    <row r="2603" spans="1:30" x14ac:dyDescent="0.25">
      <c r="A2603" s="4">
        <v>42586</v>
      </c>
      <c r="B2603" t="s">
        <v>30</v>
      </c>
      <c r="C2603">
        <v>201</v>
      </c>
      <c r="D2603">
        <v>2</v>
      </c>
      <c r="E2603">
        <v>1</v>
      </c>
      <c r="F2603" t="s">
        <v>31</v>
      </c>
      <c r="G2603" t="s">
        <v>32</v>
      </c>
      <c r="H2603" t="s">
        <v>33</v>
      </c>
      <c r="I2603" t="s">
        <v>73</v>
      </c>
      <c r="J2603" t="s">
        <v>35</v>
      </c>
      <c r="K2603" t="s">
        <v>89</v>
      </c>
      <c r="L2603" t="s">
        <v>37</v>
      </c>
      <c r="M2603">
        <v>0</v>
      </c>
      <c r="N2603">
        <v>0</v>
      </c>
      <c r="O2603" s="5" t="s">
        <v>348</v>
      </c>
      <c r="P2603" s="5"/>
      <c r="Q2603">
        <f>170-90</f>
        <v>80</v>
      </c>
      <c r="R2603" t="s">
        <v>38</v>
      </c>
      <c r="S2603" t="s">
        <v>39</v>
      </c>
      <c r="T2603">
        <v>29</v>
      </c>
      <c r="W2603">
        <v>21.7</v>
      </c>
      <c r="X2603">
        <v>40</v>
      </c>
      <c r="Z2603" t="s">
        <v>39</v>
      </c>
      <c r="AB2603" t="s">
        <v>40</v>
      </c>
      <c r="AC2603" t="s">
        <v>56</v>
      </c>
    </row>
    <row r="2604" spans="1:30" x14ac:dyDescent="0.25">
      <c r="A2604" s="4">
        <v>42586</v>
      </c>
      <c r="B2604" t="s">
        <v>30</v>
      </c>
      <c r="C2604">
        <v>201</v>
      </c>
      <c r="D2604">
        <v>3</v>
      </c>
      <c r="E2604">
        <v>1</v>
      </c>
      <c r="F2604" t="s">
        <v>31</v>
      </c>
      <c r="G2604" t="s">
        <v>32</v>
      </c>
      <c r="H2604" t="s">
        <v>33</v>
      </c>
      <c r="I2604" t="s">
        <v>57</v>
      </c>
      <c r="O2604" s="5"/>
      <c r="P2604" s="5"/>
    </row>
    <row r="2605" spans="1:30" x14ac:dyDescent="0.25">
      <c r="A2605" s="4">
        <v>42586</v>
      </c>
      <c r="B2605" t="s">
        <v>30</v>
      </c>
      <c r="C2605">
        <v>201</v>
      </c>
      <c r="D2605">
        <v>3</v>
      </c>
      <c r="E2605">
        <v>2</v>
      </c>
      <c r="F2605" t="s">
        <v>31</v>
      </c>
      <c r="G2605" t="s">
        <v>32</v>
      </c>
      <c r="H2605" t="s">
        <v>33</v>
      </c>
      <c r="I2605" t="s">
        <v>57</v>
      </c>
      <c r="O2605" s="5"/>
      <c r="P2605" s="5"/>
    </row>
    <row r="2606" spans="1:30" x14ac:dyDescent="0.25">
      <c r="A2606" s="4">
        <v>42586</v>
      </c>
      <c r="B2606" t="s">
        <v>30</v>
      </c>
      <c r="C2606">
        <v>201</v>
      </c>
      <c r="D2606">
        <v>4</v>
      </c>
      <c r="E2606">
        <v>1</v>
      </c>
      <c r="F2606" t="s">
        <v>31</v>
      </c>
      <c r="G2606" t="s">
        <v>32</v>
      </c>
      <c r="H2606" t="s">
        <v>33</v>
      </c>
      <c r="I2606" t="s">
        <v>34</v>
      </c>
      <c r="J2606" t="s">
        <v>35</v>
      </c>
      <c r="K2606" t="s">
        <v>89</v>
      </c>
      <c r="L2606" t="s">
        <v>37</v>
      </c>
      <c r="M2606">
        <v>0</v>
      </c>
      <c r="N2606">
        <v>0</v>
      </c>
      <c r="O2606" s="5">
        <v>50846</v>
      </c>
      <c r="P2606" s="5">
        <v>50845</v>
      </c>
      <c r="Q2606">
        <f>25-13</f>
        <v>12</v>
      </c>
      <c r="R2606" t="s">
        <v>38</v>
      </c>
      <c r="S2606" t="s">
        <v>39</v>
      </c>
      <c r="T2606">
        <v>18</v>
      </c>
      <c r="V2606">
        <v>15.5</v>
      </c>
      <c r="W2606">
        <v>12.5</v>
      </c>
      <c r="X2606">
        <v>24.2</v>
      </c>
      <c r="Z2606" t="s">
        <v>39</v>
      </c>
      <c r="AB2606" t="s">
        <v>40</v>
      </c>
      <c r="AC2606" t="s">
        <v>56</v>
      </c>
    </row>
    <row r="2607" spans="1:30" x14ac:dyDescent="0.25">
      <c r="A2607" s="4">
        <v>42586</v>
      </c>
      <c r="B2607" t="s">
        <v>30</v>
      </c>
      <c r="C2607">
        <v>201</v>
      </c>
      <c r="D2607">
        <v>5</v>
      </c>
      <c r="E2607">
        <v>1</v>
      </c>
      <c r="F2607" t="s">
        <v>31</v>
      </c>
      <c r="G2607" t="s">
        <v>32</v>
      </c>
      <c r="H2607" t="s">
        <v>33</v>
      </c>
      <c r="I2607" t="s">
        <v>34</v>
      </c>
      <c r="J2607" t="s">
        <v>42</v>
      </c>
      <c r="K2607" t="s">
        <v>89</v>
      </c>
      <c r="L2607" t="s">
        <v>37</v>
      </c>
      <c r="M2607">
        <v>0</v>
      </c>
      <c r="N2607">
        <v>1</v>
      </c>
      <c r="O2607" s="5" t="s">
        <v>349</v>
      </c>
      <c r="P2607" s="5" t="s">
        <v>350</v>
      </c>
      <c r="Q2607">
        <f>27-13</f>
        <v>14</v>
      </c>
      <c r="R2607" t="s">
        <v>38</v>
      </c>
      <c r="S2607" t="s">
        <v>39</v>
      </c>
      <c r="T2607">
        <v>17</v>
      </c>
      <c r="U2607">
        <v>86</v>
      </c>
      <c r="V2607">
        <v>17</v>
      </c>
      <c r="W2607">
        <v>13.1</v>
      </c>
      <c r="X2607">
        <v>25.8</v>
      </c>
      <c r="Z2607" t="s">
        <v>39</v>
      </c>
      <c r="AB2607" t="s">
        <v>40</v>
      </c>
      <c r="AC2607" t="s">
        <v>56</v>
      </c>
      <c r="AD2607" t="s">
        <v>351</v>
      </c>
    </row>
    <row r="2608" spans="1:30" x14ac:dyDescent="0.25">
      <c r="A2608" s="4">
        <v>42586</v>
      </c>
      <c r="B2608" t="s">
        <v>30</v>
      </c>
      <c r="C2608">
        <v>201</v>
      </c>
      <c r="D2608">
        <v>5</v>
      </c>
      <c r="E2608">
        <v>1</v>
      </c>
      <c r="F2608" t="s">
        <v>31</v>
      </c>
      <c r="G2608" t="s">
        <v>32</v>
      </c>
      <c r="H2608" t="s">
        <v>33</v>
      </c>
      <c r="I2608" t="s">
        <v>34</v>
      </c>
      <c r="J2608" t="s">
        <v>42</v>
      </c>
      <c r="K2608" t="s">
        <v>89</v>
      </c>
      <c r="L2608" t="s">
        <v>43</v>
      </c>
      <c r="M2608">
        <v>0</v>
      </c>
      <c r="N2608">
        <v>1</v>
      </c>
      <c r="O2608" s="5" t="s">
        <v>352</v>
      </c>
      <c r="P2608" s="5" t="s">
        <v>353</v>
      </c>
      <c r="Q2608">
        <f>27-13</f>
        <v>14</v>
      </c>
      <c r="R2608" t="s">
        <v>65</v>
      </c>
      <c r="T2608">
        <v>17.5</v>
      </c>
      <c r="U2608">
        <v>92</v>
      </c>
      <c r="V2608">
        <v>16.5</v>
      </c>
      <c r="W2608">
        <v>12.7</v>
      </c>
      <c r="X2608">
        <v>27.2</v>
      </c>
      <c r="Z2608" t="s">
        <v>39</v>
      </c>
      <c r="AB2608" t="s">
        <v>40</v>
      </c>
      <c r="AC2608" t="s">
        <v>56</v>
      </c>
      <c r="AD2608" t="s">
        <v>351</v>
      </c>
    </row>
    <row r="2609" spans="1:29" x14ac:dyDescent="0.25">
      <c r="A2609" s="4">
        <v>42586</v>
      </c>
      <c r="B2609" t="s">
        <v>30</v>
      </c>
      <c r="C2609">
        <v>201</v>
      </c>
      <c r="D2609">
        <v>5</v>
      </c>
      <c r="E2609">
        <v>2</v>
      </c>
      <c r="F2609" t="s">
        <v>31</v>
      </c>
      <c r="G2609" t="s">
        <v>32</v>
      </c>
      <c r="H2609" t="s">
        <v>33</v>
      </c>
      <c r="I2609" t="s">
        <v>34</v>
      </c>
      <c r="J2609" t="s">
        <v>35</v>
      </c>
      <c r="K2609" t="s">
        <v>89</v>
      </c>
      <c r="L2609" t="s">
        <v>43</v>
      </c>
      <c r="M2609">
        <v>0</v>
      </c>
      <c r="N2609">
        <v>0</v>
      </c>
      <c r="O2609" s="5">
        <v>50928</v>
      </c>
      <c r="P2609" s="5">
        <v>50927</v>
      </c>
      <c r="Q2609">
        <f>29-14.5</f>
        <v>14.5</v>
      </c>
      <c r="R2609" t="s">
        <v>65</v>
      </c>
      <c r="T2609">
        <v>18</v>
      </c>
      <c r="U2609">
        <v>80</v>
      </c>
      <c r="V2609">
        <v>16.5</v>
      </c>
      <c r="W2609">
        <v>12.3</v>
      </c>
      <c r="X2609">
        <v>27.1</v>
      </c>
      <c r="Z2609" t="s">
        <v>39</v>
      </c>
      <c r="AB2609" t="s">
        <v>40</v>
      </c>
      <c r="AC2609" t="s">
        <v>56</v>
      </c>
    </row>
    <row r="2610" spans="1:29" x14ac:dyDescent="0.25">
      <c r="A2610" s="4">
        <v>42586</v>
      </c>
      <c r="B2610" t="s">
        <v>30</v>
      </c>
      <c r="C2610">
        <v>201</v>
      </c>
      <c r="D2610">
        <v>6</v>
      </c>
      <c r="E2610">
        <v>1</v>
      </c>
      <c r="F2610" t="s">
        <v>31</v>
      </c>
      <c r="G2610" t="s">
        <v>32</v>
      </c>
      <c r="H2610" t="s">
        <v>33</v>
      </c>
      <c r="I2610" t="s">
        <v>57</v>
      </c>
      <c r="O2610" s="5"/>
      <c r="P2610" s="5"/>
    </row>
    <row r="2611" spans="1:29" x14ac:dyDescent="0.25">
      <c r="A2611" s="4">
        <v>42586</v>
      </c>
      <c r="B2611" t="s">
        <v>30</v>
      </c>
      <c r="C2611">
        <v>201</v>
      </c>
      <c r="D2611">
        <v>6</v>
      </c>
      <c r="E2611">
        <v>2</v>
      </c>
      <c r="F2611" t="s">
        <v>31</v>
      </c>
      <c r="G2611" t="s">
        <v>32</v>
      </c>
      <c r="H2611" t="s">
        <v>33</v>
      </c>
      <c r="I2611" t="s">
        <v>57</v>
      </c>
      <c r="O2611" s="5"/>
      <c r="P2611" s="5"/>
    </row>
    <row r="2612" spans="1:29" x14ac:dyDescent="0.25">
      <c r="A2612" s="4">
        <v>42586</v>
      </c>
      <c r="B2612" t="s">
        <v>30</v>
      </c>
      <c r="C2612">
        <v>201</v>
      </c>
      <c r="D2612">
        <v>7</v>
      </c>
      <c r="E2612">
        <v>1</v>
      </c>
      <c r="F2612" t="s">
        <v>31</v>
      </c>
      <c r="G2612" t="s">
        <v>32</v>
      </c>
      <c r="H2612" t="s">
        <v>33</v>
      </c>
      <c r="I2612" t="s">
        <v>34</v>
      </c>
      <c r="J2612" t="s">
        <v>35</v>
      </c>
      <c r="K2612" t="s">
        <v>114</v>
      </c>
      <c r="L2612" t="s">
        <v>43</v>
      </c>
      <c r="M2612">
        <v>0</v>
      </c>
      <c r="N2612">
        <v>0</v>
      </c>
      <c r="O2612" s="5">
        <v>50850</v>
      </c>
      <c r="P2612" s="5">
        <v>50849</v>
      </c>
      <c r="R2612" t="s">
        <v>47</v>
      </c>
      <c r="T2612">
        <v>17</v>
      </c>
      <c r="U2612">
        <v>77.5</v>
      </c>
      <c r="V2612">
        <v>19</v>
      </c>
      <c r="W2612">
        <v>13.3</v>
      </c>
      <c r="X2612">
        <v>27.8</v>
      </c>
      <c r="Z2612" t="s">
        <v>97</v>
      </c>
      <c r="AB2612" t="s">
        <v>40</v>
      </c>
      <c r="AC2612" t="s">
        <v>56</v>
      </c>
    </row>
    <row r="2613" spans="1:29" x14ac:dyDescent="0.25">
      <c r="A2613" s="4">
        <v>42586</v>
      </c>
      <c r="B2613" t="s">
        <v>30</v>
      </c>
      <c r="C2613">
        <v>201</v>
      </c>
      <c r="D2613">
        <v>7</v>
      </c>
      <c r="E2613">
        <v>2</v>
      </c>
      <c r="F2613" t="s">
        <v>31</v>
      </c>
      <c r="G2613" t="s">
        <v>32</v>
      </c>
      <c r="H2613" t="s">
        <v>33</v>
      </c>
      <c r="I2613" t="s">
        <v>34</v>
      </c>
      <c r="J2613" t="s">
        <v>35</v>
      </c>
      <c r="K2613" t="s">
        <v>89</v>
      </c>
      <c r="L2613" t="s">
        <v>37</v>
      </c>
      <c r="M2613">
        <v>0</v>
      </c>
      <c r="N2613">
        <v>0</v>
      </c>
      <c r="O2613" s="5" t="s">
        <v>165</v>
      </c>
      <c r="P2613" s="5">
        <v>50929</v>
      </c>
      <c r="Q2613">
        <v>13</v>
      </c>
    </row>
    <row r="2614" spans="1:29" x14ac:dyDescent="0.25">
      <c r="A2614" s="4">
        <v>42586</v>
      </c>
      <c r="B2614" t="s">
        <v>30</v>
      </c>
      <c r="C2614">
        <v>201</v>
      </c>
      <c r="D2614">
        <v>8</v>
      </c>
      <c r="E2614">
        <v>1</v>
      </c>
      <c r="F2614" t="s">
        <v>31</v>
      </c>
      <c r="G2614" t="s">
        <v>32</v>
      </c>
      <c r="H2614" t="s">
        <v>33</v>
      </c>
      <c r="I2614" t="s">
        <v>34</v>
      </c>
      <c r="J2614" t="s">
        <v>35</v>
      </c>
      <c r="K2614" t="s">
        <v>36</v>
      </c>
      <c r="L2614" t="s">
        <v>37</v>
      </c>
      <c r="M2614">
        <v>0</v>
      </c>
      <c r="N2614">
        <v>0</v>
      </c>
      <c r="O2614" s="5">
        <v>50359</v>
      </c>
      <c r="P2614" s="5">
        <v>50358</v>
      </c>
      <c r="Q2614">
        <f>37-14</f>
        <v>23</v>
      </c>
      <c r="R2614" t="s">
        <v>38</v>
      </c>
      <c r="S2614" t="s">
        <v>39</v>
      </c>
      <c r="T2614">
        <v>18</v>
      </c>
      <c r="U2614">
        <v>90</v>
      </c>
      <c r="V2614">
        <v>18</v>
      </c>
      <c r="W2614">
        <v>13.7</v>
      </c>
      <c r="X2614">
        <v>27</v>
      </c>
      <c r="Z2614" t="s">
        <v>39</v>
      </c>
      <c r="AB2614" t="s">
        <v>40</v>
      </c>
      <c r="AC2614" t="s">
        <v>56</v>
      </c>
    </row>
    <row r="2615" spans="1:29" x14ac:dyDescent="0.25">
      <c r="A2615" s="4">
        <v>42586</v>
      </c>
      <c r="B2615" t="s">
        <v>30</v>
      </c>
      <c r="C2615">
        <v>201</v>
      </c>
      <c r="D2615">
        <v>8</v>
      </c>
      <c r="E2615">
        <v>2</v>
      </c>
      <c r="F2615" t="s">
        <v>31</v>
      </c>
      <c r="G2615" t="s">
        <v>32</v>
      </c>
      <c r="H2615" t="s">
        <v>33</v>
      </c>
      <c r="I2615" t="s">
        <v>58</v>
      </c>
      <c r="J2615" t="s">
        <v>35</v>
      </c>
      <c r="K2615" t="s">
        <v>36</v>
      </c>
      <c r="L2615" t="s">
        <v>43</v>
      </c>
      <c r="M2615">
        <v>0</v>
      </c>
      <c r="N2615">
        <v>0</v>
      </c>
      <c r="O2615" s="5">
        <v>50672</v>
      </c>
      <c r="P2615" s="5"/>
      <c r="Q2615">
        <f>34.5-12</f>
        <v>22.5</v>
      </c>
      <c r="R2615" t="s">
        <v>65</v>
      </c>
      <c r="T2615">
        <v>17</v>
      </c>
      <c r="W2615">
        <v>12.7</v>
      </c>
      <c r="X2615">
        <v>30.8</v>
      </c>
      <c r="Z2615" t="s">
        <v>97</v>
      </c>
      <c r="AB2615" t="s">
        <v>40</v>
      </c>
      <c r="AC2615" t="s">
        <v>56</v>
      </c>
    </row>
    <row r="2616" spans="1:29" x14ac:dyDescent="0.25">
      <c r="A2616" s="4">
        <v>42586</v>
      </c>
      <c r="B2616" t="s">
        <v>30</v>
      </c>
      <c r="C2616">
        <v>201</v>
      </c>
      <c r="D2616">
        <v>9</v>
      </c>
      <c r="E2616">
        <v>1</v>
      </c>
      <c r="F2616" t="s">
        <v>31</v>
      </c>
      <c r="G2616" t="s">
        <v>32</v>
      </c>
      <c r="H2616" t="s">
        <v>33</v>
      </c>
      <c r="I2616" t="s">
        <v>34</v>
      </c>
      <c r="J2616" t="s">
        <v>35</v>
      </c>
      <c r="K2616" t="s">
        <v>114</v>
      </c>
      <c r="L2616" t="s">
        <v>37</v>
      </c>
      <c r="M2616">
        <v>0</v>
      </c>
      <c r="N2616">
        <v>0</v>
      </c>
      <c r="O2616" s="5">
        <v>50844</v>
      </c>
      <c r="P2616" s="5">
        <v>50843</v>
      </c>
      <c r="Q2616">
        <f>29.5-14.5</f>
        <v>15</v>
      </c>
      <c r="R2616" t="s">
        <v>38</v>
      </c>
      <c r="S2616" t="s">
        <v>39</v>
      </c>
      <c r="T2616">
        <v>19</v>
      </c>
      <c r="U2616">
        <v>75.5</v>
      </c>
      <c r="V2616">
        <v>18</v>
      </c>
      <c r="W2616">
        <v>12.8</v>
      </c>
      <c r="X2616">
        <v>28.1</v>
      </c>
      <c r="Z2616" t="s">
        <v>97</v>
      </c>
      <c r="AB2616" t="s">
        <v>40</v>
      </c>
      <c r="AC2616" t="s">
        <v>56</v>
      </c>
    </row>
    <row r="2617" spans="1:29" x14ac:dyDescent="0.25">
      <c r="A2617" s="4">
        <v>42586</v>
      </c>
      <c r="B2617" t="s">
        <v>30</v>
      </c>
      <c r="C2617">
        <v>201</v>
      </c>
      <c r="D2617">
        <v>10</v>
      </c>
      <c r="E2617">
        <v>1</v>
      </c>
      <c r="F2617" t="s">
        <v>31</v>
      </c>
      <c r="G2617" t="s">
        <v>32</v>
      </c>
      <c r="H2617" t="s">
        <v>33</v>
      </c>
      <c r="I2617" t="s">
        <v>58</v>
      </c>
      <c r="J2617" t="s">
        <v>42</v>
      </c>
      <c r="K2617" t="s">
        <v>89</v>
      </c>
      <c r="L2617" t="s">
        <v>37</v>
      </c>
      <c r="M2617">
        <v>0</v>
      </c>
      <c r="N2617">
        <v>1</v>
      </c>
      <c r="O2617" s="5" t="s">
        <v>354</v>
      </c>
      <c r="P2617" s="5"/>
      <c r="Q2617">
        <f>31-14</f>
        <v>17</v>
      </c>
      <c r="R2617" t="s">
        <v>83</v>
      </c>
      <c r="S2617" t="s">
        <v>39</v>
      </c>
      <c r="T2617">
        <v>17</v>
      </c>
      <c r="W2617">
        <v>12.4</v>
      </c>
      <c r="X2617">
        <v>25.15</v>
      </c>
      <c r="Z2617" t="s">
        <v>97</v>
      </c>
      <c r="AB2617" t="s">
        <v>40</v>
      </c>
      <c r="AC2617" t="s">
        <v>56</v>
      </c>
    </row>
    <row r="2618" spans="1:29" x14ac:dyDescent="0.25">
      <c r="A2618" s="4">
        <v>42586</v>
      </c>
      <c r="B2618" t="s">
        <v>30</v>
      </c>
      <c r="C2618">
        <v>201</v>
      </c>
      <c r="D2618">
        <v>10</v>
      </c>
      <c r="E2618">
        <v>2</v>
      </c>
      <c r="F2618" t="s">
        <v>31</v>
      </c>
      <c r="G2618" t="s">
        <v>32</v>
      </c>
      <c r="H2618" t="s">
        <v>33</v>
      </c>
      <c r="I2618" t="s">
        <v>34</v>
      </c>
      <c r="J2618" t="s">
        <v>35</v>
      </c>
      <c r="K2618" t="s">
        <v>114</v>
      </c>
      <c r="L2618" t="s">
        <v>43</v>
      </c>
      <c r="M2618">
        <v>0</v>
      </c>
      <c r="N2618">
        <v>0</v>
      </c>
      <c r="O2618" s="5">
        <v>50848</v>
      </c>
      <c r="P2618" s="5">
        <v>50847</v>
      </c>
      <c r="Q2618">
        <f>31.5-15</f>
        <v>16.5</v>
      </c>
      <c r="R2618" t="s">
        <v>47</v>
      </c>
      <c r="T2618">
        <v>18</v>
      </c>
      <c r="U2618">
        <v>86</v>
      </c>
      <c r="V2618">
        <v>15</v>
      </c>
      <c r="W2618">
        <v>13</v>
      </c>
      <c r="X2618">
        <v>25.3</v>
      </c>
      <c r="Z2618" t="s">
        <v>97</v>
      </c>
      <c r="AB2618" t="s">
        <v>40</v>
      </c>
      <c r="AC2618" t="s">
        <v>56</v>
      </c>
    </row>
    <row r="2619" spans="1:29" x14ac:dyDescent="0.25">
      <c r="A2619" s="4">
        <v>42586</v>
      </c>
      <c r="B2619" t="s">
        <v>30</v>
      </c>
      <c r="C2619">
        <v>203</v>
      </c>
      <c r="D2619">
        <v>1</v>
      </c>
      <c r="E2619">
        <v>1</v>
      </c>
      <c r="F2619" t="s">
        <v>31</v>
      </c>
      <c r="G2619" t="s">
        <v>32</v>
      </c>
      <c r="H2619" t="s">
        <v>33</v>
      </c>
      <c r="I2619" t="s">
        <v>57</v>
      </c>
      <c r="O2619" s="5"/>
      <c r="P2619" s="5"/>
    </row>
    <row r="2620" spans="1:29" x14ac:dyDescent="0.25">
      <c r="A2620" s="4">
        <v>42586</v>
      </c>
      <c r="B2620" t="s">
        <v>30</v>
      </c>
      <c r="C2620">
        <v>203</v>
      </c>
      <c r="D2620">
        <v>1</v>
      </c>
      <c r="E2620">
        <v>2</v>
      </c>
      <c r="F2620" t="s">
        <v>31</v>
      </c>
      <c r="G2620" t="s">
        <v>32</v>
      </c>
      <c r="H2620" t="s">
        <v>33</v>
      </c>
      <c r="I2620" t="s">
        <v>34</v>
      </c>
      <c r="J2620" t="s">
        <v>35</v>
      </c>
      <c r="K2620" t="s">
        <v>89</v>
      </c>
      <c r="L2620" t="s">
        <v>37</v>
      </c>
      <c r="M2620">
        <v>0</v>
      </c>
      <c r="N2620">
        <v>0</v>
      </c>
      <c r="O2620" s="5">
        <v>50842</v>
      </c>
      <c r="P2620" s="5">
        <v>50932</v>
      </c>
      <c r="Q2620">
        <v>13</v>
      </c>
      <c r="R2620" t="s">
        <v>38</v>
      </c>
      <c r="S2620" t="s">
        <v>39</v>
      </c>
      <c r="T2620">
        <v>18</v>
      </c>
      <c r="U2620">
        <v>86</v>
      </c>
      <c r="V2620">
        <v>18</v>
      </c>
      <c r="W2620">
        <v>13</v>
      </c>
      <c r="X2620">
        <v>24.7</v>
      </c>
      <c r="Z2620" t="s">
        <v>39</v>
      </c>
      <c r="AB2620" t="s">
        <v>40</v>
      </c>
      <c r="AC2620" t="s">
        <v>56</v>
      </c>
    </row>
    <row r="2621" spans="1:29" x14ac:dyDescent="0.25">
      <c r="A2621" s="4">
        <v>42586</v>
      </c>
      <c r="B2621" t="s">
        <v>30</v>
      </c>
      <c r="C2621">
        <v>203</v>
      </c>
      <c r="D2621">
        <v>2</v>
      </c>
      <c r="E2621">
        <v>1</v>
      </c>
      <c r="F2621" t="s">
        <v>31</v>
      </c>
      <c r="G2621" t="s">
        <v>32</v>
      </c>
      <c r="H2621" t="s">
        <v>33</v>
      </c>
      <c r="I2621" t="s">
        <v>34</v>
      </c>
      <c r="J2621" t="s">
        <v>42</v>
      </c>
      <c r="K2621" t="s">
        <v>114</v>
      </c>
      <c r="L2621" t="s">
        <v>37</v>
      </c>
      <c r="M2621">
        <v>0</v>
      </c>
      <c r="N2621">
        <v>1</v>
      </c>
      <c r="O2621" s="5" t="s">
        <v>355</v>
      </c>
      <c r="P2621" s="5" t="s">
        <v>356</v>
      </c>
      <c r="Q2621">
        <f>27-13.5</f>
        <v>13.5</v>
      </c>
      <c r="R2621" t="s">
        <v>38</v>
      </c>
      <c r="S2621" t="s">
        <v>39</v>
      </c>
      <c r="T2621">
        <v>18</v>
      </c>
      <c r="U2621">
        <v>75</v>
      </c>
      <c r="V2621">
        <v>15</v>
      </c>
      <c r="W2621">
        <v>12.9</v>
      </c>
      <c r="X2621">
        <v>24.6</v>
      </c>
      <c r="Z2621" t="s">
        <v>39</v>
      </c>
      <c r="AB2621" t="s">
        <v>40</v>
      </c>
      <c r="AC2621" t="s">
        <v>56</v>
      </c>
    </row>
    <row r="2622" spans="1:29" x14ac:dyDescent="0.25">
      <c r="A2622" s="4">
        <v>42586</v>
      </c>
      <c r="B2622" t="s">
        <v>30</v>
      </c>
      <c r="C2622">
        <v>203</v>
      </c>
      <c r="D2622">
        <v>2</v>
      </c>
      <c r="E2622">
        <v>2</v>
      </c>
      <c r="F2622" t="s">
        <v>31</v>
      </c>
      <c r="G2622" t="s">
        <v>32</v>
      </c>
      <c r="H2622" t="s">
        <v>33</v>
      </c>
      <c r="I2622" t="s">
        <v>73</v>
      </c>
      <c r="J2622" t="s">
        <v>42</v>
      </c>
      <c r="K2622" t="s">
        <v>114</v>
      </c>
      <c r="L2622" t="s">
        <v>37</v>
      </c>
      <c r="M2622">
        <v>0</v>
      </c>
      <c r="N2622">
        <v>1</v>
      </c>
      <c r="O2622" s="5" t="s">
        <v>357</v>
      </c>
      <c r="P2622" s="5"/>
      <c r="Q2622">
        <f>165-90</f>
        <v>75</v>
      </c>
      <c r="R2622" t="s">
        <v>38</v>
      </c>
      <c r="S2622" t="s">
        <v>39</v>
      </c>
      <c r="T2622">
        <v>30</v>
      </c>
      <c r="W2622">
        <v>21.9</v>
      </c>
      <c r="X2622">
        <v>40</v>
      </c>
      <c r="Z2622" t="s">
        <v>97</v>
      </c>
      <c r="AB2622" t="s">
        <v>40</v>
      </c>
      <c r="AC2622" t="s">
        <v>56</v>
      </c>
    </row>
    <row r="2623" spans="1:29" x14ac:dyDescent="0.25">
      <c r="A2623" s="4">
        <v>42586</v>
      </c>
      <c r="B2623" t="s">
        <v>30</v>
      </c>
      <c r="C2623">
        <v>203</v>
      </c>
      <c r="D2623">
        <v>3</v>
      </c>
      <c r="E2623">
        <v>1</v>
      </c>
      <c r="F2623" t="s">
        <v>31</v>
      </c>
      <c r="G2623" t="s">
        <v>32</v>
      </c>
      <c r="H2623" t="s">
        <v>33</v>
      </c>
      <c r="I2623" t="s">
        <v>34</v>
      </c>
      <c r="J2623" t="s">
        <v>42</v>
      </c>
      <c r="K2623" t="s">
        <v>114</v>
      </c>
      <c r="L2623" t="s">
        <v>43</v>
      </c>
      <c r="M2623">
        <v>0</v>
      </c>
      <c r="N2623">
        <v>1</v>
      </c>
      <c r="O2623" s="5" t="s">
        <v>358</v>
      </c>
      <c r="P2623" s="5" t="s">
        <v>359</v>
      </c>
      <c r="Q2623">
        <f>29.5-13</f>
        <v>16.5</v>
      </c>
      <c r="R2623" t="s">
        <v>47</v>
      </c>
      <c r="T2623">
        <v>17</v>
      </c>
      <c r="U2623">
        <v>85</v>
      </c>
      <c r="V2623">
        <v>15</v>
      </c>
      <c r="W2623">
        <v>13</v>
      </c>
      <c r="X2623">
        <v>25.3</v>
      </c>
      <c r="Z2623" t="s">
        <v>39</v>
      </c>
      <c r="AB2623" t="s">
        <v>40</v>
      </c>
      <c r="AC2623" t="s">
        <v>56</v>
      </c>
    </row>
    <row r="2624" spans="1:29" x14ac:dyDescent="0.25">
      <c r="A2624" s="4">
        <v>42586</v>
      </c>
      <c r="B2624" t="s">
        <v>30</v>
      </c>
      <c r="C2624">
        <v>203</v>
      </c>
      <c r="D2624">
        <v>3</v>
      </c>
      <c r="E2624">
        <v>2</v>
      </c>
      <c r="F2624" t="s">
        <v>31</v>
      </c>
      <c r="G2624" t="s">
        <v>32</v>
      </c>
      <c r="H2624" t="s">
        <v>33</v>
      </c>
      <c r="I2624" t="s">
        <v>34</v>
      </c>
      <c r="J2624" t="s">
        <v>35</v>
      </c>
      <c r="K2624" t="s">
        <v>114</v>
      </c>
      <c r="L2624" t="s">
        <v>37</v>
      </c>
      <c r="M2624">
        <v>0</v>
      </c>
      <c r="N2624">
        <v>0</v>
      </c>
      <c r="O2624" s="5">
        <v>50841</v>
      </c>
      <c r="P2624" s="5">
        <v>50950</v>
      </c>
      <c r="Q2624">
        <f>30-14.5</f>
        <v>15.5</v>
      </c>
      <c r="R2624" t="s">
        <v>38</v>
      </c>
      <c r="S2624" t="s">
        <v>39</v>
      </c>
      <c r="T2624">
        <v>19</v>
      </c>
      <c r="U2624">
        <v>92</v>
      </c>
      <c r="V2624">
        <v>15</v>
      </c>
      <c r="W2624">
        <v>12.9</v>
      </c>
      <c r="X2624">
        <v>25.6</v>
      </c>
      <c r="Z2624" t="s">
        <v>97</v>
      </c>
      <c r="AB2624" t="s">
        <v>40</v>
      </c>
      <c r="AC2624" t="s">
        <v>56</v>
      </c>
    </row>
    <row r="2625" spans="1:29" x14ac:dyDescent="0.25">
      <c r="A2625" s="4">
        <v>42586</v>
      </c>
      <c r="B2625" t="s">
        <v>30</v>
      </c>
      <c r="C2625">
        <v>203</v>
      </c>
      <c r="D2625">
        <v>4</v>
      </c>
      <c r="E2625">
        <v>1</v>
      </c>
      <c r="F2625" t="s">
        <v>31</v>
      </c>
      <c r="G2625" t="s">
        <v>32</v>
      </c>
      <c r="H2625" t="s">
        <v>33</v>
      </c>
      <c r="I2625" t="s">
        <v>34</v>
      </c>
      <c r="J2625" t="s">
        <v>35</v>
      </c>
      <c r="K2625" t="s">
        <v>114</v>
      </c>
      <c r="L2625" t="s">
        <v>43</v>
      </c>
      <c r="M2625">
        <v>0</v>
      </c>
      <c r="N2625">
        <v>0</v>
      </c>
      <c r="O2625" s="5">
        <v>50840</v>
      </c>
      <c r="P2625" s="5">
        <v>50933</v>
      </c>
      <c r="Q2625">
        <f>31-12.5</f>
        <v>18.5</v>
      </c>
      <c r="R2625" t="s">
        <v>47</v>
      </c>
      <c r="T2625">
        <v>18.5</v>
      </c>
      <c r="U2625">
        <v>87</v>
      </c>
      <c r="V2625">
        <v>14.5</v>
      </c>
      <c r="W2625">
        <v>13.4</v>
      </c>
      <c r="X2625">
        <v>27.5</v>
      </c>
      <c r="Z2625" t="s">
        <v>39</v>
      </c>
      <c r="AB2625" t="s">
        <v>40</v>
      </c>
      <c r="AC2625" t="s">
        <v>56</v>
      </c>
    </row>
    <row r="2626" spans="1:29" x14ac:dyDescent="0.25">
      <c r="A2626" s="4">
        <v>42586</v>
      </c>
      <c r="B2626" t="s">
        <v>30</v>
      </c>
      <c r="C2626">
        <v>203</v>
      </c>
      <c r="D2626">
        <v>4</v>
      </c>
      <c r="E2626">
        <v>2</v>
      </c>
      <c r="F2626" t="s">
        <v>31</v>
      </c>
      <c r="G2626" t="s">
        <v>32</v>
      </c>
      <c r="H2626" t="s">
        <v>33</v>
      </c>
      <c r="I2626" t="s">
        <v>91</v>
      </c>
      <c r="J2626" t="s">
        <v>35</v>
      </c>
      <c r="K2626" t="s">
        <v>36</v>
      </c>
      <c r="L2626" t="s">
        <v>37</v>
      </c>
      <c r="M2626">
        <v>0</v>
      </c>
      <c r="N2626">
        <v>0</v>
      </c>
      <c r="O2626" s="5"/>
      <c r="P2626" s="5">
        <v>50838</v>
      </c>
      <c r="Q2626">
        <f>35-12.5</f>
        <v>22.5</v>
      </c>
      <c r="R2626" t="s">
        <v>74</v>
      </c>
      <c r="S2626" t="s">
        <v>97</v>
      </c>
      <c r="T2626">
        <v>29</v>
      </c>
      <c r="W2626">
        <v>12.6</v>
      </c>
      <c r="X2626">
        <v>26.4</v>
      </c>
      <c r="Z2626" t="s">
        <v>39</v>
      </c>
      <c r="AB2626" t="s">
        <v>40</v>
      </c>
      <c r="AC2626" t="s">
        <v>56</v>
      </c>
    </row>
    <row r="2627" spans="1:29" x14ac:dyDescent="0.25">
      <c r="A2627" s="4">
        <v>42586</v>
      </c>
      <c r="B2627" t="s">
        <v>30</v>
      </c>
      <c r="C2627">
        <v>203</v>
      </c>
      <c r="D2627">
        <v>5</v>
      </c>
      <c r="E2627">
        <v>1</v>
      </c>
      <c r="F2627" t="s">
        <v>31</v>
      </c>
      <c r="G2627" t="s">
        <v>32</v>
      </c>
      <c r="H2627" t="s">
        <v>33</v>
      </c>
      <c r="I2627" t="s">
        <v>34</v>
      </c>
      <c r="J2627" t="s">
        <v>35</v>
      </c>
      <c r="K2627" t="s">
        <v>114</v>
      </c>
      <c r="L2627" t="s">
        <v>43</v>
      </c>
      <c r="M2627">
        <v>0</v>
      </c>
      <c r="N2627">
        <v>0</v>
      </c>
      <c r="O2627" s="5">
        <v>50665</v>
      </c>
      <c r="P2627" s="5">
        <v>50664</v>
      </c>
      <c r="Q2627">
        <f>29.5-13</f>
        <v>16.5</v>
      </c>
      <c r="R2627" t="s">
        <v>65</v>
      </c>
      <c r="T2627">
        <v>18</v>
      </c>
      <c r="U2627">
        <v>97</v>
      </c>
      <c r="V2627">
        <v>15.5</v>
      </c>
      <c r="W2627">
        <v>12.9</v>
      </c>
      <c r="X2627">
        <v>26</v>
      </c>
      <c r="Z2627" t="s">
        <v>39</v>
      </c>
      <c r="AB2627" t="s">
        <v>40</v>
      </c>
      <c r="AC2627" t="s">
        <v>56</v>
      </c>
    </row>
    <row r="2628" spans="1:29" x14ac:dyDescent="0.25">
      <c r="A2628" s="4">
        <v>42586</v>
      </c>
      <c r="B2628" t="s">
        <v>30</v>
      </c>
      <c r="C2628">
        <v>203</v>
      </c>
      <c r="D2628">
        <v>6</v>
      </c>
      <c r="E2628">
        <v>1</v>
      </c>
      <c r="F2628" t="s">
        <v>31</v>
      </c>
      <c r="G2628" t="s">
        <v>32</v>
      </c>
      <c r="H2628" t="s">
        <v>33</v>
      </c>
      <c r="I2628" t="s">
        <v>53</v>
      </c>
      <c r="J2628" t="s">
        <v>62</v>
      </c>
      <c r="O2628" s="5"/>
      <c r="P2628" s="5"/>
      <c r="AB2628" t="s">
        <v>40</v>
      </c>
      <c r="AC2628" t="s">
        <v>56</v>
      </c>
    </row>
    <row r="2629" spans="1:29" x14ac:dyDescent="0.25">
      <c r="A2629" s="4">
        <v>42586</v>
      </c>
      <c r="B2629" t="s">
        <v>30</v>
      </c>
      <c r="C2629">
        <v>203</v>
      </c>
      <c r="D2629">
        <v>6</v>
      </c>
      <c r="E2629">
        <v>2</v>
      </c>
      <c r="F2629" t="s">
        <v>31</v>
      </c>
      <c r="G2629" t="s">
        <v>32</v>
      </c>
      <c r="H2629" t="s">
        <v>33</v>
      </c>
      <c r="I2629" t="s">
        <v>91</v>
      </c>
      <c r="J2629" t="s">
        <v>35</v>
      </c>
      <c r="K2629" t="s">
        <v>36</v>
      </c>
      <c r="L2629" t="s">
        <v>37</v>
      </c>
      <c r="M2629">
        <v>0</v>
      </c>
      <c r="N2629">
        <v>0</v>
      </c>
      <c r="O2629" s="5"/>
      <c r="P2629" s="5">
        <v>50656</v>
      </c>
      <c r="Q2629">
        <f>36-13</f>
        <v>23</v>
      </c>
      <c r="R2629" t="s">
        <v>74</v>
      </c>
      <c r="S2629" t="s">
        <v>97</v>
      </c>
      <c r="T2629">
        <v>28</v>
      </c>
      <c r="W2629">
        <v>13.4</v>
      </c>
      <c r="X2629">
        <v>26.5</v>
      </c>
      <c r="Z2629" t="s">
        <v>39</v>
      </c>
      <c r="AB2629" t="s">
        <v>40</v>
      </c>
      <c r="AC2629" t="s">
        <v>56</v>
      </c>
    </row>
    <row r="2630" spans="1:29" x14ac:dyDescent="0.25">
      <c r="A2630" s="4">
        <v>42586</v>
      </c>
      <c r="B2630" t="s">
        <v>30</v>
      </c>
      <c r="C2630">
        <v>203</v>
      </c>
      <c r="D2630">
        <v>7</v>
      </c>
      <c r="E2630">
        <v>2</v>
      </c>
      <c r="F2630" t="s">
        <v>31</v>
      </c>
      <c r="G2630" t="s">
        <v>32</v>
      </c>
      <c r="H2630" t="s">
        <v>33</v>
      </c>
      <c r="I2630" t="s">
        <v>58</v>
      </c>
      <c r="J2630" t="s">
        <v>35</v>
      </c>
      <c r="K2630" t="s">
        <v>36</v>
      </c>
      <c r="L2630" t="s">
        <v>43</v>
      </c>
      <c r="M2630">
        <v>0</v>
      </c>
      <c r="N2630">
        <v>0</v>
      </c>
      <c r="O2630" s="5">
        <v>50934</v>
      </c>
      <c r="P2630" s="5"/>
      <c r="Q2630">
        <f>31-13</f>
        <v>18</v>
      </c>
      <c r="R2630" t="s">
        <v>65</v>
      </c>
      <c r="T2630">
        <v>17</v>
      </c>
      <c r="W2630">
        <v>12.2</v>
      </c>
      <c r="X2630">
        <v>26.7</v>
      </c>
      <c r="Z2630" t="s">
        <v>97</v>
      </c>
      <c r="AB2630" t="s">
        <v>40</v>
      </c>
      <c r="AC2630" t="s">
        <v>56</v>
      </c>
    </row>
    <row r="2631" spans="1:29" x14ac:dyDescent="0.25">
      <c r="A2631" s="4">
        <v>42586</v>
      </c>
      <c r="B2631" t="s">
        <v>30</v>
      </c>
      <c r="C2631">
        <v>203</v>
      </c>
      <c r="D2631">
        <v>8</v>
      </c>
      <c r="E2631">
        <v>1</v>
      </c>
      <c r="F2631" t="s">
        <v>31</v>
      </c>
      <c r="G2631" t="s">
        <v>32</v>
      </c>
      <c r="H2631" t="s">
        <v>33</v>
      </c>
      <c r="I2631" t="s">
        <v>34</v>
      </c>
      <c r="J2631" t="s">
        <v>42</v>
      </c>
      <c r="K2631" t="s">
        <v>89</v>
      </c>
      <c r="L2631" t="s">
        <v>37</v>
      </c>
      <c r="M2631">
        <v>0</v>
      </c>
      <c r="N2631">
        <v>1</v>
      </c>
      <c r="O2631" s="5" t="s">
        <v>360</v>
      </c>
      <c r="P2631" s="5" t="s">
        <v>361</v>
      </c>
      <c r="Q2631">
        <f>21-13</f>
        <v>8</v>
      </c>
      <c r="R2631" t="s">
        <v>38</v>
      </c>
      <c r="S2631" t="s">
        <v>39</v>
      </c>
      <c r="T2631">
        <v>16</v>
      </c>
      <c r="U2631">
        <v>64</v>
      </c>
      <c r="V2631">
        <v>13</v>
      </c>
      <c r="W2631">
        <v>11.6</v>
      </c>
      <c r="X2631">
        <v>23.8</v>
      </c>
      <c r="Y2631" t="s">
        <v>362</v>
      </c>
      <c r="Z2631" t="s">
        <v>39</v>
      </c>
      <c r="AB2631" t="s">
        <v>40</v>
      </c>
      <c r="AC2631" t="s">
        <v>56</v>
      </c>
    </row>
    <row r="2632" spans="1:29" x14ac:dyDescent="0.25">
      <c r="A2632" s="4">
        <v>42586</v>
      </c>
      <c r="B2632" t="s">
        <v>30</v>
      </c>
      <c r="C2632">
        <v>203</v>
      </c>
      <c r="D2632">
        <v>8</v>
      </c>
      <c r="E2632">
        <v>2</v>
      </c>
      <c r="F2632" t="s">
        <v>31</v>
      </c>
      <c r="G2632" t="s">
        <v>32</v>
      </c>
      <c r="H2632" t="s">
        <v>33</v>
      </c>
      <c r="I2632" t="s">
        <v>34</v>
      </c>
      <c r="J2632" t="s">
        <v>35</v>
      </c>
      <c r="K2632" t="s">
        <v>36</v>
      </c>
      <c r="L2632" t="s">
        <v>37</v>
      </c>
      <c r="M2632">
        <v>0</v>
      </c>
      <c r="N2632">
        <v>0</v>
      </c>
      <c r="O2632" s="5">
        <v>50836</v>
      </c>
      <c r="P2632" s="5">
        <v>50935</v>
      </c>
      <c r="Q2632">
        <f>29-13</f>
        <v>16</v>
      </c>
      <c r="R2632" t="s">
        <v>38</v>
      </c>
      <c r="T2632">
        <v>19</v>
      </c>
      <c r="U2632">
        <v>88</v>
      </c>
      <c r="V2632">
        <v>16</v>
      </c>
      <c r="W2632">
        <v>13.5</v>
      </c>
      <c r="X2632">
        <v>26.9</v>
      </c>
      <c r="Z2632" t="s">
        <v>39</v>
      </c>
      <c r="AB2632" t="s">
        <v>40</v>
      </c>
      <c r="AC2632" t="s">
        <v>56</v>
      </c>
    </row>
    <row r="2633" spans="1:29" x14ac:dyDescent="0.25">
      <c r="A2633" s="4">
        <v>42586</v>
      </c>
      <c r="B2633" t="s">
        <v>30</v>
      </c>
      <c r="C2633">
        <v>203</v>
      </c>
      <c r="D2633">
        <v>9</v>
      </c>
      <c r="E2633">
        <v>1</v>
      </c>
      <c r="F2633" t="s">
        <v>31</v>
      </c>
      <c r="G2633" t="s">
        <v>32</v>
      </c>
      <c r="H2633" t="s">
        <v>33</v>
      </c>
      <c r="I2633" t="s">
        <v>34</v>
      </c>
      <c r="J2633" t="s">
        <v>35</v>
      </c>
      <c r="K2633" t="s">
        <v>114</v>
      </c>
      <c r="L2633" t="s">
        <v>43</v>
      </c>
      <c r="M2633">
        <v>0</v>
      </c>
      <c r="N2633">
        <v>0</v>
      </c>
      <c r="O2633" s="5">
        <v>50949</v>
      </c>
      <c r="P2633" s="5">
        <v>50948</v>
      </c>
      <c r="Q2633">
        <f>29-13</f>
        <v>16</v>
      </c>
      <c r="R2633" t="s">
        <v>65</v>
      </c>
      <c r="T2633">
        <v>19</v>
      </c>
      <c r="U2633">
        <v>90</v>
      </c>
      <c r="V2633">
        <v>15</v>
      </c>
      <c r="W2633">
        <v>12.7</v>
      </c>
      <c r="X2633">
        <v>23</v>
      </c>
      <c r="Y2633" t="s">
        <v>363</v>
      </c>
      <c r="Z2633" t="s">
        <v>39</v>
      </c>
      <c r="AB2633" t="s">
        <v>40</v>
      </c>
      <c r="AC2633" t="s">
        <v>56</v>
      </c>
    </row>
    <row r="2634" spans="1:29" x14ac:dyDescent="0.25">
      <c r="A2634" s="4">
        <v>42586</v>
      </c>
      <c r="B2634" t="s">
        <v>30</v>
      </c>
      <c r="C2634">
        <v>203</v>
      </c>
      <c r="D2634">
        <v>9</v>
      </c>
      <c r="E2634">
        <v>2</v>
      </c>
      <c r="F2634" t="s">
        <v>31</v>
      </c>
      <c r="G2634" t="s">
        <v>32</v>
      </c>
      <c r="H2634" t="s">
        <v>33</v>
      </c>
      <c r="I2634" t="s">
        <v>34</v>
      </c>
      <c r="J2634" t="s">
        <v>35</v>
      </c>
      <c r="K2634" t="s">
        <v>114</v>
      </c>
      <c r="L2634" t="s">
        <v>37</v>
      </c>
      <c r="M2634">
        <v>0</v>
      </c>
      <c r="N2634">
        <v>0</v>
      </c>
      <c r="O2634" s="5">
        <v>50633</v>
      </c>
      <c r="P2634" s="5">
        <v>50634</v>
      </c>
      <c r="Q2634">
        <f>32-13</f>
        <v>19</v>
      </c>
      <c r="R2634" t="s">
        <v>74</v>
      </c>
      <c r="S2634" t="s">
        <v>97</v>
      </c>
      <c r="T2634">
        <v>19</v>
      </c>
      <c r="U2634">
        <v>82</v>
      </c>
      <c r="V2634">
        <v>18.5</v>
      </c>
      <c r="W2634">
        <v>13.4</v>
      </c>
      <c r="X2634">
        <v>26.2</v>
      </c>
      <c r="Z2634" t="s">
        <v>39</v>
      </c>
      <c r="AB2634" t="s">
        <v>40</v>
      </c>
      <c r="AC2634" t="s">
        <v>56</v>
      </c>
    </row>
    <row r="2635" spans="1:29" x14ac:dyDescent="0.25">
      <c r="A2635" s="4">
        <v>42586</v>
      </c>
      <c r="B2635" t="s">
        <v>30</v>
      </c>
      <c r="C2635">
        <v>203</v>
      </c>
      <c r="D2635">
        <v>10</v>
      </c>
      <c r="E2635">
        <v>1</v>
      </c>
      <c r="F2635" t="s">
        <v>31</v>
      </c>
      <c r="G2635" t="s">
        <v>32</v>
      </c>
      <c r="H2635" t="s">
        <v>33</v>
      </c>
      <c r="I2635" t="s">
        <v>34</v>
      </c>
      <c r="J2635" t="s">
        <v>42</v>
      </c>
      <c r="K2635" t="s">
        <v>89</v>
      </c>
      <c r="L2635" t="s">
        <v>43</v>
      </c>
      <c r="M2635">
        <v>0</v>
      </c>
      <c r="N2635">
        <v>1</v>
      </c>
      <c r="O2635" s="5" t="s">
        <v>364</v>
      </c>
      <c r="P2635" s="5" t="s">
        <v>365</v>
      </c>
      <c r="Q2635">
        <f>26.5-15.5</f>
        <v>11</v>
      </c>
      <c r="R2635" t="s">
        <v>65</v>
      </c>
      <c r="T2635">
        <v>17</v>
      </c>
      <c r="U2635">
        <v>63</v>
      </c>
      <c r="V2635">
        <v>14</v>
      </c>
      <c r="W2635">
        <v>11.5</v>
      </c>
      <c r="X2635">
        <v>24.7</v>
      </c>
      <c r="Z2635" t="s">
        <v>39</v>
      </c>
      <c r="AB2635" t="s">
        <v>40</v>
      </c>
      <c r="AC2635" t="s">
        <v>56</v>
      </c>
    </row>
    <row r="2636" spans="1:29" x14ac:dyDescent="0.25">
      <c r="A2636" s="4">
        <v>42586</v>
      </c>
      <c r="B2636" t="s">
        <v>30</v>
      </c>
      <c r="C2636">
        <v>203</v>
      </c>
      <c r="D2636">
        <v>10</v>
      </c>
      <c r="E2636">
        <v>2</v>
      </c>
      <c r="F2636" t="s">
        <v>31</v>
      </c>
      <c r="G2636" t="s">
        <v>32</v>
      </c>
      <c r="H2636" t="s">
        <v>33</v>
      </c>
      <c r="I2636" t="s">
        <v>34</v>
      </c>
      <c r="J2636" t="s">
        <v>51</v>
      </c>
      <c r="K2636" t="s">
        <v>114</v>
      </c>
      <c r="L2636" t="s">
        <v>37</v>
      </c>
      <c r="M2636">
        <v>0</v>
      </c>
      <c r="N2636">
        <v>0</v>
      </c>
      <c r="O2636" s="5">
        <v>50834</v>
      </c>
      <c r="P2636" s="5" t="s">
        <v>366</v>
      </c>
      <c r="Q2636">
        <f>30-14</f>
        <v>16</v>
      </c>
      <c r="R2636" t="s">
        <v>38</v>
      </c>
      <c r="S2636" t="s">
        <v>39</v>
      </c>
      <c r="T2636">
        <v>19</v>
      </c>
      <c r="U2636">
        <v>81.5</v>
      </c>
      <c r="V2636">
        <v>14</v>
      </c>
      <c r="W2636">
        <v>13.1</v>
      </c>
      <c r="X2636">
        <v>25.8</v>
      </c>
      <c r="Z2636" t="s">
        <v>39</v>
      </c>
      <c r="AB2636" t="s">
        <v>40</v>
      </c>
      <c r="AC2636" t="s">
        <v>56</v>
      </c>
    </row>
    <row r="2637" spans="1:29" x14ac:dyDescent="0.25">
      <c r="A2637" s="4">
        <v>42586</v>
      </c>
      <c r="B2637" t="s">
        <v>30</v>
      </c>
      <c r="C2637">
        <v>202</v>
      </c>
      <c r="D2637">
        <v>1</v>
      </c>
      <c r="E2637">
        <v>1</v>
      </c>
      <c r="F2637" t="s">
        <v>31</v>
      </c>
      <c r="G2637" t="s">
        <v>32</v>
      </c>
      <c r="H2637" t="s">
        <v>33</v>
      </c>
      <c r="I2637" t="s">
        <v>57</v>
      </c>
      <c r="O2637" s="5"/>
      <c r="P2637" s="5"/>
    </row>
    <row r="2638" spans="1:29" x14ac:dyDescent="0.25">
      <c r="A2638" s="4">
        <v>42586</v>
      </c>
      <c r="B2638" t="s">
        <v>30</v>
      </c>
      <c r="C2638">
        <v>202</v>
      </c>
      <c r="D2638">
        <v>2</v>
      </c>
      <c r="E2638">
        <v>1</v>
      </c>
      <c r="F2638" t="s">
        <v>31</v>
      </c>
      <c r="G2638" t="s">
        <v>32</v>
      </c>
      <c r="H2638" t="s">
        <v>33</v>
      </c>
      <c r="I2638" t="s">
        <v>57</v>
      </c>
      <c r="O2638" s="5"/>
      <c r="P2638" s="5"/>
    </row>
    <row r="2639" spans="1:29" x14ac:dyDescent="0.25">
      <c r="A2639" s="4">
        <v>42586</v>
      </c>
      <c r="B2639" t="s">
        <v>30</v>
      </c>
      <c r="C2639">
        <v>202</v>
      </c>
      <c r="D2639">
        <v>2</v>
      </c>
      <c r="E2639">
        <v>2</v>
      </c>
      <c r="F2639" t="s">
        <v>31</v>
      </c>
      <c r="G2639" t="s">
        <v>32</v>
      </c>
      <c r="H2639" t="s">
        <v>33</v>
      </c>
      <c r="I2639" t="s">
        <v>34</v>
      </c>
      <c r="J2639" t="s">
        <v>35</v>
      </c>
      <c r="K2639" t="s">
        <v>114</v>
      </c>
      <c r="L2639" t="s">
        <v>43</v>
      </c>
      <c r="M2639">
        <v>0</v>
      </c>
      <c r="N2639">
        <v>0</v>
      </c>
      <c r="O2639" s="5">
        <v>50937</v>
      </c>
      <c r="P2639" s="5">
        <v>50936</v>
      </c>
      <c r="Q2639">
        <v>16</v>
      </c>
      <c r="R2639" t="s">
        <v>47</v>
      </c>
      <c r="T2639">
        <v>20</v>
      </c>
      <c r="U2639">
        <v>87</v>
      </c>
      <c r="V2639">
        <v>15</v>
      </c>
      <c r="W2639">
        <v>12.8</v>
      </c>
      <c r="X2639">
        <v>25.8</v>
      </c>
      <c r="Z2639" t="s">
        <v>39</v>
      </c>
      <c r="AB2639" t="s">
        <v>40</v>
      </c>
      <c r="AC2639" t="s">
        <v>56</v>
      </c>
    </row>
    <row r="2640" spans="1:29" x14ac:dyDescent="0.25">
      <c r="A2640" s="4">
        <v>42586</v>
      </c>
      <c r="B2640" t="s">
        <v>30</v>
      </c>
      <c r="C2640">
        <v>202</v>
      </c>
      <c r="D2640">
        <v>3</v>
      </c>
      <c r="E2640">
        <v>1</v>
      </c>
      <c r="F2640" t="s">
        <v>31</v>
      </c>
      <c r="G2640" t="s">
        <v>32</v>
      </c>
      <c r="H2640" t="s">
        <v>33</v>
      </c>
      <c r="I2640" t="s">
        <v>34</v>
      </c>
      <c r="J2640" t="s">
        <v>42</v>
      </c>
      <c r="K2640" t="s">
        <v>114</v>
      </c>
      <c r="L2640" t="s">
        <v>43</v>
      </c>
      <c r="M2640">
        <v>0</v>
      </c>
      <c r="N2640">
        <v>1</v>
      </c>
      <c r="O2640" s="5" t="s">
        <v>367</v>
      </c>
      <c r="P2640" s="5" t="s">
        <v>368</v>
      </c>
      <c r="Q2640">
        <f>29-14</f>
        <v>15</v>
      </c>
      <c r="R2640" t="s">
        <v>65</v>
      </c>
      <c r="T2640">
        <v>19</v>
      </c>
      <c r="U2640">
        <v>26</v>
      </c>
      <c r="V2640">
        <v>20</v>
      </c>
      <c r="W2640">
        <v>13.5</v>
      </c>
      <c r="X2640">
        <v>29</v>
      </c>
      <c r="Z2640" t="s">
        <v>39</v>
      </c>
      <c r="AB2640" t="s">
        <v>40</v>
      </c>
      <c r="AC2640" t="s">
        <v>56</v>
      </c>
    </row>
    <row r="2641" spans="1:30" x14ac:dyDescent="0.25">
      <c r="A2641" s="4">
        <v>42586</v>
      </c>
      <c r="B2641" t="s">
        <v>30</v>
      </c>
      <c r="C2641">
        <v>202</v>
      </c>
      <c r="D2641">
        <v>3</v>
      </c>
      <c r="E2641">
        <v>2</v>
      </c>
      <c r="F2641" t="s">
        <v>31</v>
      </c>
      <c r="G2641" t="s">
        <v>32</v>
      </c>
      <c r="H2641" t="s">
        <v>33</v>
      </c>
      <c r="I2641" t="s">
        <v>34</v>
      </c>
      <c r="J2641" t="s">
        <v>35</v>
      </c>
      <c r="K2641" t="s">
        <v>114</v>
      </c>
      <c r="L2641" t="s">
        <v>37</v>
      </c>
      <c r="M2641">
        <v>0</v>
      </c>
      <c r="N2641">
        <v>0</v>
      </c>
      <c r="O2641" s="5">
        <v>50778</v>
      </c>
      <c r="P2641" s="5">
        <v>50777</v>
      </c>
      <c r="Q2641">
        <v>14</v>
      </c>
      <c r="R2641" t="s">
        <v>38</v>
      </c>
      <c r="S2641" t="s">
        <v>39</v>
      </c>
      <c r="T2641">
        <v>18</v>
      </c>
      <c r="V2641">
        <v>14</v>
      </c>
      <c r="W2641">
        <v>12.2</v>
      </c>
      <c r="X2641">
        <v>26.5</v>
      </c>
      <c r="Z2641" t="s">
        <v>39</v>
      </c>
      <c r="AB2641" t="s">
        <v>40</v>
      </c>
      <c r="AC2641" t="s">
        <v>56</v>
      </c>
    </row>
    <row r="2642" spans="1:30" x14ac:dyDescent="0.25">
      <c r="A2642" s="4">
        <v>42586</v>
      </c>
      <c r="B2642" t="s">
        <v>30</v>
      </c>
      <c r="C2642">
        <v>202</v>
      </c>
      <c r="D2642">
        <v>4</v>
      </c>
      <c r="E2642">
        <v>1</v>
      </c>
      <c r="F2642" t="s">
        <v>31</v>
      </c>
      <c r="G2642" t="s">
        <v>32</v>
      </c>
      <c r="H2642" t="s">
        <v>33</v>
      </c>
      <c r="I2642" t="s">
        <v>57</v>
      </c>
      <c r="O2642" s="5"/>
      <c r="P2642" s="5"/>
    </row>
    <row r="2643" spans="1:30" x14ac:dyDescent="0.25">
      <c r="A2643" s="4">
        <v>42586</v>
      </c>
      <c r="B2643" t="s">
        <v>30</v>
      </c>
      <c r="C2643">
        <v>202</v>
      </c>
      <c r="D2643">
        <v>4</v>
      </c>
      <c r="E2643">
        <v>2</v>
      </c>
      <c r="F2643" t="s">
        <v>31</v>
      </c>
      <c r="G2643" t="s">
        <v>32</v>
      </c>
      <c r="H2643" t="s">
        <v>33</v>
      </c>
      <c r="I2643" t="s">
        <v>34</v>
      </c>
      <c r="J2643" t="s">
        <v>35</v>
      </c>
      <c r="K2643" t="s">
        <v>114</v>
      </c>
      <c r="L2643" t="s">
        <v>43</v>
      </c>
      <c r="M2643">
        <v>0</v>
      </c>
      <c r="N2643">
        <v>0</v>
      </c>
      <c r="O2643" s="5">
        <v>50833</v>
      </c>
      <c r="P2643" s="5">
        <v>50945</v>
      </c>
      <c r="Q2643">
        <f>30.5-15.5</f>
        <v>15</v>
      </c>
      <c r="R2643" t="s">
        <v>65</v>
      </c>
      <c r="T2643">
        <v>17</v>
      </c>
      <c r="U2643">
        <v>93</v>
      </c>
      <c r="V2643">
        <v>15</v>
      </c>
      <c r="W2643">
        <v>13.1</v>
      </c>
      <c r="X2643">
        <v>27.3</v>
      </c>
      <c r="Z2643" t="s">
        <v>97</v>
      </c>
      <c r="AB2643" t="s">
        <v>40</v>
      </c>
      <c r="AC2643" t="s">
        <v>56</v>
      </c>
    </row>
    <row r="2644" spans="1:30" x14ac:dyDescent="0.25">
      <c r="A2644" s="4">
        <v>42586</v>
      </c>
      <c r="B2644" t="s">
        <v>30</v>
      </c>
      <c r="C2644">
        <v>202</v>
      </c>
      <c r="D2644">
        <v>5</v>
      </c>
      <c r="E2644">
        <v>1</v>
      </c>
      <c r="F2644" t="s">
        <v>31</v>
      </c>
      <c r="G2644" t="s">
        <v>32</v>
      </c>
      <c r="H2644" t="s">
        <v>33</v>
      </c>
      <c r="I2644" t="s">
        <v>34</v>
      </c>
      <c r="J2644" t="s">
        <v>35</v>
      </c>
      <c r="K2644" t="s">
        <v>114</v>
      </c>
      <c r="L2644" t="s">
        <v>43</v>
      </c>
      <c r="M2644">
        <v>0</v>
      </c>
      <c r="N2644">
        <v>0</v>
      </c>
      <c r="O2644" s="5">
        <v>50786</v>
      </c>
      <c r="P2644" s="5">
        <v>50785</v>
      </c>
      <c r="Q2644">
        <f>30-15.5</f>
        <v>14.5</v>
      </c>
      <c r="R2644" t="s">
        <v>65</v>
      </c>
      <c r="T2644">
        <v>18</v>
      </c>
      <c r="U2644">
        <v>77</v>
      </c>
      <c r="V2644">
        <v>15</v>
      </c>
      <c r="W2644">
        <v>12.1</v>
      </c>
      <c r="X2644">
        <v>27</v>
      </c>
      <c r="Z2644" t="s">
        <v>97</v>
      </c>
      <c r="AB2644" t="s">
        <v>40</v>
      </c>
      <c r="AC2644" t="s">
        <v>56</v>
      </c>
    </row>
    <row r="2645" spans="1:30" x14ac:dyDescent="0.25">
      <c r="A2645" s="4">
        <v>42586</v>
      </c>
      <c r="B2645" t="s">
        <v>30</v>
      </c>
      <c r="C2645">
        <v>202</v>
      </c>
      <c r="D2645">
        <v>6</v>
      </c>
      <c r="E2645">
        <v>1</v>
      </c>
      <c r="F2645" t="s">
        <v>31</v>
      </c>
      <c r="G2645" t="s">
        <v>32</v>
      </c>
      <c r="H2645" t="s">
        <v>33</v>
      </c>
      <c r="I2645" t="s">
        <v>57</v>
      </c>
      <c r="O2645" s="5"/>
      <c r="P2645" s="5"/>
    </row>
    <row r="2646" spans="1:30" x14ac:dyDescent="0.25">
      <c r="A2646" s="4">
        <v>42586</v>
      </c>
      <c r="B2646" t="s">
        <v>30</v>
      </c>
      <c r="C2646">
        <v>202</v>
      </c>
      <c r="D2646">
        <v>7</v>
      </c>
      <c r="E2646">
        <v>1</v>
      </c>
      <c r="F2646" t="s">
        <v>31</v>
      </c>
      <c r="G2646" t="s">
        <v>32</v>
      </c>
      <c r="H2646" t="s">
        <v>33</v>
      </c>
      <c r="I2646" t="s">
        <v>57</v>
      </c>
      <c r="O2646" s="5"/>
      <c r="P2646" s="5"/>
    </row>
    <row r="2647" spans="1:30" x14ac:dyDescent="0.25">
      <c r="A2647" s="4">
        <v>42586</v>
      </c>
      <c r="B2647" t="s">
        <v>30</v>
      </c>
      <c r="C2647">
        <v>202</v>
      </c>
      <c r="D2647">
        <v>8</v>
      </c>
      <c r="E2647">
        <v>1</v>
      </c>
      <c r="F2647" t="s">
        <v>31</v>
      </c>
      <c r="G2647" t="s">
        <v>32</v>
      </c>
      <c r="H2647" t="s">
        <v>33</v>
      </c>
      <c r="I2647" t="s">
        <v>57</v>
      </c>
      <c r="O2647" s="5"/>
      <c r="P2647" s="5"/>
    </row>
    <row r="2648" spans="1:30" x14ac:dyDescent="0.25">
      <c r="A2648" s="4">
        <v>42586</v>
      </c>
      <c r="B2648" t="s">
        <v>30</v>
      </c>
      <c r="C2648">
        <v>202</v>
      </c>
      <c r="D2648">
        <v>10</v>
      </c>
      <c r="E2648">
        <v>1</v>
      </c>
      <c r="F2648" t="s">
        <v>31</v>
      </c>
      <c r="G2648" t="s">
        <v>32</v>
      </c>
      <c r="H2648" t="s">
        <v>33</v>
      </c>
      <c r="I2648" t="s">
        <v>34</v>
      </c>
      <c r="J2648" t="s">
        <v>42</v>
      </c>
      <c r="K2648" t="s">
        <v>114</v>
      </c>
      <c r="L2648" t="s">
        <v>43</v>
      </c>
      <c r="M2648">
        <v>0</v>
      </c>
      <c r="N2648">
        <v>1</v>
      </c>
      <c r="O2648" s="5" t="s">
        <v>369</v>
      </c>
      <c r="P2648" s="5" t="s">
        <v>370</v>
      </c>
      <c r="Q2648">
        <f>30.5-13</f>
        <v>17.5</v>
      </c>
      <c r="R2648" t="s">
        <v>65</v>
      </c>
      <c r="T2648">
        <v>17</v>
      </c>
      <c r="U2648">
        <v>85</v>
      </c>
      <c r="V2648">
        <v>15</v>
      </c>
      <c r="W2648">
        <v>13.3</v>
      </c>
      <c r="X2648">
        <v>27.3</v>
      </c>
      <c r="Z2648" t="s">
        <v>39</v>
      </c>
      <c r="AB2648" t="s">
        <v>40</v>
      </c>
      <c r="AC2648" t="s">
        <v>56</v>
      </c>
    </row>
    <row r="2649" spans="1:30" x14ac:dyDescent="0.25">
      <c r="A2649" s="4">
        <v>42586</v>
      </c>
      <c r="B2649" t="s">
        <v>30</v>
      </c>
      <c r="C2649">
        <v>304</v>
      </c>
      <c r="D2649">
        <v>8</v>
      </c>
      <c r="E2649">
        <v>1</v>
      </c>
      <c r="F2649" t="s">
        <v>31</v>
      </c>
      <c r="G2649" t="s">
        <v>32</v>
      </c>
      <c r="H2649" t="s">
        <v>33</v>
      </c>
      <c r="I2649" t="s">
        <v>34</v>
      </c>
      <c r="J2649" t="s">
        <v>42</v>
      </c>
      <c r="K2649" t="s">
        <v>36</v>
      </c>
      <c r="L2649" t="s">
        <v>37</v>
      </c>
      <c r="M2649">
        <v>0</v>
      </c>
      <c r="N2649">
        <v>1</v>
      </c>
      <c r="O2649" s="5" t="s">
        <v>371</v>
      </c>
      <c r="P2649" s="5" t="s">
        <v>372</v>
      </c>
      <c r="Q2649">
        <f>32-13</f>
        <v>19</v>
      </c>
      <c r="R2649" t="s">
        <v>74</v>
      </c>
      <c r="S2649" t="s">
        <v>97</v>
      </c>
      <c r="AB2649" t="s">
        <v>40</v>
      </c>
      <c r="AC2649" t="s">
        <v>56</v>
      </c>
    </row>
    <row r="2650" spans="1:30" x14ac:dyDescent="0.25">
      <c r="A2650" s="4">
        <v>42586</v>
      </c>
      <c r="B2650" t="s">
        <v>30</v>
      </c>
      <c r="C2650">
        <v>304</v>
      </c>
      <c r="D2650">
        <v>8</v>
      </c>
      <c r="E2650">
        <v>2</v>
      </c>
      <c r="F2650" t="s">
        <v>31</v>
      </c>
      <c r="G2650" t="s">
        <v>32</v>
      </c>
      <c r="H2650" t="s">
        <v>33</v>
      </c>
      <c r="I2650" t="s">
        <v>57</v>
      </c>
      <c r="O2650" s="5"/>
      <c r="P2650" s="5"/>
    </row>
    <row r="2651" spans="1:30" x14ac:dyDescent="0.25">
      <c r="A2651" s="4">
        <v>42586</v>
      </c>
      <c r="B2651" t="s">
        <v>30</v>
      </c>
      <c r="C2651">
        <v>304</v>
      </c>
      <c r="D2651">
        <v>6</v>
      </c>
      <c r="E2651">
        <v>1</v>
      </c>
      <c r="F2651" t="s">
        <v>31</v>
      </c>
      <c r="G2651" t="s">
        <v>32</v>
      </c>
      <c r="H2651" t="s">
        <v>33</v>
      </c>
      <c r="I2651" t="s">
        <v>57</v>
      </c>
      <c r="O2651" s="5"/>
      <c r="P2651" s="5"/>
    </row>
    <row r="2652" spans="1:30" x14ac:dyDescent="0.25">
      <c r="A2652" s="4">
        <v>42586</v>
      </c>
      <c r="B2652" t="s">
        <v>30</v>
      </c>
      <c r="C2652">
        <v>304</v>
      </c>
      <c r="D2652">
        <v>6</v>
      </c>
      <c r="E2652">
        <v>2</v>
      </c>
      <c r="F2652" t="s">
        <v>31</v>
      </c>
      <c r="G2652" t="s">
        <v>32</v>
      </c>
      <c r="H2652" t="s">
        <v>33</v>
      </c>
      <c r="I2652" t="s">
        <v>58</v>
      </c>
      <c r="J2652" t="s">
        <v>42</v>
      </c>
      <c r="K2652" t="s">
        <v>89</v>
      </c>
      <c r="L2652" t="s">
        <v>37</v>
      </c>
      <c r="M2652">
        <v>0</v>
      </c>
      <c r="N2652" s="7">
        <v>1</v>
      </c>
      <c r="O2652" s="5" t="s">
        <v>373</v>
      </c>
      <c r="P2652" s="5"/>
      <c r="Q2652">
        <f>32-14</f>
        <v>18</v>
      </c>
      <c r="R2652" t="s">
        <v>38</v>
      </c>
      <c r="S2652" t="s">
        <v>39</v>
      </c>
      <c r="Z2652" t="s">
        <v>97</v>
      </c>
      <c r="AB2652" t="s">
        <v>40</v>
      </c>
      <c r="AC2652" t="s">
        <v>56</v>
      </c>
      <c r="AD2652" t="s">
        <v>374</v>
      </c>
    </row>
    <row r="2653" spans="1:30" x14ac:dyDescent="0.25">
      <c r="A2653" s="4">
        <v>42586</v>
      </c>
      <c r="B2653" t="s">
        <v>30</v>
      </c>
      <c r="C2653">
        <v>304</v>
      </c>
      <c r="D2653">
        <v>4</v>
      </c>
      <c r="E2653">
        <v>2</v>
      </c>
      <c r="F2653" t="s">
        <v>31</v>
      </c>
      <c r="G2653" t="s">
        <v>32</v>
      </c>
      <c r="H2653" t="s">
        <v>33</v>
      </c>
      <c r="I2653" t="s">
        <v>34</v>
      </c>
      <c r="J2653" t="s">
        <v>42</v>
      </c>
      <c r="K2653" t="s">
        <v>114</v>
      </c>
      <c r="L2653" t="s">
        <v>43</v>
      </c>
      <c r="M2653">
        <v>0</v>
      </c>
      <c r="N2653">
        <v>1</v>
      </c>
      <c r="O2653" s="5" t="s">
        <v>375</v>
      </c>
      <c r="P2653" s="5" t="s">
        <v>376</v>
      </c>
      <c r="Q2653">
        <f>28-12</f>
        <v>16</v>
      </c>
      <c r="R2653" t="s">
        <v>65</v>
      </c>
      <c r="AB2653" t="s">
        <v>40</v>
      </c>
      <c r="AC2653" t="s">
        <v>56</v>
      </c>
      <c r="AD2653" t="s">
        <v>374</v>
      </c>
    </row>
    <row r="2654" spans="1:30" x14ac:dyDescent="0.25">
      <c r="A2654" s="4">
        <v>42586</v>
      </c>
      <c r="B2654" t="s">
        <v>30</v>
      </c>
      <c r="C2654">
        <v>304</v>
      </c>
      <c r="D2654">
        <v>2</v>
      </c>
      <c r="E2654">
        <v>2</v>
      </c>
      <c r="F2654" t="s">
        <v>31</v>
      </c>
      <c r="G2654" t="s">
        <v>32</v>
      </c>
      <c r="H2654" t="s">
        <v>33</v>
      </c>
      <c r="I2654" t="s">
        <v>34</v>
      </c>
      <c r="J2654" t="s">
        <v>35</v>
      </c>
      <c r="K2654" t="s">
        <v>114</v>
      </c>
      <c r="L2654" t="s">
        <v>43</v>
      </c>
      <c r="M2654">
        <v>0</v>
      </c>
      <c r="N2654">
        <v>0</v>
      </c>
      <c r="O2654" s="5" t="s">
        <v>346</v>
      </c>
      <c r="P2654" s="5" t="s">
        <v>347</v>
      </c>
      <c r="Q2654">
        <f>29.5-14</f>
        <v>15.5</v>
      </c>
      <c r="R2654" t="s">
        <v>65</v>
      </c>
      <c r="AB2654" t="s">
        <v>40</v>
      </c>
      <c r="AC2654" t="s">
        <v>56</v>
      </c>
      <c r="AD2654" t="s">
        <v>374</v>
      </c>
    </row>
    <row r="2655" spans="1:30" x14ac:dyDescent="0.25">
      <c r="A2655" s="4">
        <v>42586</v>
      </c>
      <c r="B2655" t="s">
        <v>30</v>
      </c>
      <c r="C2655">
        <v>111</v>
      </c>
      <c r="D2655">
        <v>1</v>
      </c>
      <c r="E2655">
        <v>1</v>
      </c>
      <c r="F2655" t="s">
        <v>320</v>
      </c>
      <c r="G2655" t="s">
        <v>32</v>
      </c>
      <c r="H2655" t="s">
        <v>33</v>
      </c>
      <c r="I2655" t="s">
        <v>57</v>
      </c>
      <c r="O2655" s="5"/>
      <c r="P2655" s="5"/>
    </row>
    <row r="2656" spans="1:30" x14ac:dyDescent="0.25">
      <c r="A2656" s="4">
        <v>42586</v>
      </c>
      <c r="B2656" t="s">
        <v>30</v>
      </c>
      <c r="C2656">
        <v>111</v>
      </c>
      <c r="D2656">
        <v>2</v>
      </c>
      <c r="E2656">
        <v>1</v>
      </c>
      <c r="F2656" t="s">
        <v>320</v>
      </c>
      <c r="G2656" t="s">
        <v>32</v>
      </c>
      <c r="H2656" t="s">
        <v>33</v>
      </c>
      <c r="I2656" t="s">
        <v>34</v>
      </c>
      <c r="J2656" t="s">
        <v>42</v>
      </c>
      <c r="K2656" t="s">
        <v>36</v>
      </c>
      <c r="L2656" t="s">
        <v>43</v>
      </c>
      <c r="M2656">
        <v>0</v>
      </c>
      <c r="N2656">
        <v>1</v>
      </c>
      <c r="O2656" s="5" t="s">
        <v>377</v>
      </c>
      <c r="P2656" s="5" t="s">
        <v>378</v>
      </c>
      <c r="Q2656">
        <f>38-17</f>
        <v>21</v>
      </c>
      <c r="R2656" t="s">
        <v>47</v>
      </c>
      <c r="T2656">
        <v>18</v>
      </c>
      <c r="U2656">
        <v>95</v>
      </c>
      <c r="V2656">
        <v>17</v>
      </c>
      <c r="W2656">
        <v>12.9</v>
      </c>
      <c r="X2656">
        <v>26.8</v>
      </c>
      <c r="Z2656" t="s">
        <v>39</v>
      </c>
      <c r="AB2656" t="s">
        <v>40</v>
      </c>
      <c r="AC2656" t="s">
        <v>56</v>
      </c>
      <c r="AD2656" t="s">
        <v>379</v>
      </c>
    </row>
    <row r="2657" spans="1:29" x14ac:dyDescent="0.25">
      <c r="A2657" s="4">
        <v>42586</v>
      </c>
      <c r="B2657" t="s">
        <v>30</v>
      </c>
      <c r="C2657">
        <v>111</v>
      </c>
      <c r="D2657">
        <v>2</v>
      </c>
      <c r="E2657">
        <v>2</v>
      </c>
      <c r="F2657" t="s">
        <v>320</v>
      </c>
      <c r="G2657" t="s">
        <v>32</v>
      </c>
      <c r="H2657" t="s">
        <v>33</v>
      </c>
      <c r="I2657" t="s">
        <v>34</v>
      </c>
      <c r="J2657" t="s">
        <v>42</v>
      </c>
      <c r="K2657" t="s">
        <v>114</v>
      </c>
      <c r="L2657" t="s">
        <v>43</v>
      </c>
      <c r="M2657">
        <v>0</v>
      </c>
      <c r="N2657">
        <v>1</v>
      </c>
      <c r="O2657" s="5" t="s">
        <v>380</v>
      </c>
      <c r="P2657" s="5" t="s">
        <v>381</v>
      </c>
      <c r="Q2657">
        <f>30-13</f>
        <v>17</v>
      </c>
      <c r="R2657" t="s">
        <v>47</v>
      </c>
      <c r="T2657">
        <v>19</v>
      </c>
      <c r="U2657">
        <v>90</v>
      </c>
      <c r="V2657">
        <v>16</v>
      </c>
      <c r="W2657">
        <v>12.9</v>
      </c>
      <c r="X2657">
        <v>27.2</v>
      </c>
      <c r="Z2657" t="s">
        <v>97</v>
      </c>
      <c r="AA2657" t="s">
        <v>199</v>
      </c>
      <c r="AB2657" t="s">
        <v>59</v>
      </c>
      <c r="AC2657" t="s">
        <v>88</v>
      </c>
    </row>
    <row r="2658" spans="1:29" x14ac:dyDescent="0.25">
      <c r="A2658" s="4">
        <v>42586</v>
      </c>
      <c r="B2658" t="s">
        <v>30</v>
      </c>
      <c r="C2658">
        <v>111</v>
      </c>
      <c r="D2658">
        <v>4</v>
      </c>
      <c r="E2658">
        <v>1</v>
      </c>
      <c r="F2658" t="s">
        <v>320</v>
      </c>
      <c r="G2658" t="s">
        <v>32</v>
      </c>
      <c r="H2658" t="s">
        <v>33</v>
      </c>
      <c r="I2658" t="s">
        <v>34</v>
      </c>
      <c r="J2658" t="s">
        <v>35</v>
      </c>
      <c r="K2658" t="s">
        <v>36</v>
      </c>
      <c r="L2658" t="s">
        <v>43</v>
      </c>
      <c r="M2658">
        <v>0</v>
      </c>
      <c r="N2658">
        <v>0</v>
      </c>
      <c r="O2658" s="5" t="s">
        <v>382</v>
      </c>
      <c r="P2658" s="5" t="s">
        <v>383</v>
      </c>
      <c r="Q2658">
        <f>35-14</f>
        <v>21</v>
      </c>
      <c r="R2658" t="s">
        <v>47</v>
      </c>
      <c r="T2658">
        <v>21</v>
      </c>
      <c r="U2658">
        <v>94</v>
      </c>
      <c r="V2658">
        <v>16</v>
      </c>
      <c r="W2658">
        <v>12.9</v>
      </c>
      <c r="X2658">
        <v>27.5</v>
      </c>
      <c r="Z2658" t="s">
        <v>97</v>
      </c>
      <c r="AA2658" t="s">
        <v>199</v>
      </c>
      <c r="AB2658" t="s">
        <v>59</v>
      </c>
      <c r="AC2658" t="s">
        <v>88</v>
      </c>
    </row>
    <row r="2659" spans="1:29" x14ac:dyDescent="0.25">
      <c r="A2659" s="4">
        <v>42586</v>
      </c>
      <c r="B2659" t="s">
        <v>30</v>
      </c>
      <c r="C2659">
        <v>111</v>
      </c>
      <c r="D2659">
        <v>4</v>
      </c>
      <c r="E2659">
        <v>2</v>
      </c>
      <c r="F2659" t="s">
        <v>320</v>
      </c>
      <c r="G2659" t="s">
        <v>32</v>
      </c>
      <c r="H2659" t="s">
        <v>33</v>
      </c>
      <c r="I2659" t="s">
        <v>57</v>
      </c>
      <c r="O2659" s="5"/>
      <c r="P2659" s="5"/>
    </row>
    <row r="2660" spans="1:29" x14ac:dyDescent="0.25">
      <c r="A2660" s="4">
        <v>42586</v>
      </c>
      <c r="B2660" t="s">
        <v>30</v>
      </c>
      <c r="C2660">
        <v>111</v>
      </c>
      <c r="D2660">
        <v>7</v>
      </c>
      <c r="E2660">
        <v>1</v>
      </c>
      <c r="F2660" t="s">
        <v>320</v>
      </c>
      <c r="G2660" t="s">
        <v>32</v>
      </c>
      <c r="H2660" t="s">
        <v>33</v>
      </c>
      <c r="I2660" t="s">
        <v>57</v>
      </c>
      <c r="O2660" s="5"/>
      <c r="P2660" s="5"/>
    </row>
    <row r="2661" spans="1:29" x14ac:dyDescent="0.25">
      <c r="A2661" s="4">
        <v>42586</v>
      </c>
      <c r="B2661" t="s">
        <v>30</v>
      </c>
      <c r="C2661">
        <v>111</v>
      </c>
      <c r="D2661">
        <v>8</v>
      </c>
      <c r="E2661">
        <v>1</v>
      </c>
      <c r="F2661" t="s">
        <v>320</v>
      </c>
      <c r="G2661" t="s">
        <v>32</v>
      </c>
      <c r="H2661" t="s">
        <v>33</v>
      </c>
      <c r="I2661" t="s">
        <v>34</v>
      </c>
      <c r="J2661" t="s">
        <v>35</v>
      </c>
      <c r="K2661" t="s">
        <v>89</v>
      </c>
      <c r="L2661" t="s">
        <v>37</v>
      </c>
      <c r="M2661">
        <v>0</v>
      </c>
      <c r="N2661">
        <v>0</v>
      </c>
      <c r="O2661" s="5" t="s">
        <v>384</v>
      </c>
      <c r="P2661" s="5" t="s">
        <v>385</v>
      </c>
      <c r="Q2661">
        <f>28-14.5</f>
        <v>13.5</v>
      </c>
      <c r="R2661" t="s">
        <v>38</v>
      </c>
      <c r="S2661" t="s">
        <v>39</v>
      </c>
      <c r="T2661">
        <v>20</v>
      </c>
      <c r="V2661">
        <v>16</v>
      </c>
      <c r="W2661">
        <v>12.8</v>
      </c>
      <c r="X2661">
        <v>27</v>
      </c>
      <c r="Z2661" t="s">
        <v>39</v>
      </c>
      <c r="AB2661" t="s">
        <v>59</v>
      </c>
      <c r="AC2661" t="s">
        <v>88</v>
      </c>
    </row>
    <row r="2662" spans="1:29" x14ac:dyDescent="0.25">
      <c r="A2662" s="4">
        <v>42586</v>
      </c>
      <c r="B2662" t="s">
        <v>30</v>
      </c>
      <c r="C2662">
        <v>111</v>
      </c>
      <c r="D2662">
        <v>9</v>
      </c>
      <c r="E2662">
        <v>1</v>
      </c>
      <c r="F2662" t="s">
        <v>320</v>
      </c>
      <c r="G2662" t="s">
        <v>32</v>
      </c>
      <c r="H2662" t="s">
        <v>33</v>
      </c>
      <c r="I2662" t="s">
        <v>57</v>
      </c>
      <c r="O2662" s="5"/>
      <c r="P2662" s="5"/>
    </row>
    <row r="2663" spans="1:29" x14ac:dyDescent="0.25">
      <c r="A2663" s="4">
        <v>42586</v>
      </c>
      <c r="B2663" t="s">
        <v>30</v>
      </c>
      <c r="C2663">
        <v>111</v>
      </c>
      <c r="D2663">
        <v>9</v>
      </c>
      <c r="E2663">
        <v>2</v>
      </c>
      <c r="F2663" t="s">
        <v>320</v>
      </c>
      <c r="G2663" t="s">
        <v>32</v>
      </c>
      <c r="H2663" t="s">
        <v>33</v>
      </c>
      <c r="I2663" t="s">
        <v>57</v>
      </c>
      <c r="O2663" s="5"/>
      <c r="P2663" s="5"/>
    </row>
    <row r="2664" spans="1:29" x14ac:dyDescent="0.25">
      <c r="A2664" s="4">
        <v>42586</v>
      </c>
      <c r="B2664" t="s">
        <v>30</v>
      </c>
      <c r="C2664">
        <v>111</v>
      </c>
      <c r="D2664">
        <v>10</v>
      </c>
      <c r="E2664">
        <v>1</v>
      </c>
      <c r="F2664" t="s">
        <v>320</v>
      </c>
      <c r="G2664" t="s">
        <v>32</v>
      </c>
      <c r="H2664" t="s">
        <v>33</v>
      </c>
      <c r="I2664" t="s">
        <v>91</v>
      </c>
      <c r="J2664" t="s">
        <v>42</v>
      </c>
      <c r="K2664" t="s">
        <v>36</v>
      </c>
      <c r="L2664" t="s">
        <v>43</v>
      </c>
      <c r="M2664">
        <v>0</v>
      </c>
      <c r="N2664">
        <v>1</v>
      </c>
      <c r="O2664" s="5" t="s">
        <v>386</v>
      </c>
      <c r="P2664" s="5"/>
      <c r="Q2664">
        <f>35.5-13</f>
        <v>22.5</v>
      </c>
      <c r="R2664" t="s">
        <v>47</v>
      </c>
      <c r="T2664">
        <v>29</v>
      </c>
      <c r="W2664">
        <v>13.1</v>
      </c>
      <c r="X2664">
        <v>26</v>
      </c>
      <c r="Z2664" t="s">
        <v>97</v>
      </c>
      <c r="AA2664" t="s">
        <v>387</v>
      </c>
      <c r="AB2664" t="s">
        <v>59</v>
      </c>
      <c r="AC2664" t="s">
        <v>88</v>
      </c>
    </row>
    <row r="2665" spans="1:29" x14ac:dyDescent="0.25">
      <c r="A2665" s="4">
        <v>42586</v>
      </c>
      <c r="B2665" t="s">
        <v>30</v>
      </c>
      <c r="C2665">
        <v>112</v>
      </c>
      <c r="D2665">
        <v>1</v>
      </c>
      <c r="E2665">
        <v>1</v>
      </c>
      <c r="F2665" t="s">
        <v>320</v>
      </c>
      <c r="G2665" t="s">
        <v>32</v>
      </c>
      <c r="H2665" t="s">
        <v>33</v>
      </c>
      <c r="I2665" t="s">
        <v>57</v>
      </c>
      <c r="O2665" s="5"/>
      <c r="P2665" s="5"/>
    </row>
    <row r="2666" spans="1:29" x14ac:dyDescent="0.25">
      <c r="A2666" s="4">
        <v>42586</v>
      </c>
      <c r="B2666" t="s">
        <v>30</v>
      </c>
      <c r="C2666">
        <v>112</v>
      </c>
      <c r="D2666">
        <v>1</v>
      </c>
      <c r="E2666">
        <v>2</v>
      </c>
      <c r="F2666" t="s">
        <v>320</v>
      </c>
      <c r="G2666" t="s">
        <v>32</v>
      </c>
      <c r="H2666" t="s">
        <v>33</v>
      </c>
      <c r="I2666" t="s">
        <v>91</v>
      </c>
      <c r="J2666" t="s">
        <v>35</v>
      </c>
      <c r="K2666" t="s">
        <v>36</v>
      </c>
      <c r="L2666" t="s">
        <v>37</v>
      </c>
      <c r="M2666">
        <v>0</v>
      </c>
      <c r="N2666">
        <v>0</v>
      </c>
      <c r="O2666" s="5" t="s">
        <v>388</v>
      </c>
      <c r="P2666" s="5"/>
      <c r="Q2666">
        <f>37-14</f>
        <v>23</v>
      </c>
      <c r="R2666" t="s">
        <v>164</v>
      </c>
      <c r="S2666" t="s">
        <v>97</v>
      </c>
      <c r="T2666">
        <v>29</v>
      </c>
      <c r="W2666">
        <v>12.8</v>
      </c>
      <c r="X2666">
        <v>26.6</v>
      </c>
      <c r="Z2666" t="s">
        <v>97</v>
      </c>
      <c r="AA2666" t="s">
        <v>199</v>
      </c>
      <c r="AB2666" t="s">
        <v>59</v>
      </c>
      <c r="AC2666" t="s">
        <v>88</v>
      </c>
    </row>
    <row r="2667" spans="1:29" x14ac:dyDescent="0.25">
      <c r="A2667" s="4">
        <v>42586</v>
      </c>
      <c r="B2667" t="s">
        <v>30</v>
      </c>
      <c r="C2667">
        <v>112</v>
      </c>
      <c r="D2667">
        <v>2</v>
      </c>
      <c r="E2667">
        <v>1</v>
      </c>
      <c r="F2667" t="s">
        <v>320</v>
      </c>
      <c r="G2667" t="s">
        <v>32</v>
      </c>
      <c r="H2667" t="s">
        <v>33</v>
      </c>
      <c r="I2667" t="s">
        <v>57</v>
      </c>
      <c r="O2667" s="5"/>
      <c r="P2667" s="5"/>
    </row>
    <row r="2668" spans="1:29" x14ac:dyDescent="0.25">
      <c r="A2668" s="4">
        <v>42586</v>
      </c>
      <c r="B2668" t="s">
        <v>30</v>
      </c>
      <c r="C2668">
        <v>112</v>
      </c>
      <c r="D2668">
        <v>2</v>
      </c>
      <c r="E2668">
        <v>2</v>
      </c>
      <c r="F2668" t="s">
        <v>320</v>
      </c>
      <c r="G2668" t="s">
        <v>32</v>
      </c>
      <c r="H2668" t="s">
        <v>33</v>
      </c>
      <c r="I2668" t="s">
        <v>91</v>
      </c>
      <c r="J2668" t="s">
        <v>42</v>
      </c>
      <c r="K2668" t="s">
        <v>114</v>
      </c>
      <c r="L2668" t="s">
        <v>43</v>
      </c>
      <c r="M2668">
        <v>0</v>
      </c>
      <c r="N2668">
        <v>1</v>
      </c>
      <c r="O2668" s="5" t="s">
        <v>389</v>
      </c>
      <c r="P2668" s="5"/>
      <c r="Q2668">
        <f>30-13</f>
        <v>17</v>
      </c>
      <c r="R2668" t="s">
        <v>47</v>
      </c>
      <c r="T2668">
        <v>30</v>
      </c>
      <c r="W2668">
        <v>12.8</v>
      </c>
      <c r="X2668">
        <v>25.7</v>
      </c>
      <c r="Z2668" t="s">
        <v>97</v>
      </c>
      <c r="AA2668" t="s">
        <v>199</v>
      </c>
      <c r="AB2668" t="s">
        <v>59</v>
      </c>
      <c r="AC2668" t="s">
        <v>88</v>
      </c>
    </row>
    <row r="2669" spans="1:29" x14ac:dyDescent="0.25">
      <c r="A2669" s="4">
        <v>42586</v>
      </c>
      <c r="B2669" t="s">
        <v>30</v>
      </c>
      <c r="C2669">
        <v>112</v>
      </c>
      <c r="D2669">
        <v>3</v>
      </c>
      <c r="E2669">
        <v>1</v>
      </c>
      <c r="F2669" t="s">
        <v>320</v>
      </c>
      <c r="G2669" t="s">
        <v>32</v>
      </c>
      <c r="H2669" t="s">
        <v>33</v>
      </c>
      <c r="I2669" t="s">
        <v>53</v>
      </c>
      <c r="J2669" t="s">
        <v>62</v>
      </c>
      <c r="O2669" s="5"/>
      <c r="P2669" s="5"/>
    </row>
    <row r="2670" spans="1:29" x14ac:dyDescent="0.25">
      <c r="A2670" s="4">
        <v>42586</v>
      </c>
      <c r="B2670" t="s">
        <v>30</v>
      </c>
      <c r="C2670">
        <v>112</v>
      </c>
      <c r="D2670">
        <v>3</v>
      </c>
      <c r="E2670">
        <v>2</v>
      </c>
      <c r="F2670" t="s">
        <v>320</v>
      </c>
      <c r="G2670" t="s">
        <v>32</v>
      </c>
      <c r="H2670" t="s">
        <v>33</v>
      </c>
      <c r="I2670" t="s">
        <v>57</v>
      </c>
      <c r="O2670" s="5"/>
      <c r="P2670" s="5"/>
    </row>
    <row r="2671" spans="1:29" x14ac:dyDescent="0.25">
      <c r="A2671" s="4">
        <v>42586</v>
      </c>
      <c r="B2671" t="s">
        <v>30</v>
      </c>
      <c r="C2671">
        <v>112</v>
      </c>
      <c r="D2671">
        <v>4</v>
      </c>
      <c r="E2671">
        <v>1</v>
      </c>
      <c r="F2671" t="s">
        <v>320</v>
      </c>
      <c r="G2671" t="s">
        <v>32</v>
      </c>
      <c r="H2671" t="s">
        <v>33</v>
      </c>
      <c r="I2671" t="s">
        <v>34</v>
      </c>
      <c r="J2671" t="s">
        <v>35</v>
      </c>
      <c r="K2671" t="s">
        <v>114</v>
      </c>
      <c r="L2671" t="s">
        <v>37</v>
      </c>
      <c r="M2671">
        <v>0</v>
      </c>
      <c r="N2671">
        <v>0</v>
      </c>
      <c r="O2671" s="5" t="s">
        <v>390</v>
      </c>
      <c r="P2671" s="5" t="s">
        <v>391</v>
      </c>
      <c r="Q2671">
        <f>30.5-14.5</f>
        <v>16</v>
      </c>
      <c r="R2671" t="s">
        <v>63</v>
      </c>
      <c r="S2671" t="s">
        <v>39</v>
      </c>
      <c r="T2671">
        <v>19</v>
      </c>
      <c r="U2671">
        <v>85</v>
      </c>
      <c r="V2671">
        <v>15</v>
      </c>
      <c r="W2671">
        <v>12.8</v>
      </c>
      <c r="X2671">
        <v>26.7</v>
      </c>
      <c r="Z2671" t="s">
        <v>39</v>
      </c>
      <c r="AB2671" t="s">
        <v>59</v>
      </c>
      <c r="AC2671" t="s">
        <v>88</v>
      </c>
    </row>
    <row r="2672" spans="1:29" x14ac:dyDescent="0.25">
      <c r="A2672" s="4">
        <v>42586</v>
      </c>
      <c r="B2672" t="s">
        <v>30</v>
      </c>
      <c r="C2672">
        <v>112</v>
      </c>
      <c r="D2672">
        <v>4</v>
      </c>
      <c r="E2672">
        <v>2</v>
      </c>
      <c r="F2672" t="s">
        <v>320</v>
      </c>
      <c r="G2672" t="s">
        <v>32</v>
      </c>
      <c r="H2672" t="s">
        <v>33</v>
      </c>
      <c r="I2672" t="s">
        <v>34</v>
      </c>
      <c r="J2672" t="s">
        <v>42</v>
      </c>
      <c r="K2672" t="s">
        <v>36</v>
      </c>
      <c r="L2672" t="s">
        <v>43</v>
      </c>
      <c r="M2672">
        <v>0</v>
      </c>
      <c r="N2672">
        <v>0</v>
      </c>
      <c r="O2672" s="5" t="s">
        <v>392</v>
      </c>
      <c r="P2672" s="5" t="s">
        <v>389</v>
      </c>
      <c r="Q2672">
        <f>34-15</f>
        <v>19</v>
      </c>
      <c r="R2672" t="s">
        <v>47</v>
      </c>
      <c r="T2672">
        <v>19</v>
      </c>
      <c r="U2672">
        <v>87</v>
      </c>
      <c r="V2672">
        <v>15</v>
      </c>
      <c r="W2672">
        <v>12.8</v>
      </c>
      <c r="X2672">
        <v>27</v>
      </c>
      <c r="Z2672" t="s">
        <v>39</v>
      </c>
      <c r="AB2672" t="s">
        <v>59</v>
      </c>
      <c r="AC2672" t="s">
        <v>88</v>
      </c>
    </row>
    <row r="2673" spans="1:30" x14ac:dyDescent="0.25">
      <c r="A2673" s="4">
        <v>42586</v>
      </c>
      <c r="B2673" t="s">
        <v>30</v>
      </c>
      <c r="C2673">
        <v>112</v>
      </c>
      <c r="D2673">
        <v>5</v>
      </c>
      <c r="E2673">
        <v>1</v>
      </c>
      <c r="F2673" t="s">
        <v>320</v>
      </c>
      <c r="G2673" t="s">
        <v>32</v>
      </c>
      <c r="H2673" t="s">
        <v>33</v>
      </c>
      <c r="I2673" t="s">
        <v>91</v>
      </c>
      <c r="J2673" t="s">
        <v>35</v>
      </c>
      <c r="K2673" t="s">
        <v>36</v>
      </c>
      <c r="L2673" t="s">
        <v>37</v>
      </c>
      <c r="M2673">
        <v>0</v>
      </c>
      <c r="N2673">
        <v>0</v>
      </c>
      <c r="O2673" s="5" t="s">
        <v>321</v>
      </c>
      <c r="P2673" s="5"/>
      <c r="Q2673">
        <f>34-13</f>
        <v>21</v>
      </c>
      <c r="R2673" t="s">
        <v>164</v>
      </c>
      <c r="S2673" t="s">
        <v>97</v>
      </c>
      <c r="T2673">
        <v>28</v>
      </c>
      <c r="W2673">
        <v>12.7</v>
      </c>
      <c r="X2673">
        <v>25.5</v>
      </c>
      <c r="Z2673" t="s">
        <v>39</v>
      </c>
      <c r="AB2673" t="s">
        <v>59</v>
      </c>
      <c r="AC2673" t="s">
        <v>88</v>
      </c>
    </row>
    <row r="2674" spans="1:30" x14ac:dyDescent="0.25">
      <c r="A2674" s="4">
        <v>42586</v>
      </c>
      <c r="B2674" t="s">
        <v>30</v>
      </c>
      <c r="C2674">
        <v>112</v>
      </c>
      <c r="D2674">
        <v>5</v>
      </c>
      <c r="E2674">
        <v>2</v>
      </c>
      <c r="F2674" t="s">
        <v>320</v>
      </c>
      <c r="G2674" t="s">
        <v>32</v>
      </c>
      <c r="H2674" t="s">
        <v>33</v>
      </c>
      <c r="I2674" t="s">
        <v>57</v>
      </c>
      <c r="O2674" s="5"/>
      <c r="P2674" s="5"/>
    </row>
    <row r="2675" spans="1:30" x14ac:dyDescent="0.25">
      <c r="A2675" s="4">
        <v>42586</v>
      </c>
      <c r="B2675" t="s">
        <v>30</v>
      </c>
      <c r="C2675">
        <v>112</v>
      </c>
      <c r="D2675">
        <v>6</v>
      </c>
      <c r="E2675">
        <v>1</v>
      </c>
      <c r="F2675" t="s">
        <v>320</v>
      </c>
      <c r="G2675" t="s">
        <v>32</v>
      </c>
      <c r="H2675" t="s">
        <v>33</v>
      </c>
      <c r="I2675" t="s">
        <v>34</v>
      </c>
      <c r="J2675" t="s">
        <v>35</v>
      </c>
      <c r="K2675" t="s">
        <v>89</v>
      </c>
      <c r="L2675" t="s">
        <v>43</v>
      </c>
      <c r="M2675">
        <v>0</v>
      </c>
      <c r="N2675">
        <v>0</v>
      </c>
      <c r="O2675" s="5" t="s">
        <v>326</v>
      </c>
      <c r="P2675" s="5" t="s">
        <v>327</v>
      </c>
      <c r="Q2675">
        <f>28-15</f>
        <v>13</v>
      </c>
      <c r="R2675" t="s">
        <v>65</v>
      </c>
      <c r="T2675">
        <v>18</v>
      </c>
      <c r="U2675">
        <v>89</v>
      </c>
      <c r="V2675">
        <v>15</v>
      </c>
      <c r="W2675">
        <v>12.7</v>
      </c>
      <c r="X2675">
        <v>26.9</v>
      </c>
      <c r="Z2675" t="s">
        <v>97</v>
      </c>
      <c r="AA2675" t="s">
        <v>199</v>
      </c>
      <c r="AB2675" t="s">
        <v>59</v>
      </c>
      <c r="AC2675" t="s">
        <v>88</v>
      </c>
    </row>
    <row r="2676" spans="1:30" x14ac:dyDescent="0.25">
      <c r="A2676" s="4">
        <v>42586</v>
      </c>
      <c r="B2676" t="s">
        <v>30</v>
      </c>
      <c r="C2676">
        <v>112</v>
      </c>
      <c r="D2676">
        <v>6</v>
      </c>
      <c r="E2676">
        <v>2</v>
      </c>
      <c r="F2676" t="s">
        <v>320</v>
      </c>
      <c r="G2676" t="s">
        <v>32</v>
      </c>
      <c r="H2676" t="s">
        <v>33</v>
      </c>
      <c r="I2676" t="s">
        <v>34</v>
      </c>
      <c r="J2676" t="s">
        <v>35</v>
      </c>
      <c r="K2676" t="s">
        <v>36</v>
      </c>
      <c r="L2676" t="s">
        <v>43</v>
      </c>
      <c r="M2676">
        <v>0</v>
      </c>
      <c r="N2676">
        <v>0</v>
      </c>
      <c r="O2676" s="5" t="s">
        <v>393</v>
      </c>
      <c r="P2676" s="5" t="s">
        <v>394</v>
      </c>
      <c r="Q2676">
        <f>36-16.5</f>
        <v>19.5</v>
      </c>
      <c r="R2676" t="s">
        <v>47</v>
      </c>
      <c r="T2676">
        <v>19</v>
      </c>
      <c r="U2676">
        <v>82</v>
      </c>
      <c r="V2676">
        <v>16.5</v>
      </c>
      <c r="W2676">
        <v>12.8</v>
      </c>
      <c r="X2676">
        <v>27.2</v>
      </c>
      <c r="Z2676" t="s">
        <v>39</v>
      </c>
      <c r="AB2676" t="s">
        <v>59</v>
      </c>
      <c r="AC2676" t="s">
        <v>88</v>
      </c>
      <c r="AD2676" t="s">
        <v>395</v>
      </c>
    </row>
    <row r="2677" spans="1:30" x14ac:dyDescent="0.25">
      <c r="A2677" s="4">
        <v>42586</v>
      </c>
      <c r="B2677" t="s">
        <v>30</v>
      </c>
      <c r="C2677">
        <v>112</v>
      </c>
      <c r="D2677">
        <v>7</v>
      </c>
      <c r="E2677">
        <v>1</v>
      </c>
      <c r="F2677" t="s">
        <v>320</v>
      </c>
      <c r="G2677" t="s">
        <v>32</v>
      </c>
      <c r="H2677" t="s">
        <v>33</v>
      </c>
      <c r="I2677" t="s">
        <v>91</v>
      </c>
      <c r="J2677" t="s">
        <v>35</v>
      </c>
      <c r="K2677" t="s">
        <v>36</v>
      </c>
      <c r="L2677" t="s">
        <v>43</v>
      </c>
      <c r="M2677">
        <v>0</v>
      </c>
      <c r="N2677">
        <v>0</v>
      </c>
      <c r="O2677" s="5" t="s">
        <v>396</v>
      </c>
      <c r="P2677" s="5"/>
      <c r="Q2677">
        <f>33-13</f>
        <v>20</v>
      </c>
      <c r="R2677" t="s">
        <v>47</v>
      </c>
      <c r="T2677">
        <v>30</v>
      </c>
      <c r="W2677">
        <v>12.9</v>
      </c>
      <c r="X2677">
        <v>26.6</v>
      </c>
      <c r="Y2677" t="s">
        <v>397</v>
      </c>
      <c r="Z2677" t="s">
        <v>97</v>
      </c>
      <c r="AA2677" t="s">
        <v>199</v>
      </c>
      <c r="AB2677" t="s">
        <v>59</v>
      </c>
      <c r="AC2677" t="s">
        <v>88</v>
      </c>
    </row>
    <row r="2678" spans="1:30" x14ac:dyDescent="0.25">
      <c r="A2678" s="4">
        <v>42586</v>
      </c>
      <c r="B2678" t="s">
        <v>30</v>
      </c>
      <c r="C2678">
        <v>112</v>
      </c>
      <c r="D2678">
        <v>7</v>
      </c>
      <c r="E2678">
        <v>2</v>
      </c>
      <c r="F2678" t="s">
        <v>320</v>
      </c>
      <c r="G2678" t="s">
        <v>32</v>
      </c>
      <c r="H2678" t="s">
        <v>33</v>
      </c>
      <c r="I2678" t="s">
        <v>91</v>
      </c>
      <c r="J2678" t="s">
        <v>35</v>
      </c>
      <c r="K2678" t="s">
        <v>36</v>
      </c>
      <c r="L2678" t="s">
        <v>43</v>
      </c>
      <c r="M2678">
        <v>0</v>
      </c>
      <c r="N2678">
        <v>0</v>
      </c>
      <c r="O2678" s="5" t="s">
        <v>398</v>
      </c>
      <c r="P2678" s="5"/>
      <c r="Q2678">
        <f>34.5-15</f>
        <v>19.5</v>
      </c>
      <c r="R2678" t="s">
        <v>47</v>
      </c>
      <c r="T2678">
        <v>29</v>
      </c>
      <c r="W2678">
        <v>12.9</v>
      </c>
      <c r="X2678">
        <v>25.5</v>
      </c>
      <c r="Z2678" t="s">
        <v>39</v>
      </c>
      <c r="AB2678" t="s">
        <v>59</v>
      </c>
      <c r="AC2678" t="s">
        <v>88</v>
      </c>
    </row>
    <row r="2679" spans="1:30" x14ac:dyDescent="0.25">
      <c r="A2679" s="4">
        <v>42586</v>
      </c>
      <c r="B2679" t="s">
        <v>30</v>
      </c>
      <c r="C2679">
        <v>112</v>
      </c>
      <c r="D2679">
        <v>8</v>
      </c>
      <c r="E2679">
        <v>1</v>
      </c>
      <c r="F2679" t="s">
        <v>320</v>
      </c>
      <c r="G2679" t="s">
        <v>32</v>
      </c>
      <c r="H2679" t="s">
        <v>33</v>
      </c>
      <c r="I2679" t="s">
        <v>34</v>
      </c>
      <c r="J2679" t="s">
        <v>42</v>
      </c>
      <c r="K2679" t="s">
        <v>89</v>
      </c>
      <c r="L2679" t="s">
        <v>37</v>
      </c>
      <c r="M2679">
        <v>0</v>
      </c>
      <c r="N2679">
        <v>1</v>
      </c>
      <c r="O2679" s="5" t="s">
        <v>399</v>
      </c>
      <c r="P2679" s="5" t="s">
        <v>400</v>
      </c>
      <c r="Q2679">
        <f>24.5-13.5</f>
        <v>11</v>
      </c>
      <c r="R2679" t="s">
        <v>38</v>
      </c>
      <c r="S2679" t="s">
        <v>39</v>
      </c>
      <c r="T2679">
        <v>17</v>
      </c>
      <c r="U2679">
        <v>72</v>
      </c>
      <c r="V2679">
        <v>16</v>
      </c>
      <c r="W2679">
        <v>12.5</v>
      </c>
      <c r="X2679">
        <v>24.6</v>
      </c>
      <c r="Z2679" t="s">
        <v>39</v>
      </c>
      <c r="AB2679" t="s">
        <v>59</v>
      </c>
      <c r="AC2679" t="s">
        <v>88</v>
      </c>
    </row>
    <row r="2680" spans="1:30" x14ac:dyDescent="0.25">
      <c r="A2680" s="4">
        <v>42586</v>
      </c>
      <c r="B2680" t="s">
        <v>30</v>
      </c>
      <c r="C2680">
        <v>112</v>
      </c>
      <c r="D2680">
        <v>8</v>
      </c>
      <c r="E2680">
        <v>2</v>
      </c>
      <c r="F2680" t="s">
        <v>320</v>
      </c>
      <c r="G2680" t="s">
        <v>32</v>
      </c>
      <c r="H2680" t="s">
        <v>33</v>
      </c>
      <c r="I2680" t="s">
        <v>57</v>
      </c>
      <c r="O2680" s="5"/>
      <c r="P2680" s="5"/>
    </row>
    <row r="2681" spans="1:30" x14ac:dyDescent="0.25">
      <c r="A2681" s="4">
        <v>42586</v>
      </c>
      <c r="B2681" t="s">
        <v>30</v>
      </c>
      <c r="C2681">
        <v>112</v>
      </c>
      <c r="D2681">
        <v>9</v>
      </c>
      <c r="E2681">
        <v>1</v>
      </c>
      <c r="F2681" t="s">
        <v>320</v>
      </c>
      <c r="G2681" t="s">
        <v>32</v>
      </c>
      <c r="H2681" t="s">
        <v>33</v>
      </c>
      <c r="I2681" t="s">
        <v>57</v>
      </c>
      <c r="O2681" s="5"/>
      <c r="P2681" s="5"/>
    </row>
    <row r="2682" spans="1:30" x14ac:dyDescent="0.25">
      <c r="A2682" s="4">
        <v>42586</v>
      </c>
      <c r="B2682" t="s">
        <v>30</v>
      </c>
      <c r="C2682">
        <v>112</v>
      </c>
      <c r="D2682">
        <v>9</v>
      </c>
      <c r="E2682">
        <v>2</v>
      </c>
      <c r="F2682" t="s">
        <v>320</v>
      </c>
      <c r="G2682" t="s">
        <v>32</v>
      </c>
      <c r="H2682" t="s">
        <v>33</v>
      </c>
      <c r="I2682" t="s">
        <v>73</v>
      </c>
      <c r="J2682" t="s">
        <v>122</v>
      </c>
      <c r="O2682" s="5"/>
      <c r="P2682" s="5"/>
    </row>
    <row r="2683" spans="1:30" x14ac:dyDescent="0.25">
      <c r="A2683" s="4">
        <v>42586</v>
      </c>
      <c r="B2683" t="s">
        <v>30</v>
      </c>
      <c r="C2683">
        <v>112</v>
      </c>
      <c r="D2683">
        <v>10</v>
      </c>
      <c r="E2683">
        <v>1</v>
      </c>
      <c r="F2683" t="s">
        <v>320</v>
      </c>
      <c r="G2683" t="s">
        <v>32</v>
      </c>
      <c r="H2683" t="s">
        <v>33</v>
      </c>
      <c r="I2683" t="s">
        <v>34</v>
      </c>
      <c r="J2683" t="s">
        <v>35</v>
      </c>
      <c r="K2683" t="s">
        <v>114</v>
      </c>
      <c r="L2683" t="s">
        <v>43</v>
      </c>
      <c r="M2683">
        <v>0</v>
      </c>
      <c r="N2683">
        <v>0</v>
      </c>
      <c r="O2683" s="5" t="s">
        <v>401</v>
      </c>
      <c r="P2683" s="5" t="s">
        <v>402</v>
      </c>
      <c r="Q2683">
        <f>35-16</f>
        <v>19</v>
      </c>
      <c r="R2683" t="s">
        <v>47</v>
      </c>
      <c r="T2683">
        <v>19.5</v>
      </c>
      <c r="U2683">
        <v>88</v>
      </c>
      <c r="V2683">
        <v>16</v>
      </c>
      <c r="W2683">
        <v>12.9</v>
      </c>
      <c r="X2683">
        <v>26.8</v>
      </c>
      <c r="Z2683" t="s">
        <v>39</v>
      </c>
      <c r="AB2683" t="s">
        <v>59</v>
      </c>
      <c r="AC2683" t="s">
        <v>88</v>
      </c>
    </row>
    <row r="2684" spans="1:30" x14ac:dyDescent="0.25">
      <c r="A2684" s="4">
        <v>42586</v>
      </c>
      <c r="B2684" t="s">
        <v>30</v>
      </c>
      <c r="C2684">
        <v>112</v>
      </c>
      <c r="D2684">
        <v>10</v>
      </c>
      <c r="E2684">
        <v>2</v>
      </c>
      <c r="F2684" t="s">
        <v>320</v>
      </c>
      <c r="G2684" t="s">
        <v>32</v>
      </c>
      <c r="H2684" t="s">
        <v>33</v>
      </c>
      <c r="I2684" t="s">
        <v>34</v>
      </c>
      <c r="J2684" t="s">
        <v>35</v>
      </c>
      <c r="K2684" t="s">
        <v>36</v>
      </c>
      <c r="L2684" t="s">
        <v>37</v>
      </c>
      <c r="M2684">
        <v>0</v>
      </c>
      <c r="N2684">
        <v>0</v>
      </c>
      <c r="O2684" s="5" t="s">
        <v>403</v>
      </c>
      <c r="P2684" s="5" t="s">
        <v>404</v>
      </c>
      <c r="Q2684">
        <f>37-18</f>
        <v>19</v>
      </c>
      <c r="R2684" t="s">
        <v>164</v>
      </c>
      <c r="S2684" t="s">
        <v>97</v>
      </c>
      <c r="T2684">
        <v>19</v>
      </c>
      <c r="U2684">
        <v>92</v>
      </c>
      <c r="V2684">
        <v>15</v>
      </c>
      <c r="W2684">
        <v>12.9</v>
      </c>
      <c r="X2684">
        <v>26.9</v>
      </c>
      <c r="Z2684" t="s">
        <v>39</v>
      </c>
      <c r="AB2684" t="s">
        <v>59</v>
      </c>
      <c r="AC2684" t="s">
        <v>88</v>
      </c>
    </row>
    <row r="2685" spans="1:30" x14ac:dyDescent="0.25">
      <c r="A2685" s="4">
        <v>42586</v>
      </c>
      <c r="B2685" t="s">
        <v>30</v>
      </c>
      <c r="C2685">
        <v>113</v>
      </c>
      <c r="D2685">
        <v>1</v>
      </c>
      <c r="E2685">
        <v>1</v>
      </c>
      <c r="F2685" t="s">
        <v>320</v>
      </c>
      <c r="G2685" t="s">
        <v>32</v>
      </c>
      <c r="H2685" t="s">
        <v>33</v>
      </c>
      <c r="I2685" t="s">
        <v>34</v>
      </c>
      <c r="J2685" t="s">
        <v>42</v>
      </c>
      <c r="K2685" t="s">
        <v>89</v>
      </c>
      <c r="L2685" t="s">
        <v>37</v>
      </c>
      <c r="M2685">
        <v>0</v>
      </c>
      <c r="N2685">
        <v>1</v>
      </c>
      <c r="O2685" s="5" t="s">
        <v>405</v>
      </c>
      <c r="P2685" s="5" t="s">
        <v>406</v>
      </c>
      <c r="Q2685">
        <f>31-21</f>
        <v>10</v>
      </c>
      <c r="R2685" t="s">
        <v>38</v>
      </c>
      <c r="S2685" t="s">
        <v>39</v>
      </c>
      <c r="T2685">
        <v>18</v>
      </c>
      <c r="U2685">
        <v>81</v>
      </c>
      <c r="V2685">
        <v>15</v>
      </c>
      <c r="W2685">
        <v>12.7</v>
      </c>
      <c r="X2685">
        <v>24.6</v>
      </c>
      <c r="Z2685" t="s">
        <v>97</v>
      </c>
      <c r="AA2685" t="s">
        <v>199</v>
      </c>
      <c r="AB2685" t="s">
        <v>59</v>
      </c>
      <c r="AC2685" t="s">
        <v>88</v>
      </c>
    </row>
    <row r="2686" spans="1:30" x14ac:dyDescent="0.25">
      <c r="A2686" s="4">
        <v>42586</v>
      </c>
      <c r="B2686" t="s">
        <v>30</v>
      </c>
      <c r="C2686">
        <v>113</v>
      </c>
      <c r="D2686">
        <v>2</v>
      </c>
      <c r="E2686">
        <v>1</v>
      </c>
      <c r="F2686" t="s">
        <v>320</v>
      </c>
      <c r="G2686" t="s">
        <v>32</v>
      </c>
      <c r="H2686" t="s">
        <v>33</v>
      </c>
      <c r="I2686" t="s">
        <v>57</v>
      </c>
      <c r="O2686" s="5"/>
      <c r="P2686" s="5"/>
    </row>
    <row r="2687" spans="1:30" x14ac:dyDescent="0.25">
      <c r="A2687" s="4">
        <v>42586</v>
      </c>
      <c r="B2687" t="s">
        <v>30</v>
      </c>
      <c r="C2687">
        <v>113</v>
      </c>
      <c r="D2687">
        <v>2</v>
      </c>
      <c r="E2687">
        <v>2</v>
      </c>
      <c r="F2687" t="s">
        <v>320</v>
      </c>
      <c r="G2687" t="s">
        <v>32</v>
      </c>
      <c r="H2687" t="s">
        <v>33</v>
      </c>
      <c r="I2687" t="s">
        <v>57</v>
      </c>
      <c r="O2687" s="5"/>
      <c r="P2687" s="5"/>
    </row>
    <row r="2688" spans="1:30" x14ac:dyDescent="0.25">
      <c r="A2688" s="4">
        <v>42586</v>
      </c>
      <c r="B2688" t="s">
        <v>30</v>
      </c>
      <c r="C2688">
        <v>113</v>
      </c>
      <c r="D2688">
        <v>3</v>
      </c>
      <c r="E2688">
        <v>1</v>
      </c>
      <c r="F2688" t="s">
        <v>320</v>
      </c>
      <c r="G2688" t="s">
        <v>32</v>
      </c>
      <c r="H2688" t="s">
        <v>33</v>
      </c>
      <c r="I2688" t="s">
        <v>57</v>
      </c>
      <c r="O2688" s="5"/>
      <c r="P2688" s="5"/>
    </row>
    <row r="2689" spans="1:30" x14ac:dyDescent="0.25">
      <c r="A2689" s="4">
        <v>42586</v>
      </c>
      <c r="B2689" t="s">
        <v>30</v>
      </c>
      <c r="C2689">
        <v>113</v>
      </c>
      <c r="D2689">
        <v>3</v>
      </c>
      <c r="E2689">
        <v>2</v>
      </c>
      <c r="F2689" t="s">
        <v>320</v>
      </c>
      <c r="G2689" t="s">
        <v>32</v>
      </c>
      <c r="H2689" t="s">
        <v>33</v>
      </c>
      <c r="I2689" t="s">
        <v>34</v>
      </c>
      <c r="J2689" t="s">
        <v>42</v>
      </c>
      <c r="K2689" t="s">
        <v>114</v>
      </c>
      <c r="L2689" t="s">
        <v>37</v>
      </c>
      <c r="M2689">
        <v>0</v>
      </c>
      <c r="N2689">
        <v>1</v>
      </c>
      <c r="O2689" s="5" t="s">
        <v>407</v>
      </c>
      <c r="P2689" s="5" t="s">
        <v>408</v>
      </c>
      <c r="Q2689">
        <f>31-13</f>
        <v>18</v>
      </c>
      <c r="R2689" t="s">
        <v>164</v>
      </c>
      <c r="S2689" t="s">
        <v>97</v>
      </c>
      <c r="T2689">
        <v>19</v>
      </c>
      <c r="U2689">
        <v>90</v>
      </c>
      <c r="V2689">
        <v>16</v>
      </c>
      <c r="W2689">
        <v>12.9</v>
      </c>
      <c r="X2689">
        <v>27.4</v>
      </c>
      <c r="Z2689" t="s">
        <v>39</v>
      </c>
      <c r="AB2689" t="s">
        <v>59</v>
      </c>
      <c r="AC2689" t="s">
        <v>88</v>
      </c>
    </row>
    <row r="2690" spans="1:30" x14ac:dyDescent="0.25">
      <c r="A2690" s="4">
        <v>42586</v>
      </c>
      <c r="B2690" t="s">
        <v>30</v>
      </c>
      <c r="C2690">
        <v>113</v>
      </c>
      <c r="D2690">
        <v>4</v>
      </c>
      <c r="E2690">
        <v>1</v>
      </c>
      <c r="F2690" t="s">
        <v>320</v>
      </c>
      <c r="G2690" t="s">
        <v>32</v>
      </c>
      <c r="H2690" t="s">
        <v>33</v>
      </c>
      <c r="I2690" t="s">
        <v>34</v>
      </c>
      <c r="J2690" t="s">
        <v>35</v>
      </c>
      <c r="K2690" t="s">
        <v>36</v>
      </c>
      <c r="L2690" t="s">
        <v>37</v>
      </c>
      <c r="M2690">
        <v>0</v>
      </c>
      <c r="N2690">
        <v>0</v>
      </c>
      <c r="O2690" s="5" t="s">
        <v>409</v>
      </c>
      <c r="P2690" s="5" t="s">
        <v>410</v>
      </c>
      <c r="Q2690">
        <f>35-13</f>
        <v>22</v>
      </c>
      <c r="R2690" t="s">
        <v>143</v>
      </c>
      <c r="S2690" t="s">
        <v>97</v>
      </c>
      <c r="T2690">
        <v>19</v>
      </c>
      <c r="U2690">
        <v>82</v>
      </c>
      <c r="V2690">
        <v>15</v>
      </c>
      <c r="W2690">
        <v>12.8</v>
      </c>
      <c r="X2690">
        <v>27</v>
      </c>
      <c r="Z2690" t="s">
        <v>39</v>
      </c>
      <c r="AB2690" t="s">
        <v>59</v>
      </c>
      <c r="AC2690" t="s">
        <v>88</v>
      </c>
    </row>
    <row r="2691" spans="1:30" x14ac:dyDescent="0.25">
      <c r="A2691" s="4">
        <v>42586</v>
      </c>
      <c r="B2691" t="s">
        <v>30</v>
      </c>
      <c r="C2691">
        <v>113</v>
      </c>
      <c r="D2691">
        <v>4</v>
      </c>
      <c r="E2691">
        <v>2</v>
      </c>
      <c r="F2691" t="s">
        <v>320</v>
      </c>
      <c r="G2691" t="s">
        <v>32</v>
      </c>
      <c r="H2691" t="s">
        <v>33</v>
      </c>
      <c r="I2691" t="s">
        <v>34</v>
      </c>
      <c r="J2691" t="s">
        <v>42</v>
      </c>
      <c r="K2691" t="s">
        <v>114</v>
      </c>
      <c r="L2691" t="s">
        <v>43</v>
      </c>
      <c r="M2691">
        <v>0</v>
      </c>
      <c r="N2691">
        <v>1</v>
      </c>
      <c r="O2691" s="5" t="s">
        <v>411</v>
      </c>
      <c r="P2691" s="5" t="s">
        <v>412</v>
      </c>
      <c r="Q2691">
        <f>36.5-20</f>
        <v>16.5</v>
      </c>
      <c r="R2691" t="s">
        <v>65</v>
      </c>
      <c r="T2691">
        <v>20</v>
      </c>
      <c r="U2691">
        <v>88</v>
      </c>
      <c r="V2691">
        <v>16</v>
      </c>
      <c r="W2691">
        <v>12.7</v>
      </c>
      <c r="X2691">
        <v>26.6</v>
      </c>
      <c r="Z2691" t="s">
        <v>39</v>
      </c>
      <c r="AB2691" t="s">
        <v>59</v>
      </c>
      <c r="AC2691" t="s">
        <v>88</v>
      </c>
    </row>
    <row r="2692" spans="1:30" x14ac:dyDescent="0.25">
      <c r="A2692" s="4">
        <v>42586</v>
      </c>
      <c r="B2692" t="s">
        <v>30</v>
      </c>
      <c r="C2692">
        <v>113</v>
      </c>
      <c r="D2692">
        <v>5</v>
      </c>
      <c r="E2692">
        <v>1</v>
      </c>
      <c r="F2692" t="s">
        <v>320</v>
      </c>
      <c r="G2692" t="s">
        <v>32</v>
      </c>
      <c r="H2692" t="s">
        <v>33</v>
      </c>
      <c r="I2692" t="s">
        <v>91</v>
      </c>
      <c r="J2692" t="s">
        <v>35</v>
      </c>
      <c r="K2692" t="s">
        <v>36</v>
      </c>
      <c r="L2692" t="s">
        <v>43</v>
      </c>
      <c r="M2692">
        <v>0</v>
      </c>
      <c r="N2692">
        <v>0</v>
      </c>
      <c r="O2692" s="5"/>
      <c r="P2692" s="5" t="s">
        <v>234</v>
      </c>
      <c r="Q2692">
        <f>32.5-13</f>
        <v>19.5</v>
      </c>
      <c r="R2692" t="s">
        <v>47</v>
      </c>
      <c r="T2692">
        <v>28</v>
      </c>
      <c r="W2692">
        <v>12.9</v>
      </c>
      <c r="X2692">
        <v>25.3</v>
      </c>
      <c r="Z2692" t="s">
        <v>97</v>
      </c>
      <c r="AA2692" t="s">
        <v>199</v>
      </c>
      <c r="AB2692" t="s">
        <v>59</v>
      </c>
      <c r="AC2692" t="s">
        <v>88</v>
      </c>
    </row>
    <row r="2693" spans="1:30" x14ac:dyDescent="0.25">
      <c r="A2693" s="4">
        <v>42586</v>
      </c>
      <c r="B2693" t="s">
        <v>30</v>
      </c>
      <c r="C2693">
        <v>113</v>
      </c>
      <c r="D2693">
        <v>5</v>
      </c>
      <c r="E2693">
        <v>2</v>
      </c>
      <c r="F2693" t="s">
        <v>320</v>
      </c>
      <c r="G2693" t="s">
        <v>32</v>
      </c>
      <c r="H2693" t="s">
        <v>33</v>
      </c>
      <c r="I2693" t="s">
        <v>57</v>
      </c>
      <c r="O2693" s="5"/>
      <c r="P2693" s="5"/>
    </row>
    <row r="2694" spans="1:30" x14ac:dyDescent="0.25">
      <c r="A2694" s="4">
        <v>42586</v>
      </c>
      <c r="B2694" t="s">
        <v>30</v>
      </c>
      <c r="C2694">
        <v>113</v>
      </c>
      <c r="D2694">
        <v>6</v>
      </c>
      <c r="E2694">
        <v>1</v>
      </c>
      <c r="F2694" t="s">
        <v>320</v>
      </c>
      <c r="G2694" t="s">
        <v>32</v>
      </c>
      <c r="H2694" t="s">
        <v>33</v>
      </c>
      <c r="I2694" t="s">
        <v>57</v>
      </c>
      <c r="O2694" s="5"/>
      <c r="P2694" s="5"/>
    </row>
    <row r="2695" spans="1:30" x14ac:dyDescent="0.25">
      <c r="A2695" s="4">
        <v>42586</v>
      </c>
      <c r="B2695" t="s">
        <v>30</v>
      </c>
      <c r="C2695">
        <v>113</v>
      </c>
      <c r="D2695">
        <v>6</v>
      </c>
      <c r="E2695">
        <v>2</v>
      </c>
      <c r="F2695" t="s">
        <v>320</v>
      </c>
      <c r="G2695" t="s">
        <v>32</v>
      </c>
      <c r="H2695" t="s">
        <v>33</v>
      </c>
      <c r="I2695" t="s">
        <v>34</v>
      </c>
      <c r="J2695" t="s">
        <v>35</v>
      </c>
      <c r="K2695" t="s">
        <v>114</v>
      </c>
      <c r="L2695" t="s">
        <v>43</v>
      </c>
      <c r="M2695">
        <v>0</v>
      </c>
      <c r="N2695">
        <v>0</v>
      </c>
      <c r="O2695" s="5" t="s">
        <v>413</v>
      </c>
      <c r="P2695" s="5" t="s">
        <v>414</v>
      </c>
      <c r="Q2695">
        <f>30.5-15</f>
        <v>15.5</v>
      </c>
      <c r="R2695" t="s">
        <v>65</v>
      </c>
      <c r="T2695">
        <v>20</v>
      </c>
      <c r="V2695">
        <v>16</v>
      </c>
      <c r="W2695">
        <v>12.9</v>
      </c>
      <c r="X2695">
        <v>27</v>
      </c>
      <c r="Z2695" t="s">
        <v>97</v>
      </c>
      <c r="AA2695" t="s">
        <v>199</v>
      </c>
      <c r="AB2695" t="s">
        <v>59</v>
      </c>
      <c r="AC2695" t="s">
        <v>88</v>
      </c>
    </row>
    <row r="2696" spans="1:30" x14ac:dyDescent="0.25">
      <c r="A2696" s="4">
        <v>42586</v>
      </c>
      <c r="B2696" t="s">
        <v>30</v>
      </c>
      <c r="C2696">
        <v>113</v>
      </c>
      <c r="D2696">
        <v>7</v>
      </c>
      <c r="E2696">
        <v>1</v>
      </c>
      <c r="F2696" t="s">
        <v>320</v>
      </c>
      <c r="G2696" t="s">
        <v>32</v>
      </c>
      <c r="H2696" t="s">
        <v>33</v>
      </c>
      <c r="I2696" t="s">
        <v>34</v>
      </c>
      <c r="J2696" t="s">
        <v>35</v>
      </c>
      <c r="K2696" t="s">
        <v>89</v>
      </c>
      <c r="L2696" t="s">
        <v>37</v>
      </c>
      <c r="M2696">
        <v>0</v>
      </c>
      <c r="N2696">
        <v>0</v>
      </c>
      <c r="O2696" s="5" t="s">
        <v>415</v>
      </c>
      <c r="P2696" s="5" t="s">
        <v>416</v>
      </c>
      <c r="Q2696">
        <f>26-13</f>
        <v>13</v>
      </c>
      <c r="R2696" t="s">
        <v>38</v>
      </c>
      <c r="S2696" t="s">
        <v>39</v>
      </c>
      <c r="T2696">
        <v>19</v>
      </c>
      <c r="U2696">
        <v>75</v>
      </c>
      <c r="V2696">
        <v>15</v>
      </c>
      <c r="W2696">
        <v>12.8</v>
      </c>
      <c r="X2696">
        <v>25.7</v>
      </c>
      <c r="Z2696" t="s">
        <v>39</v>
      </c>
      <c r="AB2696" t="s">
        <v>59</v>
      </c>
      <c r="AC2696" t="s">
        <v>88</v>
      </c>
    </row>
    <row r="2697" spans="1:30" x14ac:dyDescent="0.25">
      <c r="A2697" s="4">
        <v>42586</v>
      </c>
      <c r="B2697" t="s">
        <v>30</v>
      </c>
      <c r="C2697">
        <v>113</v>
      </c>
      <c r="D2697">
        <v>7</v>
      </c>
      <c r="E2697">
        <v>2</v>
      </c>
      <c r="F2697" t="s">
        <v>320</v>
      </c>
      <c r="G2697" t="s">
        <v>32</v>
      </c>
      <c r="H2697" t="s">
        <v>33</v>
      </c>
      <c r="I2697" t="s">
        <v>57</v>
      </c>
      <c r="O2697" s="5"/>
      <c r="P2697" s="5"/>
    </row>
    <row r="2698" spans="1:30" x14ac:dyDescent="0.25">
      <c r="A2698" s="4">
        <v>42586</v>
      </c>
      <c r="B2698" t="s">
        <v>30</v>
      </c>
      <c r="C2698">
        <v>113</v>
      </c>
      <c r="D2698">
        <v>8</v>
      </c>
      <c r="E2698">
        <v>1</v>
      </c>
      <c r="F2698" t="s">
        <v>320</v>
      </c>
      <c r="G2698" t="s">
        <v>32</v>
      </c>
      <c r="H2698" t="s">
        <v>33</v>
      </c>
      <c r="I2698" t="s">
        <v>57</v>
      </c>
      <c r="O2698" s="5"/>
      <c r="P2698" s="5"/>
    </row>
    <row r="2699" spans="1:30" x14ac:dyDescent="0.25">
      <c r="A2699" s="4">
        <v>42586</v>
      </c>
      <c r="B2699" t="s">
        <v>30</v>
      </c>
      <c r="C2699">
        <v>113</v>
      </c>
      <c r="D2699">
        <v>8</v>
      </c>
      <c r="E2699">
        <v>2</v>
      </c>
      <c r="F2699" t="s">
        <v>320</v>
      </c>
      <c r="G2699" t="s">
        <v>32</v>
      </c>
      <c r="H2699" t="s">
        <v>33</v>
      </c>
      <c r="I2699" t="s">
        <v>34</v>
      </c>
      <c r="J2699" t="s">
        <v>35</v>
      </c>
      <c r="K2699" t="s">
        <v>36</v>
      </c>
      <c r="L2699" t="s">
        <v>37</v>
      </c>
      <c r="M2699">
        <v>0</v>
      </c>
      <c r="N2699">
        <v>0</v>
      </c>
      <c r="O2699" s="5" t="s">
        <v>417</v>
      </c>
      <c r="P2699" s="5" t="s">
        <v>418</v>
      </c>
      <c r="Q2699">
        <f>39-16</f>
        <v>23</v>
      </c>
      <c r="R2699" t="s">
        <v>143</v>
      </c>
      <c r="S2699" t="s">
        <v>97</v>
      </c>
      <c r="T2699">
        <v>20</v>
      </c>
      <c r="U2699">
        <v>92</v>
      </c>
      <c r="V2699">
        <v>17</v>
      </c>
      <c r="W2699">
        <v>12.8</v>
      </c>
      <c r="X2699">
        <v>27.2</v>
      </c>
      <c r="Z2699" t="s">
        <v>97</v>
      </c>
      <c r="AA2699" t="s">
        <v>199</v>
      </c>
      <c r="AB2699" t="s">
        <v>59</v>
      </c>
      <c r="AC2699" t="s">
        <v>88</v>
      </c>
    </row>
    <row r="2700" spans="1:30" x14ac:dyDescent="0.25">
      <c r="A2700" s="4">
        <v>42586</v>
      </c>
      <c r="B2700" t="s">
        <v>30</v>
      </c>
      <c r="C2700">
        <v>113</v>
      </c>
      <c r="D2700">
        <v>9</v>
      </c>
      <c r="E2700">
        <v>1</v>
      </c>
      <c r="F2700" t="s">
        <v>320</v>
      </c>
      <c r="G2700" t="s">
        <v>32</v>
      </c>
      <c r="H2700" t="s">
        <v>33</v>
      </c>
      <c r="I2700" t="s">
        <v>57</v>
      </c>
      <c r="O2700" s="5"/>
      <c r="P2700" s="5"/>
    </row>
    <row r="2701" spans="1:30" x14ac:dyDescent="0.25">
      <c r="A2701" s="4">
        <v>42586</v>
      </c>
      <c r="B2701" t="s">
        <v>30</v>
      </c>
      <c r="C2701">
        <v>113</v>
      </c>
      <c r="D2701">
        <v>9</v>
      </c>
      <c r="E2701">
        <v>2</v>
      </c>
      <c r="F2701" t="s">
        <v>320</v>
      </c>
      <c r="G2701" t="s">
        <v>32</v>
      </c>
      <c r="H2701" t="s">
        <v>33</v>
      </c>
      <c r="I2701" t="s">
        <v>57</v>
      </c>
      <c r="O2701" s="5"/>
      <c r="P2701" s="5"/>
    </row>
    <row r="2702" spans="1:30" x14ac:dyDescent="0.25">
      <c r="A2702" s="4">
        <v>42586</v>
      </c>
      <c r="B2702" t="s">
        <v>30</v>
      </c>
      <c r="C2702">
        <v>113</v>
      </c>
      <c r="D2702">
        <v>10</v>
      </c>
      <c r="E2702">
        <v>1</v>
      </c>
      <c r="F2702" t="s">
        <v>320</v>
      </c>
      <c r="G2702" t="s">
        <v>32</v>
      </c>
      <c r="H2702" t="s">
        <v>33</v>
      </c>
      <c r="I2702" t="s">
        <v>34</v>
      </c>
      <c r="J2702" t="s">
        <v>35</v>
      </c>
      <c r="K2702" t="s">
        <v>89</v>
      </c>
      <c r="L2702" t="s">
        <v>37</v>
      </c>
      <c r="M2702">
        <v>0</v>
      </c>
      <c r="N2702">
        <v>0</v>
      </c>
      <c r="O2702" s="5" t="s">
        <v>419</v>
      </c>
      <c r="P2702" s="5" t="s">
        <v>420</v>
      </c>
      <c r="Q2702">
        <f>30-17</f>
        <v>13</v>
      </c>
      <c r="R2702" t="s">
        <v>38</v>
      </c>
      <c r="S2702" t="s">
        <v>39</v>
      </c>
      <c r="T2702">
        <v>18</v>
      </c>
      <c r="U2702">
        <v>75</v>
      </c>
      <c r="V2702">
        <v>14</v>
      </c>
      <c r="W2702">
        <v>12.7</v>
      </c>
      <c r="X2702">
        <v>25.7</v>
      </c>
      <c r="Y2702" t="s">
        <v>421</v>
      </c>
      <c r="Z2702" t="s">
        <v>39</v>
      </c>
      <c r="AB2702" t="s">
        <v>59</v>
      </c>
      <c r="AC2702" t="s">
        <v>88</v>
      </c>
      <c r="AD2702" t="s">
        <v>422</v>
      </c>
    </row>
    <row r="2703" spans="1:30" x14ac:dyDescent="0.25">
      <c r="A2703" s="4">
        <v>42586</v>
      </c>
      <c r="B2703" t="s">
        <v>30</v>
      </c>
      <c r="C2703">
        <v>113</v>
      </c>
      <c r="D2703">
        <v>10</v>
      </c>
      <c r="E2703">
        <v>2</v>
      </c>
      <c r="F2703" t="s">
        <v>320</v>
      </c>
      <c r="G2703" t="s">
        <v>32</v>
      </c>
      <c r="H2703" t="s">
        <v>33</v>
      </c>
      <c r="I2703" t="s">
        <v>34</v>
      </c>
      <c r="J2703" t="s">
        <v>35</v>
      </c>
      <c r="K2703" t="s">
        <v>89</v>
      </c>
      <c r="L2703" t="s">
        <v>43</v>
      </c>
      <c r="M2703">
        <v>0</v>
      </c>
      <c r="N2703">
        <v>0</v>
      </c>
      <c r="O2703" s="5" t="s">
        <v>423</v>
      </c>
      <c r="P2703" s="5" t="s">
        <v>424</v>
      </c>
      <c r="Q2703">
        <f>31.5-17</f>
        <v>14.5</v>
      </c>
      <c r="R2703" t="s">
        <v>65</v>
      </c>
      <c r="T2703">
        <v>20</v>
      </c>
      <c r="U2703">
        <v>79</v>
      </c>
      <c r="V2703">
        <v>15.5</v>
      </c>
      <c r="W2703">
        <v>12.8</v>
      </c>
      <c r="X2703">
        <v>26.7</v>
      </c>
      <c r="Z2703" t="s">
        <v>97</v>
      </c>
      <c r="AA2703" t="s">
        <v>199</v>
      </c>
      <c r="AB2703" t="s">
        <v>59</v>
      </c>
      <c r="AC2703" t="s">
        <v>88</v>
      </c>
      <c r="AD2703" t="s">
        <v>425</v>
      </c>
    </row>
    <row r="2704" spans="1:30" x14ac:dyDescent="0.25">
      <c r="A2704" s="4">
        <v>42586</v>
      </c>
      <c r="B2704" t="s">
        <v>30</v>
      </c>
      <c r="C2704">
        <v>402</v>
      </c>
      <c r="D2704">
        <v>1</v>
      </c>
      <c r="E2704">
        <v>1</v>
      </c>
      <c r="F2704" t="s">
        <v>320</v>
      </c>
      <c r="G2704" t="s">
        <v>32</v>
      </c>
      <c r="H2704" t="s">
        <v>33</v>
      </c>
      <c r="I2704" t="s">
        <v>57</v>
      </c>
      <c r="O2704" s="5"/>
      <c r="P2704" s="5"/>
    </row>
    <row r="2705" spans="1:29" x14ac:dyDescent="0.25">
      <c r="A2705" s="4">
        <v>42586</v>
      </c>
      <c r="B2705" t="s">
        <v>30</v>
      </c>
      <c r="C2705">
        <v>402</v>
      </c>
      <c r="D2705">
        <v>1</v>
      </c>
      <c r="E2705">
        <v>2</v>
      </c>
      <c r="F2705" t="s">
        <v>320</v>
      </c>
      <c r="G2705" t="s">
        <v>32</v>
      </c>
      <c r="H2705" t="s">
        <v>33</v>
      </c>
      <c r="I2705" t="s">
        <v>58</v>
      </c>
      <c r="J2705" t="s">
        <v>426</v>
      </c>
      <c r="O2705" s="5" t="s">
        <v>427</v>
      </c>
      <c r="P2705" s="5"/>
      <c r="Q2705" t="s">
        <v>428</v>
      </c>
    </row>
    <row r="2706" spans="1:29" x14ac:dyDescent="0.25">
      <c r="A2706" s="4">
        <v>42586</v>
      </c>
      <c r="B2706" t="s">
        <v>30</v>
      </c>
      <c r="C2706">
        <v>402</v>
      </c>
      <c r="D2706">
        <v>2</v>
      </c>
      <c r="E2706">
        <v>1</v>
      </c>
      <c r="F2706" t="s">
        <v>320</v>
      </c>
      <c r="G2706" t="s">
        <v>32</v>
      </c>
      <c r="H2706" t="s">
        <v>33</v>
      </c>
      <c r="I2706" t="s">
        <v>84</v>
      </c>
      <c r="O2706" s="5"/>
      <c r="P2706" s="5"/>
    </row>
    <row r="2707" spans="1:29" x14ac:dyDescent="0.25">
      <c r="A2707" s="4">
        <v>42586</v>
      </c>
      <c r="B2707" t="s">
        <v>30</v>
      </c>
      <c r="C2707">
        <v>402</v>
      </c>
      <c r="D2707">
        <v>2</v>
      </c>
      <c r="E2707">
        <v>2</v>
      </c>
      <c r="F2707" t="s">
        <v>320</v>
      </c>
      <c r="G2707" t="s">
        <v>32</v>
      </c>
      <c r="H2707" t="s">
        <v>33</v>
      </c>
      <c r="I2707" t="s">
        <v>34</v>
      </c>
      <c r="J2707" t="s">
        <v>426</v>
      </c>
      <c r="O2707" s="5"/>
      <c r="P2707" s="5"/>
      <c r="Q2707" t="s">
        <v>429</v>
      </c>
    </row>
    <row r="2708" spans="1:29" x14ac:dyDescent="0.25">
      <c r="A2708" s="4">
        <v>42586</v>
      </c>
      <c r="B2708" t="s">
        <v>30</v>
      </c>
      <c r="C2708">
        <v>402</v>
      </c>
      <c r="D2708">
        <v>3</v>
      </c>
      <c r="E2708">
        <v>1</v>
      </c>
      <c r="F2708" t="s">
        <v>320</v>
      </c>
      <c r="G2708" t="s">
        <v>32</v>
      </c>
      <c r="H2708" t="s">
        <v>33</v>
      </c>
      <c r="I2708" t="s">
        <v>57</v>
      </c>
      <c r="O2708" s="5"/>
      <c r="P2708" s="5"/>
    </row>
    <row r="2709" spans="1:29" x14ac:dyDescent="0.25">
      <c r="A2709" s="4">
        <v>42586</v>
      </c>
      <c r="B2709" t="s">
        <v>30</v>
      </c>
      <c r="C2709">
        <v>402</v>
      </c>
      <c r="D2709">
        <v>3</v>
      </c>
      <c r="E2709">
        <v>2</v>
      </c>
      <c r="F2709" t="s">
        <v>320</v>
      </c>
      <c r="G2709" t="s">
        <v>32</v>
      </c>
      <c r="H2709" t="s">
        <v>33</v>
      </c>
      <c r="I2709" t="s">
        <v>57</v>
      </c>
      <c r="O2709" s="5"/>
      <c r="P2709" s="5"/>
    </row>
    <row r="2710" spans="1:29" x14ac:dyDescent="0.25">
      <c r="A2710" s="4">
        <v>42586</v>
      </c>
      <c r="B2710" t="s">
        <v>30</v>
      </c>
      <c r="C2710">
        <v>402</v>
      </c>
      <c r="D2710">
        <v>4</v>
      </c>
      <c r="E2710">
        <v>1</v>
      </c>
      <c r="F2710" t="s">
        <v>320</v>
      </c>
      <c r="G2710" t="s">
        <v>32</v>
      </c>
      <c r="H2710" t="s">
        <v>33</v>
      </c>
      <c r="I2710" t="s">
        <v>57</v>
      </c>
      <c r="O2710" s="5"/>
      <c r="P2710" s="5"/>
    </row>
    <row r="2711" spans="1:29" x14ac:dyDescent="0.25">
      <c r="A2711" s="4">
        <v>42586</v>
      </c>
      <c r="B2711" t="s">
        <v>30</v>
      </c>
      <c r="C2711">
        <v>402</v>
      </c>
      <c r="D2711">
        <v>4</v>
      </c>
      <c r="E2711">
        <v>2</v>
      </c>
      <c r="F2711" t="s">
        <v>320</v>
      </c>
      <c r="G2711" t="s">
        <v>32</v>
      </c>
      <c r="H2711" t="s">
        <v>33</v>
      </c>
      <c r="I2711" t="s">
        <v>84</v>
      </c>
      <c r="O2711" s="5"/>
      <c r="P2711" s="5"/>
    </row>
    <row r="2712" spans="1:29" x14ac:dyDescent="0.25">
      <c r="A2712" s="4">
        <v>42586</v>
      </c>
      <c r="B2712" t="s">
        <v>30</v>
      </c>
      <c r="C2712">
        <v>402</v>
      </c>
      <c r="D2712">
        <v>5</v>
      </c>
      <c r="E2712">
        <v>1</v>
      </c>
      <c r="F2712" t="s">
        <v>320</v>
      </c>
      <c r="G2712" t="s">
        <v>32</v>
      </c>
      <c r="H2712" t="s">
        <v>33</v>
      </c>
      <c r="I2712" t="s">
        <v>84</v>
      </c>
      <c r="O2712" s="5"/>
      <c r="P2712" s="5"/>
    </row>
    <row r="2713" spans="1:29" x14ac:dyDescent="0.25">
      <c r="A2713" s="4">
        <v>42586</v>
      </c>
      <c r="B2713" t="s">
        <v>30</v>
      </c>
      <c r="C2713">
        <v>402</v>
      </c>
      <c r="D2713">
        <v>6</v>
      </c>
      <c r="E2713">
        <v>1</v>
      </c>
      <c r="F2713" t="s">
        <v>320</v>
      </c>
      <c r="G2713" t="s">
        <v>32</v>
      </c>
      <c r="H2713" t="s">
        <v>33</v>
      </c>
      <c r="I2713" t="s">
        <v>57</v>
      </c>
      <c r="O2713" s="5"/>
      <c r="P2713" s="5"/>
    </row>
    <row r="2714" spans="1:29" x14ac:dyDescent="0.25">
      <c r="A2714" s="4">
        <v>42586</v>
      </c>
      <c r="B2714" t="s">
        <v>30</v>
      </c>
      <c r="C2714">
        <v>402</v>
      </c>
      <c r="D2714">
        <v>7</v>
      </c>
      <c r="E2714">
        <v>1</v>
      </c>
      <c r="F2714" t="s">
        <v>320</v>
      </c>
      <c r="G2714" t="s">
        <v>32</v>
      </c>
      <c r="H2714" t="s">
        <v>33</v>
      </c>
      <c r="I2714" t="s">
        <v>57</v>
      </c>
      <c r="O2714" s="5"/>
      <c r="P2714" s="5"/>
    </row>
    <row r="2715" spans="1:29" x14ac:dyDescent="0.25">
      <c r="A2715" s="4">
        <v>42586</v>
      </c>
      <c r="B2715" t="s">
        <v>30</v>
      </c>
      <c r="C2715">
        <v>402</v>
      </c>
      <c r="D2715">
        <v>7</v>
      </c>
      <c r="E2715">
        <v>2</v>
      </c>
      <c r="F2715" t="s">
        <v>320</v>
      </c>
      <c r="G2715" t="s">
        <v>32</v>
      </c>
      <c r="H2715" t="s">
        <v>33</v>
      </c>
      <c r="I2715" t="s">
        <v>84</v>
      </c>
      <c r="O2715" s="5"/>
      <c r="P2715" s="5"/>
    </row>
    <row r="2716" spans="1:29" x14ac:dyDescent="0.25">
      <c r="A2716" s="4">
        <v>42586</v>
      </c>
      <c r="B2716" t="s">
        <v>30</v>
      </c>
      <c r="C2716">
        <v>402</v>
      </c>
      <c r="D2716">
        <v>8</v>
      </c>
      <c r="E2716">
        <v>1</v>
      </c>
      <c r="F2716" t="s">
        <v>320</v>
      </c>
      <c r="G2716" t="s">
        <v>32</v>
      </c>
      <c r="H2716" t="s">
        <v>33</v>
      </c>
      <c r="I2716" t="s">
        <v>84</v>
      </c>
      <c r="O2716" s="5"/>
      <c r="P2716" s="5"/>
    </row>
    <row r="2717" spans="1:29" x14ac:dyDescent="0.25">
      <c r="A2717" s="4">
        <v>42586</v>
      </c>
      <c r="B2717" t="s">
        <v>30</v>
      </c>
      <c r="C2717">
        <v>402</v>
      </c>
      <c r="D2717">
        <v>8</v>
      </c>
      <c r="E2717">
        <v>2</v>
      </c>
      <c r="F2717" t="s">
        <v>320</v>
      </c>
      <c r="G2717" t="s">
        <v>32</v>
      </c>
      <c r="H2717" t="s">
        <v>33</v>
      </c>
      <c r="I2717" t="s">
        <v>73</v>
      </c>
      <c r="J2717" t="s">
        <v>35</v>
      </c>
      <c r="K2717" t="s">
        <v>114</v>
      </c>
      <c r="L2717" t="s">
        <v>43</v>
      </c>
      <c r="M2717">
        <v>0</v>
      </c>
      <c r="N2717">
        <v>0</v>
      </c>
      <c r="O2717" s="5" t="s">
        <v>430</v>
      </c>
      <c r="P2717" s="5"/>
      <c r="Q2717">
        <f>146-48</f>
        <v>98</v>
      </c>
      <c r="R2717" t="s">
        <v>47</v>
      </c>
      <c r="T2717">
        <v>31</v>
      </c>
      <c r="W2717">
        <v>22.2</v>
      </c>
      <c r="X2717">
        <v>34.799999999999997</v>
      </c>
      <c r="Z2717" t="s">
        <v>97</v>
      </c>
      <c r="AA2717" t="s">
        <v>431</v>
      </c>
      <c r="AB2717" t="s">
        <v>59</v>
      </c>
      <c r="AC2717" t="s">
        <v>88</v>
      </c>
    </row>
    <row r="2718" spans="1:29" x14ac:dyDescent="0.25">
      <c r="A2718" s="4">
        <v>42586</v>
      </c>
      <c r="B2718" t="s">
        <v>30</v>
      </c>
      <c r="C2718">
        <v>402</v>
      </c>
      <c r="D2718">
        <v>9</v>
      </c>
      <c r="E2718">
        <v>1</v>
      </c>
      <c r="F2718" t="s">
        <v>320</v>
      </c>
      <c r="G2718" t="s">
        <v>32</v>
      </c>
      <c r="H2718" t="s">
        <v>33</v>
      </c>
      <c r="I2718" t="s">
        <v>84</v>
      </c>
      <c r="O2718" s="5"/>
      <c r="P2718" s="5"/>
    </row>
    <row r="2719" spans="1:29" x14ac:dyDescent="0.25">
      <c r="A2719" s="4">
        <v>42586</v>
      </c>
      <c r="B2719" t="s">
        <v>30</v>
      </c>
      <c r="C2719">
        <v>402</v>
      </c>
      <c r="D2719">
        <v>9</v>
      </c>
      <c r="E2719">
        <v>2</v>
      </c>
      <c r="F2719" t="s">
        <v>320</v>
      </c>
      <c r="G2719" t="s">
        <v>32</v>
      </c>
      <c r="H2719" t="s">
        <v>33</v>
      </c>
      <c r="I2719" t="s">
        <v>84</v>
      </c>
      <c r="O2719" s="5"/>
      <c r="P2719" s="5"/>
    </row>
    <row r="2720" spans="1:29" x14ac:dyDescent="0.25">
      <c r="A2720" s="4">
        <v>42586</v>
      </c>
      <c r="B2720" t="s">
        <v>30</v>
      </c>
      <c r="C2720">
        <v>402</v>
      </c>
      <c r="D2720">
        <v>10</v>
      </c>
      <c r="E2720">
        <v>1</v>
      </c>
      <c r="F2720" t="s">
        <v>320</v>
      </c>
      <c r="G2720" t="s">
        <v>32</v>
      </c>
      <c r="H2720" t="s">
        <v>33</v>
      </c>
      <c r="I2720" t="s">
        <v>84</v>
      </c>
      <c r="O2720" s="5"/>
      <c r="P2720" s="5"/>
    </row>
    <row r="2721" spans="1:30" x14ac:dyDescent="0.25">
      <c r="A2721" s="4">
        <v>42586</v>
      </c>
      <c r="B2721" t="s">
        <v>30</v>
      </c>
      <c r="C2721">
        <v>402</v>
      </c>
      <c r="D2721">
        <v>10</v>
      </c>
      <c r="E2721">
        <v>2</v>
      </c>
      <c r="F2721" t="s">
        <v>320</v>
      </c>
      <c r="G2721" t="s">
        <v>32</v>
      </c>
      <c r="H2721" t="s">
        <v>33</v>
      </c>
      <c r="I2721" t="s">
        <v>84</v>
      </c>
      <c r="O2721" s="5"/>
      <c r="P2721" s="5"/>
    </row>
    <row r="2722" spans="1:30" x14ac:dyDescent="0.25">
      <c r="A2722" s="4">
        <v>42586</v>
      </c>
      <c r="B2722" t="s">
        <v>30</v>
      </c>
      <c r="C2722">
        <v>304</v>
      </c>
      <c r="D2722">
        <v>10</v>
      </c>
      <c r="E2722">
        <v>1</v>
      </c>
      <c r="F2722" t="s">
        <v>320</v>
      </c>
      <c r="G2722" t="s">
        <v>32</v>
      </c>
      <c r="H2722" t="s">
        <v>33</v>
      </c>
      <c r="I2722" t="s">
        <v>91</v>
      </c>
      <c r="J2722" t="s">
        <v>42</v>
      </c>
      <c r="K2722" t="s">
        <v>36</v>
      </c>
      <c r="L2722" t="s">
        <v>37</v>
      </c>
      <c r="M2722">
        <v>0</v>
      </c>
      <c r="N2722">
        <v>1</v>
      </c>
      <c r="O2722" s="5" t="s">
        <v>432</v>
      </c>
      <c r="P2722" s="5"/>
      <c r="Q2722">
        <f>30.5-13</f>
        <v>17.5</v>
      </c>
      <c r="R2722" t="s">
        <v>164</v>
      </c>
      <c r="S2722" t="s">
        <v>97</v>
      </c>
      <c r="T2722">
        <v>29</v>
      </c>
      <c r="W2722">
        <v>13</v>
      </c>
      <c r="X2722">
        <v>25.6</v>
      </c>
      <c r="Z2722" t="s">
        <v>39</v>
      </c>
      <c r="AB2722" t="s">
        <v>59</v>
      </c>
      <c r="AC2722" t="s">
        <v>88</v>
      </c>
    </row>
    <row r="2723" spans="1:30" x14ac:dyDescent="0.25">
      <c r="A2723" s="4">
        <v>42586</v>
      </c>
      <c r="B2723" t="s">
        <v>30</v>
      </c>
      <c r="C2723">
        <v>304</v>
      </c>
      <c r="D2723">
        <v>9</v>
      </c>
      <c r="E2723">
        <v>1</v>
      </c>
      <c r="F2723" t="s">
        <v>320</v>
      </c>
      <c r="G2723" t="s">
        <v>32</v>
      </c>
      <c r="H2723" t="s">
        <v>33</v>
      </c>
      <c r="I2723" t="s">
        <v>91</v>
      </c>
      <c r="J2723" t="s">
        <v>42</v>
      </c>
      <c r="K2723" t="s">
        <v>36</v>
      </c>
      <c r="L2723" t="s">
        <v>37</v>
      </c>
      <c r="M2723">
        <v>0</v>
      </c>
      <c r="N2723">
        <v>1</v>
      </c>
      <c r="O2723" s="5" t="s">
        <v>433</v>
      </c>
      <c r="P2723" s="5"/>
      <c r="Q2723">
        <f>41-14</f>
        <v>27</v>
      </c>
      <c r="R2723" t="s">
        <v>164</v>
      </c>
      <c r="S2723" t="s">
        <v>39</v>
      </c>
      <c r="T2723">
        <v>28</v>
      </c>
      <c r="W2723">
        <v>13</v>
      </c>
      <c r="X2723">
        <v>26.7</v>
      </c>
      <c r="Z2723" t="s">
        <v>97</v>
      </c>
      <c r="AA2723" t="s">
        <v>434</v>
      </c>
      <c r="AB2723" t="s">
        <v>59</v>
      </c>
      <c r="AC2723" t="s">
        <v>88</v>
      </c>
    </row>
    <row r="2724" spans="1:30" x14ac:dyDescent="0.25">
      <c r="A2724" s="4">
        <v>42586</v>
      </c>
      <c r="B2724" t="s">
        <v>30</v>
      </c>
      <c r="C2724">
        <v>304</v>
      </c>
      <c r="D2724">
        <v>9</v>
      </c>
      <c r="E2724">
        <v>2</v>
      </c>
      <c r="F2724" t="s">
        <v>320</v>
      </c>
      <c r="G2724" t="s">
        <v>32</v>
      </c>
      <c r="H2724" t="s">
        <v>33</v>
      </c>
      <c r="I2724" t="s">
        <v>34</v>
      </c>
      <c r="J2724" t="s">
        <v>35</v>
      </c>
      <c r="K2724" t="s">
        <v>89</v>
      </c>
      <c r="L2724" t="s">
        <v>37</v>
      </c>
      <c r="M2724">
        <v>0</v>
      </c>
      <c r="N2724">
        <v>0</v>
      </c>
      <c r="O2724" s="5" t="s">
        <v>339</v>
      </c>
      <c r="P2724" s="5" t="s">
        <v>340</v>
      </c>
      <c r="Q2724">
        <f>29.5-17</f>
        <v>12.5</v>
      </c>
      <c r="R2724" t="s">
        <v>38</v>
      </c>
      <c r="S2724" t="s">
        <v>39</v>
      </c>
      <c r="T2724">
        <v>21</v>
      </c>
      <c r="U2724">
        <v>79</v>
      </c>
      <c r="V2724">
        <v>15</v>
      </c>
      <c r="W2724">
        <v>12.9</v>
      </c>
      <c r="X2724">
        <v>27.6</v>
      </c>
      <c r="Z2724" t="s">
        <v>39</v>
      </c>
      <c r="AB2724" t="s">
        <v>59</v>
      </c>
      <c r="AC2724" t="s">
        <v>88</v>
      </c>
    </row>
    <row r="2725" spans="1:30" x14ac:dyDescent="0.25">
      <c r="A2725" s="4">
        <v>42586</v>
      </c>
      <c r="B2725" t="s">
        <v>30</v>
      </c>
      <c r="C2725">
        <v>304</v>
      </c>
      <c r="D2725">
        <v>7</v>
      </c>
      <c r="E2725">
        <v>1</v>
      </c>
      <c r="F2725" t="s">
        <v>320</v>
      </c>
      <c r="G2725" t="s">
        <v>32</v>
      </c>
      <c r="H2725" t="s">
        <v>33</v>
      </c>
      <c r="I2725" t="s">
        <v>34</v>
      </c>
      <c r="J2725" t="s">
        <v>42</v>
      </c>
      <c r="K2725" t="s">
        <v>36</v>
      </c>
      <c r="L2725" t="s">
        <v>43</v>
      </c>
      <c r="M2725">
        <v>0</v>
      </c>
      <c r="N2725">
        <v>1</v>
      </c>
      <c r="O2725" s="5" t="s">
        <v>435</v>
      </c>
      <c r="P2725" s="5" t="s">
        <v>436</v>
      </c>
      <c r="Q2725">
        <f>35-14.5</f>
        <v>20.5</v>
      </c>
      <c r="R2725" t="s">
        <v>47</v>
      </c>
      <c r="Z2725" t="s">
        <v>97</v>
      </c>
      <c r="AA2725" t="s">
        <v>199</v>
      </c>
      <c r="AB2725" t="s">
        <v>59</v>
      </c>
      <c r="AC2725" t="s">
        <v>88</v>
      </c>
    </row>
    <row r="2726" spans="1:30" x14ac:dyDescent="0.25">
      <c r="A2726" s="4">
        <v>42586</v>
      </c>
      <c r="B2726" t="s">
        <v>30</v>
      </c>
      <c r="C2726">
        <v>304</v>
      </c>
      <c r="D2726">
        <v>5</v>
      </c>
      <c r="E2726">
        <v>1</v>
      </c>
      <c r="F2726" t="s">
        <v>320</v>
      </c>
      <c r="G2726" t="s">
        <v>32</v>
      </c>
      <c r="H2726" t="s">
        <v>33</v>
      </c>
      <c r="I2726" t="s">
        <v>34</v>
      </c>
      <c r="J2726" t="s">
        <v>35</v>
      </c>
      <c r="K2726" t="s">
        <v>89</v>
      </c>
      <c r="L2726" t="s">
        <v>37</v>
      </c>
      <c r="M2726">
        <v>0</v>
      </c>
      <c r="N2726">
        <v>0</v>
      </c>
      <c r="O2726" s="5" t="s">
        <v>317</v>
      </c>
      <c r="P2726" s="5" t="s">
        <v>318</v>
      </c>
      <c r="Q2726">
        <f>30-16</f>
        <v>14</v>
      </c>
      <c r="R2726" t="s">
        <v>38</v>
      </c>
      <c r="S2726" t="s">
        <v>39</v>
      </c>
      <c r="Z2726" t="s">
        <v>39</v>
      </c>
      <c r="AB2726" t="s">
        <v>59</v>
      </c>
      <c r="AC2726" t="s">
        <v>88</v>
      </c>
      <c r="AD2726" t="s">
        <v>437</v>
      </c>
    </row>
    <row r="2727" spans="1:30" x14ac:dyDescent="0.25">
      <c r="A2727" s="4">
        <v>42586</v>
      </c>
      <c r="B2727" t="s">
        <v>30</v>
      </c>
      <c r="C2727">
        <v>304</v>
      </c>
      <c r="D2727">
        <v>5</v>
      </c>
      <c r="E2727">
        <v>2</v>
      </c>
      <c r="F2727" t="s">
        <v>320</v>
      </c>
      <c r="G2727" t="s">
        <v>32</v>
      </c>
      <c r="H2727" t="s">
        <v>33</v>
      </c>
      <c r="I2727" t="s">
        <v>91</v>
      </c>
      <c r="J2727" t="s">
        <v>42</v>
      </c>
      <c r="K2727" t="s">
        <v>114</v>
      </c>
      <c r="L2727" t="s">
        <v>43</v>
      </c>
      <c r="M2727">
        <v>0</v>
      </c>
      <c r="N2727">
        <v>0</v>
      </c>
      <c r="O2727" s="5" t="s">
        <v>438</v>
      </c>
      <c r="P2727" s="5"/>
      <c r="Q2727">
        <f>31-16</f>
        <v>15</v>
      </c>
      <c r="R2727" t="s">
        <v>47</v>
      </c>
      <c r="Z2727" t="s">
        <v>97</v>
      </c>
      <c r="AA2727" t="s">
        <v>199</v>
      </c>
      <c r="AB2727" t="s">
        <v>59</v>
      </c>
      <c r="AC2727" t="s">
        <v>88</v>
      </c>
      <c r="AD2727" t="s">
        <v>437</v>
      </c>
    </row>
    <row r="2728" spans="1:30" x14ac:dyDescent="0.25">
      <c r="A2728" s="4">
        <v>42586</v>
      </c>
      <c r="B2728" t="s">
        <v>30</v>
      </c>
      <c r="C2728">
        <v>304</v>
      </c>
      <c r="D2728">
        <v>3</v>
      </c>
      <c r="E2728">
        <v>1</v>
      </c>
      <c r="F2728" t="s">
        <v>320</v>
      </c>
      <c r="G2728" t="s">
        <v>32</v>
      </c>
      <c r="H2728" t="s">
        <v>33</v>
      </c>
      <c r="I2728" t="s">
        <v>34</v>
      </c>
      <c r="J2728" t="s">
        <v>35</v>
      </c>
      <c r="K2728" t="s">
        <v>89</v>
      </c>
      <c r="L2728" t="s">
        <v>37</v>
      </c>
      <c r="M2728">
        <v>0</v>
      </c>
      <c r="N2728">
        <v>0</v>
      </c>
      <c r="O2728" s="5" t="s">
        <v>343</v>
      </c>
      <c r="P2728" s="5" t="s">
        <v>344</v>
      </c>
      <c r="Q2728">
        <f>33-17.5</f>
        <v>15.5</v>
      </c>
      <c r="R2728" t="s">
        <v>38</v>
      </c>
      <c r="S2728" t="s">
        <v>39</v>
      </c>
      <c r="T2728">
        <v>19.5</v>
      </c>
      <c r="U2728">
        <v>78</v>
      </c>
      <c r="Z2728" t="s">
        <v>97</v>
      </c>
      <c r="AA2728" t="s">
        <v>199</v>
      </c>
      <c r="AB2728" t="s">
        <v>59</v>
      </c>
      <c r="AC2728" t="s">
        <v>88</v>
      </c>
      <c r="AD2728" t="s">
        <v>437</v>
      </c>
    </row>
    <row r="2729" spans="1:30" x14ac:dyDescent="0.25">
      <c r="A2729" s="4">
        <v>42586</v>
      </c>
      <c r="B2729" t="s">
        <v>30</v>
      </c>
      <c r="C2729">
        <v>304</v>
      </c>
      <c r="D2729">
        <v>1</v>
      </c>
      <c r="E2729">
        <v>1</v>
      </c>
      <c r="F2729" t="s">
        <v>320</v>
      </c>
      <c r="G2729" t="s">
        <v>32</v>
      </c>
      <c r="H2729" t="s">
        <v>33</v>
      </c>
      <c r="I2729" t="s">
        <v>34</v>
      </c>
      <c r="J2729" t="s">
        <v>35</v>
      </c>
      <c r="K2729" t="s">
        <v>89</v>
      </c>
      <c r="L2729" t="s">
        <v>43</v>
      </c>
      <c r="M2729">
        <v>0</v>
      </c>
      <c r="N2729">
        <v>0</v>
      </c>
      <c r="O2729" s="5" t="s">
        <v>439</v>
      </c>
      <c r="P2729" s="5" t="s">
        <v>440</v>
      </c>
      <c r="Q2729">
        <f>33.5-18</f>
        <v>15.5</v>
      </c>
      <c r="R2729" t="s">
        <v>65</v>
      </c>
      <c r="Z2729" t="s">
        <v>97</v>
      </c>
      <c r="AA2729" t="s">
        <v>199</v>
      </c>
      <c r="AB2729" t="s">
        <v>59</v>
      </c>
      <c r="AC2729" t="s">
        <v>88</v>
      </c>
      <c r="AD2729" t="s">
        <v>437</v>
      </c>
    </row>
    <row r="2730" spans="1:30" x14ac:dyDescent="0.25">
      <c r="A2730" s="4">
        <v>42586</v>
      </c>
      <c r="B2730" t="s">
        <v>30</v>
      </c>
      <c r="C2730">
        <v>304</v>
      </c>
      <c r="D2730">
        <v>1</v>
      </c>
      <c r="E2730">
        <v>2</v>
      </c>
      <c r="F2730" t="s">
        <v>320</v>
      </c>
      <c r="G2730" t="s">
        <v>32</v>
      </c>
      <c r="H2730" t="s">
        <v>33</v>
      </c>
      <c r="I2730" t="s">
        <v>57</v>
      </c>
      <c r="O2730" s="5"/>
      <c r="P2730" s="5"/>
    </row>
    <row r="2731" spans="1:30" x14ac:dyDescent="0.25">
      <c r="A2731" s="4">
        <v>42587</v>
      </c>
      <c r="B2731" t="s">
        <v>30</v>
      </c>
      <c r="C2731">
        <v>111</v>
      </c>
      <c r="D2731">
        <v>2</v>
      </c>
      <c r="E2731">
        <v>1</v>
      </c>
      <c r="F2731" t="s">
        <v>320</v>
      </c>
      <c r="G2731" t="s">
        <v>32</v>
      </c>
      <c r="H2731" t="s">
        <v>33</v>
      </c>
      <c r="I2731" t="s">
        <v>34</v>
      </c>
      <c r="J2731" t="s">
        <v>35</v>
      </c>
      <c r="K2731" t="s">
        <v>114</v>
      </c>
      <c r="L2731" t="s">
        <v>43</v>
      </c>
      <c r="M2731">
        <v>0</v>
      </c>
      <c r="N2731">
        <v>0</v>
      </c>
      <c r="O2731" s="5" t="s">
        <v>377</v>
      </c>
      <c r="P2731" s="5" t="s">
        <v>378</v>
      </c>
      <c r="Q2731">
        <f>37-18</f>
        <v>19</v>
      </c>
      <c r="R2731" t="s">
        <v>47</v>
      </c>
      <c r="T2731">
        <v>18.5</v>
      </c>
      <c r="U2731">
        <v>95</v>
      </c>
      <c r="V2731">
        <v>14</v>
      </c>
      <c r="W2731">
        <v>13</v>
      </c>
      <c r="X2731">
        <v>26.7</v>
      </c>
      <c r="Z2731" t="s">
        <v>39</v>
      </c>
      <c r="AB2731" t="s">
        <v>59</v>
      </c>
      <c r="AC2731" t="s">
        <v>137</v>
      </c>
      <c r="AD2731" t="s">
        <v>441</v>
      </c>
    </row>
    <row r="2732" spans="1:30" x14ac:dyDescent="0.25">
      <c r="A2732" s="4">
        <v>42587</v>
      </c>
      <c r="B2732" t="s">
        <v>30</v>
      </c>
      <c r="C2732">
        <v>111</v>
      </c>
      <c r="D2732">
        <v>2</v>
      </c>
      <c r="E2732">
        <v>2</v>
      </c>
      <c r="F2732" t="s">
        <v>320</v>
      </c>
      <c r="G2732" t="s">
        <v>32</v>
      </c>
      <c r="H2732" t="s">
        <v>33</v>
      </c>
      <c r="I2732" t="s">
        <v>34</v>
      </c>
      <c r="J2732" t="s">
        <v>35</v>
      </c>
      <c r="K2732" t="s">
        <v>114</v>
      </c>
      <c r="L2732" t="s">
        <v>43</v>
      </c>
      <c r="M2732">
        <v>0</v>
      </c>
      <c r="N2732">
        <v>0</v>
      </c>
      <c r="O2732" s="5" t="s">
        <v>380</v>
      </c>
      <c r="P2732" s="5" t="s">
        <v>381</v>
      </c>
      <c r="Q2732">
        <f>34-16.5</f>
        <v>17.5</v>
      </c>
      <c r="R2732" t="s">
        <v>47</v>
      </c>
      <c r="T2732">
        <v>19</v>
      </c>
      <c r="U2732">
        <v>90</v>
      </c>
      <c r="V2732">
        <v>16</v>
      </c>
      <c r="W2732">
        <v>13</v>
      </c>
      <c r="X2732">
        <v>27.6</v>
      </c>
      <c r="Z2732" t="s">
        <v>97</v>
      </c>
      <c r="AA2732" t="s">
        <v>199</v>
      </c>
      <c r="AB2732" t="s">
        <v>59</v>
      </c>
      <c r="AC2732" t="s">
        <v>137</v>
      </c>
    </row>
    <row r="2733" spans="1:30" x14ac:dyDescent="0.25">
      <c r="A2733" s="4">
        <v>42587</v>
      </c>
      <c r="B2733" t="s">
        <v>30</v>
      </c>
      <c r="C2733">
        <v>111</v>
      </c>
      <c r="D2733">
        <v>3</v>
      </c>
      <c r="E2733">
        <v>1</v>
      </c>
      <c r="F2733" t="s">
        <v>320</v>
      </c>
      <c r="G2733" t="s">
        <v>32</v>
      </c>
      <c r="H2733" t="s">
        <v>33</v>
      </c>
      <c r="I2733" t="s">
        <v>57</v>
      </c>
      <c r="O2733" s="5"/>
      <c r="P2733" s="5"/>
    </row>
    <row r="2734" spans="1:30" x14ac:dyDescent="0.25">
      <c r="A2734" s="4">
        <v>42587</v>
      </c>
      <c r="B2734" t="s">
        <v>30</v>
      </c>
      <c r="C2734">
        <v>111</v>
      </c>
      <c r="D2734">
        <v>5</v>
      </c>
      <c r="E2734">
        <v>1</v>
      </c>
      <c r="F2734" t="s">
        <v>320</v>
      </c>
      <c r="G2734" t="s">
        <v>32</v>
      </c>
      <c r="H2734" t="s">
        <v>33</v>
      </c>
      <c r="I2734" t="s">
        <v>57</v>
      </c>
      <c r="O2734" s="5"/>
      <c r="P2734" s="5"/>
    </row>
    <row r="2735" spans="1:30" x14ac:dyDescent="0.25">
      <c r="A2735" s="4">
        <v>42587</v>
      </c>
      <c r="B2735" t="s">
        <v>30</v>
      </c>
      <c r="C2735">
        <v>111</v>
      </c>
      <c r="D2735">
        <v>6</v>
      </c>
      <c r="E2735">
        <v>1</v>
      </c>
      <c r="F2735" t="s">
        <v>320</v>
      </c>
      <c r="G2735" t="s">
        <v>32</v>
      </c>
      <c r="H2735" t="s">
        <v>33</v>
      </c>
      <c r="I2735" t="s">
        <v>34</v>
      </c>
      <c r="J2735" t="s">
        <v>35</v>
      </c>
      <c r="K2735" t="s">
        <v>89</v>
      </c>
      <c r="L2735" t="s">
        <v>43</v>
      </c>
      <c r="M2735">
        <v>0</v>
      </c>
      <c r="N2735">
        <v>0</v>
      </c>
      <c r="O2735" s="5" t="s">
        <v>442</v>
      </c>
      <c r="P2735" s="5" t="s">
        <v>443</v>
      </c>
      <c r="Q2735">
        <f>26.5-12.5</f>
        <v>14</v>
      </c>
      <c r="R2735" t="s">
        <v>65</v>
      </c>
      <c r="Z2735" t="s">
        <v>97</v>
      </c>
      <c r="AA2735" t="s">
        <v>199</v>
      </c>
      <c r="AB2735" t="s">
        <v>59</v>
      </c>
      <c r="AC2735" t="s">
        <v>137</v>
      </c>
    </row>
    <row r="2736" spans="1:30" x14ac:dyDescent="0.25">
      <c r="A2736" s="4">
        <v>42587</v>
      </c>
      <c r="B2736" t="s">
        <v>30</v>
      </c>
      <c r="C2736">
        <v>111</v>
      </c>
      <c r="D2736">
        <v>7</v>
      </c>
      <c r="E2736">
        <v>1</v>
      </c>
      <c r="F2736" t="s">
        <v>320</v>
      </c>
      <c r="G2736" t="s">
        <v>32</v>
      </c>
      <c r="H2736" t="s">
        <v>33</v>
      </c>
      <c r="I2736" t="s">
        <v>34</v>
      </c>
      <c r="J2736" t="s">
        <v>42</v>
      </c>
      <c r="K2736" t="s">
        <v>36</v>
      </c>
      <c r="L2736" t="s">
        <v>37</v>
      </c>
      <c r="M2736">
        <v>0</v>
      </c>
      <c r="N2736">
        <v>1</v>
      </c>
      <c r="O2736" s="5" t="s">
        <v>444</v>
      </c>
      <c r="P2736" s="5" t="s">
        <v>445</v>
      </c>
      <c r="Q2736">
        <f>39.5-11.5</f>
        <v>28</v>
      </c>
      <c r="R2736" t="s">
        <v>143</v>
      </c>
      <c r="S2736" t="s">
        <v>97</v>
      </c>
      <c r="T2736">
        <v>18</v>
      </c>
      <c r="U2736">
        <v>90</v>
      </c>
      <c r="V2736">
        <v>16</v>
      </c>
      <c r="W2736">
        <v>12.9</v>
      </c>
      <c r="X2736">
        <v>28.5</v>
      </c>
      <c r="Z2736" t="s">
        <v>39</v>
      </c>
      <c r="AB2736" t="s">
        <v>59</v>
      </c>
      <c r="AC2736" t="s">
        <v>137</v>
      </c>
    </row>
    <row r="2737" spans="1:29" x14ac:dyDescent="0.25">
      <c r="A2737" s="4">
        <v>42587</v>
      </c>
      <c r="B2737" t="s">
        <v>30</v>
      </c>
      <c r="C2737">
        <v>111</v>
      </c>
      <c r="D2737">
        <v>7</v>
      </c>
      <c r="E2737">
        <v>2</v>
      </c>
      <c r="F2737" t="s">
        <v>320</v>
      </c>
      <c r="G2737" t="s">
        <v>32</v>
      </c>
      <c r="H2737" t="s">
        <v>33</v>
      </c>
      <c r="I2737" t="s">
        <v>91</v>
      </c>
      <c r="J2737" t="s">
        <v>42</v>
      </c>
      <c r="K2737" t="s">
        <v>36</v>
      </c>
      <c r="L2737" t="s">
        <v>37</v>
      </c>
      <c r="M2737">
        <v>0</v>
      </c>
      <c r="N2737">
        <v>1</v>
      </c>
      <c r="O2737" s="5" t="s">
        <v>446</v>
      </c>
      <c r="P2737" s="5"/>
      <c r="Q2737">
        <f>33-18</f>
        <v>15</v>
      </c>
      <c r="R2737" t="s">
        <v>63</v>
      </c>
      <c r="S2737" t="s">
        <v>39</v>
      </c>
      <c r="T2737">
        <v>29</v>
      </c>
      <c r="W2737">
        <v>12.9</v>
      </c>
      <c r="X2737">
        <v>25.9</v>
      </c>
      <c r="Z2737" t="s">
        <v>39</v>
      </c>
      <c r="AB2737" t="s">
        <v>59</v>
      </c>
      <c r="AC2737" t="s">
        <v>137</v>
      </c>
    </row>
    <row r="2738" spans="1:29" x14ac:dyDescent="0.25">
      <c r="A2738" s="4">
        <v>42587</v>
      </c>
      <c r="B2738" t="s">
        <v>30</v>
      </c>
      <c r="C2738">
        <v>111</v>
      </c>
      <c r="D2738">
        <v>8</v>
      </c>
      <c r="E2738">
        <v>1</v>
      </c>
      <c r="F2738" t="s">
        <v>320</v>
      </c>
      <c r="G2738" t="s">
        <v>32</v>
      </c>
      <c r="H2738" t="s">
        <v>33</v>
      </c>
      <c r="I2738" t="s">
        <v>34</v>
      </c>
      <c r="J2738" t="s">
        <v>35</v>
      </c>
      <c r="K2738" t="s">
        <v>36</v>
      </c>
      <c r="L2738" t="s">
        <v>43</v>
      </c>
      <c r="M2738">
        <v>0</v>
      </c>
      <c r="N2738">
        <v>0</v>
      </c>
      <c r="O2738" s="5" t="s">
        <v>382</v>
      </c>
      <c r="P2738" s="5" t="s">
        <v>383</v>
      </c>
      <c r="Q2738">
        <f>37-16.5</f>
        <v>20.5</v>
      </c>
      <c r="R2738" t="s">
        <v>47</v>
      </c>
      <c r="T2738">
        <v>21</v>
      </c>
      <c r="U2738">
        <v>93</v>
      </c>
      <c r="V2738">
        <v>17</v>
      </c>
      <c r="W2738">
        <v>13</v>
      </c>
      <c r="X2738">
        <v>27.6</v>
      </c>
      <c r="Z2738" t="s">
        <v>39</v>
      </c>
      <c r="AB2738" t="s">
        <v>59</v>
      </c>
      <c r="AC2738" t="s">
        <v>137</v>
      </c>
    </row>
    <row r="2739" spans="1:29" x14ac:dyDescent="0.25">
      <c r="A2739" s="4">
        <v>42587</v>
      </c>
      <c r="B2739" t="s">
        <v>30</v>
      </c>
      <c r="C2739">
        <v>111</v>
      </c>
      <c r="D2739">
        <v>9</v>
      </c>
      <c r="E2739">
        <v>1</v>
      </c>
      <c r="F2739" t="s">
        <v>320</v>
      </c>
      <c r="G2739" t="s">
        <v>32</v>
      </c>
      <c r="H2739" t="s">
        <v>33</v>
      </c>
      <c r="I2739" t="s">
        <v>57</v>
      </c>
      <c r="O2739" s="5"/>
      <c r="P2739" s="5"/>
    </row>
    <row r="2740" spans="1:29" x14ac:dyDescent="0.25">
      <c r="A2740" s="4">
        <v>42587</v>
      </c>
      <c r="B2740" t="s">
        <v>30</v>
      </c>
      <c r="C2740">
        <v>111</v>
      </c>
      <c r="D2740">
        <v>10</v>
      </c>
      <c r="E2740">
        <v>1</v>
      </c>
      <c r="F2740" t="s">
        <v>320</v>
      </c>
      <c r="G2740" t="s">
        <v>32</v>
      </c>
      <c r="H2740" t="s">
        <v>33</v>
      </c>
      <c r="I2740" t="s">
        <v>34</v>
      </c>
      <c r="J2740" t="s">
        <v>42</v>
      </c>
      <c r="K2740" t="s">
        <v>114</v>
      </c>
      <c r="L2740" t="s">
        <v>43</v>
      </c>
      <c r="M2740">
        <v>0</v>
      </c>
      <c r="N2740">
        <v>1</v>
      </c>
      <c r="O2740" s="5" t="s">
        <v>447</v>
      </c>
      <c r="P2740" s="5" t="s">
        <v>448</v>
      </c>
      <c r="R2740" t="s">
        <v>65</v>
      </c>
      <c r="T2740">
        <v>20.5</v>
      </c>
      <c r="U2740">
        <v>95</v>
      </c>
      <c r="V2740">
        <v>15</v>
      </c>
      <c r="W2740">
        <v>13</v>
      </c>
      <c r="X2740">
        <v>28</v>
      </c>
      <c r="Z2740" t="s">
        <v>39</v>
      </c>
      <c r="AB2740" t="s">
        <v>449</v>
      </c>
      <c r="AC2740" t="s">
        <v>137</v>
      </c>
    </row>
    <row r="2741" spans="1:29" x14ac:dyDescent="0.25">
      <c r="A2741" s="4">
        <v>42587</v>
      </c>
      <c r="B2741" t="s">
        <v>30</v>
      </c>
      <c r="C2741">
        <v>111</v>
      </c>
      <c r="D2741">
        <v>10</v>
      </c>
      <c r="E2741">
        <v>2</v>
      </c>
      <c r="F2741" t="s">
        <v>320</v>
      </c>
      <c r="G2741" t="s">
        <v>32</v>
      </c>
      <c r="H2741" t="s">
        <v>33</v>
      </c>
      <c r="I2741" t="s">
        <v>34</v>
      </c>
      <c r="J2741" t="s">
        <v>42</v>
      </c>
      <c r="K2741" t="s">
        <v>89</v>
      </c>
      <c r="L2741" t="s">
        <v>43</v>
      </c>
      <c r="M2741">
        <v>0</v>
      </c>
      <c r="N2741">
        <v>1</v>
      </c>
      <c r="O2741" s="5" t="s">
        <v>450</v>
      </c>
      <c r="P2741" s="5" t="s">
        <v>451</v>
      </c>
      <c r="Q2741">
        <f>33-18</f>
        <v>15</v>
      </c>
      <c r="R2741" t="s">
        <v>65</v>
      </c>
      <c r="T2741">
        <v>19</v>
      </c>
      <c r="U2741">
        <v>88</v>
      </c>
      <c r="V2741">
        <v>15</v>
      </c>
      <c r="W2741">
        <v>12.9</v>
      </c>
      <c r="X2741">
        <v>26.6</v>
      </c>
      <c r="Y2741" t="s">
        <v>452</v>
      </c>
      <c r="Z2741" t="s">
        <v>39</v>
      </c>
      <c r="AB2741" t="s">
        <v>449</v>
      </c>
      <c r="AC2741" t="s">
        <v>137</v>
      </c>
    </row>
    <row r="2742" spans="1:29" x14ac:dyDescent="0.25">
      <c r="A2742" s="4">
        <v>42587</v>
      </c>
      <c r="B2742" t="s">
        <v>30</v>
      </c>
      <c r="C2742">
        <v>112</v>
      </c>
      <c r="D2742">
        <v>1</v>
      </c>
      <c r="E2742">
        <v>1</v>
      </c>
      <c r="F2742" t="s">
        <v>320</v>
      </c>
      <c r="G2742" t="s">
        <v>32</v>
      </c>
      <c r="H2742" t="s">
        <v>33</v>
      </c>
      <c r="I2742" t="s">
        <v>91</v>
      </c>
      <c r="J2742" t="s">
        <v>42</v>
      </c>
      <c r="K2742" t="s">
        <v>36</v>
      </c>
      <c r="L2742" t="s">
        <v>43</v>
      </c>
      <c r="M2742">
        <v>0</v>
      </c>
      <c r="N2742">
        <v>1</v>
      </c>
      <c r="O2742" s="5" t="s">
        <v>453</v>
      </c>
      <c r="P2742" s="5"/>
      <c r="Q2742">
        <f>32.5-13</f>
        <v>19.5</v>
      </c>
      <c r="R2742" t="s">
        <v>47</v>
      </c>
      <c r="T2742">
        <v>29</v>
      </c>
      <c r="W2742">
        <v>12.8</v>
      </c>
      <c r="X2742">
        <v>26.9</v>
      </c>
      <c r="Z2742" t="s">
        <v>97</v>
      </c>
      <c r="AA2742" t="s">
        <v>199</v>
      </c>
      <c r="AB2742" t="s">
        <v>449</v>
      </c>
      <c r="AC2742" t="s">
        <v>137</v>
      </c>
    </row>
    <row r="2743" spans="1:29" x14ac:dyDescent="0.25">
      <c r="A2743" s="4">
        <v>42587</v>
      </c>
      <c r="B2743" t="s">
        <v>30</v>
      </c>
      <c r="C2743">
        <v>112</v>
      </c>
      <c r="D2743">
        <v>1</v>
      </c>
      <c r="E2743">
        <v>2</v>
      </c>
      <c r="F2743" t="s">
        <v>320</v>
      </c>
      <c r="G2743" t="s">
        <v>32</v>
      </c>
      <c r="H2743" t="s">
        <v>33</v>
      </c>
      <c r="I2743" t="s">
        <v>57</v>
      </c>
      <c r="O2743" s="5"/>
      <c r="P2743" s="5"/>
    </row>
    <row r="2744" spans="1:29" x14ac:dyDescent="0.25">
      <c r="A2744" s="4">
        <v>42587</v>
      </c>
      <c r="B2744" t="s">
        <v>30</v>
      </c>
      <c r="C2744">
        <v>112</v>
      </c>
      <c r="D2744">
        <v>2</v>
      </c>
      <c r="E2744">
        <v>1</v>
      </c>
      <c r="F2744" t="s">
        <v>320</v>
      </c>
      <c r="G2744" t="s">
        <v>32</v>
      </c>
      <c r="H2744" t="s">
        <v>33</v>
      </c>
      <c r="I2744" t="s">
        <v>34</v>
      </c>
      <c r="J2744" t="s">
        <v>35</v>
      </c>
      <c r="K2744" t="s">
        <v>36</v>
      </c>
      <c r="L2744" t="s">
        <v>43</v>
      </c>
      <c r="M2744">
        <v>0</v>
      </c>
      <c r="N2744">
        <v>0</v>
      </c>
      <c r="O2744" s="5" t="s">
        <v>454</v>
      </c>
      <c r="P2744" s="5" t="s">
        <v>455</v>
      </c>
      <c r="Q2744">
        <f>33-13</f>
        <v>20</v>
      </c>
      <c r="R2744" t="s">
        <v>47</v>
      </c>
      <c r="T2744">
        <v>19</v>
      </c>
      <c r="U2744">
        <v>93</v>
      </c>
      <c r="V2744">
        <v>15.5</v>
      </c>
      <c r="W2744">
        <v>13</v>
      </c>
      <c r="X2744">
        <v>27.5</v>
      </c>
      <c r="Z2744" t="s">
        <v>97</v>
      </c>
      <c r="AA2744" t="s">
        <v>199</v>
      </c>
      <c r="AB2744" t="s">
        <v>59</v>
      </c>
      <c r="AC2744" t="s">
        <v>137</v>
      </c>
    </row>
    <row r="2745" spans="1:29" x14ac:dyDescent="0.25">
      <c r="A2745" s="4">
        <v>42587</v>
      </c>
      <c r="B2745" t="s">
        <v>30</v>
      </c>
      <c r="C2745">
        <v>112</v>
      </c>
      <c r="D2745">
        <v>2</v>
      </c>
      <c r="E2745">
        <v>2</v>
      </c>
      <c r="F2745" t="s">
        <v>320</v>
      </c>
      <c r="G2745" t="s">
        <v>32</v>
      </c>
      <c r="H2745" t="s">
        <v>33</v>
      </c>
      <c r="I2745" t="s">
        <v>34</v>
      </c>
      <c r="J2745" t="s">
        <v>35</v>
      </c>
      <c r="K2745" t="s">
        <v>114</v>
      </c>
      <c r="L2745" t="s">
        <v>37</v>
      </c>
      <c r="M2745">
        <v>0</v>
      </c>
      <c r="N2745">
        <v>0</v>
      </c>
      <c r="O2745" s="5" t="s">
        <v>390</v>
      </c>
      <c r="P2745" s="5" t="s">
        <v>391</v>
      </c>
      <c r="Q2745">
        <f>32.5-11.5</f>
        <v>21</v>
      </c>
      <c r="R2745" t="s">
        <v>63</v>
      </c>
      <c r="S2745" t="s">
        <v>39</v>
      </c>
      <c r="T2745">
        <v>18</v>
      </c>
      <c r="U2745">
        <v>87</v>
      </c>
      <c r="V2745">
        <v>16</v>
      </c>
      <c r="W2745">
        <v>13</v>
      </c>
      <c r="X2745">
        <v>26.8</v>
      </c>
      <c r="Z2745" t="s">
        <v>39</v>
      </c>
      <c r="AB2745" t="s">
        <v>59</v>
      </c>
      <c r="AC2745" t="s">
        <v>137</v>
      </c>
    </row>
    <row r="2746" spans="1:29" x14ac:dyDescent="0.25">
      <c r="A2746" s="4">
        <v>42587</v>
      </c>
      <c r="B2746" t="s">
        <v>30</v>
      </c>
      <c r="C2746">
        <v>112</v>
      </c>
      <c r="D2746">
        <v>3</v>
      </c>
      <c r="E2746">
        <v>1</v>
      </c>
      <c r="F2746" t="s">
        <v>320</v>
      </c>
      <c r="G2746" t="s">
        <v>32</v>
      </c>
      <c r="H2746" t="s">
        <v>33</v>
      </c>
      <c r="I2746" t="s">
        <v>91</v>
      </c>
      <c r="J2746" t="s">
        <v>35</v>
      </c>
      <c r="K2746" t="s">
        <v>36</v>
      </c>
      <c r="L2746" t="s">
        <v>43</v>
      </c>
      <c r="M2746">
        <v>0</v>
      </c>
      <c r="N2746">
        <v>0</v>
      </c>
      <c r="O2746" s="5" t="s">
        <v>322</v>
      </c>
      <c r="P2746" s="5"/>
      <c r="Q2746">
        <f>34-15</f>
        <v>19</v>
      </c>
      <c r="R2746" t="s">
        <v>47</v>
      </c>
      <c r="T2746">
        <v>30</v>
      </c>
      <c r="W2746">
        <v>13</v>
      </c>
      <c r="X2746">
        <v>25.4</v>
      </c>
      <c r="Z2746" t="s">
        <v>97</v>
      </c>
      <c r="AA2746" t="s">
        <v>199</v>
      </c>
      <c r="AB2746" t="s">
        <v>59</v>
      </c>
      <c r="AC2746" t="s">
        <v>137</v>
      </c>
    </row>
    <row r="2747" spans="1:29" x14ac:dyDescent="0.25">
      <c r="A2747" s="4">
        <v>42587</v>
      </c>
      <c r="B2747" t="s">
        <v>30</v>
      </c>
      <c r="C2747">
        <v>112</v>
      </c>
      <c r="D2747">
        <v>3</v>
      </c>
      <c r="E2747">
        <v>2</v>
      </c>
      <c r="F2747" t="s">
        <v>320</v>
      </c>
      <c r="G2747" t="s">
        <v>32</v>
      </c>
      <c r="H2747" t="s">
        <v>33</v>
      </c>
      <c r="I2747" t="s">
        <v>57</v>
      </c>
      <c r="O2747" s="5"/>
      <c r="P2747" s="5"/>
    </row>
    <row r="2748" spans="1:29" x14ac:dyDescent="0.25">
      <c r="A2748" s="4">
        <v>42587</v>
      </c>
      <c r="B2748" t="s">
        <v>30</v>
      </c>
      <c r="C2748">
        <v>112</v>
      </c>
      <c r="D2748">
        <v>4</v>
      </c>
      <c r="E2748">
        <v>1</v>
      </c>
      <c r="F2748" t="s">
        <v>320</v>
      </c>
      <c r="G2748" t="s">
        <v>32</v>
      </c>
      <c r="H2748" t="s">
        <v>33</v>
      </c>
      <c r="I2748" t="s">
        <v>91</v>
      </c>
      <c r="J2748" t="s">
        <v>35</v>
      </c>
      <c r="K2748" t="s">
        <v>114</v>
      </c>
      <c r="L2748" t="s">
        <v>43</v>
      </c>
      <c r="M2748">
        <v>0</v>
      </c>
      <c r="N2748">
        <v>0</v>
      </c>
      <c r="O2748" s="5" t="s">
        <v>389</v>
      </c>
      <c r="P2748" s="5"/>
      <c r="Q2748">
        <f>31-15</f>
        <v>16</v>
      </c>
      <c r="R2748" t="s">
        <v>47</v>
      </c>
      <c r="T2748">
        <v>30</v>
      </c>
      <c r="W2748">
        <v>12.9</v>
      </c>
      <c r="X2748">
        <v>26.7</v>
      </c>
      <c r="Z2748" t="s">
        <v>97</v>
      </c>
      <c r="AA2748" t="s">
        <v>199</v>
      </c>
      <c r="AB2748" t="s">
        <v>59</v>
      </c>
      <c r="AC2748" t="s">
        <v>137</v>
      </c>
    </row>
    <row r="2749" spans="1:29" x14ac:dyDescent="0.25">
      <c r="A2749" s="4">
        <v>42587</v>
      </c>
      <c r="B2749" t="s">
        <v>30</v>
      </c>
      <c r="C2749">
        <v>112</v>
      </c>
      <c r="D2749">
        <v>4</v>
      </c>
      <c r="E2749">
        <v>2</v>
      </c>
      <c r="F2749" t="s">
        <v>320</v>
      </c>
      <c r="G2749" t="s">
        <v>32</v>
      </c>
      <c r="H2749" t="s">
        <v>33</v>
      </c>
      <c r="I2749" t="s">
        <v>34</v>
      </c>
      <c r="J2749" t="s">
        <v>35</v>
      </c>
      <c r="K2749" t="s">
        <v>36</v>
      </c>
      <c r="L2749" t="s">
        <v>43</v>
      </c>
      <c r="M2749">
        <v>0</v>
      </c>
      <c r="N2749">
        <v>0</v>
      </c>
      <c r="O2749" s="5" t="s">
        <v>456</v>
      </c>
      <c r="P2749" s="5" t="s">
        <v>457</v>
      </c>
      <c r="Q2749">
        <f>37.5-17</f>
        <v>20.5</v>
      </c>
      <c r="R2749" t="s">
        <v>47</v>
      </c>
      <c r="T2749">
        <v>19</v>
      </c>
      <c r="U2749">
        <v>79</v>
      </c>
      <c r="V2749">
        <v>16</v>
      </c>
      <c r="W2749">
        <v>13</v>
      </c>
      <c r="X2749">
        <v>27.2</v>
      </c>
      <c r="Z2749" t="s">
        <v>97</v>
      </c>
      <c r="AA2749" t="s">
        <v>199</v>
      </c>
      <c r="AB2749" t="s">
        <v>59</v>
      </c>
      <c r="AC2749" t="s">
        <v>137</v>
      </c>
    </row>
    <row r="2750" spans="1:29" x14ac:dyDescent="0.25">
      <c r="A2750" s="4">
        <v>42587</v>
      </c>
      <c r="B2750" t="s">
        <v>30</v>
      </c>
      <c r="C2750">
        <v>112</v>
      </c>
      <c r="D2750">
        <v>5</v>
      </c>
      <c r="E2750">
        <v>1</v>
      </c>
      <c r="F2750" t="s">
        <v>320</v>
      </c>
      <c r="G2750" t="s">
        <v>32</v>
      </c>
      <c r="H2750" t="s">
        <v>33</v>
      </c>
      <c r="I2750" t="s">
        <v>57</v>
      </c>
      <c r="O2750" s="5"/>
      <c r="P2750" s="5"/>
    </row>
    <row r="2751" spans="1:29" x14ac:dyDescent="0.25">
      <c r="A2751" s="4">
        <v>42587</v>
      </c>
      <c r="B2751" t="s">
        <v>30</v>
      </c>
      <c r="C2751">
        <v>112</v>
      </c>
      <c r="D2751">
        <v>5</v>
      </c>
      <c r="E2751">
        <v>2</v>
      </c>
      <c r="F2751" t="s">
        <v>320</v>
      </c>
      <c r="G2751" t="s">
        <v>32</v>
      </c>
      <c r="H2751" t="s">
        <v>33</v>
      </c>
      <c r="I2751" t="s">
        <v>91</v>
      </c>
      <c r="J2751" t="s">
        <v>35</v>
      </c>
      <c r="K2751" t="s">
        <v>36</v>
      </c>
      <c r="L2751" t="s">
        <v>43</v>
      </c>
      <c r="M2751">
        <v>0</v>
      </c>
      <c r="N2751">
        <v>0</v>
      </c>
      <c r="O2751" s="5" t="s">
        <v>396</v>
      </c>
      <c r="P2751" s="5"/>
      <c r="Q2751">
        <f>32-13</f>
        <v>19</v>
      </c>
      <c r="R2751" t="s">
        <v>47</v>
      </c>
      <c r="T2751">
        <v>30</v>
      </c>
      <c r="W2751">
        <v>13</v>
      </c>
      <c r="X2751">
        <v>25.8</v>
      </c>
      <c r="Z2751" t="s">
        <v>97</v>
      </c>
      <c r="AA2751" t="s">
        <v>199</v>
      </c>
      <c r="AB2751" t="s">
        <v>59</v>
      </c>
      <c r="AC2751" t="s">
        <v>137</v>
      </c>
    </row>
    <row r="2752" spans="1:29" x14ac:dyDescent="0.25">
      <c r="A2752" s="4">
        <v>42587</v>
      </c>
      <c r="B2752" t="s">
        <v>30</v>
      </c>
      <c r="C2752">
        <v>112</v>
      </c>
      <c r="D2752">
        <v>6</v>
      </c>
      <c r="E2752">
        <v>1</v>
      </c>
      <c r="F2752" t="s">
        <v>320</v>
      </c>
      <c r="G2752" t="s">
        <v>32</v>
      </c>
      <c r="H2752" t="s">
        <v>33</v>
      </c>
      <c r="I2752" t="s">
        <v>34</v>
      </c>
      <c r="J2752" t="s">
        <v>35</v>
      </c>
      <c r="K2752" t="s">
        <v>114</v>
      </c>
      <c r="L2752" t="s">
        <v>43</v>
      </c>
      <c r="M2752">
        <v>0</v>
      </c>
      <c r="N2752">
        <v>0</v>
      </c>
      <c r="O2752" s="5" t="s">
        <v>392</v>
      </c>
      <c r="P2752" s="5" t="s">
        <v>458</v>
      </c>
      <c r="Q2752">
        <f>35-16</f>
        <v>19</v>
      </c>
      <c r="R2752" t="s">
        <v>47</v>
      </c>
      <c r="T2752">
        <v>19</v>
      </c>
      <c r="U2752">
        <v>85</v>
      </c>
      <c r="V2752">
        <v>16</v>
      </c>
      <c r="W2752">
        <v>12.9</v>
      </c>
      <c r="X2752">
        <v>27.2</v>
      </c>
      <c r="Z2752" t="s">
        <v>39</v>
      </c>
      <c r="AB2752" t="s">
        <v>59</v>
      </c>
      <c r="AC2752" t="s">
        <v>137</v>
      </c>
    </row>
    <row r="2753" spans="1:30" x14ac:dyDescent="0.25">
      <c r="A2753" s="4">
        <v>42587</v>
      </c>
      <c r="B2753" t="s">
        <v>30</v>
      </c>
      <c r="C2753">
        <v>112</v>
      </c>
      <c r="D2753">
        <v>6</v>
      </c>
      <c r="E2753">
        <v>2</v>
      </c>
      <c r="F2753" t="s">
        <v>320</v>
      </c>
      <c r="G2753" t="s">
        <v>32</v>
      </c>
      <c r="H2753" t="s">
        <v>33</v>
      </c>
      <c r="I2753" t="s">
        <v>34</v>
      </c>
      <c r="J2753" t="s">
        <v>35</v>
      </c>
      <c r="K2753" t="s">
        <v>36</v>
      </c>
      <c r="L2753" t="s">
        <v>37</v>
      </c>
      <c r="M2753">
        <v>0</v>
      </c>
      <c r="N2753">
        <v>0</v>
      </c>
      <c r="O2753" s="5" t="s">
        <v>403</v>
      </c>
      <c r="P2753" s="5" t="s">
        <v>404</v>
      </c>
      <c r="Q2753">
        <f>34.5-17</f>
        <v>17.5</v>
      </c>
      <c r="R2753" t="s">
        <v>63</v>
      </c>
      <c r="S2753" t="s">
        <v>39</v>
      </c>
      <c r="T2753">
        <v>19</v>
      </c>
      <c r="U2753">
        <v>92</v>
      </c>
      <c r="V2753">
        <v>17</v>
      </c>
      <c r="W2753">
        <v>12.9</v>
      </c>
      <c r="X2753">
        <v>26.8</v>
      </c>
      <c r="Z2753" t="s">
        <v>39</v>
      </c>
      <c r="AB2753" t="s">
        <v>59</v>
      </c>
      <c r="AC2753" t="s">
        <v>137</v>
      </c>
    </row>
    <row r="2754" spans="1:30" x14ac:dyDescent="0.25">
      <c r="A2754" s="4">
        <v>42587</v>
      </c>
      <c r="B2754" t="s">
        <v>30</v>
      </c>
      <c r="C2754">
        <v>112</v>
      </c>
      <c r="D2754">
        <v>7</v>
      </c>
      <c r="E2754">
        <v>1</v>
      </c>
      <c r="F2754" t="s">
        <v>320</v>
      </c>
      <c r="G2754" t="s">
        <v>32</v>
      </c>
      <c r="H2754" t="s">
        <v>33</v>
      </c>
      <c r="I2754" t="s">
        <v>91</v>
      </c>
      <c r="J2754" t="s">
        <v>35</v>
      </c>
      <c r="K2754" t="s">
        <v>36</v>
      </c>
      <c r="L2754" t="s">
        <v>37</v>
      </c>
      <c r="M2754">
        <v>0</v>
      </c>
      <c r="N2754">
        <v>0</v>
      </c>
      <c r="O2754" s="5"/>
      <c r="P2754" s="5" t="s">
        <v>459</v>
      </c>
      <c r="Q2754">
        <f>37-13</f>
        <v>24</v>
      </c>
      <c r="R2754" t="s">
        <v>74</v>
      </c>
      <c r="S2754" t="s">
        <v>97</v>
      </c>
      <c r="T2754">
        <v>28.5</v>
      </c>
      <c r="W2754">
        <v>13</v>
      </c>
      <c r="X2754">
        <v>26.8</v>
      </c>
      <c r="Z2754" t="s">
        <v>39</v>
      </c>
      <c r="AB2754" t="s">
        <v>59</v>
      </c>
      <c r="AC2754" t="s">
        <v>137</v>
      </c>
    </row>
    <row r="2755" spans="1:30" x14ac:dyDescent="0.25">
      <c r="A2755" s="4">
        <v>42587</v>
      </c>
      <c r="B2755" t="s">
        <v>30</v>
      </c>
      <c r="C2755">
        <v>112</v>
      </c>
      <c r="D2755">
        <v>7</v>
      </c>
      <c r="E2755">
        <v>2</v>
      </c>
      <c r="F2755" t="s">
        <v>320</v>
      </c>
      <c r="G2755" t="s">
        <v>32</v>
      </c>
      <c r="H2755" t="s">
        <v>33</v>
      </c>
      <c r="I2755" t="s">
        <v>57</v>
      </c>
      <c r="O2755" s="5"/>
      <c r="P2755" s="5"/>
    </row>
    <row r="2756" spans="1:30" x14ac:dyDescent="0.25">
      <c r="A2756" s="4">
        <v>42587</v>
      </c>
      <c r="B2756" t="s">
        <v>30</v>
      </c>
      <c r="C2756">
        <v>112</v>
      </c>
      <c r="D2756">
        <v>8</v>
      </c>
      <c r="E2756">
        <v>1</v>
      </c>
      <c r="F2756" t="s">
        <v>320</v>
      </c>
      <c r="G2756" t="s">
        <v>32</v>
      </c>
      <c r="H2756" t="s">
        <v>33</v>
      </c>
      <c r="I2756" t="s">
        <v>57</v>
      </c>
      <c r="O2756" s="5"/>
      <c r="P2756" s="5"/>
    </row>
    <row r="2757" spans="1:30" x14ac:dyDescent="0.25">
      <c r="A2757" s="4">
        <v>42587</v>
      </c>
      <c r="B2757" t="s">
        <v>30</v>
      </c>
      <c r="C2757">
        <v>112</v>
      </c>
      <c r="D2757">
        <v>8</v>
      </c>
      <c r="E2757">
        <v>2</v>
      </c>
      <c r="F2757" t="s">
        <v>320</v>
      </c>
      <c r="G2757" t="s">
        <v>32</v>
      </c>
      <c r="H2757" t="s">
        <v>33</v>
      </c>
      <c r="I2757" t="s">
        <v>91</v>
      </c>
      <c r="J2757" t="s">
        <v>35</v>
      </c>
      <c r="K2757" t="s">
        <v>36</v>
      </c>
      <c r="L2757" t="s">
        <v>37</v>
      </c>
      <c r="M2757">
        <v>0</v>
      </c>
      <c r="N2757">
        <v>0</v>
      </c>
      <c r="O2757" s="5" t="s">
        <v>321</v>
      </c>
      <c r="P2757" s="5"/>
      <c r="Q2757">
        <f>38-16</f>
        <v>22</v>
      </c>
      <c r="R2757" t="s">
        <v>143</v>
      </c>
      <c r="S2757" t="s">
        <v>97</v>
      </c>
      <c r="T2757">
        <v>29</v>
      </c>
      <c r="Z2757" t="s">
        <v>39</v>
      </c>
      <c r="AB2757" t="s">
        <v>59</v>
      </c>
      <c r="AC2757" t="s">
        <v>137</v>
      </c>
    </row>
    <row r="2758" spans="1:30" x14ac:dyDescent="0.25">
      <c r="A2758" s="4">
        <v>42587</v>
      </c>
      <c r="B2758" t="s">
        <v>30</v>
      </c>
      <c r="C2758">
        <v>112</v>
      </c>
      <c r="D2758">
        <v>9</v>
      </c>
      <c r="E2758">
        <v>1</v>
      </c>
      <c r="F2758" t="s">
        <v>320</v>
      </c>
      <c r="G2758" t="s">
        <v>32</v>
      </c>
      <c r="H2758" t="s">
        <v>33</v>
      </c>
      <c r="I2758" t="s">
        <v>34</v>
      </c>
      <c r="J2758" t="s">
        <v>35</v>
      </c>
      <c r="K2758" t="s">
        <v>36</v>
      </c>
      <c r="L2758" t="s">
        <v>37</v>
      </c>
      <c r="M2758">
        <v>0</v>
      </c>
      <c r="N2758">
        <v>0</v>
      </c>
      <c r="O2758" s="5" t="s">
        <v>460</v>
      </c>
      <c r="P2758" s="5" t="s">
        <v>461</v>
      </c>
      <c r="Q2758">
        <f>39-17</f>
        <v>22</v>
      </c>
      <c r="R2758" t="s">
        <v>143</v>
      </c>
      <c r="S2758" t="s">
        <v>97</v>
      </c>
      <c r="T2758">
        <v>19</v>
      </c>
      <c r="U2758">
        <v>94</v>
      </c>
      <c r="V2758">
        <v>16</v>
      </c>
      <c r="W2758">
        <v>13.1</v>
      </c>
      <c r="X2758">
        <v>28.3</v>
      </c>
      <c r="Z2758" t="s">
        <v>97</v>
      </c>
      <c r="AA2758" t="s">
        <v>199</v>
      </c>
      <c r="AB2758" t="s">
        <v>59</v>
      </c>
      <c r="AC2758" t="s">
        <v>137</v>
      </c>
    </row>
    <row r="2759" spans="1:30" x14ac:dyDescent="0.25">
      <c r="A2759" s="4">
        <v>42587</v>
      </c>
      <c r="B2759" t="s">
        <v>30</v>
      </c>
      <c r="C2759">
        <v>112</v>
      </c>
      <c r="D2759">
        <v>9</v>
      </c>
      <c r="E2759">
        <v>2</v>
      </c>
      <c r="F2759" t="s">
        <v>320</v>
      </c>
      <c r="G2759" t="s">
        <v>32</v>
      </c>
      <c r="H2759" t="s">
        <v>33</v>
      </c>
      <c r="I2759" t="s">
        <v>91</v>
      </c>
      <c r="J2759" t="s">
        <v>35</v>
      </c>
      <c r="K2759" t="s">
        <v>114</v>
      </c>
      <c r="L2759" t="s">
        <v>37</v>
      </c>
      <c r="M2759">
        <v>0</v>
      </c>
      <c r="N2759">
        <v>0</v>
      </c>
      <c r="O2759" s="5" t="s">
        <v>325</v>
      </c>
      <c r="P2759" s="5"/>
      <c r="Q2759">
        <f>30-14</f>
        <v>16</v>
      </c>
      <c r="R2759" t="s">
        <v>63</v>
      </c>
      <c r="S2759" t="s">
        <v>39</v>
      </c>
      <c r="T2759">
        <v>28.5</v>
      </c>
      <c r="W2759">
        <v>12.9</v>
      </c>
      <c r="X2759">
        <v>25.6</v>
      </c>
      <c r="Z2759" t="s">
        <v>39</v>
      </c>
      <c r="AB2759" t="s">
        <v>59</v>
      </c>
      <c r="AC2759" t="s">
        <v>137</v>
      </c>
      <c r="AD2759" t="s">
        <v>462</v>
      </c>
    </row>
    <row r="2760" spans="1:30" x14ac:dyDescent="0.25">
      <c r="A2760" s="4">
        <v>42587</v>
      </c>
      <c r="B2760" t="s">
        <v>30</v>
      </c>
      <c r="C2760">
        <v>112</v>
      </c>
      <c r="D2760">
        <v>10</v>
      </c>
      <c r="E2760">
        <v>1</v>
      </c>
      <c r="F2760" t="s">
        <v>320</v>
      </c>
      <c r="G2760" t="s">
        <v>32</v>
      </c>
      <c r="H2760" t="s">
        <v>33</v>
      </c>
      <c r="I2760" t="s">
        <v>57</v>
      </c>
      <c r="O2760" s="5"/>
      <c r="P2760" s="5"/>
    </row>
    <row r="2761" spans="1:30" x14ac:dyDescent="0.25">
      <c r="A2761" s="4">
        <v>42587</v>
      </c>
      <c r="B2761" t="s">
        <v>30</v>
      </c>
      <c r="C2761">
        <v>112</v>
      </c>
      <c r="D2761">
        <v>10</v>
      </c>
      <c r="E2761">
        <v>2</v>
      </c>
      <c r="F2761" t="s">
        <v>320</v>
      </c>
      <c r="G2761" t="s">
        <v>32</v>
      </c>
      <c r="H2761" t="s">
        <v>33</v>
      </c>
      <c r="I2761" t="s">
        <v>34</v>
      </c>
      <c r="J2761" t="s">
        <v>35</v>
      </c>
      <c r="K2761" t="s">
        <v>114</v>
      </c>
      <c r="L2761" t="s">
        <v>463</v>
      </c>
      <c r="M2761">
        <v>0</v>
      </c>
      <c r="N2761">
        <v>0</v>
      </c>
      <c r="O2761" s="5" t="s">
        <v>401</v>
      </c>
      <c r="P2761" s="5" t="s">
        <v>402</v>
      </c>
      <c r="Q2761">
        <f>34-15</f>
        <v>19</v>
      </c>
      <c r="R2761" t="s">
        <v>47</v>
      </c>
      <c r="T2761">
        <v>19</v>
      </c>
      <c r="U2761">
        <v>87</v>
      </c>
      <c r="V2761">
        <v>16</v>
      </c>
      <c r="W2761">
        <v>13</v>
      </c>
      <c r="X2761">
        <v>27.2</v>
      </c>
      <c r="Z2761" t="s">
        <v>97</v>
      </c>
      <c r="AA2761" t="s">
        <v>199</v>
      </c>
      <c r="AB2761" t="s">
        <v>59</v>
      </c>
      <c r="AC2761" t="s">
        <v>137</v>
      </c>
    </row>
    <row r="2762" spans="1:30" x14ac:dyDescent="0.25">
      <c r="A2762" s="4">
        <v>42587</v>
      </c>
      <c r="B2762" t="s">
        <v>30</v>
      </c>
      <c r="C2762">
        <v>113</v>
      </c>
      <c r="D2762">
        <v>1</v>
      </c>
      <c r="E2762">
        <v>1</v>
      </c>
      <c r="F2762" t="s">
        <v>320</v>
      </c>
      <c r="G2762" t="s">
        <v>32</v>
      </c>
      <c r="H2762" t="s">
        <v>33</v>
      </c>
      <c r="I2762" t="s">
        <v>57</v>
      </c>
      <c r="O2762" s="5"/>
      <c r="P2762" s="5"/>
    </row>
    <row r="2763" spans="1:30" x14ac:dyDescent="0.25">
      <c r="A2763" s="4">
        <v>42587</v>
      </c>
      <c r="B2763" t="s">
        <v>30</v>
      </c>
      <c r="C2763">
        <v>113</v>
      </c>
      <c r="D2763">
        <v>1</v>
      </c>
      <c r="E2763">
        <v>2</v>
      </c>
      <c r="F2763" t="s">
        <v>320</v>
      </c>
      <c r="G2763" t="s">
        <v>32</v>
      </c>
      <c r="H2763" t="s">
        <v>33</v>
      </c>
      <c r="I2763" t="s">
        <v>34</v>
      </c>
      <c r="J2763" t="s">
        <v>35</v>
      </c>
      <c r="K2763" t="s">
        <v>89</v>
      </c>
      <c r="L2763" t="s">
        <v>37</v>
      </c>
      <c r="M2763">
        <v>0</v>
      </c>
      <c r="N2763">
        <v>0</v>
      </c>
      <c r="O2763" s="5" t="s">
        <v>405</v>
      </c>
      <c r="P2763" s="5" t="s">
        <v>406</v>
      </c>
      <c r="Q2763">
        <f>28.5-17.5</f>
        <v>11</v>
      </c>
      <c r="R2763" t="s">
        <v>38</v>
      </c>
      <c r="S2763" t="s">
        <v>39</v>
      </c>
      <c r="T2763">
        <v>18.5</v>
      </c>
      <c r="U2763">
        <v>81</v>
      </c>
      <c r="V2763">
        <v>15.5</v>
      </c>
      <c r="W2763">
        <v>12.5</v>
      </c>
      <c r="X2763">
        <v>24.5</v>
      </c>
      <c r="Z2763" t="s">
        <v>97</v>
      </c>
      <c r="AA2763" t="s">
        <v>199</v>
      </c>
      <c r="AB2763" t="s">
        <v>59</v>
      </c>
      <c r="AC2763" t="s">
        <v>137</v>
      </c>
    </row>
    <row r="2764" spans="1:30" x14ac:dyDescent="0.25">
      <c r="A2764" s="4">
        <v>42587</v>
      </c>
      <c r="B2764" t="s">
        <v>30</v>
      </c>
      <c r="C2764">
        <v>113</v>
      </c>
      <c r="D2764">
        <v>2</v>
      </c>
      <c r="E2764">
        <v>1</v>
      </c>
      <c r="F2764" t="s">
        <v>320</v>
      </c>
      <c r="G2764" t="s">
        <v>32</v>
      </c>
      <c r="H2764" t="s">
        <v>33</v>
      </c>
      <c r="I2764" t="s">
        <v>34</v>
      </c>
      <c r="J2764" t="s">
        <v>42</v>
      </c>
      <c r="K2764" t="s">
        <v>114</v>
      </c>
      <c r="L2764" t="s">
        <v>43</v>
      </c>
      <c r="M2764">
        <v>0</v>
      </c>
      <c r="N2764">
        <v>1</v>
      </c>
      <c r="O2764" s="5" t="s">
        <v>464</v>
      </c>
      <c r="P2764" s="5" t="s">
        <v>465</v>
      </c>
      <c r="Q2764">
        <f>31-15.5</f>
        <v>15.5</v>
      </c>
      <c r="R2764" t="s">
        <v>47</v>
      </c>
      <c r="T2764">
        <v>18</v>
      </c>
      <c r="U2764">
        <v>88</v>
      </c>
      <c r="V2764">
        <v>16</v>
      </c>
      <c r="W2764">
        <v>12.9</v>
      </c>
      <c r="X2764">
        <v>27.3</v>
      </c>
      <c r="Z2764" t="s">
        <v>39</v>
      </c>
      <c r="AB2764" t="s">
        <v>59</v>
      </c>
      <c r="AC2764" t="s">
        <v>137</v>
      </c>
    </row>
    <row r="2765" spans="1:30" x14ac:dyDescent="0.25">
      <c r="A2765" s="4">
        <v>42587</v>
      </c>
      <c r="B2765" t="s">
        <v>30</v>
      </c>
      <c r="C2765">
        <v>113</v>
      </c>
      <c r="D2765">
        <v>2</v>
      </c>
      <c r="E2765">
        <v>2</v>
      </c>
      <c r="F2765" t="s">
        <v>320</v>
      </c>
      <c r="G2765" t="s">
        <v>32</v>
      </c>
      <c r="H2765" t="s">
        <v>33</v>
      </c>
      <c r="I2765" t="s">
        <v>34</v>
      </c>
      <c r="J2765" t="s">
        <v>42</v>
      </c>
      <c r="K2765" t="s">
        <v>114</v>
      </c>
      <c r="L2765" t="s">
        <v>43</v>
      </c>
      <c r="M2765">
        <v>0</v>
      </c>
      <c r="N2765">
        <v>1</v>
      </c>
      <c r="O2765" s="5" t="s">
        <v>466</v>
      </c>
      <c r="P2765" s="5" t="s">
        <v>467</v>
      </c>
      <c r="Q2765">
        <f>33.5-18</f>
        <v>15.5</v>
      </c>
      <c r="R2765" t="s">
        <v>65</v>
      </c>
      <c r="T2765">
        <v>19</v>
      </c>
      <c r="U2765">
        <v>90</v>
      </c>
      <c r="V2765">
        <v>16</v>
      </c>
      <c r="W2765">
        <v>13</v>
      </c>
      <c r="X2765">
        <v>27.4</v>
      </c>
      <c r="Z2765" t="s">
        <v>39</v>
      </c>
      <c r="AB2765" t="s">
        <v>59</v>
      </c>
      <c r="AC2765" t="s">
        <v>137</v>
      </c>
    </row>
    <row r="2766" spans="1:30" x14ac:dyDescent="0.25">
      <c r="A2766" s="4">
        <v>42587</v>
      </c>
      <c r="B2766" t="s">
        <v>30</v>
      </c>
      <c r="C2766">
        <v>113</v>
      </c>
      <c r="D2766">
        <v>3</v>
      </c>
      <c r="E2766">
        <v>1</v>
      </c>
      <c r="F2766" t="s">
        <v>320</v>
      </c>
      <c r="G2766" t="s">
        <v>32</v>
      </c>
      <c r="H2766" t="s">
        <v>33</v>
      </c>
      <c r="I2766" t="s">
        <v>34</v>
      </c>
      <c r="J2766" t="s">
        <v>35</v>
      </c>
      <c r="K2766" t="s">
        <v>36</v>
      </c>
      <c r="L2766" t="s">
        <v>43</v>
      </c>
      <c r="M2766">
        <v>0</v>
      </c>
      <c r="N2766">
        <v>0</v>
      </c>
      <c r="O2766" s="5" t="s">
        <v>468</v>
      </c>
      <c r="P2766" s="5" t="s">
        <v>469</v>
      </c>
      <c r="Q2766">
        <f>38-19</f>
        <v>19</v>
      </c>
      <c r="R2766" t="s">
        <v>47</v>
      </c>
      <c r="T2766">
        <v>19</v>
      </c>
      <c r="V2766">
        <v>16</v>
      </c>
      <c r="W2766">
        <v>13</v>
      </c>
      <c r="Z2766" t="s">
        <v>39</v>
      </c>
      <c r="AB2766" t="s">
        <v>59</v>
      </c>
      <c r="AC2766" t="s">
        <v>137</v>
      </c>
      <c r="AD2766" t="s">
        <v>470</v>
      </c>
    </row>
    <row r="2767" spans="1:30" x14ac:dyDescent="0.25">
      <c r="A2767" s="4">
        <v>42587</v>
      </c>
      <c r="B2767" t="s">
        <v>30</v>
      </c>
      <c r="C2767">
        <v>113</v>
      </c>
      <c r="D2767">
        <v>3</v>
      </c>
      <c r="E2767">
        <v>2</v>
      </c>
      <c r="F2767" t="s">
        <v>320</v>
      </c>
      <c r="G2767" t="s">
        <v>32</v>
      </c>
      <c r="H2767" t="s">
        <v>33</v>
      </c>
      <c r="I2767" t="s">
        <v>57</v>
      </c>
      <c r="O2767" s="5"/>
      <c r="P2767" s="5"/>
    </row>
    <row r="2768" spans="1:30" x14ac:dyDescent="0.25">
      <c r="A2768" s="4">
        <v>42587</v>
      </c>
      <c r="B2768" t="s">
        <v>30</v>
      </c>
      <c r="C2768">
        <v>113</v>
      </c>
      <c r="D2768">
        <v>4</v>
      </c>
      <c r="E2768">
        <v>1</v>
      </c>
      <c r="F2768" t="s">
        <v>320</v>
      </c>
      <c r="G2768" t="s">
        <v>32</v>
      </c>
      <c r="H2768" t="s">
        <v>33</v>
      </c>
      <c r="I2768" t="s">
        <v>34</v>
      </c>
      <c r="J2768" t="s">
        <v>35</v>
      </c>
      <c r="K2768" t="s">
        <v>36</v>
      </c>
      <c r="L2768" t="s">
        <v>37</v>
      </c>
      <c r="M2768">
        <v>0</v>
      </c>
      <c r="N2768">
        <v>0</v>
      </c>
      <c r="O2768" s="5" t="s">
        <v>407</v>
      </c>
      <c r="P2768" s="5" t="s">
        <v>408</v>
      </c>
      <c r="Q2768">
        <f>32-13</f>
        <v>19</v>
      </c>
      <c r="R2768" t="s">
        <v>164</v>
      </c>
      <c r="S2768" t="s">
        <v>97</v>
      </c>
      <c r="T2768">
        <v>18</v>
      </c>
      <c r="U2768">
        <v>87</v>
      </c>
      <c r="V2768">
        <v>16</v>
      </c>
      <c r="W2768">
        <v>13</v>
      </c>
      <c r="X2768">
        <v>27.8</v>
      </c>
      <c r="Z2768" t="s">
        <v>39</v>
      </c>
      <c r="AB2768" t="s">
        <v>59</v>
      </c>
      <c r="AC2768" t="s">
        <v>137</v>
      </c>
    </row>
    <row r="2769" spans="1:30" x14ac:dyDescent="0.25">
      <c r="A2769" s="4">
        <v>42587</v>
      </c>
      <c r="B2769" t="s">
        <v>30</v>
      </c>
      <c r="C2769">
        <v>113</v>
      </c>
      <c r="D2769">
        <v>5</v>
      </c>
      <c r="E2769">
        <v>1</v>
      </c>
      <c r="F2769" t="s">
        <v>320</v>
      </c>
      <c r="G2769" t="s">
        <v>32</v>
      </c>
      <c r="H2769" t="s">
        <v>33</v>
      </c>
      <c r="I2769" t="s">
        <v>73</v>
      </c>
      <c r="J2769" t="s">
        <v>35</v>
      </c>
      <c r="K2769" t="s">
        <v>36</v>
      </c>
      <c r="L2769" t="s">
        <v>43</v>
      </c>
      <c r="M2769">
        <v>0</v>
      </c>
      <c r="N2769">
        <v>0</v>
      </c>
      <c r="O2769" s="5" t="s">
        <v>471</v>
      </c>
      <c r="P2769" s="5"/>
      <c r="Q2769">
        <f>136-48</f>
        <v>88</v>
      </c>
      <c r="R2769" t="s">
        <v>47</v>
      </c>
      <c r="T2769">
        <v>31</v>
      </c>
      <c r="Z2769" t="s">
        <v>39</v>
      </c>
      <c r="AB2769" t="s">
        <v>59</v>
      </c>
      <c r="AC2769" t="s">
        <v>137</v>
      </c>
      <c r="AD2769" t="s">
        <v>472</v>
      </c>
    </row>
    <row r="2770" spans="1:30" x14ac:dyDescent="0.25">
      <c r="A2770" s="4">
        <v>42587</v>
      </c>
      <c r="B2770" t="s">
        <v>30</v>
      </c>
      <c r="C2770">
        <v>113</v>
      </c>
      <c r="D2770">
        <v>5</v>
      </c>
      <c r="E2770">
        <v>2</v>
      </c>
      <c r="F2770" t="s">
        <v>320</v>
      </c>
      <c r="G2770" t="s">
        <v>32</v>
      </c>
      <c r="H2770" t="s">
        <v>33</v>
      </c>
      <c r="I2770" t="s">
        <v>57</v>
      </c>
      <c r="O2770" s="5"/>
      <c r="P2770" s="5"/>
    </row>
    <row r="2771" spans="1:30" x14ac:dyDescent="0.25">
      <c r="A2771" s="4">
        <v>42587</v>
      </c>
      <c r="B2771" t="s">
        <v>30</v>
      </c>
      <c r="C2771">
        <v>113</v>
      </c>
      <c r="D2771">
        <v>6</v>
      </c>
      <c r="E2771">
        <v>1</v>
      </c>
      <c r="F2771" t="s">
        <v>320</v>
      </c>
      <c r="G2771" t="s">
        <v>32</v>
      </c>
      <c r="H2771" t="s">
        <v>33</v>
      </c>
      <c r="I2771" t="s">
        <v>57</v>
      </c>
      <c r="O2771" s="5"/>
      <c r="P2771" s="5"/>
    </row>
    <row r="2772" spans="1:30" x14ac:dyDescent="0.25">
      <c r="A2772" s="4">
        <v>42587</v>
      </c>
      <c r="B2772" t="s">
        <v>30</v>
      </c>
      <c r="C2772">
        <v>113</v>
      </c>
      <c r="D2772">
        <v>6</v>
      </c>
      <c r="E2772">
        <v>2</v>
      </c>
      <c r="F2772" t="s">
        <v>320</v>
      </c>
      <c r="G2772" t="s">
        <v>32</v>
      </c>
      <c r="H2772" t="s">
        <v>33</v>
      </c>
      <c r="I2772" t="s">
        <v>34</v>
      </c>
      <c r="J2772" t="s">
        <v>42</v>
      </c>
      <c r="K2772" t="s">
        <v>114</v>
      </c>
      <c r="L2772" t="s">
        <v>37</v>
      </c>
      <c r="M2772">
        <v>0</v>
      </c>
      <c r="N2772">
        <v>1</v>
      </c>
      <c r="O2772" s="5" t="s">
        <v>473</v>
      </c>
      <c r="P2772" s="5" t="s">
        <v>474</v>
      </c>
      <c r="Q2772">
        <f>31-14</f>
        <v>17</v>
      </c>
      <c r="R2772" t="s">
        <v>164</v>
      </c>
      <c r="S2772" t="s">
        <v>97</v>
      </c>
      <c r="T2772">
        <v>19</v>
      </c>
      <c r="U2772">
        <v>91</v>
      </c>
      <c r="V2772">
        <v>17</v>
      </c>
      <c r="W2772">
        <v>13.2</v>
      </c>
      <c r="X2772">
        <v>27.9</v>
      </c>
      <c r="Z2772" t="s">
        <v>39</v>
      </c>
      <c r="AB2772" t="s">
        <v>59</v>
      </c>
      <c r="AC2772" t="s">
        <v>137</v>
      </c>
    </row>
    <row r="2773" spans="1:30" x14ac:dyDescent="0.25">
      <c r="A2773" s="4">
        <v>42587</v>
      </c>
      <c r="B2773" t="s">
        <v>30</v>
      </c>
      <c r="C2773">
        <v>113</v>
      </c>
      <c r="D2773">
        <v>7</v>
      </c>
      <c r="E2773">
        <v>1</v>
      </c>
      <c r="F2773" t="s">
        <v>320</v>
      </c>
      <c r="G2773" t="s">
        <v>32</v>
      </c>
      <c r="H2773" t="s">
        <v>33</v>
      </c>
      <c r="I2773" t="s">
        <v>57</v>
      </c>
      <c r="O2773" s="5"/>
      <c r="P2773" s="5"/>
    </row>
    <row r="2774" spans="1:30" x14ac:dyDescent="0.25">
      <c r="A2774" s="4">
        <v>42587</v>
      </c>
      <c r="B2774" t="s">
        <v>30</v>
      </c>
      <c r="C2774">
        <v>113</v>
      </c>
      <c r="D2774">
        <v>7</v>
      </c>
      <c r="E2774">
        <v>2</v>
      </c>
      <c r="F2774" t="s">
        <v>320</v>
      </c>
      <c r="G2774" t="s">
        <v>32</v>
      </c>
      <c r="H2774" t="s">
        <v>33</v>
      </c>
      <c r="I2774" t="s">
        <v>57</v>
      </c>
      <c r="O2774" s="5"/>
      <c r="P2774" s="5"/>
    </row>
    <row r="2775" spans="1:30" x14ac:dyDescent="0.25">
      <c r="A2775" s="4">
        <v>42587</v>
      </c>
      <c r="B2775" t="s">
        <v>30</v>
      </c>
      <c r="C2775">
        <v>113</v>
      </c>
      <c r="D2775">
        <v>8</v>
      </c>
      <c r="E2775">
        <v>1</v>
      </c>
      <c r="F2775" t="s">
        <v>320</v>
      </c>
      <c r="G2775" t="s">
        <v>32</v>
      </c>
      <c r="H2775" t="s">
        <v>33</v>
      </c>
      <c r="I2775" t="s">
        <v>57</v>
      </c>
      <c r="O2775" s="5"/>
      <c r="P2775" s="5"/>
    </row>
    <row r="2776" spans="1:30" x14ac:dyDescent="0.25">
      <c r="A2776" s="4">
        <v>42587</v>
      </c>
      <c r="B2776" t="s">
        <v>30</v>
      </c>
      <c r="C2776">
        <v>113</v>
      </c>
      <c r="D2776">
        <v>8</v>
      </c>
      <c r="E2776">
        <v>2</v>
      </c>
      <c r="F2776" t="s">
        <v>320</v>
      </c>
      <c r="G2776" t="s">
        <v>32</v>
      </c>
      <c r="H2776" t="s">
        <v>33</v>
      </c>
      <c r="I2776" t="s">
        <v>34</v>
      </c>
      <c r="J2776" t="s">
        <v>35</v>
      </c>
      <c r="K2776" t="s">
        <v>114</v>
      </c>
      <c r="L2776" t="s">
        <v>43</v>
      </c>
      <c r="M2776">
        <v>0</v>
      </c>
      <c r="N2776">
        <v>0</v>
      </c>
      <c r="O2776" s="5" t="s">
        <v>475</v>
      </c>
      <c r="P2776" s="5" t="s">
        <v>476</v>
      </c>
      <c r="Q2776">
        <f>35-15.5</f>
        <v>19.5</v>
      </c>
      <c r="R2776" t="s">
        <v>47</v>
      </c>
      <c r="T2776">
        <v>18</v>
      </c>
      <c r="U2776">
        <v>80</v>
      </c>
      <c r="V2776">
        <v>16</v>
      </c>
      <c r="W2776">
        <v>13.1</v>
      </c>
      <c r="X2776">
        <v>28.2</v>
      </c>
      <c r="Z2776" t="s">
        <v>39</v>
      </c>
      <c r="AB2776" t="s">
        <v>59</v>
      </c>
      <c r="AC2776" t="s">
        <v>137</v>
      </c>
    </row>
    <row r="2777" spans="1:30" x14ac:dyDescent="0.25">
      <c r="A2777" s="4">
        <v>42587</v>
      </c>
      <c r="B2777" t="s">
        <v>30</v>
      </c>
      <c r="C2777">
        <v>113</v>
      </c>
      <c r="D2777">
        <v>9</v>
      </c>
      <c r="E2777">
        <v>1</v>
      </c>
      <c r="F2777" t="s">
        <v>320</v>
      </c>
      <c r="G2777" t="s">
        <v>32</v>
      </c>
      <c r="H2777" t="s">
        <v>33</v>
      </c>
      <c r="I2777" t="s">
        <v>34</v>
      </c>
      <c r="J2777" t="s">
        <v>35</v>
      </c>
      <c r="K2777" t="s">
        <v>36</v>
      </c>
      <c r="L2777" t="s">
        <v>37</v>
      </c>
      <c r="M2777">
        <v>0</v>
      </c>
      <c r="N2777">
        <v>0</v>
      </c>
      <c r="O2777" s="5" t="s">
        <v>409</v>
      </c>
      <c r="P2777" s="5" t="s">
        <v>410</v>
      </c>
      <c r="Q2777">
        <f>35-15.5</f>
        <v>19.5</v>
      </c>
      <c r="R2777" t="s">
        <v>143</v>
      </c>
      <c r="S2777" t="s">
        <v>97</v>
      </c>
      <c r="T2777">
        <v>19.5</v>
      </c>
      <c r="U2777">
        <v>84</v>
      </c>
      <c r="V2777">
        <v>15</v>
      </c>
      <c r="W2777">
        <v>12.9</v>
      </c>
      <c r="X2777">
        <v>27.8</v>
      </c>
      <c r="Z2777" t="s">
        <v>39</v>
      </c>
      <c r="AB2777" t="s">
        <v>59</v>
      </c>
      <c r="AC2777" t="s">
        <v>137</v>
      </c>
      <c r="AD2777" t="s">
        <v>477</v>
      </c>
    </row>
    <row r="2778" spans="1:30" x14ac:dyDescent="0.25">
      <c r="A2778" s="4">
        <v>42587</v>
      </c>
      <c r="B2778" t="s">
        <v>30</v>
      </c>
      <c r="C2778">
        <v>113</v>
      </c>
      <c r="D2778">
        <v>9</v>
      </c>
      <c r="E2778">
        <v>2</v>
      </c>
      <c r="F2778" t="s">
        <v>320</v>
      </c>
      <c r="G2778" t="s">
        <v>32</v>
      </c>
      <c r="H2778" t="s">
        <v>33</v>
      </c>
      <c r="I2778" t="s">
        <v>34</v>
      </c>
      <c r="J2778" t="s">
        <v>35</v>
      </c>
      <c r="K2778" t="s">
        <v>89</v>
      </c>
      <c r="L2778" t="s">
        <v>37</v>
      </c>
      <c r="M2778">
        <v>0</v>
      </c>
      <c r="N2778">
        <v>0</v>
      </c>
      <c r="O2778" s="5" t="s">
        <v>415</v>
      </c>
      <c r="P2778" s="5" t="s">
        <v>416</v>
      </c>
      <c r="Q2778">
        <f>28-16.5</f>
        <v>11.5</v>
      </c>
      <c r="R2778" t="s">
        <v>38</v>
      </c>
      <c r="S2778" t="s">
        <v>39</v>
      </c>
      <c r="T2778">
        <v>16</v>
      </c>
      <c r="U2778">
        <v>75</v>
      </c>
      <c r="V2778">
        <v>16</v>
      </c>
      <c r="W2778">
        <v>12.6</v>
      </c>
      <c r="X2778">
        <v>26.5</v>
      </c>
      <c r="Z2778" t="s">
        <v>97</v>
      </c>
      <c r="AA2778" t="s">
        <v>199</v>
      </c>
      <c r="AB2778" t="s">
        <v>59</v>
      </c>
      <c r="AC2778" t="s">
        <v>137</v>
      </c>
    </row>
    <row r="2779" spans="1:30" x14ac:dyDescent="0.25">
      <c r="A2779" s="4">
        <v>42587</v>
      </c>
      <c r="B2779" t="s">
        <v>30</v>
      </c>
      <c r="C2779">
        <v>113</v>
      </c>
      <c r="D2779">
        <v>10</v>
      </c>
      <c r="E2779">
        <v>1</v>
      </c>
      <c r="F2779" t="s">
        <v>320</v>
      </c>
      <c r="G2779" t="s">
        <v>32</v>
      </c>
      <c r="H2779" t="s">
        <v>33</v>
      </c>
      <c r="I2779" t="s">
        <v>34</v>
      </c>
      <c r="J2779" t="s">
        <v>35</v>
      </c>
      <c r="K2779" t="s">
        <v>114</v>
      </c>
      <c r="L2779" t="s">
        <v>43</v>
      </c>
      <c r="M2779">
        <v>0</v>
      </c>
      <c r="N2779">
        <v>0</v>
      </c>
      <c r="O2779" s="5" t="s">
        <v>413</v>
      </c>
      <c r="P2779" s="5" t="s">
        <v>414</v>
      </c>
      <c r="Q2779">
        <f>33-17</f>
        <v>16</v>
      </c>
      <c r="R2779" t="s">
        <v>47</v>
      </c>
      <c r="T2779">
        <v>20</v>
      </c>
      <c r="U2779">
        <v>78</v>
      </c>
      <c r="V2779">
        <v>18</v>
      </c>
      <c r="W2779">
        <v>13</v>
      </c>
      <c r="X2779">
        <v>26.9</v>
      </c>
      <c r="Z2779" t="s">
        <v>39</v>
      </c>
      <c r="AB2779" t="s">
        <v>59</v>
      </c>
      <c r="AC2779" t="s">
        <v>137</v>
      </c>
      <c r="AD2779" t="s">
        <v>477</v>
      </c>
    </row>
    <row r="2780" spans="1:30" x14ac:dyDescent="0.25">
      <c r="A2780" s="4">
        <v>42587</v>
      </c>
      <c r="B2780" t="s">
        <v>30</v>
      </c>
      <c r="C2780">
        <v>113</v>
      </c>
      <c r="D2780">
        <v>10</v>
      </c>
      <c r="E2780">
        <v>2</v>
      </c>
      <c r="F2780" t="s">
        <v>320</v>
      </c>
      <c r="G2780" t="s">
        <v>32</v>
      </c>
      <c r="H2780" t="s">
        <v>33</v>
      </c>
      <c r="I2780" t="s">
        <v>57</v>
      </c>
      <c r="O2780" s="5"/>
      <c r="P2780" s="5"/>
    </row>
    <row r="2781" spans="1:30" x14ac:dyDescent="0.25">
      <c r="A2781" s="4">
        <v>42587</v>
      </c>
      <c r="B2781" t="s">
        <v>30</v>
      </c>
      <c r="C2781">
        <v>402</v>
      </c>
      <c r="D2781">
        <v>1</v>
      </c>
      <c r="E2781">
        <v>2</v>
      </c>
      <c r="F2781" t="s">
        <v>320</v>
      </c>
      <c r="G2781" t="s">
        <v>32</v>
      </c>
      <c r="H2781" t="s">
        <v>33</v>
      </c>
      <c r="I2781" t="s">
        <v>58</v>
      </c>
      <c r="J2781" t="s">
        <v>35</v>
      </c>
      <c r="K2781" t="s">
        <v>36</v>
      </c>
      <c r="L2781" t="s">
        <v>43</v>
      </c>
      <c r="M2781">
        <v>0</v>
      </c>
      <c r="N2781">
        <v>0</v>
      </c>
      <c r="O2781" s="5" t="s">
        <v>478</v>
      </c>
      <c r="P2781" s="5"/>
      <c r="Q2781">
        <f>37-16.5</f>
        <v>20.5</v>
      </c>
      <c r="R2781" t="s">
        <v>47</v>
      </c>
      <c r="T2781">
        <v>17.5</v>
      </c>
      <c r="W2781">
        <v>12.8</v>
      </c>
      <c r="X2781">
        <v>27.4</v>
      </c>
      <c r="Z2781" t="s">
        <v>97</v>
      </c>
      <c r="AA2781" t="s">
        <v>199</v>
      </c>
      <c r="AB2781" t="s">
        <v>59</v>
      </c>
      <c r="AC2781" t="s">
        <v>137</v>
      </c>
    </row>
    <row r="2782" spans="1:30" x14ac:dyDescent="0.25">
      <c r="A2782" s="4">
        <v>42587</v>
      </c>
      <c r="B2782" t="s">
        <v>30</v>
      </c>
      <c r="C2782">
        <v>402</v>
      </c>
      <c r="D2782">
        <v>2</v>
      </c>
      <c r="E2782">
        <v>1</v>
      </c>
      <c r="F2782" t="s">
        <v>320</v>
      </c>
      <c r="G2782" t="s">
        <v>32</v>
      </c>
      <c r="H2782" t="s">
        <v>33</v>
      </c>
      <c r="I2782" t="s">
        <v>58</v>
      </c>
      <c r="J2782" t="s">
        <v>35</v>
      </c>
      <c r="K2782" t="s">
        <v>114</v>
      </c>
      <c r="L2782" t="s">
        <v>43</v>
      </c>
      <c r="M2782">
        <v>0</v>
      </c>
      <c r="N2782">
        <v>0</v>
      </c>
      <c r="O2782" s="5" t="s">
        <v>336</v>
      </c>
      <c r="P2782" s="5"/>
      <c r="Q2782">
        <f>34-15.5</f>
        <v>18.5</v>
      </c>
      <c r="R2782" t="s">
        <v>47</v>
      </c>
      <c r="Z2782" t="s">
        <v>97</v>
      </c>
      <c r="AA2782" t="s">
        <v>199</v>
      </c>
      <c r="AB2782" t="s">
        <v>59</v>
      </c>
      <c r="AC2782" t="s">
        <v>137</v>
      </c>
      <c r="AD2782" t="s">
        <v>479</v>
      </c>
    </row>
    <row r="2783" spans="1:30" x14ac:dyDescent="0.25">
      <c r="A2783" s="4">
        <v>42587</v>
      </c>
      <c r="B2783" t="s">
        <v>30</v>
      </c>
      <c r="C2783">
        <v>402</v>
      </c>
      <c r="D2783">
        <v>2</v>
      </c>
      <c r="E2783">
        <v>2</v>
      </c>
      <c r="F2783" t="s">
        <v>320</v>
      </c>
      <c r="G2783" t="s">
        <v>32</v>
      </c>
      <c r="H2783" t="s">
        <v>33</v>
      </c>
      <c r="I2783" t="s">
        <v>57</v>
      </c>
      <c r="O2783" s="5"/>
      <c r="P2783" s="5"/>
    </row>
    <row r="2784" spans="1:30" x14ac:dyDescent="0.25">
      <c r="A2784" s="4">
        <v>42587</v>
      </c>
      <c r="B2784" t="s">
        <v>30</v>
      </c>
      <c r="C2784">
        <v>402</v>
      </c>
      <c r="D2784">
        <v>3</v>
      </c>
      <c r="E2784">
        <v>1</v>
      </c>
      <c r="F2784" t="s">
        <v>320</v>
      </c>
      <c r="G2784" t="s">
        <v>32</v>
      </c>
      <c r="H2784" t="s">
        <v>33</v>
      </c>
      <c r="I2784" t="s">
        <v>57</v>
      </c>
      <c r="O2784" s="5"/>
      <c r="P2784" s="5"/>
    </row>
    <row r="2785" spans="1:30" x14ac:dyDescent="0.25">
      <c r="A2785" s="4">
        <v>42587</v>
      </c>
      <c r="B2785" t="s">
        <v>30</v>
      </c>
      <c r="C2785">
        <v>402</v>
      </c>
      <c r="D2785">
        <v>3</v>
      </c>
      <c r="E2785">
        <v>2</v>
      </c>
      <c r="F2785" t="s">
        <v>320</v>
      </c>
      <c r="G2785" t="s">
        <v>32</v>
      </c>
      <c r="H2785" t="s">
        <v>33</v>
      </c>
      <c r="I2785" t="s">
        <v>57</v>
      </c>
      <c r="O2785" s="5"/>
      <c r="P2785" s="5"/>
    </row>
    <row r="2786" spans="1:30" x14ac:dyDescent="0.25">
      <c r="A2786" s="4">
        <v>42587</v>
      </c>
      <c r="B2786" t="s">
        <v>30</v>
      </c>
      <c r="C2786">
        <v>402</v>
      </c>
      <c r="D2786">
        <v>4</v>
      </c>
      <c r="E2786">
        <v>1</v>
      </c>
      <c r="F2786" t="s">
        <v>320</v>
      </c>
      <c r="G2786" t="s">
        <v>32</v>
      </c>
      <c r="H2786" t="s">
        <v>33</v>
      </c>
      <c r="I2786" t="s">
        <v>57</v>
      </c>
      <c r="O2786" s="5"/>
      <c r="P2786" s="5"/>
    </row>
    <row r="2787" spans="1:30" x14ac:dyDescent="0.25">
      <c r="A2787" s="4">
        <v>42587</v>
      </c>
      <c r="B2787" t="s">
        <v>30</v>
      </c>
      <c r="C2787">
        <v>402</v>
      </c>
      <c r="D2787">
        <v>4</v>
      </c>
      <c r="E2787">
        <v>2</v>
      </c>
      <c r="F2787" t="s">
        <v>320</v>
      </c>
      <c r="G2787" t="s">
        <v>32</v>
      </c>
      <c r="H2787" t="s">
        <v>33</v>
      </c>
      <c r="I2787" t="s">
        <v>91</v>
      </c>
      <c r="J2787" t="s">
        <v>42</v>
      </c>
      <c r="K2787" t="s">
        <v>36</v>
      </c>
      <c r="L2787" t="s">
        <v>37</v>
      </c>
      <c r="M2787">
        <v>0</v>
      </c>
      <c r="N2787">
        <v>1</v>
      </c>
      <c r="O2787" s="5" t="s">
        <v>480</v>
      </c>
      <c r="P2787" s="5"/>
      <c r="Q2787">
        <f>49-13</f>
        <v>36</v>
      </c>
      <c r="R2787" t="s">
        <v>120</v>
      </c>
      <c r="S2787" t="s">
        <v>39</v>
      </c>
      <c r="T2787">
        <v>30.5</v>
      </c>
      <c r="W2787">
        <v>13.1</v>
      </c>
      <c r="X2787">
        <v>26.6</v>
      </c>
      <c r="Y2787" t="s">
        <v>481</v>
      </c>
      <c r="Z2787" t="s">
        <v>97</v>
      </c>
      <c r="AA2787" t="s">
        <v>199</v>
      </c>
      <c r="AB2787" t="s">
        <v>59</v>
      </c>
      <c r="AC2787" t="s">
        <v>137</v>
      </c>
    </row>
    <row r="2788" spans="1:30" x14ac:dyDescent="0.25">
      <c r="A2788" s="4">
        <v>42587</v>
      </c>
      <c r="B2788" t="s">
        <v>30</v>
      </c>
      <c r="C2788">
        <v>402</v>
      </c>
      <c r="D2788">
        <v>6</v>
      </c>
      <c r="E2788">
        <v>1</v>
      </c>
      <c r="F2788" t="s">
        <v>320</v>
      </c>
      <c r="G2788" t="s">
        <v>32</v>
      </c>
      <c r="H2788" t="s">
        <v>33</v>
      </c>
      <c r="I2788" t="s">
        <v>58</v>
      </c>
      <c r="J2788" t="s">
        <v>35</v>
      </c>
      <c r="K2788" t="s">
        <v>36</v>
      </c>
      <c r="L2788" t="s">
        <v>43</v>
      </c>
      <c r="M2788">
        <v>0</v>
      </c>
      <c r="N2788">
        <v>0</v>
      </c>
      <c r="O2788" s="5" t="s">
        <v>482</v>
      </c>
      <c r="P2788" s="5"/>
      <c r="Q2788">
        <f>41-16</f>
        <v>25</v>
      </c>
      <c r="R2788" t="s">
        <v>47</v>
      </c>
      <c r="T2788">
        <v>18</v>
      </c>
      <c r="W2788">
        <v>13.1</v>
      </c>
      <c r="Z2788" t="s">
        <v>97</v>
      </c>
      <c r="AA2788" t="s">
        <v>199</v>
      </c>
      <c r="AB2788" t="s">
        <v>59</v>
      </c>
      <c r="AC2788" t="s">
        <v>137</v>
      </c>
    </row>
    <row r="2789" spans="1:30" x14ac:dyDescent="0.25">
      <c r="A2789" s="4">
        <v>42587</v>
      </c>
      <c r="B2789" t="s">
        <v>30</v>
      </c>
      <c r="C2789">
        <v>402</v>
      </c>
      <c r="D2789">
        <v>7</v>
      </c>
      <c r="E2789">
        <v>1</v>
      </c>
      <c r="F2789" t="s">
        <v>320</v>
      </c>
      <c r="G2789" t="s">
        <v>32</v>
      </c>
      <c r="H2789" t="s">
        <v>33</v>
      </c>
      <c r="I2789" t="s">
        <v>64</v>
      </c>
      <c r="J2789" t="s">
        <v>35</v>
      </c>
      <c r="K2789" t="s">
        <v>89</v>
      </c>
      <c r="L2789" t="s">
        <v>37</v>
      </c>
      <c r="M2789">
        <v>0</v>
      </c>
      <c r="N2789">
        <v>0</v>
      </c>
      <c r="O2789" s="5" t="s">
        <v>482</v>
      </c>
      <c r="P2789" s="5"/>
      <c r="Q2789">
        <f>162-48</f>
        <v>114</v>
      </c>
      <c r="R2789" t="s">
        <v>38</v>
      </c>
      <c r="S2789" t="s">
        <v>39</v>
      </c>
      <c r="Z2789" t="s">
        <v>97</v>
      </c>
      <c r="AA2789" t="s">
        <v>199</v>
      </c>
      <c r="AB2789" t="s">
        <v>59</v>
      </c>
      <c r="AC2789" t="s">
        <v>137</v>
      </c>
    </row>
    <row r="2790" spans="1:30" x14ac:dyDescent="0.25">
      <c r="A2790" s="4">
        <v>42587</v>
      </c>
      <c r="B2790" t="s">
        <v>30</v>
      </c>
      <c r="C2790">
        <v>402</v>
      </c>
      <c r="D2790">
        <v>7</v>
      </c>
      <c r="E2790">
        <v>2</v>
      </c>
      <c r="F2790" t="s">
        <v>320</v>
      </c>
      <c r="G2790" t="s">
        <v>32</v>
      </c>
      <c r="H2790" t="s">
        <v>33</v>
      </c>
      <c r="I2790" t="s">
        <v>57</v>
      </c>
      <c r="O2790" s="5"/>
      <c r="P2790" s="5"/>
    </row>
    <row r="2791" spans="1:30" x14ac:dyDescent="0.25">
      <c r="A2791" s="4">
        <v>42587</v>
      </c>
      <c r="B2791" t="s">
        <v>30</v>
      </c>
      <c r="C2791">
        <v>402</v>
      </c>
      <c r="D2791">
        <v>9</v>
      </c>
      <c r="E2791">
        <v>1</v>
      </c>
      <c r="F2791" t="s">
        <v>320</v>
      </c>
      <c r="G2791" t="s">
        <v>32</v>
      </c>
      <c r="H2791" t="s">
        <v>33</v>
      </c>
      <c r="I2791" t="s">
        <v>91</v>
      </c>
      <c r="J2791" t="s">
        <v>42</v>
      </c>
      <c r="K2791" t="s">
        <v>114</v>
      </c>
      <c r="L2791" t="s">
        <v>43</v>
      </c>
      <c r="M2791">
        <v>0</v>
      </c>
      <c r="N2791">
        <v>1</v>
      </c>
      <c r="O2791" s="5" t="s">
        <v>483</v>
      </c>
      <c r="P2791" s="5"/>
      <c r="Q2791">
        <f>32-16</f>
        <v>16</v>
      </c>
      <c r="R2791" t="s">
        <v>47</v>
      </c>
      <c r="T2791">
        <v>30</v>
      </c>
      <c r="W2791">
        <v>12.7</v>
      </c>
      <c r="X2791">
        <v>25.7</v>
      </c>
      <c r="Z2791" t="s">
        <v>97</v>
      </c>
      <c r="AA2791" t="s">
        <v>199</v>
      </c>
      <c r="AB2791" t="s">
        <v>59</v>
      </c>
      <c r="AC2791" t="s">
        <v>137</v>
      </c>
    </row>
    <row r="2792" spans="1:30" x14ac:dyDescent="0.25">
      <c r="A2792" s="4">
        <v>42587</v>
      </c>
      <c r="B2792" t="s">
        <v>30</v>
      </c>
      <c r="C2792">
        <v>402</v>
      </c>
      <c r="D2792">
        <v>10</v>
      </c>
      <c r="E2792">
        <v>1</v>
      </c>
      <c r="F2792" t="s">
        <v>320</v>
      </c>
      <c r="G2792" t="s">
        <v>32</v>
      </c>
      <c r="H2792" t="s">
        <v>33</v>
      </c>
      <c r="I2792" t="s">
        <v>73</v>
      </c>
      <c r="J2792" t="s">
        <v>35</v>
      </c>
      <c r="K2792" t="s">
        <v>36</v>
      </c>
      <c r="L2792" t="s">
        <v>43</v>
      </c>
      <c r="M2792">
        <v>0</v>
      </c>
      <c r="N2792">
        <v>0</v>
      </c>
      <c r="O2792" s="5" t="s">
        <v>430</v>
      </c>
      <c r="P2792" s="5"/>
      <c r="Q2792">
        <f>130-46</f>
        <v>84</v>
      </c>
      <c r="R2792" t="s">
        <v>47</v>
      </c>
      <c r="T2792">
        <v>30.5</v>
      </c>
      <c r="Z2792" t="s">
        <v>97</v>
      </c>
      <c r="AA2792" t="s">
        <v>199</v>
      </c>
      <c r="AB2792" t="s">
        <v>59</v>
      </c>
      <c r="AC2792" t="s">
        <v>137</v>
      </c>
    </row>
    <row r="2793" spans="1:30" x14ac:dyDescent="0.25">
      <c r="A2793" s="4">
        <v>42588</v>
      </c>
      <c r="B2793" t="s">
        <v>30</v>
      </c>
      <c r="C2793">
        <v>111</v>
      </c>
      <c r="D2793">
        <v>3</v>
      </c>
      <c r="E2793">
        <v>1</v>
      </c>
      <c r="F2793" t="s">
        <v>31</v>
      </c>
      <c r="G2793" t="s">
        <v>32</v>
      </c>
      <c r="H2793" t="s">
        <v>33</v>
      </c>
      <c r="I2793" t="s">
        <v>34</v>
      </c>
      <c r="J2793" t="s">
        <v>35</v>
      </c>
      <c r="K2793" t="s">
        <v>114</v>
      </c>
      <c r="L2793" t="s">
        <v>43</v>
      </c>
      <c r="M2793">
        <v>0</v>
      </c>
      <c r="N2793">
        <v>0</v>
      </c>
      <c r="O2793" s="5" t="s">
        <v>377</v>
      </c>
      <c r="P2793" s="5" t="s">
        <v>484</v>
      </c>
      <c r="R2793" t="s">
        <v>47</v>
      </c>
      <c r="T2793">
        <v>19</v>
      </c>
      <c r="U2793">
        <v>16.5</v>
      </c>
      <c r="V2793">
        <v>89</v>
      </c>
      <c r="W2793">
        <v>13.5</v>
      </c>
      <c r="X2793">
        <v>27.2</v>
      </c>
      <c r="Z2793" t="s">
        <v>39</v>
      </c>
      <c r="AB2793" t="s">
        <v>87</v>
      </c>
      <c r="AC2793" t="s">
        <v>56</v>
      </c>
    </row>
    <row r="2794" spans="1:30" x14ac:dyDescent="0.25">
      <c r="A2794" s="4">
        <v>42588</v>
      </c>
      <c r="B2794" t="s">
        <v>30</v>
      </c>
      <c r="C2794">
        <v>111</v>
      </c>
      <c r="D2794">
        <v>5</v>
      </c>
      <c r="E2794">
        <v>1</v>
      </c>
      <c r="F2794" t="s">
        <v>31</v>
      </c>
      <c r="G2794" t="s">
        <v>32</v>
      </c>
      <c r="H2794" t="s">
        <v>33</v>
      </c>
      <c r="I2794" t="s">
        <v>34</v>
      </c>
      <c r="J2794" t="s">
        <v>42</v>
      </c>
      <c r="K2794" t="s">
        <v>89</v>
      </c>
      <c r="L2794" t="s">
        <v>43</v>
      </c>
      <c r="M2794">
        <v>0</v>
      </c>
      <c r="N2794">
        <v>1</v>
      </c>
      <c r="O2794" s="5" t="s">
        <v>485</v>
      </c>
      <c r="P2794" s="5" t="s">
        <v>486</v>
      </c>
      <c r="Q2794">
        <f>20.5-12.5</f>
        <v>8</v>
      </c>
      <c r="R2794" t="s">
        <v>65</v>
      </c>
      <c r="T2794">
        <v>17</v>
      </c>
      <c r="V2794">
        <v>16</v>
      </c>
      <c r="W2794">
        <v>11.5</v>
      </c>
      <c r="X2794">
        <v>23.4</v>
      </c>
      <c r="Z2794" t="s">
        <v>39</v>
      </c>
      <c r="AB2794" t="s">
        <v>87</v>
      </c>
      <c r="AC2794" t="s">
        <v>56</v>
      </c>
    </row>
    <row r="2795" spans="1:30" x14ac:dyDescent="0.25">
      <c r="A2795" s="4">
        <v>42588</v>
      </c>
      <c r="B2795" t="s">
        <v>30</v>
      </c>
      <c r="C2795">
        <v>111</v>
      </c>
      <c r="D2795">
        <v>5</v>
      </c>
      <c r="E2795">
        <v>2</v>
      </c>
      <c r="F2795" t="s">
        <v>31</v>
      </c>
      <c r="G2795" t="s">
        <v>32</v>
      </c>
      <c r="H2795" t="s">
        <v>33</v>
      </c>
      <c r="I2795" t="s">
        <v>34</v>
      </c>
      <c r="J2795" t="s">
        <v>35</v>
      </c>
      <c r="K2795" t="s">
        <v>36</v>
      </c>
      <c r="L2795" t="s">
        <v>37</v>
      </c>
      <c r="M2795">
        <v>0</v>
      </c>
      <c r="N2795">
        <v>0</v>
      </c>
      <c r="O2795" s="5" t="s">
        <v>444</v>
      </c>
      <c r="P2795" s="5" t="s">
        <v>445</v>
      </c>
      <c r="Q2795">
        <f>37.5-16</f>
        <v>21.5</v>
      </c>
      <c r="R2795" t="s">
        <v>74</v>
      </c>
      <c r="S2795" t="s">
        <v>97</v>
      </c>
      <c r="T2795">
        <v>19</v>
      </c>
      <c r="U2795">
        <v>88</v>
      </c>
      <c r="V2795">
        <v>15</v>
      </c>
      <c r="W2795">
        <v>13.5</v>
      </c>
      <c r="X2795">
        <v>27.2</v>
      </c>
      <c r="Z2795" t="s">
        <v>39</v>
      </c>
      <c r="AB2795" t="s">
        <v>87</v>
      </c>
      <c r="AC2795" t="s">
        <v>56</v>
      </c>
    </row>
    <row r="2796" spans="1:30" x14ac:dyDescent="0.25">
      <c r="A2796" s="4">
        <v>42588</v>
      </c>
      <c r="B2796" t="s">
        <v>30</v>
      </c>
      <c r="C2796">
        <v>111</v>
      </c>
      <c r="D2796">
        <v>9</v>
      </c>
      <c r="E2796">
        <v>1</v>
      </c>
      <c r="F2796" t="s">
        <v>31</v>
      </c>
      <c r="G2796" t="s">
        <v>32</v>
      </c>
      <c r="H2796" t="s">
        <v>33</v>
      </c>
      <c r="I2796" t="s">
        <v>34</v>
      </c>
      <c r="J2796" t="s">
        <v>42</v>
      </c>
      <c r="K2796" t="s">
        <v>114</v>
      </c>
      <c r="L2796" t="s">
        <v>43</v>
      </c>
      <c r="M2796">
        <v>0</v>
      </c>
      <c r="N2796">
        <v>1</v>
      </c>
      <c r="O2796" s="5" t="s">
        <v>487</v>
      </c>
      <c r="P2796" s="5" t="s">
        <v>488</v>
      </c>
      <c r="Q2796">
        <f>27.5-12.5</f>
        <v>15</v>
      </c>
      <c r="R2796" t="s">
        <v>65</v>
      </c>
      <c r="T2796">
        <v>19</v>
      </c>
      <c r="U2796">
        <v>91</v>
      </c>
      <c r="V2796">
        <v>19</v>
      </c>
      <c r="W2796">
        <v>12.85</v>
      </c>
      <c r="X2796">
        <v>25.1</v>
      </c>
      <c r="Z2796" t="s">
        <v>39</v>
      </c>
      <c r="AB2796" t="s">
        <v>87</v>
      </c>
      <c r="AC2796" t="s">
        <v>56</v>
      </c>
    </row>
    <row r="2797" spans="1:30" x14ac:dyDescent="0.25">
      <c r="A2797" s="4">
        <v>42588</v>
      </c>
      <c r="B2797" t="s">
        <v>30</v>
      </c>
      <c r="C2797">
        <v>112</v>
      </c>
      <c r="D2797">
        <v>2</v>
      </c>
      <c r="E2797">
        <v>1</v>
      </c>
      <c r="F2797" t="s">
        <v>31</v>
      </c>
      <c r="G2797" t="s">
        <v>32</v>
      </c>
      <c r="H2797" t="s">
        <v>33</v>
      </c>
      <c r="I2797" t="s">
        <v>91</v>
      </c>
      <c r="J2797" t="s">
        <v>35</v>
      </c>
      <c r="K2797" t="s">
        <v>36</v>
      </c>
      <c r="L2797" t="s">
        <v>43</v>
      </c>
      <c r="M2797">
        <v>0</v>
      </c>
      <c r="N2797">
        <v>0</v>
      </c>
      <c r="O2797" s="5" t="s">
        <v>322</v>
      </c>
      <c r="P2797" s="5"/>
      <c r="Q2797">
        <f>33-12.5</f>
        <v>20.5</v>
      </c>
      <c r="R2797" t="s">
        <v>47</v>
      </c>
      <c r="T2797">
        <v>28</v>
      </c>
      <c r="W2797">
        <v>12.85</v>
      </c>
      <c r="X2797">
        <v>25.3</v>
      </c>
      <c r="Z2797" t="s">
        <v>97</v>
      </c>
      <c r="AB2797" t="s">
        <v>87</v>
      </c>
      <c r="AC2797" t="s">
        <v>56</v>
      </c>
    </row>
    <row r="2798" spans="1:30" x14ac:dyDescent="0.25">
      <c r="A2798" s="4">
        <v>42588</v>
      </c>
      <c r="B2798" t="s">
        <v>30</v>
      </c>
      <c r="C2798">
        <v>112</v>
      </c>
      <c r="D2798">
        <v>3</v>
      </c>
      <c r="E2798">
        <v>1</v>
      </c>
      <c r="F2798" t="s">
        <v>31</v>
      </c>
      <c r="G2798" t="s">
        <v>32</v>
      </c>
      <c r="H2798" t="s">
        <v>33</v>
      </c>
      <c r="I2798" t="s">
        <v>34</v>
      </c>
      <c r="J2798" t="s">
        <v>62</v>
      </c>
      <c r="M2798">
        <v>0</v>
      </c>
      <c r="N2798">
        <v>0</v>
      </c>
      <c r="O2798" s="5" t="s">
        <v>489</v>
      </c>
      <c r="P2798" s="5" t="s">
        <v>490</v>
      </c>
      <c r="AB2798" t="s">
        <v>87</v>
      </c>
      <c r="AC2798" t="s">
        <v>56</v>
      </c>
      <c r="AD2798" t="s">
        <v>491</v>
      </c>
    </row>
    <row r="2799" spans="1:30" x14ac:dyDescent="0.25">
      <c r="A2799" s="4">
        <v>42588</v>
      </c>
      <c r="B2799" t="s">
        <v>30</v>
      </c>
      <c r="C2799">
        <v>112</v>
      </c>
      <c r="D2799">
        <v>3</v>
      </c>
      <c r="E2799">
        <v>2</v>
      </c>
      <c r="F2799" t="s">
        <v>31</v>
      </c>
      <c r="G2799" t="s">
        <v>32</v>
      </c>
      <c r="H2799" t="s">
        <v>33</v>
      </c>
      <c r="I2799" t="s">
        <v>34</v>
      </c>
      <c r="J2799" t="s">
        <v>35</v>
      </c>
      <c r="K2799" t="s">
        <v>36</v>
      </c>
      <c r="L2799" t="s">
        <v>37</v>
      </c>
      <c r="M2799">
        <v>0</v>
      </c>
      <c r="N2799">
        <v>0</v>
      </c>
      <c r="O2799" s="5" t="s">
        <v>489</v>
      </c>
      <c r="P2799" s="5" t="s">
        <v>490</v>
      </c>
      <c r="Q2799">
        <f>34-13</f>
        <v>21</v>
      </c>
      <c r="R2799" t="s">
        <v>74</v>
      </c>
      <c r="S2799" t="s">
        <v>97</v>
      </c>
      <c r="T2799">
        <v>18</v>
      </c>
      <c r="U2799">
        <v>91</v>
      </c>
      <c r="V2799">
        <v>18</v>
      </c>
      <c r="Z2799" t="s">
        <v>39</v>
      </c>
      <c r="AB2799" t="s">
        <v>87</v>
      </c>
      <c r="AC2799" t="s">
        <v>56</v>
      </c>
    </row>
    <row r="2800" spans="1:30" x14ac:dyDescent="0.25">
      <c r="A2800" s="4">
        <v>42588</v>
      </c>
      <c r="B2800" t="s">
        <v>30</v>
      </c>
      <c r="C2800">
        <v>112</v>
      </c>
      <c r="D2800">
        <v>5</v>
      </c>
      <c r="E2800">
        <v>1</v>
      </c>
      <c r="F2800" t="s">
        <v>31</v>
      </c>
      <c r="G2800" t="s">
        <v>32</v>
      </c>
      <c r="H2800" t="s">
        <v>33</v>
      </c>
      <c r="I2800" t="s">
        <v>91</v>
      </c>
      <c r="J2800" t="s">
        <v>35</v>
      </c>
      <c r="K2800" t="s">
        <v>114</v>
      </c>
      <c r="L2800" t="s">
        <v>43</v>
      </c>
      <c r="M2800">
        <v>0</v>
      </c>
      <c r="N2800">
        <v>0</v>
      </c>
      <c r="O2800" s="5" t="s">
        <v>389</v>
      </c>
      <c r="P2800" s="5"/>
      <c r="Q2800">
        <f>30-13</f>
        <v>17</v>
      </c>
      <c r="R2800" t="s">
        <v>47</v>
      </c>
      <c r="T2800">
        <v>30</v>
      </c>
      <c r="W2800">
        <v>12.5</v>
      </c>
      <c r="X2800">
        <v>23.35</v>
      </c>
      <c r="Z2800" t="s">
        <v>39</v>
      </c>
      <c r="AB2800" t="s">
        <v>87</v>
      </c>
      <c r="AC2800" t="s">
        <v>56</v>
      </c>
    </row>
    <row r="2801" spans="1:30" x14ac:dyDescent="0.25">
      <c r="A2801" s="4">
        <v>42588</v>
      </c>
      <c r="B2801" t="s">
        <v>30</v>
      </c>
      <c r="C2801">
        <v>112</v>
      </c>
      <c r="D2801">
        <v>5</v>
      </c>
      <c r="E2801">
        <v>2</v>
      </c>
      <c r="F2801" t="s">
        <v>31</v>
      </c>
      <c r="G2801" t="s">
        <v>32</v>
      </c>
      <c r="H2801" t="s">
        <v>33</v>
      </c>
      <c r="I2801" t="s">
        <v>34</v>
      </c>
      <c r="J2801" t="s">
        <v>35</v>
      </c>
      <c r="K2801" t="s">
        <v>36</v>
      </c>
      <c r="L2801" t="s">
        <v>43</v>
      </c>
      <c r="M2801">
        <v>0</v>
      </c>
      <c r="N2801">
        <v>0</v>
      </c>
      <c r="O2801" s="5" t="s">
        <v>454</v>
      </c>
      <c r="P2801" s="5" t="s">
        <v>455</v>
      </c>
      <c r="Q2801">
        <f>33-14</f>
        <v>19</v>
      </c>
      <c r="R2801" t="s">
        <v>47</v>
      </c>
      <c r="T2801">
        <v>20</v>
      </c>
      <c r="U2801">
        <v>95</v>
      </c>
      <c r="V2801">
        <v>14</v>
      </c>
      <c r="W2801">
        <v>13.2</v>
      </c>
      <c r="X2801">
        <v>26.6</v>
      </c>
      <c r="Y2801" t="s">
        <v>492</v>
      </c>
      <c r="Z2801" t="s">
        <v>39</v>
      </c>
      <c r="AB2801" t="s">
        <v>87</v>
      </c>
      <c r="AC2801" t="s">
        <v>56</v>
      </c>
    </row>
    <row r="2802" spans="1:30" x14ac:dyDescent="0.25">
      <c r="A2802" s="4">
        <v>42588</v>
      </c>
      <c r="B2802" t="s">
        <v>30</v>
      </c>
      <c r="C2802">
        <v>112</v>
      </c>
      <c r="D2802">
        <v>6</v>
      </c>
      <c r="E2802">
        <v>2</v>
      </c>
      <c r="F2802" t="s">
        <v>31</v>
      </c>
      <c r="G2802" t="s">
        <v>32</v>
      </c>
      <c r="H2802" t="s">
        <v>33</v>
      </c>
      <c r="I2802" t="s">
        <v>91</v>
      </c>
      <c r="J2802" t="s">
        <v>35</v>
      </c>
      <c r="K2802" t="s">
        <v>36</v>
      </c>
      <c r="L2802" t="s">
        <v>43</v>
      </c>
      <c r="M2802">
        <v>0</v>
      </c>
      <c r="N2802">
        <v>0</v>
      </c>
      <c r="O2802" s="5" t="s">
        <v>396</v>
      </c>
      <c r="P2802" s="5"/>
      <c r="Q2802">
        <f>32-12</f>
        <v>20</v>
      </c>
      <c r="R2802" t="s">
        <v>47</v>
      </c>
      <c r="T2802">
        <v>29</v>
      </c>
      <c r="W2802">
        <v>12.7</v>
      </c>
      <c r="X2802">
        <v>25.3</v>
      </c>
      <c r="Z2802" t="s">
        <v>39</v>
      </c>
      <c r="AB2802" t="s">
        <v>87</v>
      </c>
      <c r="AC2802" t="s">
        <v>56</v>
      </c>
    </row>
    <row r="2803" spans="1:30" x14ac:dyDescent="0.25">
      <c r="A2803" s="4">
        <v>42588</v>
      </c>
      <c r="B2803" t="s">
        <v>30</v>
      </c>
      <c r="C2803">
        <v>112</v>
      </c>
      <c r="D2803">
        <v>7</v>
      </c>
      <c r="E2803">
        <v>1</v>
      </c>
      <c r="F2803" t="s">
        <v>31</v>
      </c>
      <c r="G2803" t="s">
        <v>32</v>
      </c>
      <c r="H2803" t="s">
        <v>33</v>
      </c>
      <c r="I2803" t="s">
        <v>57</v>
      </c>
      <c r="O2803" s="5"/>
      <c r="P2803" s="5"/>
    </row>
    <row r="2804" spans="1:30" x14ac:dyDescent="0.25">
      <c r="A2804" s="4">
        <v>42588</v>
      </c>
      <c r="B2804" t="s">
        <v>30</v>
      </c>
      <c r="C2804">
        <v>112</v>
      </c>
      <c r="D2804">
        <v>8</v>
      </c>
      <c r="E2804">
        <v>1</v>
      </c>
      <c r="F2804" t="s">
        <v>31</v>
      </c>
      <c r="G2804" t="s">
        <v>32</v>
      </c>
      <c r="H2804" t="s">
        <v>33</v>
      </c>
      <c r="I2804" t="s">
        <v>91</v>
      </c>
      <c r="J2804" t="s">
        <v>35</v>
      </c>
      <c r="K2804" t="s">
        <v>36</v>
      </c>
      <c r="L2804" t="s">
        <v>37</v>
      </c>
      <c r="M2804">
        <v>0</v>
      </c>
      <c r="N2804">
        <v>0</v>
      </c>
      <c r="O2804" s="5" t="s">
        <v>388</v>
      </c>
      <c r="P2804" s="5"/>
      <c r="Q2804">
        <f>35-13</f>
        <v>22</v>
      </c>
      <c r="R2804" t="s">
        <v>74</v>
      </c>
      <c r="S2804" t="s">
        <v>97</v>
      </c>
      <c r="T2804">
        <v>27</v>
      </c>
      <c r="W2804">
        <v>13.15</v>
      </c>
      <c r="X2804">
        <v>25.4</v>
      </c>
      <c r="Z2804" t="s">
        <v>97</v>
      </c>
      <c r="AB2804" t="s">
        <v>87</v>
      </c>
      <c r="AC2804" t="s">
        <v>56</v>
      </c>
    </row>
    <row r="2805" spans="1:30" x14ac:dyDescent="0.25">
      <c r="A2805" s="4">
        <v>42588</v>
      </c>
      <c r="B2805" t="s">
        <v>30</v>
      </c>
      <c r="C2805">
        <v>112</v>
      </c>
      <c r="D2805">
        <v>9</v>
      </c>
      <c r="E2805">
        <v>1</v>
      </c>
      <c r="F2805" t="s">
        <v>31</v>
      </c>
      <c r="G2805" t="s">
        <v>32</v>
      </c>
      <c r="H2805" t="s">
        <v>33</v>
      </c>
      <c r="I2805" t="s">
        <v>91</v>
      </c>
      <c r="J2805" t="s">
        <v>35</v>
      </c>
      <c r="K2805" t="s">
        <v>114</v>
      </c>
      <c r="L2805" t="s">
        <v>37</v>
      </c>
      <c r="M2805">
        <v>0</v>
      </c>
      <c r="N2805">
        <v>0</v>
      </c>
      <c r="O2805" s="5" t="s">
        <v>325</v>
      </c>
      <c r="P2805" s="5"/>
      <c r="Q2805">
        <f>30-13</f>
        <v>17</v>
      </c>
      <c r="R2805" t="s">
        <v>38</v>
      </c>
      <c r="S2805" t="s">
        <v>39</v>
      </c>
      <c r="T2805">
        <v>27</v>
      </c>
      <c r="W2805">
        <v>12.5</v>
      </c>
      <c r="X2805">
        <v>24.5</v>
      </c>
      <c r="Z2805" t="s">
        <v>39</v>
      </c>
      <c r="AB2805" t="s">
        <v>87</v>
      </c>
      <c r="AC2805" t="s">
        <v>56</v>
      </c>
    </row>
    <row r="2806" spans="1:30" x14ac:dyDescent="0.25">
      <c r="A2806" s="4">
        <v>42588</v>
      </c>
      <c r="B2806" t="s">
        <v>30</v>
      </c>
      <c r="C2806">
        <v>112</v>
      </c>
      <c r="D2806">
        <v>9</v>
      </c>
      <c r="E2806">
        <v>2</v>
      </c>
      <c r="F2806" t="s">
        <v>31</v>
      </c>
      <c r="G2806" t="s">
        <v>32</v>
      </c>
      <c r="H2806" t="s">
        <v>33</v>
      </c>
      <c r="I2806" t="s">
        <v>34</v>
      </c>
      <c r="J2806" t="s">
        <v>35</v>
      </c>
      <c r="K2806" t="s">
        <v>36</v>
      </c>
      <c r="L2806" t="s">
        <v>43</v>
      </c>
      <c r="M2806">
        <v>0</v>
      </c>
      <c r="N2806">
        <v>0</v>
      </c>
      <c r="O2806" s="5" t="s">
        <v>401</v>
      </c>
      <c r="P2806" s="5" t="s">
        <v>402</v>
      </c>
      <c r="Q2806">
        <f>35-13</f>
        <v>22</v>
      </c>
      <c r="R2806" t="s">
        <v>47</v>
      </c>
      <c r="T2806">
        <v>19</v>
      </c>
      <c r="U2806">
        <v>85</v>
      </c>
      <c r="V2806">
        <v>14</v>
      </c>
      <c r="W2806">
        <v>12.6</v>
      </c>
      <c r="X2806">
        <v>25.5</v>
      </c>
      <c r="Z2806" t="s">
        <v>39</v>
      </c>
      <c r="AB2806" t="s">
        <v>87</v>
      </c>
      <c r="AC2806" t="s">
        <v>56</v>
      </c>
    </row>
    <row r="2807" spans="1:30" x14ac:dyDescent="0.25">
      <c r="A2807" s="4">
        <v>42588</v>
      </c>
      <c r="B2807" t="s">
        <v>30</v>
      </c>
      <c r="C2807">
        <v>112</v>
      </c>
      <c r="D2807">
        <v>10</v>
      </c>
      <c r="E2807">
        <v>2</v>
      </c>
      <c r="F2807" t="s">
        <v>31</v>
      </c>
      <c r="G2807" t="s">
        <v>32</v>
      </c>
      <c r="H2807" t="s">
        <v>33</v>
      </c>
      <c r="I2807" t="s">
        <v>34</v>
      </c>
      <c r="J2807" t="s">
        <v>35</v>
      </c>
      <c r="K2807" t="s">
        <v>89</v>
      </c>
      <c r="L2807" t="s">
        <v>43</v>
      </c>
      <c r="M2807">
        <v>0</v>
      </c>
      <c r="N2807">
        <v>0</v>
      </c>
      <c r="O2807" s="5" t="s">
        <v>493</v>
      </c>
      <c r="P2807" s="5" t="s">
        <v>494</v>
      </c>
      <c r="Q2807">
        <v>13</v>
      </c>
      <c r="R2807" t="s">
        <v>65</v>
      </c>
      <c r="T2807">
        <v>18</v>
      </c>
      <c r="V2807">
        <v>13</v>
      </c>
      <c r="W2807">
        <v>12.5</v>
      </c>
      <c r="X2807">
        <v>25.75</v>
      </c>
      <c r="Z2807" t="s">
        <v>39</v>
      </c>
      <c r="AB2807" t="s">
        <v>87</v>
      </c>
      <c r="AC2807" t="s">
        <v>56</v>
      </c>
    </row>
    <row r="2808" spans="1:30" x14ac:dyDescent="0.25">
      <c r="A2808" s="4">
        <v>42588</v>
      </c>
      <c r="B2808" t="s">
        <v>30</v>
      </c>
      <c r="C2808">
        <v>113</v>
      </c>
      <c r="D2808">
        <v>1</v>
      </c>
      <c r="E2808">
        <v>2</v>
      </c>
      <c r="F2808" t="s">
        <v>31</v>
      </c>
      <c r="G2808" t="s">
        <v>32</v>
      </c>
      <c r="H2808" t="s">
        <v>33</v>
      </c>
      <c r="I2808" t="s">
        <v>34</v>
      </c>
      <c r="J2808" t="s">
        <v>35</v>
      </c>
      <c r="K2808" t="s">
        <v>89</v>
      </c>
      <c r="L2808" t="s">
        <v>37</v>
      </c>
      <c r="M2808">
        <v>0</v>
      </c>
      <c r="N2808">
        <v>0</v>
      </c>
      <c r="O2808" s="5" t="s">
        <v>495</v>
      </c>
      <c r="P2808" s="5" t="s">
        <v>496</v>
      </c>
      <c r="Q2808">
        <f>34-18</f>
        <v>16</v>
      </c>
      <c r="R2808" t="s">
        <v>38</v>
      </c>
      <c r="S2808" t="s">
        <v>39</v>
      </c>
      <c r="T2808">
        <v>20</v>
      </c>
      <c r="V2808">
        <v>17</v>
      </c>
      <c r="W2808">
        <v>13</v>
      </c>
      <c r="X2808">
        <v>25.5</v>
      </c>
      <c r="Z2808" t="s">
        <v>39</v>
      </c>
      <c r="AB2808" t="s">
        <v>87</v>
      </c>
      <c r="AC2808" t="s">
        <v>56</v>
      </c>
    </row>
    <row r="2809" spans="1:30" x14ac:dyDescent="0.25">
      <c r="A2809" s="4">
        <v>42588</v>
      </c>
      <c r="B2809" t="s">
        <v>30</v>
      </c>
      <c r="C2809">
        <v>113</v>
      </c>
      <c r="D2809">
        <v>2</v>
      </c>
      <c r="E2809">
        <v>1</v>
      </c>
      <c r="F2809" t="s">
        <v>31</v>
      </c>
      <c r="G2809" t="s">
        <v>32</v>
      </c>
      <c r="H2809" t="s">
        <v>33</v>
      </c>
      <c r="I2809" t="s">
        <v>34</v>
      </c>
      <c r="J2809" t="s">
        <v>35</v>
      </c>
      <c r="K2809" t="s">
        <v>89</v>
      </c>
      <c r="L2809" t="s">
        <v>37</v>
      </c>
      <c r="M2809">
        <v>0</v>
      </c>
      <c r="N2809">
        <v>0</v>
      </c>
      <c r="O2809" s="5" t="s">
        <v>405</v>
      </c>
      <c r="P2809" s="5" t="s">
        <v>406</v>
      </c>
      <c r="Q2809">
        <f>25.5-15.5</f>
        <v>10</v>
      </c>
      <c r="R2809" t="s">
        <v>38</v>
      </c>
      <c r="S2809" t="s">
        <v>39</v>
      </c>
      <c r="T2809">
        <v>17</v>
      </c>
      <c r="V2809">
        <v>17</v>
      </c>
      <c r="W2809">
        <v>12</v>
      </c>
      <c r="X2809">
        <v>25.2</v>
      </c>
      <c r="Z2809" t="s">
        <v>39</v>
      </c>
      <c r="AB2809" t="s">
        <v>87</v>
      </c>
      <c r="AC2809" t="s">
        <v>56</v>
      </c>
    </row>
    <row r="2810" spans="1:30" x14ac:dyDescent="0.25">
      <c r="A2810" s="4">
        <v>42588</v>
      </c>
      <c r="B2810" t="s">
        <v>30</v>
      </c>
      <c r="C2810">
        <v>113</v>
      </c>
      <c r="D2810">
        <v>3</v>
      </c>
      <c r="E2810">
        <v>2</v>
      </c>
      <c r="F2810" t="s">
        <v>31</v>
      </c>
      <c r="G2810" t="s">
        <v>32</v>
      </c>
      <c r="H2810" t="s">
        <v>33</v>
      </c>
      <c r="I2810" t="s">
        <v>73</v>
      </c>
      <c r="J2810" t="s">
        <v>35</v>
      </c>
      <c r="K2810" t="s">
        <v>89</v>
      </c>
      <c r="L2810" t="s">
        <v>43</v>
      </c>
      <c r="M2810">
        <v>0</v>
      </c>
      <c r="N2810">
        <v>0</v>
      </c>
      <c r="O2810" s="5" t="s">
        <v>471</v>
      </c>
      <c r="P2810" s="5"/>
      <c r="Q2810">
        <f>175-90</f>
        <v>85</v>
      </c>
      <c r="R2810" t="s">
        <v>65</v>
      </c>
      <c r="T2810">
        <v>29</v>
      </c>
      <c r="W2810">
        <v>21.8</v>
      </c>
      <c r="X2810">
        <v>44.5</v>
      </c>
      <c r="Z2810" t="s">
        <v>39</v>
      </c>
      <c r="AB2810" t="s">
        <v>87</v>
      </c>
      <c r="AC2810" t="s">
        <v>56</v>
      </c>
      <c r="AD2810" t="s">
        <v>497</v>
      </c>
    </row>
    <row r="2811" spans="1:30" x14ac:dyDescent="0.25">
      <c r="A2811" s="4">
        <v>42588</v>
      </c>
      <c r="B2811" t="s">
        <v>30</v>
      </c>
      <c r="C2811">
        <v>113</v>
      </c>
      <c r="D2811">
        <v>4</v>
      </c>
      <c r="E2811">
        <v>1</v>
      </c>
      <c r="F2811" t="s">
        <v>31</v>
      </c>
      <c r="G2811" t="s">
        <v>32</v>
      </c>
      <c r="H2811" t="s">
        <v>33</v>
      </c>
      <c r="I2811" t="s">
        <v>34</v>
      </c>
      <c r="J2811" t="s">
        <v>35</v>
      </c>
      <c r="K2811" t="s">
        <v>114</v>
      </c>
      <c r="L2811" t="s">
        <v>37</v>
      </c>
      <c r="M2811">
        <v>0</v>
      </c>
      <c r="N2811">
        <v>0</v>
      </c>
      <c r="O2811" s="5" t="s">
        <v>409</v>
      </c>
      <c r="P2811" s="5" t="s">
        <v>410</v>
      </c>
      <c r="Q2811">
        <f>39-17</f>
        <v>22</v>
      </c>
      <c r="R2811" t="s">
        <v>143</v>
      </c>
      <c r="S2811" t="s">
        <v>97</v>
      </c>
      <c r="T2811">
        <v>17</v>
      </c>
      <c r="U2811">
        <v>86</v>
      </c>
      <c r="V2811">
        <v>16</v>
      </c>
      <c r="W2811">
        <v>13.1</v>
      </c>
      <c r="X2811">
        <v>27</v>
      </c>
      <c r="Z2811" t="s">
        <v>39</v>
      </c>
      <c r="AB2811" t="s">
        <v>87</v>
      </c>
      <c r="AC2811" t="s">
        <v>56</v>
      </c>
    </row>
    <row r="2812" spans="1:30" x14ac:dyDescent="0.25">
      <c r="A2812" s="4">
        <v>42588</v>
      </c>
      <c r="B2812" t="s">
        <v>30</v>
      </c>
      <c r="C2812">
        <v>113</v>
      </c>
      <c r="D2812">
        <v>4</v>
      </c>
      <c r="E2812">
        <v>2</v>
      </c>
      <c r="F2812" t="s">
        <v>31</v>
      </c>
      <c r="G2812" t="s">
        <v>32</v>
      </c>
      <c r="H2812" t="s">
        <v>33</v>
      </c>
      <c r="I2812" t="s">
        <v>34</v>
      </c>
      <c r="J2812" t="s">
        <v>35</v>
      </c>
      <c r="K2812" t="s">
        <v>36</v>
      </c>
      <c r="L2812" t="s">
        <v>43</v>
      </c>
      <c r="M2812">
        <v>0</v>
      </c>
      <c r="N2812">
        <v>0</v>
      </c>
      <c r="O2812" s="5" t="s">
        <v>468</v>
      </c>
      <c r="P2812" s="5" t="s">
        <v>469</v>
      </c>
      <c r="Q2812">
        <f>30-12.5</f>
        <v>17.5</v>
      </c>
      <c r="R2812" t="s">
        <v>47</v>
      </c>
      <c r="T2812">
        <v>20</v>
      </c>
      <c r="U2812">
        <v>86</v>
      </c>
      <c r="V2812">
        <v>17</v>
      </c>
      <c r="W2812">
        <v>13.3</v>
      </c>
      <c r="X2812">
        <v>26.4</v>
      </c>
      <c r="Z2812" t="s">
        <v>39</v>
      </c>
      <c r="AB2812" t="s">
        <v>87</v>
      </c>
      <c r="AC2812" t="s">
        <v>56</v>
      </c>
    </row>
    <row r="2813" spans="1:30" x14ac:dyDescent="0.25">
      <c r="A2813" s="4">
        <v>42588</v>
      </c>
      <c r="B2813" t="s">
        <v>30</v>
      </c>
      <c r="C2813">
        <v>113</v>
      </c>
      <c r="D2813">
        <v>6</v>
      </c>
      <c r="E2813">
        <v>1</v>
      </c>
      <c r="F2813" t="s">
        <v>31</v>
      </c>
      <c r="G2813" t="s">
        <v>32</v>
      </c>
      <c r="H2813" t="s">
        <v>33</v>
      </c>
      <c r="I2813" t="s">
        <v>57</v>
      </c>
      <c r="O2813" s="5"/>
      <c r="P2813" s="5"/>
    </row>
    <row r="2814" spans="1:30" x14ac:dyDescent="0.25">
      <c r="A2814" s="4">
        <v>42588</v>
      </c>
      <c r="B2814" t="s">
        <v>30</v>
      </c>
      <c r="C2814">
        <v>113</v>
      </c>
      <c r="D2814">
        <v>6</v>
      </c>
      <c r="E2814">
        <v>2</v>
      </c>
      <c r="F2814" t="s">
        <v>31</v>
      </c>
      <c r="G2814" t="s">
        <v>32</v>
      </c>
      <c r="H2814" t="s">
        <v>33</v>
      </c>
      <c r="I2814" t="s">
        <v>34</v>
      </c>
      <c r="J2814" t="s">
        <v>35</v>
      </c>
      <c r="K2814" t="s">
        <v>114</v>
      </c>
      <c r="L2814" t="s">
        <v>37</v>
      </c>
      <c r="M2814">
        <v>0</v>
      </c>
      <c r="N2814">
        <v>0</v>
      </c>
      <c r="O2814" s="5" t="s">
        <v>419</v>
      </c>
      <c r="P2814" s="5" t="s">
        <v>420</v>
      </c>
      <c r="R2814" t="s">
        <v>38</v>
      </c>
      <c r="T2814">
        <v>17</v>
      </c>
      <c r="U2814">
        <v>76</v>
      </c>
      <c r="V2814">
        <v>19</v>
      </c>
      <c r="W2814">
        <v>12.5</v>
      </c>
      <c r="X2814">
        <v>24.6</v>
      </c>
      <c r="Z2814" t="s">
        <v>39</v>
      </c>
      <c r="AB2814" t="s">
        <v>87</v>
      </c>
      <c r="AC2814" t="s">
        <v>56</v>
      </c>
    </row>
    <row r="2815" spans="1:30" x14ac:dyDescent="0.25">
      <c r="A2815" s="4">
        <v>42588</v>
      </c>
      <c r="B2815" t="s">
        <v>30</v>
      </c>
      <c r="C2815">
        <v>113</v>
      </c>
      <c r="D2815">
        <v>8</v>
      </c>
      <c r="E2815">
        <v>1</v>
      </c>
      <c r="F2815" t="s">
        <v>31</v>
      </c>
      <c r="G2815" t="s">
        <v>32</v>
      </c>
      <c r="H2815" t="s">
        <v>33</v>
      </c>
      <c r="I2815" t="s">
        <v>53</v>
      </c>
      <c r="J2815" t="s">
        <v>62</v>
      </c>
      <c r="O2815" s="5"/>
      <c r="P2815" s="5"/>
      <c r="AB2815" t="s">
        <v>87</v>
      </c>
      <c r="AC2815" t="s">
        <v>56</v>
      </c>
    </row>
    <row r="2816" spans="1:30" x14ac:dyDescent="0.25">
      <c r="A2816" s="4">
        <v>42588</v>
      </c>
      <c r="B2816" t="s">
        <v>30</v>
      </c>
      <c r="C2816">
        <v>113</v>
      </c>
      <c r="D2816">
        <v>8</v>
      </c>
      <c r="E2816">
        <v>2</v>
      </c>
      <c r="F2816" t="s">
        <v>31</v>
      </c>
      <c r="G2816" t="s">
        <v>32</v>
      </c>
      <c r="H2816" t="s">
        <v>33</v>
      </c>
      <c r="I2816" t="s">
        <v>73</v>
      </c>
      <c r="J2816" t="s">
        <v>35</v>
      </c>
      <c r="K2816" t="s">
        <v>89</v>
      </c>
      <c r="L2816" t="s">
        <v>37</v>
      </c>
      <c r="M2816">
        <v>0</v>
      </c>
      <c r="N2816">
        <v>0</v>
      </c>
      <c r="O2816" s="5" t="s">
        <v>498</v>
      </c>
      <c r="P2816" s="5"/>
      <c r="Q2816">
        <f>175-90</f>
        <v>85</v>
      </c>
      <c r="R2816" t="s">
        <v>38</v>
      </c>
      <c r="S2816" t="s">
        <v>39</v>
      </c>
      <c r="T2816">
        <v>33</v>
      </c>
      <c r="W2816">
        <v>21.3</v>
      </c>
      <c r="X2816">
        <v>42.8</v>
      </c>
      <c r="Z2816" t="s">
        <v>39</v>
      </c>
      <c r="AB2816" t="s">
        <v>87</v>
      </c>
      <c r="AC2816" t="s">
        <v>56</v>
      </c>
    </row>
    <row r="2817" spans="1:30" x14ac:dyDescent="0.25">
      <c r="A2817" s="4">
        <v>42588</v>
      </c>
      <c r="B2817" t="s">
        <v>30</v>
      </c>
      <c r="C2817">
        <v>113</v>
      </c>
      <c r="D2817">
        <v>10</v>
      </c>
      <c r="E2817">
        <v>1</v>
      </c>
      <c r="F2817" t="s">
        <v>31</v>
      </c>
      <c r="G2817" t="s">
        <v>32</v>
      </c>
      <c r="H2817" t="s">
        <v>33</v>
      </c>
      <c r="I2817" t="s">
        <v>34</v>
      </c>
      <c r="J2817" t="s">
        <v>42</v>
      </c>
      <c r="K2817" t="s">
        <v>89</v>
      </c>
      <c r="L2817" t="s">
        <v>43</v>
      </c>
      <c r="M2817">
        <v>0</v>
      </c>
      <c r="N2817">
        <v>1</v>
      </c>
      <c r="O2817" s="5" t="s">
        <v>499</v>
      </c>
      <c r="P2817" s="5" t="s">
        <v>500</v>
      </c>
      <c r="Q2817">
        <f>27.5-13</f>
        <v>14.5</v>
      </c>
      <c r="R2817" t="s">
        <v>65</v>
      </c>
      <c r="T2817">
        <v>18</v>
      </c>
      <c r="U2817">
        <v>80</v>
      </c>
      <c r="V2817">
        <v>15</v>
      </c>
      <c r="W2817">
        <v>13</v>
      </c>
      <c r="X2817">
        <v>22</v>
      </c>
      <c r="Z2817" t="s">
        <v>39</v>
      </c>
      <c r="AB2817" t="s">
        <v>87</v>
      </c>
      <c r="AC2817" t="s">
        <v>56</v>
      </c>
    </row>
    <row r="2818" spans="1:30" x14ac:dyDescent="0.25">
      <c r="A2818" s="4">
        <v>42588</v>
      </c>
      <c r="B2818" t="s">
        <v>30</v>
      </c>
      <c r="C2818">
        <v>402</v>
      </c>
      <c r="D2818">
        <v>1</v>
      </c>
      <c r="E2818">
        <v>1</v>
      </c>
      <c r="F2818" t="s">
        <v>31</v>
      </c>
      <c r="G2818" t="s">
        <v>32</v>
      </c>
      <c r="H2818" t="s">
        <v>33</v>
      </c>
      <c r="I2818" t="s">
        <v>58</v>
      </c>
      <c r="J2818" t="s">
        <v>35</v>
      </c>
      <c r="K2818" t="s">
        <v>114</v>
      </c>
      <c r="L2818" t="s">
        <v>43</v>
      </c>
      <c r="M2818">
        <v>0</v>
      </c>
      <c r="N2818">
        <v>0</v>
      </c>
      <c r="O2818" s="5" t="s">
        <v>336</v>
      </c>
      <c r="P2818" s="5"/>
      <c r="Q2818">
        <f>33-13</f>
        <v>20</v>
      </c>
      <c r="R2818" t="s">
        <v>65</v>
      </c>
      <c r="T2818">
        <v>17.5</v>
      </c>
      <c r="W2818">
        <v>13.55</v>
      </c>
      <c r="X2818">
        <v>28.7</v>
      </c>
      <c r="Z2818" t="s">
        <v>97</v>
      </c>
      <c r="AB2818" t="s">
        <v>87</v>
      </c>
      <c r="AC2818" t="s">
        <v>56</v>
      </c>
    </row>
    <row r="2819" spans="1:30" x14ac:dyDescent="0.25">
      <c r="A2819" s="4">
        <v>42588</v>
      </c>
      <c r="B2819" t="s">
        <v>30</v>
      </c>
      <c r="C2819">
        <v>402</v>
      </c>
      <c r="D2819">
        <v>3</v>
      </c>
      <c r="E2819">
        <v>1</v>
      </c>
      <c r="F2819" t="s">
        <v>31</v>
      </c>
      <c r="G2819" t="s">
        <v>32</v>
      </c>
      <c r="H2819" t="s">
        <v>33</v>
      </c>
      <c r="I2819" t="s">
        <v>57</v>
      </c>
      <c r="O2819" s="5"/>
      <c r="P2819" s="5"/>
    </row>
    <row r="2820" spans="1:30" x14ac:dyDescent="0.25">
      <c r="A2820" s="4">
        <v>42588</v>
      </c>
      <c r="B2820" t="s">
        <v>30</v>
      </c>
      <c r="C2820">
        <v>402</v>
      </c>
      <c r="D2820">
        <v>4</v>
      </c>
      <c r="E2820">
        <v>1</v>
      </c>
      <c r="F2820" t="s">
        <v>31</v>
      </c>
      <c r="G2820" t="s">
        <v>32</v>
      </c>
      <c r="H2820" t="s">
        <v>33</v>
      </c>
      <c r="I2820" t="s">
        <v>58</v>
      </c>
      <c r="J2820" t="s">
        <v>35</v>
      </c>
      <c r="K2820" t="s">
        <v>36</v>
      </c>
      <c r="L2820" t="s">
        <v>43</v>
      </c>
      <c r="M2820">
        <v>0</v>
      </c>
      <c r="N2820">
        <v>0</v>
      </c>
      <c r="O2820" s="5" t="s">
        <v>501</v>
      </c>
      <c r="P2820" s="5"/>
      <c r="Q2820">
        <f>38-14</f>
        <v>24</v>
      </c>
      <c r="R2820" t="s">
        <v>65</v>
      </c>
      <c r="T2820">
        <v>18</v>
      </c>
      <c r="W2820">
        <v>12.5</v>
      </c>
      <c r="X2820">
        <v>26.8</v>
      </c>
      <c r="Z2820" t="s">
        <v>97</v>
      </c>
      <c r="AB2820" t="s">
        <v>87</v>
      </c>
      <c r="AC2820" t="s">
        <v>56</v>
      </c>
      <c r="AD2820" t="s">
        <v>502</v>
      </c>
    </row>
    <row r="2821" spans="1:30" x14ac:dyDescent="0.25">
      <c r="A2821" s="4">
        <v>42588</v>
      </c>
      <c r="B2821" t="s">
        <v>30</v>
      </c>
      <c r="C2821">
        <v>402</v>
      </c>
      <c r="D2821">
        <v>9</v>
      </c>
      <c r="E2821">
        <v>1</v>
      </c>
      <c r="F2821" t="s">
        <v>31</v>
      </c>
      <c r="G2821" t="s">
        <v>32</v>
      </c>
      <c r="H2821" t="s">
        <v>33</v>
      </c>
      <c r="I2821" t="s">
        <v>73</v>
      </c>
      <c r="J2821" t="s">
        <v>35</v>
      </c>
      <c r="K2821" t="s">
        <v>89</v>
      </c>
      <c r="L2821" t="s">
        <v>43</v>
      </c>
      <c r="M2821">
        <v>0</v>
      </c>
      <c r="N2821">
        <v>0</v>
      </c>
      <c r="O2821" s="5" t="s">
        <v>430</v>
      </c>
      <c r="P2821" s="5"/>
      <c r="Q2821">
        <f>175-90</f>
        <v>85</v>
      </c>
      <c r="R2821" t="s">
        <v>65</v>
      </c>
      <c r="T2821">
        <v>31</v>
      </c>
      <c r="W2821">
        <v>12.7</v>
      </c>
      <c r="X2821">
        <v>42.3</v>
      </c>
      <c r="Z2821" t="s">
        <v>97</v>
      </c>
      <c r="AA2821" t="s">
        <v>503</v>
      </c>
      <c r="AB2821" t="s">
        <v>87</v>
      </c>
      <c r="AC2821" t="s">
        <v>56</v>
      </c>
    </row>
    <row r="2822" spans="1:30" x14ac:dyDescent="0.25">
      <c r="A2822" s="4">
        <v>42588</v>
      </c>
      <c r="B2822" t="s">
        <v>30</v>
      </c>
      <c r="C2822">
        <v>111</v>
      </c>
      <c r="D2822">
        <v>1</v>
      </c>
      <c r="E2822">
        <v>1</v>
      </c>
      <c r="F2822" t="s">
        <v>320</v>
      </c>
      <c r="G2822" t="s">
        <v>32</v>
      </c>
      <c r="H2822" t="s">
        <v>33</v>
      </c>
      <c r="I2822" t="s">
        <v>34</v>
      </c>
      <c r="J2822" t="s">
        <v>35</v>
      </c>
      <c r="K2822" t="s">
        <v>114</v>
      </c>
      <c r="L2822" t="s">
        <v>43</v>
      </c>
      <c r="M2822">
        <v>0</v>
      </c>
      <c r="N2822">
        <v>0</v>
      </c>
      <c r="O2822" s="5" t="s">
        <v>380</v>
      </c>
      <c r="P2822" s="5" t="s">
        <v>381</v>
      </c>
      <c r="Q2822">
        <f>31-14</f>
        <v>17</v>
      </c>
      <c r="R2822" t="s">
        <v>47</v>
      </c>
      <c r="T2822">
        <v>20</v>
      </c>
      <c r="U2822">
        <v>94</v>
      </c>
      <c r="V2822">
        <v>16</v>
      </c>
      <c r="W2822">
        <v>12.8</v>
      </c>
      <c r="X2822">
        <v>27.8</v>
      </c>
      <c r="Z2822" t="s">
        <v>97</v>
      </c>
      <c r="AA2822" t="s">
        <v>199</v>
      </c>
      <c r="AB2822" t="s">
        <v>87</v>
      </c>
      <c r="AC2822" t="s">
        <v>56</v>
      </c>
    </row>
    <row r="2823" spans="1:30" x14ac:dyDescent="0.25">
      <c r="A2823" s="4">
        <v>42588</v>
      </c>
      <c r="B2823" t="s">
        <v>30</v>
      </c>
      <c r="C2823">
        <v>111</v>
      </c>
      <c r="D2823">
        <v>4</v>
      </c>
      <c r="E2823">
        <v>1</v>
      </c>
      <c r="F2823" t="s">
        <v>320</v>
      </c>
      <c r="G2823" t="s">
        <v>32</v>
      </c>
      <c r="H2823" t="s">
        <v>33</v>
      </c>
      <c r="I2823" t="s">
        <v>34</v>
      </c>
      <c r="J2823" t="s">
        <v>35</v>
      </c>
      <c r="K2823" t="s">
        <v>36</v>
      </c>
      <c r="L2823" t="s">
        <v>43</v>
      </c>
      <c r="M2823">
        <v>0</v>
      </c>
      <c r="N2823">
        <v>0</v>
      </c>
      <c r="O2823" s="5" t="s">
        <v>382</v>
      </c>
      <c r="P2823" s="5" t="s">
        <v>383</v>
      </c>
      <c r="Q2823">
        <f>37-15.5</f>
        <v>21.5</v>
      </c>
      <c r="R2823" t="s">
        <v>47</v>
      </c>
      <c r="T2823">
        <v>21</v>
      </c>
      <c r="U2823">
        <v>96</v>
      </c>
      <c r="V2823">
        <v>16</v>
      </c>
      <c r="W2823">
        <v>12.9</v>
      </c>
      <c r="X2823">
        <v>28.8</v>
      </c>
      <c r="Z2823" t="s">
        <v>39</v>
      </c>
      <c r="AA2823" t="s">
        <v>199</v>
      </c>
      <c r="AB2823" t="s">
        <v>87</v>
      </c>
      <c r="AC2823" t="s">
        <v>56</v>
      </c>
    </row>
    <row r="2824" spans="1:30" x14ac:dyDescent="0.25">
      <c r="A2824" s="4">
        <v>42588</v>
      </c>
      <c r="B2824" t="s">
        <v>30</v>
      </c>
      <c r="C2824">
        <v>111</v>
      </c>
      <c r="D2824">
        <v>4</v>
      </c>
      <c r="E2824">
        <v>2</v>
      </c>
      <c r="F2824" t="s">
        <v>320</v>
      </c>
      <c r="G2824" t="s">
        <v>32</v>
      </c>
      <c r="H2824" t="s">
        <v>33</v>
      </c>
      <c r="I2824" t="s">
        <v>34</v>
      </c>
      <c r="J2824" t="s">
        <v>42</v>
      </c>
      <c r="K2824" t="s">
        <v>89</v>
      </c>
      <c r="L2824" t="s">
        <v>37</v>
      </c>
      <c r="M2824">
        <v>0</v>
      </c>
      <c r="N2824">
        <v>1</v>
      </c>
      <c r="O2824" s="5" t="s">
        <v>504</v>
      </c>
      <c r="P2824" s="5" t="s">
        <v>505</v>
      </c>
      <c r="Q2824">
        <f>21-13</f>
        <v>8</v>
      </c>
      <c r="R2824" t="s">
        <v>38</v>
      </c>
      <c r="S2824" t="s">
        <v>39</v>
      </c>
      <c r="T2824">
        <v>18</v>
      </c>
      <c r="W2824">
        <v>13</v>
      </c>
      <c r="X2824">
        <v>24.4</v>
      </c>
      <c r="Z2824" t="s">
        <v>39</v>
      </c>
      <c r="AB2824" t="s">
        <v>87</v>
      </c>
      <c r="AC2824" t="s">
        <v>56</v>
      </c>
    </row>
    <row r="2825" spans="1:30" x14ac:dyDescent="0.25">
      <c r="A2825" s="4">
        <v>42588</v>
      </c>
      <c r="B2825" t="s">
        <v>30</v>
      </c>
      <c r="C2825">
        <v>111</v>
      </c>
      <c r="D2825">
        <v>6</v>
      </c>
      <c r="E2825">
        <v>1</v>
      </c>
      <c r="F2825" t="s">
        <v>320</v>
      </c>
      <c r="G2825" t="s">
        <v>32</v>
      </c>
      <c r="H2825" t="s">
        <v>33</v>
      </c>
      <c r="I2825" t="s">
        <v>34</v>
      </c>
      <c r="J2825" t="s">
        <v>35</v>
      </c>
      <c r="K2825" t="s">
        <v>89</v>
      </c>
      <c r="L2825" t="s">
        <v>43</v>
      </c>
      <c r="M2825">
        <v>0</v>
      </c>
      <c r="N2825">
        <v>0</v>
      </c>
      <c r="O2825" s="5" t="s">
        <v>442</v>
      </c>
      <c r="P2825" s="5" t="s">
        <v>443</v>
      </c>
      <c r="Q2825">
        <v>14</v>
      </c>
      <c r="R2825" t="s">
        <v>65</v>
      </c>
      <c r="T2825">
        <v>19</v>
      </c>
      <c r="V2825">
        <v>15</v>
      </c>
      <c r="W2825">
        <v>12.9</v>
      </c>
      <c r="X2825">
        <v>25.6</v>
      </c>
      <c r="Z2825" t="s">
        <v>39</v>
      </c>
      <c r="AB2825" t="s">
        <v>87</v>
      </c>
      <c r="AC2825" t="s">
        <v>56</v>
      </c>
    </row>
    <row r="2826" spans="1:30" x14ac:dyDescent="0.25">
      <c r="A2826" s="4">
        <v>42588</v>
      </c>
      <c r="B2826" t="s">
        <v>30</v>
      </c>
      <c r="C2826">
        <v>111</v>
      </c>
      <c r="D2826">
        <v>9</v>
      </c>
      <c r="E2826">
        <v>1</v>
      </c>
      <c r="F2826" t="s">
        <v>320</v>
      </c>
      <c r="G2826" t="s">
        <v>32</v>
      </c>
      <c r="H2826" t="s">
        <v>33</v>
      </c>
      <c r="I2826" t="s">
        <v>34</v>
      </c>
      <c r="J2826" t="s">
        <v>35</v>
      </c>
      <c r="K2826" t="s">
        <v>89</v>
      </c>
      <c r="L2826" t="s">
        <v>43</v>
      </c>
      <c r="M2826">
        <v>0</v>
      </c>
      <c r="N2826">
        <v>0</v>
      </c>
      <c r="O2826" s="5" t="s">
        <v>450</v>
      </c>
      <c r="P2826" s="5" t="s">
        <v>451</v>
      </c>
      <c r="Q2826">
        <f>30-16</f>
        <v>14</v>
      </c>
      <c r="R2826" t="s">
        <v>65</v>
      </c>
      <c r="T2826">
        <v>20</v>
      </c>
      <c r="V2826">
        <v>16</v>
      </c>
      <c r="W2826">
        <v>12.7</v>
      </c>
      <c r="X2826">
        <v>26.7</v>
      </c>
      <c r="Z2826" t="s">
        <v>39</v>
      </c>
      <c r="AB2826" t="s">
        <v>87</v>
      </c>
      <c r="AC2826" t="s">
        <v>56</v>
      </c>
    </row>
    <row r="2827" spans="1:30" x14ac:dyDescent="0.25">
      <c r="A2827" s="4">
        <v>42588</v>
      </c>
      <c r="B2827" t="s">
        <v>30</v>
      </c>
      <c r="C2827">
        <v>111</v>
      </c>
      <c r="D2827">
        <v>10</v>
      </c>
      <c r="E2827">
        <v>1</v>
      </c>
      <c r="F2827" t="s">
        <v>320</v>
      </c>
      <c r="G2827" t="s">
        <v>32</v>
      </c>
      <c r="H2827" t="s">
        <v>33</v>
      </c>
      <c r="I2827" t="s">
        <v>34</v>
      </c>
      <c r="J2827" t="s">
        <v>35</v>
      </c>
      <c r="K2827" t="s">
        <v>89</v>
      </c>
      <c r="L2827" t="s">
        <v>37</v>
      </c>
      <c r="M2827">
        <v>0</v>
      </c>
      <c r="N2827">
        <v>0</v>
      </c>
      <c r="O2827" s="5" t="s">
        <v>384</v>
      </c>
      <c r="P2827" s="5" t="s">
        <v>385</v>
      </c>
      <c r="Q2827">
        <f>27-15</f>
        <v>12</v>
      </c>
      <c r="R2827" t="s">
        <v>38</v>
      </c>
      <c r="S2827" t="s">
        <v>39</v>
      </c>
      <c r="T2827">
        <v>19.5</v>
      </c>
      <c r="V2827">
        <v>16</v>
      </c>
      <c r="W2827">
        <v>12.8</v>
      </c>
      <c r="X2827">
        <v>26.6</v>
      </c>
      <c r="Z2827" t="s">
        <v>39</v>
      </c>
      <c r="AB2827" t="s">
        <v>87</v>
      </c>
      <c r="AC2827" t="s">
        <v>56</v>
      </c>
    </row>
    <row r="2828" spans="1:30" x14ac:dyDescent="0.25">
      <c r="A2828" s="4">
        <v>42588</v>
      </c>
      <c r="B2828" t="s">
        <v>30</v>
      </c>
      <c r="C2828">
        <v>112</v>
      </c>
      <c r="D2828">
        <v>1</v>
      </c>
      <c r="E2828">
        <v>1</v>
      </c>
      <c r="F2828" t="s">
        <v>320</v>
      </c>
      <c r="G2828" t="s">
        <v>32</v>
      </c>
      <c r="H2828" t="s">
        <v>33</v>
      </c>
      <c r="I2828" t="s">
        <v>57</v>
      </c>
      <c r="O2828" s="5"/>
      <c r="P2828" s="5"/>
    </row>
    <row r="2829" spans="1:30" x14ac:dyDescent="0.25">
      <c r="A2829" s="4">
        <v>42588</v>
      </c>
      <c r="B2829" t="s">
        <v>30</v>
      </c>
      <c r="C2829">
        <v>112</v>
      </c>
      <c r="D2829">
        <v>1</v>
      </c>
      <c r="E2829">
        <v>2</v>
      </c>
      <c r="F2829" t="s">
        <v>320</v>
      </c>
      <c r="G2829" t="s">
        <v>32</v>
      </c>
      <c r="H2829" t="s">
        <v>33</v>
      </c>
      <c r="I2829" t="s">
        <v>34</v>
      </c>
      <c r="J2829" t="s">
        <v>42</v>
      </c>
      <c r="K2829" t="s">
        <v>114</v>
      </c>
      <c r="L2829" t="s">
        <v>37</v>
      </c>
      <c r="M2829">
        <v>0</v>
      </c>
      <c r="N2829">
        <v>1</v>
      </c>
      <c r="O2829" s="5" t="s">
        <v>506</v>
      </c>
      <c r="P2829" s="5" t="s">
        <v>507</v>
      </c>
      <c r="Q2829">
        <f>34-13.5</f>
        <v>20.5</v>
      </c>
      <c r="R2829" t="s">
        <v>143</v>
      </c>
      <c r="S2829" t="s">
        <v>97</v>
      </c>
      <c r="T2829">
        <v>19</v>
      </c>
      <c r="U2829">
        <v>85</v>
      </c>
      <c r="V2829">
        <v>16</v>
      </c>
      <c r="W2829">
        <v>12.9</v>
      </c>
      <c r="X2829">
        <v>27.6</v>
      </c>
      <c r="Z2829" t="s">
        <v>39</v>
      </c>
      <c r="AB2829" t="s">
        <v>102</v>
      </c>
      <c r="AC2829" t="s">
        <v>56</v>
      </c>
    </row>
    <row r="2830" spans="1:30" x14ac:dyDescent="0.25">
      <c r="A2830" s="4">
        <v>42588</v>
      </c>
      <c r="B2830" t="s">
        <v>30</v>
      </c>
      <c r="C2830">
        <v>112</v>
      </c>
      <c r="D2830">
        <v>2</v>
      </c>
      <c r="E2830">
        <v>1</v>
      </c>
      <c r="F2830" t="s">
        <v>320</v>
      </c>
      <c r="G2830" t="s">
        <v>32</v>
      </c>
      <c r="H2830" t="s">
        <v>33</v>
      </c>
      <c r="I2830" t="s">
        <v>91</v>
      </c>
      <c r="J2830" t="s">
        <v>35</v>
      </c>
      <c r="K2830" t="s">
        <v>36</v>
      </c>
      <c r="L2830" t="s">
        <v>37</v>
      </c>
      <c r="M2830">
        <v>0</v>
      </c>
      <c r="N2830">
        <v>0</v>
      </c>
      <c r="O2830" s="5" t="s">
        <v>321</v>
      </c>
      <c r="P2830" s="5"/>
      <c r="Q2830">
        <f>35-12</f>
        <v>23</v>
      </c>
      <c r="R2830" t="s">
        <v>143</v>
      </c>
      <c r="S2830" t="s">
        <v>97</v>
      </c>
      <c r="T2830">
        <v>29</v>
      </c>
      <c r="W2830">
        <v>13</v>
      </c>
      <c r="X2830">
        <v>26.3</v>
      </c>
      <c r="Z2830" t="s">
        <v>39</v>
      </c>
      <c r="AB2830" t="s">
        <v>102</v>
      </c>
      <c r="AC2830" t="s">
        <v>56</v>
      </c>
    </row>
    <row r="2831" spans="1:30" x14ac:dyDescent="0.25">
      <c r="A2831" s="4">
        <v>42588</v>
      </c>
      <c r="B2831" t="s">
        <v>30</v>
      </c>
      <c r="C2831">
        <v>112</v>
      </c>
      <c r="D2831">
        <v>4</v>
      </c>
      <c r="E2831">
        <v>1</v>
      </c>
      <c r="F2831" t="s">
        <v>320</v>
      </c>
      <c r="G2831" t="s">
        <v>32</v>
      </c>
      <c r="H2831" t="s">
        <v>33</v>
      </c>
      <c r="I2831" t="s">
        <v>57</v>
      </c>
      <c r="O2831" s="5"/>
      <c r="P2831" s="5"/>
    </row>
    <row r="2832" spans="1:30" x14ac:dyDescent="0.25">
      <c r="A2832" s="4">
        <v>42588</v>
      </c>
      <c r="B2832" t="s">
        <v>30</v>
      </c>
      <c r="C2832">
        <v>112</v>
      </c>
      <c r="D2832">
        <v>4</v>
      </c>
      <c r="E2832">
        <v>2</v>
      </c>
      <c r="F2832" t="s">
        <v>320</v>
      </c>
      <c r="G2832" t="s">
        <v>32</v>
      </c>
      <c r="H2832" t="s">
        <v>33</v>
      </c>
      <c r="I2832" t="s">
        <v>34</v>
      </c>
      <c r="J2832" t="s">
        <v>35</v>
      </c>
      <c r="K2832" t="s">
        <v>36</v>
      </c>
      <c r="L2832" t="s">
        <v>43</v>
      </c>
      <c r="M2832">
        <v>0</v>
      </c>
      <c r="N2832">
        <v>0</v>
      </c>
      <c r="O2832" s="7">
        <v>50497</v>
      </c>
      <c r="P2832" s="7">
        <v>50496</v>
      </c>
      <c r="Q2832">
        <f>35-16</f>
        <v>19</v>
      </c>
      <c r="R2832" t="s">
        <v>47</v>
      </c>
      <c r="T2832">
        <v>19</v>
      </c>
      <c r="U2832">
        <v>84</v>
      </c>
      <c r="V2832">
        <v>15</v>
      </c>
      <c r="W2832">
        <v>13</v>
      </c>
      <c r="X2832">
        <v>26.9</v>
      </c>
      <c r="Z2832" t="s">
        <v>97</v>
      </c>
      <c r="AA2832" t="s">
        <v>199</v>
      </c>
      <c r="AB2832" t="s">
        <v>87</v>
      </c>
      <c r="AC2832" t="s">
        <v>56</v>
      </c>
      <c r="AD2832" t="s">
        <v>395</v>
      </c>
    </row>
    <row r="2833" spans="1:30" x14ac:dyDescent="0.25">
      <c r="A2833" s="4">
        <v>42588</v>
      </c>
      <c r="B2833" t="s">
        <v>30</v>
      </c>
      <c r="C2833">
        <v>112</v>
      </c>
      <c r="D2833">
        <v>6</v>
      </c>
      <c r="E2833">
        <v>1</v>
      </c>
      <c r="F2833" t="s">
        <v>320</v>
      </c>
      <c r="G2833" t="s">
        <v>32</v>
      </c>
      <c r="H2833" t="s">
        <v>33</v>
      </c>
      <c r="I2833" t="s">
        <v>34</v>
      </c>
      <c r="J2833" t="s">
        <v>35</v>
      </c>
      <c r="K2833" t="s">
        <v>36</v>
      </c>
      <c r="L2833" t="s">
        <v>43</v>
      </c>
      <c r="M2833">
        <v>0</v>
      </c>
      <c r="N2833">
        <v>0</v>
      </c>
      <c r="O2833" s="5" t="s">
        <v>456</v>
      </c>
      <c r="P2833" s="5" t="s">
        <v>457</v>
      </c>
      <c r="Q2833">
        <f>37-18</f>
        <v>19</v>
      </c>
      <c r="R2833" t="s">
        <v>47</v>
      </c>
      <c r="T2833">
        <v>19</v>
      </c>
      <c r="U2833">
        <v>83</v>
      </c>
      <c r="V2833">
        <v>16</v>
      </c>
      <c r="W2833">
        <v>12.9</v>
      </c>
      <c r="X2833">
        <v>27.3</v>
      </c>
      <c r="Z2833" t="s">
        <v>97</v>
      </c>
      <c r="AA2833" t="s">
        <v>199</v>
      </c>
      <c r="AB2833" t="s">
        <v>87</v>
      </c>
      <c r="AC2833" t="s">
        <v>56</v>
      </c>
    </row>
    <row r="2834" spans="1:30" x14ac:dyDescent="0.25">
      <c r="A2834" s="4">
        <v>42588</v>
      </c>
      <c r="B2834" t="s">
        <v>30</v>
      </c>
      <c r="C2834">
        <v>112</v>
      </c>
      <c r="D2834">
        <v>7</v>
      </c>
      <c r="E2834">
        <v>2</v>
      </c>
      <c r="F2834" t="s">
        <v>320</v>
      </c>
      <c r="G2834" t="s">
        <v>32</v>
      </c>
      <c r="H2834" t="s">
        <v>33</v>
      </c>
      <c r="I2834" t="s">
        <v>34</v>
      </c>
      <c r="J2834" t="s">
        <v>35</v>
      </c>
      <c r="K2834" t="s">
        <v>114</v>
      </c>
      <c r="L2834" t="s">
        <v>37</v>
      </c>
      <c r="M2834">
        <v>0</v>
      </c>
      <c r="N2834">
        <v>0</v>
      </c>
      <c r="O2834" s="5" t="s">
        <v>460</v>
      </c>
      <c r="P2834" s="5" t="s">
        <v>461</v>
      </c>
      <c r="Q2834">
        <f>34-16</f>
        <v>18</v>
      </c>
      <c r="R2834" t="s">
        <v>136</v>
      </c>
      <c r="S2834" t="s">
        <v>97</v>
      </c>
      <c r="T2834">
        <v>20</v>
      </c>
      <c r="U2834">
        <v>95</v>
      </c>
      <c r="V2834">
        <v>17</v>
      </c>
      <c r="W2834">
        <v>12.8</v>
      </c>
      <c r="X2834">
        <v>27.5</v>
      </c>
      <c r="Z2834" t="s">
        <v>39</v>
      </c>
      <c r="AB2834" t="s">
        <v>87</v>
      </c>
      <c r="AC2834" t="s">
        <v>56</v>
      </c>
    </row>
    <row r="2835" spans="1:30" x14ac:dyDescent="0.25">
      <c r="A2835" s="4">
        <v>42588</v>
      </c>
      <c r="B2835" t="s">
        <v>30</v>
      </c>
      <c r="C2835">
        <v>112</v>
      </c>
      <c r="D2835">
        <v>8</v>
      </c>
      <c r="E2835">
        <v>2</v>
      </c>
      <c r="F2835" t="s">
        <v>320</v>
      </c>
      <c r="G2835" t="s">
        <v>32</v>
      </c>
      <c r="H2835" t="s">
        <v>33</v>
      </c>
      <c r="I2835" t="s">
        <v>34</v>
      </c>
      <c r="J2835" t="s">
        <v>35</v>
      </c>
      <c r="K2835" t="s">
        <v>114</v>
      </c>
      <c r="L2835" t="s">
        <v>43</v>
      </c>
      <c r="M2835">
        <v>0</v>
      </c>
      <c r="N2835">
        <v>0</v>
      </c>
      <c r="O2835" s="5" t="s">
        <v>392</v>
      </c>
      <c r="P2835" s="5" t="s">
        <v>458</v>
      </c>
      <c r="Q2835">
        <f>35-16</f>
        <v>19</v>
      </c>
      <c r="R2835" t="s">
        <v>47</v>
      </c>
      <c r="T2835">
        <v>19</v>
      </c>
      <c r="U2835">
        <v>86</v>
      </c>
      <c r="V2835">
        <v>16</v>
      </c>
      <c r="W2835">
        <v>13</v>
      </c>
      <c r="X2835">
        <v>27.8</v>
      </c>
      <c r="Z2835" t="s">
        <v>39</v>
      </c>
      <c r="AB2835" t="s">
        <v>87</v>
      </c>
      <c r="AC2835" t="s">
        <v>56</v>
      </c>
    </row>
    <row r="2836" spans="1:30" x14ac:dyDescent="0.25">
      <c r="A2836" s="4">
        <v>42588</v>
      </c>
      <c r="B2836" t="s">
        <v>30</v>
      </c>
      <c r="C2836">
        <v>112</v>
      </c>
      <c r="D2836">
        <v>10</v>
      </c>
      <c r="E2836">
        <v>1</v>
      </c>
      <c r="F2836" t="s">
        <v>320</v>
      </c>
      <c r="G2836" t="s">
        <v>32</v>
      </c>
      <c r="H2836" t="s">
        <v>33</v>
      </c>
      <c r="I2836" t="s">
        <v>34</v>
      </c>
      <c r="J2836" t="s">
        <v>35</v>
      </c>
      <c r="K2836" t="s">
        <v>114</v>
      </c>
      <c r="L2836" t="s">
        <v>37</v>
      </c>
      <c r="M2836">
        <v>0</v>
      </c>
      <c r="N2836">
        <v>0</v>
      </c>
      <c r="O2836" s="5" t="s">
        <v>403</v>
      </c>
      <c r="P2836" s="5" t="s">
        <v>404</v>
      </c>
      <c r="Q2836">
        <f>32.5-14</f>
        <v>18.5</v>
      </c>
      <c r="R2836" t="s">
        <v>164</v>
      </c>
      <c r="S2836" t="s">
        <v>97</v>
      </c>
      <c r="T2836">
        <v>19</v>
      </c>
      <c r="U2836">
        <v>94</v>
      </c>
      <c r="V2836">
        <v>17</v>
      </c>
      <c r="W2836">
        <v>13.1</v>
      </c>
      <c r="X2836">
        <v>27.4</v>
      </c>
      <c r="Z2836" t="s">
        <v>97</v>
      </c>
      <c r="AA2836" t="s">
        <v>199</v>
      </c>
      <c r="AB2836" t="s">
        <v>87</v>
      </c>
      <c r="AC2836" t="s">
        <v>56</v>
      </c>
    </row>
    <row r="2837" spans="1:30" x14ac:dyDescent="0.25">
      <c r="A2837" s="4">
        <v>42588</v>
      </c>
      <c r="B2837" t="s">
        <v>30</v>
      </c>
      <c r="C2837">
        <v>112</v>
      </c>
      <c r="D2837">
        <v>10</v>
      </c>
      <c r="E2837" t="s">
        <v>508</v>
      </c>
      <c r="F2837" t="s">
        <v>320</v>
      </c>
      <c r="G2837" t="s">
        <v>32</v>
      </c>
      <c r="H2837" t="s">
        <v>33</v>
      </c>
      <c r="I2837" t="s">
        <v>34</v>
      </c>
      <c r="J2837" t="s">
        <v>35</v>
      </c>
      <c r="K2837" t="s">
        <v>89</v>
      </c>
      <c r="L2837" t="s">
        <v>43</v>
      </c>
      <c r="M2837">
        <v>0</v>
      </c>
      <c r="N2837">
        <v>0</v>
      </c>
      <c r="O2837" s="5" t="s">
        <v>326</v>
      </c>
      <c r="P2837" s="5" t="s">
        <v>327</v>
      </c>
      <c r="Q2837">
        <f>25-11</f>
        <v>14</v>
      </c>
      <c r="R2837" t="s">
        <v>65</v>
      </c>
      <c r="T2837">
        <v>18</v>
      </c>
      <c r="V2837">
        <v>16</v>
      </c>
      <c r="W2837">
        <v>12.9</v>
      </c>
      <c r="X2837">
        <v>26.3</v>
      </c>
      <c r="Z2837" t="s">
        <v>97</v>
      </c>
      <c r="AA2837" t="s">
        <v>199</v>
      </c>
      <c r="AB2837" t="s">
        <v>87</v>
      </c>
      <c r="AC2837" t="s">
        <v>56</v>
      </c>
      <c r="AD2837" t="s">
        <v>509</v>
      </c>
    </row>
    <row r="2838" spans="1:30" x14ac:dyDescent="0.25">
      <c r="A2838" s="4">
        <v>42588</v>
      </c>
      <c r="B2838" t="s">
        <v>30</v>
      </c>
      <c r="C2838">
        <v>113</v>
      </c>
      <c r="D2838">
        <v>1</v>
      </c>
      <c r="E2838">
        <v>1</v>
      </c>
      <c r="F2838" t="s">
        <v>320</v>
      </c>
      <c r="G2838" t="s">
        <v>32</v>
      </c>
      <c r="H2838" t="s">
        <v>33</v>
      </c>
      <c r="I2838" t="s">
        <v>91</v>
      </c>
      <c r="J2838" t="s">
        <v>42</v>
      </c>
      <c r="K2838" t="s">
        <v>36</v>
      </c>
      <c r="L2838" t="s">
        <v>37</v>
      </c>
      <c r="M2838">
        <v>0</v>
      </c>
      <c r="N2838">
        <v>1</v>
      </c>
      <c r="O2838" s="5" t="s">
        <v>510</v>
      </c>
      <c r="P2838" s="5"/>
      <c r="Q2838">
        <f>38-13</f>
        <v>25</v>
      </c>
      <c r="R2838" t="s">
        <v>143</v>
      </c>
      <c r="S2838" t="s">
        <v>97</v>
      </c>
      <c r="T2838">
        <v>30</v>
      </c>
      <c r="Z2838" t="s">
        <v>39</v>
      </c>
      <c r="AB2838" t="s">
        <v>87</v>
      </c>
      <c r="AC2838" t="s">
        <v>56</v>
      </c>
    </row>
    <row r="2839" spans="1:30" x14ac:dyDescent="0.25">
      <c r="A2839" s="4">
        <v>42588</v>
      </c>
      <c r="B2839" t="s">
        <v>30</v>
      </c>
      <c r="C2839">
        <v>113</v>
      </c>
      <c r="D2839">
        <v>2</v>
      </c>
      <c r="E2839">
        <v>1</v>
      </c>
      <c r="F2839" t="s">
        <v>320</v>
      </c>
      <c r="G2839" t="s">
        <v>32</v>
      </c>
      <c r="H2839" t="s">
        <v>33</v>
      </c>
      <c r="I2839" t="s">
        <v>34</v>
      </c>
      <c r="J2839" t="s">
        <v>42</v>
      </c>
      <c r="K2839" t="s">
        <v>89</v>
      </c>
      <c r="L2839" t="s">
        <v>43</v>
      </c>
      <c r="M2839">
        <v>0</v>
      </c>
      <c r="N2839">
        <v>1</v>
      </c>
      <c r="O2839" s="5" t="s">
        <v>511</v>
      </c>
      <c r="P2839" s="5" t="s">
        <v>512</v>
      </c>
      <c r="Q2839">
        <f>27-13</f>
        <v>14</v>
      </c>
      <c r="R2839" t="s">
        <v>65</v>
      </c>
      <c r="T2839">
        <v>19</v>
      </c>
      <c r="V2839">
        <v>16</v>
      </c>
      <c r="W2839">
        <v>12.8</v>
      </c>
      <c r="X2839">
        <v>26.2</v>
      </c>
      <c r="Z2839" t="s">
        <v>39</v>
      </c>
      <c r="AB2839" t="s">
        <v>87</v>
      </c>
      <c r="AC2839" t="s">
        <v>56</v>
      </c>
    </row>
    <row r="2840" spans="1:30" x14ac:dyDescent="0.25">
      <c r="A2840" s="4">
        <v>42588</v>
      </c>
      <c r="B2840" t="s">
        <v>30</v>
      </c>
      <c r="C2840">
        <v>113</v>
      </c>
      <c r="D2840">
        <v>3</v>
      </c>
      <c r="E2840">
        <v>1</v>
      </c>
      <c r="F2840" t="s">
        <v>320</v>
      </c>
      <c r="G2840" t="s">
        <v>32</v>
      </c>
      <c r="H2840" t="s">
        <v>33</v>
      </c>
      <c r="I2840" t="s">
        <v>53</v>
      </c>
      <c r="J2840" t="s">
        <v>62</v>
      </c>
      <c r="O2840" s="5"/>
      <c r="P2840" s="5"/>
    </row>
    <row r="2841" spans="1:30" x14ac:dyDescent="0.25">
      <c r="A2841" s="4">
        <v>42588</v>
      </c>
      <c r="B2841" t="s">
        <v>30</v>
      </c>
      <c r="C2841">
        <v>113</v>
      </c>
      <c r="D2841">
        <v>4</v>
      </c>
      <c r="E2841" t="s">
        <v>334</v>
      </c>
      <c r="F2841" t="s">
        <v>320</v>
      </c>
      <c r="G2841" t="s">
        <v>32</v>
      </c>
      <c r="H2841" t="s">
        <v>33</v>
      </c>
      <c r="I2841" t="s">
        <v>34</v>
      </c>
      <c r="J2841" t="s">
        <v>35</v>
      </c>
      <c r="K2841" t="s">
        <v>114</v>
      </c>
      <c r="L2841" t="s">
        <v>43</v>
      </c>
      <c r="M2841">
        <v>0</v>
      </c>
      <c r="N2841">
        <v>0</v>
      </c>
      <c r="O2841" s="5" t="s">
        <v>413</v>
      </c>
      <c r="P2841" s="5" t="s">
        <v>414</v>
      </c>
      <c r="Q2841">
        <f>29.5-13</f>
        <v>16.5</v>
      </c>
      <c r="R2841" t="s">
        <v>47</v>
      </c>
      <c r="T2841">
        <v>20</v>
      </c>
      <c r="V2841">
        <v>17</v>
      </c>
      <c r="W2841">
        <v>12.8</v>
      </c>
      <c r="X2841">
        <v>26.9</v>
      </c>
      <c r="Z2841" t="s">
        <v>97</v>
      </c>
      <c r="AA2841" t="s">
        <v>199</v>
      </c>
      <c r="AB2841" t="s">
        <v>87</v>
      </c>
      <c r="AC2841" t="s">
        <v>56</v>
      </c>
      <c r="AD2841" t="s">
        <v>513</v>
      </c>
    </row>
    <row r="2842" spans="1:30" x14ac:dyDescent="0.25">
      <c r="A2842" s="4">
        <v>42588</v>
      </c>
      <c r="B2842" t="s">
        <v>30</v>
      </c>
      <c r="C2842">
        <v>113</v>
      </c>
      <c r="D2842">
        <v>5</v>
      </c>
      <c r="E2842">
        <v>1</v>
      </c>
      <c r="F2842" t="s">
        <v>320</v>
      </c>
      <c r="G2842" t="s">
        <v>32</v>
      </c>
      <c r="H2842" t="s">
        <v>33</v>
      </c>
      <c r="I2842" t="s">
        <v>91</v>
      </c>
      <c r="J2842" t="s">
        <v>122</v>
      </c>
      <c r="O2842" s="5"/>
      <c r="P2842" s="5"/>
    </row>
    <row r="2843" spans="1:30" x14ac:dyDescent="0.25">
      <c r="A2843" s="4">
        <v>42588</v>
      </c>
      <c r="B2843" t="s">
        <v>30</v>
      </c>
      <c r="C2843">
        <v>113</v>
      </c>
      <c r="D2843">
        <v>5</v>
      </c>
      <c r="E2843">
        <v>2</v>
      </c>
      <c r="F2843" t="s">
        <v>320</v>
      </c>
      <c r="G2843" t="s">
        <v>32</v>
      </c>
      <c r="H2843" t="s">
        <v>33</v>
      </c>
      <c r="I2843" t="s">
        <v>57</v>
      </c>
      <c r="O2843" s="5"/>
      <c r="P2843" s="5"/>
    </row>
    <row r="2844" spans="1:30" x14ac:dyDescent="0.25">
      <c r="A2844" s="4">
        <v>42588</v>
      </c>
      <c r="B2844" t="s">
        <v>30</v>
      </c>
      <c r="C2844">
        <v>113</v>
      </c>
      <c r="D2844">
        <v>7</v>
      </c>
      <c r="E2844">
        <v>1</v>
      </c>
      <c r="F2844" t="s">
        <v>320</v>
      </c>
      <c r="G2844" t="s">
        <v>32</v>
      </c>
      <c r="H2844" t="s">
        <v>33</v>
      </c>
      <c r="I2844" t="s">
        <v>34</v>
      </c>
      <c r="J2844" t="s">
        <v>35</v>
      </c>
      <c r="K2844" t="s">
        <v>36</v>
      </c>
      <c r="L2844" t="s">
        <v>37</v>
      </c>
      <c r="M2844">
        <v>0</v>
      </c>
      <c r="N2844">
        <v>0</v>
      </c>
      <c r="O2844" s="5" t="s">
        <v>417</v>
      </c>
      <c r="P2844" s="5" t="s">
        <v>418</v>
      </c>
      <c r="Q2844">
        <f>38-16</f>
        <v>22</v>
      </c>
      <c r="R2844" t="s">
        <v>143</v>
      </c>
      <c r="S2844" t="s">
        <v>97</v>
      </c>
      <c r="T2844">
        <v>19</v>
      </c>
      <c r="U2844">
        <v>95</v>
      </c>
      <c r="V2844">
        <v>17</v>
      </c>
      <c r="W2844">
        <v>12.8</v>
      </c>
      <c r="X2844">
        <v>27.4</v>
      </c>
      <c r="Z2844" t="s">
        <v>39</v>
      </c>
      <c r="AB2844" t="s">
        <v>514</v>
      </c>
      <c r="AC2844" t="s">
        <v>56</v>
      </c>
    </row>
    <row r="2845" spans="1:30" x14ac:dyDescent="0.25">
      <c r="A2845" s="4">
        <v>42588</v>
      </c>
      <c r="B2845" t="s">
        <v>30</v>
      </c>
      <c r="C2845">
        <v>113</v>
      </c>
      <c r="D2845">
        <v>7</v>
      </c>
      <c r="E2845">
        <v>2</v>
      </c>
      <c r="F2845" t="s">
        <v>320</v>
      </c>
      <c r="G2845" t="s">
        <v>32</v>
      </c>
      <c r="H2845" t="s">
        <v>33</v>
      </c>
      <c r="I2845" t="s">
        <v>57</v>
      </c>
      <c r="O2845" s="5"/>
      <c r="P2845" s="5"/>
    </row>
    <row r="2846" spans="1:30" x14ac:dyDescent="0.25">
      <c r="A2846" s="4">
        <v>42588</v>
      </c>
      <c r="B2846" t="s">
        <v>30</v>
      </c>
      <c r="C2846">
        <v>113</v>
      </c>
      <c r="D2846">
        <v>9</v>
      </c>
      <c r="E2846">
        <v>1</v>
      </c>
      <c r="F2846" t="s">
        <v>320</v>
      </c>
      <c r="G2846" t="s">
        <v>32</v>
      </c>
      <c r="H2846" t="s">
        <v>33</v>
      </c>
      <c r="I2846" t="s">
        <v>57</v>
      </c>
      <c r="O2846" s="5"/>
      <c r="P2846" s="5"/>
    </row>
    <row r="2847" spans="1:30" x14ac:dyDescent="0.25">
      <c r="A2847" s="4">
        <v>42588</v>
      </c>
      <c r="B2847" t="s">
        <v>30</v>
      </c>
      <c r="C2847">
        <v>113</v>
      </c>
      <c r="D2847">
        <v>9</v>
      </c>
      <c r="E2847">
        <v>2</v>
      </c>
      <c r="F2847" t="s">
        <v>320</v>
      </c>
      <c r="G2847" t="s">
        <v>32</v>
      </c>
      <c r="H2847" t="s">
        <v>33</v>
      </c>
      <c r="I2847" t="s">
        <v>34</v>
      </c>
      <c r="J2847" t="s">
        <v>35</v>
      </c>
      <c r="K2847" t="s">
        <v>89</v>
      </c>
      <c r="L2847" t="s">
        <v>43</v>
      </c>
      <c r="M2847">
        <v>0</v>
      </c>
      <c r="N2847">
        <v>0</v>
      </c>
      <c r="O2847" s="5" t="s">
        <v>423</v>
      </c>
      <c r="P2847" s="5" t="s">
        <v>424</v>
      </c>
      <c r="Q2847">
        <f>28-13</f>
        <v>15</v>
      </c>
      <c r="R2847" t="s">
        <v>65</v>
      </c>
      <c r="T2847">
        <v>19</v>
      </c>
      <c r="V2847">
        <v>16</v>
      </c>
      <c r="W2847">
        <v>12.8</v>
      </c>
      <c r="X2847">
        <v>26</v>
      </c>
      <c r="Z2847" t="s">
        <v>39</v>
      </c>
      <c r="AB2847" t="s">
        <v>87</v>
      </c>
      <c r="AC2847" t="s">
        <v>56</v>
      </c>
      <c r="AD2847" t="s">
        <v>515</v>
      </c>
    </row>
    <row r="2848" spans="1:30" x14ac:dyDescent="0.25">
      <c r="A2848" s="4">
        <v>42588</v>
      </c>
      <c r="B2848" t="s">
        <v>30</v>
      </c>
      <c r="C2848">
        <v>113</v>
      </c>
      <c r="D2848">
        <v>10</v>
      </c>
      <c r="E2848">
        <v>2</v>
      </c>
      <c r="F2848" t="s">
        <v>320</v>
      </c>
      <c r="G2848" t="s">
        <v>32</v>
      </c>
      <c r="H2848" t="s">
        <v>33</v>
      </c>
      <c r="I2848" t="s">
        <v>34</v>
      </c>
      <c r="J2848" t="s">
        <v>42</v>
      </c>
      <c r="K2848" t="s">
        <v>89</v>
      </c>
      <c r="L2848" t="s">
        <v>43</v>
      </c>
      <c r="M2848">
        <v>0</v>
      </c>
      <c r="N2848">
        <v>1</v>
      </c>
      <c r="O2848" s="5" t="s">
        <v>516</v>
      </c>
      <c r="P2848" s="5" t="s">
        <v>517</v>
      </c>
      <c r="Q2848">
        <f>28-13</f>
        <v>15</v>
      </c>
      <c r="R2848" t="s">
        <v>65</v>
      </c>
      <c r="T2848">
        <v>20</v>
      </c>
      <c r="V2848">
        <v>15.5</v>
      </c>
      <c r="W2848">
        <v>12.8</v>
      </c>
      <c r="X2848">
        <v>26.4</v>
      </c>
      <c r="Z2848" t="s">
        <v>39</v>
      </c>
      <c r="AB2848" t="s">
        <v>87</v>
      </c>
      <c r="AC2848" t="s">
        <v>56</v>
      </c>
    </row>
    <row r="2849" spans="1:29" x14ac:dyDescent="0.25">
      <c r="A2849" s="4">
        <v>42588</v>
      </c>
      <c r="B2849" t="s">
        <v>30</v>
      </c>
      <c r="C2849">
        <v>304</v>
      </c>
      <c r="D2849">
        <v>2</v>
      </c>
      <c r="E2849">
        <v>1</v>
      </c>
      <c r="F2849" t="s">
        <v>320</v>
      </c>
      <c r="G2849" t="s">
        <v>32</v>
      </c>
      <c r="H2849" t="s">
        <v>33</v>
      </c>
      <c r="I2849" t="s">
        <v>58</v>
      </c>
      <c r="J2849" t="s">
        <v>35</v>
      </c>
      <c r="K2849" t="s">
        <v>36</v>
      </c>
      <c r="L2849" t="s">
        <v>43</v>
      </c>
      <c r="M2849">
        <v>0</v>
      </c>
      <c r="N2849">
        <v>0</v>
      </c>
      <c r="O2849" s="5" t="s">
        <v>482</v>
      </c>
      <c r="P2849" s="5"/>
      <c r="Q2849">
        <f>39-14.5</f>
        <v>24.5</v>
      </c>
      <c r="R2849" t="s">
        <v>47</v>
      </c>
      <c r="T2849">
        <v>17</v>
      </c>
      <c r="W2849">
        <v>13.2</v>
      </c>
      <c r="X2849">
        <v>26.9</v>
      </c>
      <c r="Z2849" t="s">
        <v>97</v>
      </c>
      <c r="AA2849" t="s">
        <v>199</v>
      </c>
      <c r="AB2849" t="s">
        <v>87</v>
      </c>
      <c r="AC2849" t="s">
        <v>56</v>
      </c>
    </row>
    <row r="2850" spans="1:29" x14ac:dyDescent="0.25">
      <c r="A2850" s="4">
        <v>42588</v>
      </c>
      <c r="B2850" t="s">
        <v>30</v>
      </c>
      <c r="C2850">
        <v>304</v>
      </c>
      <c r="D2850">
        <v>6</v>
      </c>
      <c r="E2850">
        <v>1</v>
      </c>
      <c r="F2850" t="s">
        <v>320</v>
      </c>
      <c r="G2850" t="s">
        <v>32</v>
      </c>
      <c r="H2850" t="s">
        <v>33</v>
      </c>
      <c r="I2850" t="s">
        <v>57</v>
      </c>
      <c r="O2850" s="5"/>
      <c r="P2850" s="5"/>
    </row>
    <row r="2851" spans="1:29" x14ac:dyDescent="0.25">
      <c r="A2851" s="4">
        <v>42588</v>
      </c>
      <c r="B2851" t="s">
        <v>30</v>
      </c>
      <c r="C2851">
        <v>304</v>
      </c>
      <c r="D2851">
        <v>7</v>
      </c>
      <c r="E2851">
        <v>1</v>
      </c>
      <c r="F2851" t="s">
        <v>320</v>
      </c>
      <c r="G2851" t="s">
        <v>32</v>
      </c>
      <c r="H2851" t="s">
        <v>33</v>
      </c>
      <c r="I2851" t="s">
        <v>57</v>
      </c>
      <c r="O2851" s="5"/>
      <c r="P2851" s="5"/>
    </row>
    <row r="2852" spans="1:29" x14ac:dyDescent="0.25">
      <c r="A2852" s="4">
        <v>42588</v>
      </c>
      <c r="B2852" t="s">
        <v>30</v>
      </c>
      <c r="C2852">
        <v>304</v>
      </c>
      <c r="D2852">
        <v>7</v>
      </c>
      <c r="E2852">
        <v>2</v>
      </c>
      <c r="F2852" t="s">
        <v>320</v>
      </c>
      <c r="G2852" t="s">
        <v>32</v>
      </c>
      <c r="H2852" t="s">
        <v>33</v>
      </c>
      <c r="I2852" t="s">
        <v>91</v>
      </c>
      <c r="J2852" t="s">
        <v>42</v>
      </c>
      <c r="K2852" t="s">
        <v>114</v>
      </c>
      <c r="L2852" t="s">
        <v>43</v>
      </c>
      <c r="M2852">
        <v>0</v>
      </c>
      <c r="N2852">
        <v>1</v>
      </c>
      <c r="O2852" s="5" t="s">
        <v>518</v>
      </c>
      <c r="P2852" s="5"/>
      <c r="Q2852">
        <f>31-13</f>
        <v>18</v>
      </c>
      <c r="R2852" t="s">
        <v>47</v>
      </c>
      <c r="T2852">
        <v>28</v>
      </c>
      <c r="W2852">
        <v>13</v>
      </c>
      <c r="X2852">
        <v>25.9</v>
      </c>
      <c r="Z2852" t="s">
        <v>97</v>
      </c>
      <c r="AA2852" t="s">
        <v>519</v>
      </c>
      <c r="AB2852" t="s">
        <v>87</v>
      </c>
      <c r="AC2852" t="s">
        <v>56</v>
      </c>
    </row>
    <row r="2853" spans="1:29" x14ac:dyDescent="0.25">
      <c r="A2853" s="4">
        <v>42588</v>
      </c>
      <c r="B2853" t="s">
        <v>30</v>
      </c>
      <c r="C2853">
        <v>304</v>
      </c>
      <c r="D2853">
        <v>8</v>
      </c>
      <c r="E2853">
        <v>1</v>
      </c>
      <c r="F2853" t="s">
        <v>320</v>
      </c>
      <c r="G2853" t="s">
        <v>32</v>
      </c>
      <c r="H2853" t="s">
        <v>33</v>
      </c>
      <c r="I2853" t="s">
        <v>91</v>
      </c>
      <c r="J2853" t="s">
        <v>42</v>
      </c>
      <c r="K2853" t="s">
        <v>89</v>
      </c>
      <c r="L2853" t="s">
        <v>37</v>
      </c>
      <c r="M2853">
        <v>0</v>
      </c>
      <c r="N2853">
        <v>1</v>
      </c>
      <c r="O2853" s="5" t="s">
        <v>520</v>
      </c>
      <c r="P2853" s="5"/>
      <c r="Q2853">
        <f>28-16</f>
        <v>12</v>
      </c>
      <c r="R2853" t="s">
        <v>38</v>
      </c>
      <c r="S2853" t="s">
        <v>39</v>
      </c>
      <c r="T2853">
        <v>28</v>
      </c>
      <c r="W2853">
        <v>12.8</v>
      </c>
      <c r="X2853">
        <v>25.3</v>
      </c>
      <c r="Z2853" t="s">
        <v>97</v>
      </c>
      <c r="AA2853" t="s">
        <v>199</v>
      </c>
      <c r="AB2853" t="s">
        <v>87</v>
      </c>
      <c r="AC2853" t="s">
        <v>56</v>
      </c>
    </row>
    <row r="2854" spans="1:29" x14ac:dyDescent="0.25">
      <c r="A2854" s="4">
        <v>42589</v>
      </c>
      <c r="B2854" t="s">
        <v>30</v>
      </c>
      <c r="C2854">
        <v>111</v>
      </c>
      <c r="D2854">
        <v>2</v>
      </c>
      <c r="E2854">
        <v>1</v>
      </c>
      <c r="F2854" t="s">
        <v>320</v>
      </c>
      <c r="G2854" t="s">
        <v>32</v>
      </c>
      <c r="H2854" t="s">
        <v>33</v>
      </c>
      <c r="I2854" t="s">
        <v>34</v>
      </c>
      <c r="J2854" t="s">
        <v>35</v>
      </c>
      <c r="K2854" t="s">
        <v>114</v>
      </c>
      <c r="L2854" t="s">
        <v>43</v>
      </c>
      <c r="M2854">
        <v>0</v>
      </c>
      <c r="N2854">
        <v>0</v>
      </c>
      <c r="O2854" s="5" t="s">
        <v>521</v>
      </c>
      <c r="P2854" s="5" t="s">
        <v>522</v>
      </c>
      <c r="Q2854">
        <f>35-18</f>
        <v>17</v>
      </c>
      <c r="R2854" t="s">
        <v>47</v>
      </c>
      <c r="T2854">
        <v>19</v>
      </c>
      <c r="U2854">
        <v>98</v>
      </c>
      <c r="V2854">
        <v>14</v>
      </c>
      <c r="W2854">
        <v>12.8</v>
      </c>
      <c r="X2854">
        <v>26.8</v>
      </c>
      <c r="Z2854" t="s">
        <v>97</v>
      </c>
      <c r="AA2854" t="s">
        <v>199</v>
      </c>
      <c r="AB2854" t="s">
        <v>87</v>
      </c>
      <c r="AC2854" t="s">
        <v>56</v>
      </c>
    </row>
    <row r="2855" spans="1:29" x14ac:dyDescent="0.25">
      <c r="A2855" s="4">
        <v>42589</v>
      </c>
      <c r="B2855" t="s">
        <v>30</v>
      </c>
      <c r="C2855">
        <v>111</v>
      </c>
      <c r="D2855">
        <v>2</v>
      </c>
      <c r="E2855">
        <v>2</v>
      </c>
      <c r="F2855" t="s">
        <v>320</v>
      </c>
      <c r="G2855" t="s">
        <v>32</v>
      </c>
      <c r="H2855" t="s">
        <v>33</v>
      </c>
      <c r="I2855" t="s">
        <v>34</v>
      </c>
      <c r="J2855" t="s">
        <v>42</v>
      </c>
      <c r="K2855" t="s">
        <v>36</v>
      </c>
      <c r="L2855" t="s">
        <v>37</v>
      </c>
      <c r="M2855">
        <v>0</v>
      </c>
      <c r="N2855">
        <v>1</v>
      </c>
      <c r="O2855" s="5" t="s">
        <v>523</v>
      </c>
      <c r="P2855" s="5" t="s">
        <v>524</v>
      </c>
      <c r="Q2855">
        <f>43-18</f>
        <v>25</v>
      </c>
      <c r="R2855" t="s">
        <v>143</v>
      </c>
      <c r="S2855" t="s">
        <v>97</v>
      </c>
      <c r="T2855">
        <v>20</v>
      </c>
      <c r="U2855">
        <v>102</v>
      </c>
      <c r="V2855">
        <v>16.5</v>
      </c>
      <c r="W2855">
        <v>13.1</v>
      </c>
      <c r="X2855">
        <v>27.4</v>
      </c>
      <c r="Z2855" t="s">
        <v>39</v>
      </c>
      <c r="AA2855" t="s">
        <v>199</v>
      </c>
      <c r="AB2855" t="s">
        <v>87</v>
      </c>
      <c r="AC2855" t="s">
        <v>56</v>
      </c>
    </row>
    <row r="2856" spans="1:29" x14ac:dyDescent="0.25">
      <c r="A2856" s="4">
        <v>42589</v>
      </c>
      <c r="B2856" t="s">
        <v>30</v>
      </c>
      <c r="C2856">
        <v>111</v>
      </c>
      <c r="D2856">
        <v>4</v>
      </c>
      <c r="E2856">
        <v>1</v>
      </c>
      <c r="F2856" t="s">
        <v>320</v>
      </c>
      <c r="G2856" t="s">
        <v>32</v>
      </c>
      <c r="H2856" t="s">
        <v>33</v>
      </c>
      <c r="I2856" t="s">
        <v>34</v>
      </c>
      <c r="J2856" t="s">
        <v>35</v>
      </c>
      <c r="K2856" t="s">
        <v>36</v>
      </c>
      <c r="L2856" t="s">
        <v>37</v>
      </c>
      <c r="M2856">
        <v>0</v>
      </c>
      <c r="N2856">
        <v>0</v>
      </c>
      <c r="O2856" s="5" t="s">
        <v>444</v>
      </c>
      <c r="P2856" s="5" t="s">
        <v>445</v>
      </c>
      <c r="Q2856">
        <f>36-13</f>
        <v>23</v>
      </c>
      <c r="R2856" t="s">
        <v>143</v>
      </c>
      <c r="S2856" t="s">
        <v>97</v>
      </c>
      <c r="T2856">
        <v>20</v>
      </c>
      <c r="U2856">
        <v>90</v>
      </c>
      <c r="V2856">
        <v>15</v>
      </c>
      <c r="W2856">
        <v>13.1</v>
      </c>
      <c r="X2856">
        <v>28.2</v>
      </c>
      <c r="Z2856" t="s">
        <v>39</v>
      </c>
      <c r="AB2856" t="s">
        <v>87</v>
      </c>
      <c r="AC2856" t="s">
        <v>56</v>
      </c>
    </row>
    <row r="2857" spans="1:29" x14ac:dyDescent="0.25">
      <c r="A2857" s="4">
        <v>42589</v>
      </c>
      <c r="B2857" t="s">
        <v>30</v>
      </c>
      <c r="C2857">
        <v>111</v>
      </c>
      <c r="D2857">
        <v>4</v>
      </c>
      <c r="E2857">
        <v>2</v>
      </c>
      <c r="F2857" t="s">
        <v>320</v>
      </c>
      <c r="G2857" t="s">
        <v>32</v>
      </c>
      <c r="H2857" t="s">
        <v>33</v>
      </c>
      <c r="I2857" t="s">
        <v>34</v>
      </c>
      <c r="J2857" t="s">
        <v>35</v>
      </c>
      <c r="K2857" t="s">
        <v>36</v>
      </c>
      <c r="L2857" t="s">
        <v>43</v>
      </c>
      <c r="M2857">
        <v>0</v>
      </c>
      <c r="N2857">
        <v>0</v>
      </c>
      <c r="O2857" s="5" t="s">
        <v>382</v>
      </c>
      <c r="P2857" s="5" t="s">
        <v>383</v>
      </c>
      <c r="Q2857">
        <f>37-15</f>
        <v>22</v>
      </c>
      <c r="R2857" t="s">
        <v>47</v>
      </c>
      <c r="T2857">
        <v>20</v>
      </c>
      <c r="U2857">
        <v>93</v>
      </c>
      <c r="V2857">
        <v>16</v>
      </c>
      <c r="W2857">
        <v>13.2</v>
      </c>
      <c r="X2857">
        <v>28.1</v>
      </c>
      <c r="Z2857" t="s">
        <v>39</v>
      </c>
      <c r="AB2857" t="s">
        <v>87</v>
      </c>
      <c r="AC2857" t="s">
        <v>56</v>
      </c>
    </row>
    <row r="2858" spans="1:29" x14ac:dyDescent="0.25">
      <c r="A2858" s="4">
        <v>42589</v>
      </c>
      <c r="B2858" t="s">
        <v>30</v>
      </c>
      <c r="C2858">
        <v>111</v>
      </c>
      <c r="D2858">
        <v>6</v>
      </c>
      <c r="E2858">
        <v>1</v>
      </c>
      <c r="F2858" t="s">
        <v>320</v>
      </c>
      <c r="G2858" t="s">
        <v>32</v>
      </c>
      <c r="H2858" t="s">
        <v>33</v>
      </c>
      <c r="I2858" t="s">
        <v>34</v>
      </c>
      <c r="J2858" t="s">
        <v>35</v>
      </c>
      <c r="K2858" t="s">
        <v>114</v>
      </c>
      <c r="L2858" t="s">
        <v>37</v>
      </c>
      <c r="M2858">
        <v>0</v>
      </c>
      <c r="N2858">
        <v>0</v>
      </c>
      <c r="O2858" s="5" t="s">
        <v>487</v>
      </c>
      <c r="P2858" s="5" t="s">
        <v>488</v>
      </c>
      <c r="Q2858">
        <f>31-14</f>
        <v>17</v>
      </c>
      <c r="R2858" t="s">
        <v>63</v>
      </c>
      <c r="S2858" t="s">
        <v>39</v>
      </c>
      <c r="T2858">
        <v>20</v>
      </c>
      <c r="U2858">
        <v>92</v>
      </c>
      <c r="V2858">
        <v>15</v>
      </c>
      <c r="W2858">
        <v>13</v>
      </c>
      <c r="X2858">
        <v>28</v>
      </c>
      <c r="Y2858" t="s">
        <v>525</v>
      </c>
      <c r="Z2858" t="s">
        <v>39</v>
      </c>
      <c r="AB2858" t="s">
        <v>87</v>
      </c>
      <c r="AC2858" t="s">
        <v>56</v>
      </c>
    </row>
    <row r="2859" spans="1:29" x14ac:dyDescent="0.25">
      <c r="A2859" s="4">
        <v>42589</v>
      </c>
      <c r="B2859" t="s">
        <v>30</v>
      </c>
      <c r="C2859">
        <v>111</v>
      </c>
      <c r="D2859">
        <v>6</v>
      </c>
      <c r="E2859">
        <v>2</v>
      </c>
      <c r="F2859" t="s">
        <v>320</v>
      </c>
      <c r="G2859" t="s">
        <v>32</v>
      </c>
      <c r="H2859" t="s">
        <v>33</v>
      </c>
      <c r="I2859" t="s">
        <v>34</v>
      </c>
      <c r="J2859" t="s">
        <v>42</v>
      </c>
      <c r="K2859" t="s">
        <v>36</v>
      </c>
      <c r="L2859" t="s">
        <v>43</v>
      </c>
      <c r="M2859">
        <v>0</v>
      </c>
      <c r="N2859">
        <v>1</v>
      </c>
      <c r="O2859" s="5" t="s">
        <v>526</v>
      </c>
      <c r="P2859" s="5" t="s">
        <v>527</v>
      </c>
      <c r="Q2859">
        <f>39.5-14.5</f>
        <v>25</v>
      </c>
      <c r="R2859" t="s">
        <v>47</v>
      </c>
      <c r="T2859">
        <v>20</v>
      </c>
      <c r="U2859">
        <v>93</v>
      </c>
      <c r="V2859">
        <v>17</v>
      </c>
      <c r="W2859">
        <v>13.3</v>
      </c>
      <c r="X2859">
        <v>28.8</v>
      </c>
      <c r="Y2859" t="s">
        <v>528</v>
      </c>
      <c r="Z2859" t="s">
        <v>39</v>
      </c>
      <c r="AB2859" t="s">
        <v>87</v>
      </c>
      <c r="AC2859" t="s">
        <v>56</v>
      </c>
    </row>
    <row r="2860" spans="1:29" x14ac:dyDescent="0.25">
      <c r="A2860" s="4">
        <v>42589</v>
      </c>
      <c r="B2860" t="s">
        <v>30</v>
      </c>
      <c r="C2860">
        <v>111</v>
      </c>
      <c r="D2860">
        <v>10</v>
      </c>
      <c r="E2860">
        <v>1</v>
      </c>
      <c r="F2860" t="s">
        <v>320</v>
      </c>
      <c r="G2860" t="s">
        <v>32</v>
      </c>
      <c r="H2860" t="s">
        <v>33</v>
      </c>
      <c r="I2860" t="s">
        <v>57</v>
      </c>
      <c r="O2860" s="5"/>
      <c r="P2860" s="5"/>
    </row>
    <row r="2861" spans="1:29" x14ac:dyDescent="0.25">
      <c r="A2861" s="4">
        <v>42589</v>
      </c>
      <c r="B2861" t="s">
        <v>30</v>
      </c>
      <c r="C2861">
        <v>111</v>
      </c>
      <c r="D2861">
        <v>10</v>
      </c>
      <c r="E2861">
        <v>2</v>
      </c>
      <c r="F2861" t="s">
        <v>320</v>
      </c>
      <c r="G2861" t="s">
        <v>32</v>
      </c>
      <c r="H2861" t="s">
        <v>33</v>
      </c>
      <c r="I2861" t="s">
        <v>34</v>
      </c>
      <c r="J2861" t="s">
        <v>35</v>
      </c>
      <c r="K2861" t="s">
        <v>89</v>
      </c>
      <c r="L2861" t="s">
        <v>37</v>
      </c>
      <c r="M2861">
        <v>0</v>
      </c>
      <c r="N2861">
        <v>0</v>
      </c>
      <c r="O2861" s="5" t="s">
        <v>384</v>
      </c>
      <c r="P2861" s="5" t="s">
        <v>385</v>
      </c>
      <c r="Q2861">
        <f>30-14.5</f>
        <v>15.5</v>
      </c>
      <c r="R2861" t="s">
        <v>38</v>
      </c>
      <c r="S2861" t="s">
        <v>39</v>
      </c>
      <c r="T2861">
        <v>19</v>
      </c>
      <c r="V2861">
        <v>15</v>
      </c>
      <c r="W2861">
        <v>12.5</v>
      </c>
      <c r="X2861">
        <v>26.8</v>
      </c>
      <c r="Z2861" t="s">
        <v>39</v>
      </c>
      <c r="AB2861" t="s">
        <v>87</v>
      </c>
      <c r="AC2861" t="s">
        <v>56</v>
      </c>
    </row>
    <row r="2862" spans="1:29" x14ac:dyDescent="0.25">
      <c r="A2862" s="4">
        <v>42589</v>
      </c>
      <c r="B2862" t="s">
        <v>30</v>
      </c>
      <c r="C2862">
        <v>112</v>
      </c>
      <c r="D2862">
        <v>1</v>
      </c>
      <c r="E2862">
        <v>2</v>
      </c>
      <c r="F2862" t="s">
        <v>320</v>
      </c>
      <c r="G2862" t="s">
        <v>32</v>
      </c>
      <c r="H2862" t="s">
        <v>33</v>
      </c>
      <c r="I2862" t="s">
        <v>91</v>
      </c>
      <c r="J2862" t="s">
        <v>42</v>
      </c>
      <c r="M2862">
        <v>0</v>
      </c>
      <c r="N2862">
        <v>1</v>
      </c>
      <c r="O2862" s="5" t="s">
        <v>529</v>
      </c>
      <c r="P2862" s="5"/>
      <c r="Z2862" t="s">
        <v>97</v>
      </c>
      <c r="AA2862" t="s">
        <v>199</v>
      </c>
      <c r="AB2862" t="s">
        <v>87</v>
      </c>
      <c r="AC2862" t="s">
        <v>56</v>
      </c>
    </row>
    <row r="2863" spans="1:29" x14ac:dyDescent="0.25">
      <c r="A2863" s="4">
        <v>42589</v>
      </c>
      <c r="B2863" t="s">
        <v>30</v>
      </c>
      <c r="C2863">
        <v>112</v>
      </c>
      <c r="D2863">
        <v>3</v>
      </c>
      <c r="E2863">
        <v>1</v>
      </c>
      <c r="F2863" t="s">
        <v>320</v>
      </c>
      <c r="G2863" t="s">
        <v>32</v>
      </c>
      <c r="H2863" t="s">
        <v>33</v>
      </c>
      <c r="I2863" t="s">
        <v>57</v>
      </c>
      <c r="O2863" s="5"/>
      <c r="P2863" s="5"/>
    </row>
    <row r="2864" spans="1:29" x14ac:dyDescent="0.25">
      <c r="A2864" s="4">
        <v>42589</v>
      </c>
      <c r="B2864" t="s">
        <v>30</v>
      </c>
      <c r="C2864">
        <v>112</v>
      </c>
      <c r="D2864">
        <v>3</v>
      </c>
      <c r="E2864">
        <v>2</v>
      </c>
      <c r="F2864" t="s">
        <v>320</v>
      </c>
      <c r="G2864" t="s">
        <v>32</v>
      </c>
      <c r="H2864" t="s">
        <v>33</v>
      </c>
      <c r="I2864" t="s">
        <v>91</v>
      </c>
      <c r="J2864" t="s">
        <v>35</v>
      </c>
      <c r="K2864" t="s">
        <v>36</v>
      </c>
      <c r="L2864" t="s">
        <v>43</v>
      </c>
      <c r="M2864">
        <v>0</v>
      </c>
      <c r="N2864">
        <v>0</v>
      </c>
      <c r="O2864" s="5" t="s">
        <v>398</v>
      </c>
      <c r="P2864" s="5"/>
      <c r="Q2864">
        <f>33-13.5</f>
        <v>19.5</v>
      </c>
      <c r="R2864" t="s">
        <v>47</v>
      </c>
      <c r="T2864">
        <v>30</v>
      </c>
      <c r="W2864">
        <v>12.9</v>
      </c>
      <c r="X2864">
        <v>25.7</v>
      </c>
      <c r="Z2864" t="s">
        <v>39</v>
      </c>
      <c r="AB2864" t="s">
        <v>87</v>
      </c>
      <c r="AC2864" t="s">
        <v>56</v>
      </c>
    </row>
    <row r="2865" spans="1:30" x14ac:dyDescent="0.25">
      <c r="A2865" s="4">
        <v>42589</v>
      </c>
      <c r="B2865" t="s">
        <v>30</v>
      </c>
      <c r="C2865">
        <v>112</v>
      </c>
      <c r="D2865">
        <v>4</v>
      </c>
      <c r="E2865">
        <v>2</v>
      </c>
      <c r="F2865" t="s">
        <v>320</v>
      </c>
      <c r="G2865" t="s">
        <v>32</v>
      </c>
      <c r="H2865" t="s">
        <v>33</v>
      </c>
      <c r="I2865" t="s">
        <v>34</v>
      </c>
      <c r="J2865" t="s">
        <v>35</v>
      </c>
      <c r="K2865" t="s">
        <v>36</v>
      </c>
      <c r="L2865" t="s">
        <v>37</v>
      </c>
      <c r="M2865">
        <v>0</v>
      </c>
      <c r="N2865">
        <v>0</v>
      </c>
      <c r="O2865" s="5" t="s">
        <v>506</v>
      </c>
      <c r="P2865" s="5" t="s">
        <v>507</v>
      </c>
      <c r="Q2865">
        <f>37-15</f>
        <v>22</v>
      </c>
      <c r="R2865" t="s">
        <v>143</v>
      </c>
      <c r="S2865" t="s">
        <v>97</v>
      </c>
      <c r="T2865">
        <v>19</v>
      </c>
      <c r="U2865">
        <v>84</v>
      </c>
      <c r="V2865">
        <v>19</v>
      </c>
      <c r="W2865">
        <v>13</v>
      </c>
      <c r="X2865">
        <v>27.7</v>
      </c>
      <c r="Z2865" t="s">
        <v>97</v>
      </c>
      <c r="AA2865" t="s">
        <v>199</v>
      </c>
      <c r="AB2865" t="s">
        <v>87</v>
      </c>
      <c r="AC2865" t="s">
        <v>56</v>
      </c>
    </row>
    <row r="2866" spans="1:30" x14ac:dyDescent="0.25">
      <c r="A2866" s="4">
        <v>42589</v>
      </c>
      <c r="B2866" t="s">
        <v>30</v>
      </c>
      <c r="C2866">
        <v>112</v>
      </c>
      <c r="D2866">
        <v>6</v>
      </c>
      <c r="E2866">
        <v>1</v>
      </c>
      <c r="F2866" t="s">
        <v>320</v>
      </c>
      <c r="G2866" t="s">
        <v>32</v>
      </c>
      <c r="H2866" t="s">
        <v>33</v>
      </c>
      <c r="I2866" t="s">
        <v>34</v>
      </c>
      <c r="J2866" t="s">
        <v>35</v>
      </c>
      <c r="K2866" t="s">
        <v>114</v>
      </c>
      <c r="L2866" t="s">
        <v>43</v>
      </c>
      <c r="M2866">
        <v>0</v>
      </c>
      <c r="N2866">
        <v>0</v>
      </c>
      <c r="O2866" s="5" t="s">
        <v>392</v>
      </c>
      <c r="P2866" s="5" t="s">
        <v>458</v>
      </c>
      <c r="Q2866">
        <f>36-18.5</f>
        <v>17.5</v>
      </c>
      <c r="R2866" t="s">
        <v>65</v>
      </c>
      <c r="T2866">
        <v>19</v>
      </c>
      <c r="U2866">
        <v>86</v>
      </c>
      <c r="V2866">
        <v>17</v>
      </c>
      <c r="W2866">
        <v>13.1</v>
      </c>
      <c r="X2866">
        <v>27.5</v>
      </c>
      <c r="Z2866" t="s">
        <v>39</v>
      </c>
      <c r="AB2866" t="s">
        <v>87</v>
      </c>
      <c r="AC2866" t="s">
        <v>56</v>
      </c>
    </row>
    <row r="2867" spans="1:30" x14ac:dyDescent="0.25">
      <c r="A2867" s="4">
        <v>42589</v>
      </c>
      <c r="B2867" t="s">
        <v>30</v>
      </c>
      <c r="C2867">
        <v>112</v>
      </c>
      <c r="D2867">
        <v>7</v>
      </c>
      <c r="E2867">
        <v>2</v>
      </c>
      <c r="F2867" t="s">
        <v>320</v>
      </c>
      <c r="G2867" t="s">
        <v>32</v>
      </c>
      <c r="H2867" t="s">
        <v>33</v>
      </c>
      <c r="I2867" t="s">
        <v>91</v>
      </c>
      <c r="J2867" t="s">
        <v>35</v>
      </c>
      <c r="K2867" t="s">
        <v>36</v>
      </c>
      <c r="L2867" t="s">
        <v>37</v>
      </c>
      <c r="M2867">
        <v>0</v>
      </c>
      <c r="N2867">
        <v>0</v>
      </c>
      <c r="O2867" s="5" t="s">
        <v>321</v>
      </c>
      <c r="P2867" s="5"/>
      <c r="Q2867">
        <f>38-15</f>
        <v>23</v>
      </c>
      <c r="R2867" t="s">
        <v>63</v>
      </c>
      <c r="S2867" t="s">
        <v>39</v>
      </c>
      <c r="T2867">
        <v>28</v>
      </c>
      <c r="W2867">
        <v>13</v>
      </c>
      <c r="X2867">
        <v>26.2</v>
      </c>
      <c r="Z2867" t="s">
        <v>39</v>
      </c>
      <c r="AB2867" t="s">
        <v>87</v>
      </c>
      <c r="AC2867" t="s">
        <v>56</v>
      </c>
    </row>
    <row r="2868" spans="1:30" x14ac:dyDescent="0.25">
      <c r="A2868" s="4">
        <v>42589</v>
      </c>
      <c r="B2868" t="s">
        <v>30</v>
      </c>
      <c r="C2868">
        <v>112</v>
      </c>
      <c r="D2868">
        <v>8</v>
      </c>
      <c r="E2868">
        <v>2</v>
      </c>
      <c r="F2868" t="s">
        <v>320</v>
      </c>
      <c r="G2868" t="s">
        <v>32</v>
      </c>
      <c r="H2868" t="s">
        <v>33</v>
      </c>
      <c r="I2868" t="s">
        <v>34</v>
      </c>
      <c r="J2868" t="s">
        <v>35</v>
      </c>
      <c r="K2868" t="s">
        <v>89</v>
      </c>
      <c r="L2868" t="s">
        <v>37</v>
      </c>
      <c r="M2868">
        <v>0</v>
      </c>
      <c r="N2868">
        <v>0</v>
      </c>
      <c r="O2868" s="5" t="s">
        <v>399</v>
      </c>
      <c r="P2868" s="5" t="s">
        <v>400</v>
      </c>
      <c r="Q2868">
        <f>26-14</f>
        <v>12</v>
      </c>
      <c r="R2868" t="s">
        <v>38</v>
      </c>
      <c r="S2868" t="s">
        <v>39</v>
      </c>
      <c r="T2868">
        <v>19</v>
      </c>
      <c r="V2868">
        <v>15</v>
      </c>
      <c r="W2868">
        <v>12.4</v>
      </c>
      <c r="X2868">
        <v>25.9</v>
      </c>
      <c r="Z2868" t="s">
        <v>39</v>
      </c>
      <c r="AB2868" t="s">
        <v>87</v>
      </c>
      <c r="AC2868" t="s">
        <v>56</v>
      </c>
    </row>
    <row r="2869" spans="1:30" x14ac:dyDescent="0.25">
      <c r="A2869" s="4">
        <v>42589</v>
      </c>
      <c r="B2869" t="s">
        <v>30</v>
      </c>
      <c r="C2869">
        <v>112</v>
      </c>
      <c r="D2869">
        <v>9</v>
      </c>
      <c r="E2869">
        <v>1</v>
      </c>
      <c r="F2869" t="s">
        <v>320</v>
      </c>
      <c r="G2869" t="s">
        <v>32</v>
      </c>
      <c r="H2869" t="s">
        <v>33</v>
      </c>
      <c r="I2869" t="s">
        <v>34</v>
      </c>
      <c r="J2869" t="s">
        <v>35</v>
      </c>
      <c r="K2869" t="s">
        <v>36</v>
      </c>
      <c r="L2869" t="s">
        <v>43</v>
      </c>
      <c r="M2869">
        <v>0</v>
      </c>
      <c r="N2869">
        <v>0</v>
      </c>
      <c r="O2869" s="5" t="s">
        <v>401</v>
      </c>
      <c r="P2869" s="5" t="s">
        <v>402</v>
      </c>
      <c r="Q2869">
        <f>39-19</f>
        <v>20</v>
      </c>
      <c r="R2869" t="s">
        <v>47</v>
      </c>
      <c r="T2869">
        <v>19</v>
      </c>
      <c r="U2869">
        <v>90</v>
      </c>
      <c r="V2869">
        <v>16</v>
      </c>
      <c r="W2869">
        <v>13.1</v>
      </c>
      <c r="X2869">
        <v>27.2</v>
      </c>
      <c r="Z2869" t="s">
        <v>97</v>
      </c>
      <c r="AA2869" t="s">
        <v>199</v>
      </c>
      <c r="AB2869" t="s">
        <v>87</v>
      </c>
      <c r="AC2869" t="s">
        <v>56</v>
      </c>
    </row>
    <row r="2870" spans="1:30" x14ac:dyDescent="0.25">
      <c r="A2870" s="4">
        <v>42589</v>
      </c>
      <c r="B2870" t="s">
        <v>30</v>
      </c>
      <c r="C2870">
        <v>113</v>
      </c>
      <c r="D2870">
        <v>1</v>
      </c>
      <c r="E2870">
        <v>1</v>
      </c>
      <c r="F2870" t="s">
        <v>320</v>
      </c>
      <c r="G2870" t="s">
        <v>32</v>
      </c>
      <c r="H2870" t="s">
        <v>33</v>
      </c>
      <c r="I2870" t="s">
        <v>57</v>
      </c>
      <c r="O2870" s="5"/>
      <c r="P2870" s="5"/>
    </row>
    <row r="2871" spans="1:30" x14ac:dyDescent="0.25">
      <c r="A2871" s="4">
        <v>42589</v>
      </c>
      <c r="B2871" t="s">
        <v>30</v>
      </c>
      <c r="C2871">
        <v>113</v>
      </c>
      <c r="D2871">
        <v>1</v>
      </c>
      <c r="E2871">
        <v>2</v>
      </c>
      <c r="F2871" t="s">
        <v>320</v>
      </c>
      <c r="G2871" t="s">
        <v>32</v>
      </c>
      <c r="H2871" t="s">
        <v>33</v>
      </c>
      <c r="I2871" t="s">
        <v>57</v>
      </c>
      <c r="O2871" s="5"/>
      <c r="P2871" s="5"/>
    </row>
    <row r="2872" spans="1:30" x14ac:dyDescent="0.25">
      <c r="A2872" s="4">
        <v>42589</v>
      </c>
      <c r="B2872" t="s">
        <v>30</v>
      </c>
      <c r="C2872">
        <v>113</v>
      </c>
      <c r="D2872">
        <v>3</v>
      </c>
      <c r="E2872">
        <v>1</v>
      </c>
      <c r="F2872" t="s">
        <v>320</v>
      </c>
      <c r="G2872" t="s">
        <v>32</v>
      </c>
      <c r="H2872" t="s">
        <v>33</v>
      </c>
      <c r="I2872" t="s">
        <v>34</v>
      </c>
      <c r="J2872" t="s">
        <v>35</v>
      </c>
      <c r="K2872" t="s">
        <v>114</v>
      </c>
      <c r="L2872" t="s">
        <v>43</v>
      </c>
      <c r="M2872">
        <v>0</v>
      </c>
      <c r="N2872">
        <v>0</v>
      </c>
      <c r="O2872" s="5" t="s">
        <v>466</v>
      </c>
      <c r="P2872" s="5" t="s">
        <v>467</v>
      </c>
      <c r="Q2872">
        <f>33-15.5</f>
        <v>17.5</v>
      </c>
      <c r="R2872" t="s">
        <v>65</v>
      </c>
      <c r="T2872">
        <v>20</v>
      </c>
      <c r="U2872">
        <v>93</v>
      </c>
      <c r="V2872">
        <v>16</v>
      </c>
      <c r="W2872">
        <v>13.1</v>
      </c>
      <c r="X2872">
        <v>27.5</v>
      </c>
      <c r="Z2872" t="s">
        <v>97</v>
      </c>
      <c r="AA2872" t="s">
        <v>199</v>
      </c>
      <c r="AB2872" t="s">
        <v>87</v>
      </c>
      <c r="AC2872" t="s">
        <v>56</v>
      </c>
    </row>
    <row r="2873" spans="1:30" x14ac:dyDescent="0.25">
      <c r="A2873" s="4">
        <v>42589</v>
      </c>
      <c r="B2873" t="s">
        <v>30</v>
      </c>
      <c r="C2873">
        <v>113</v>
      </c>
      <c r="D2873">
        <v>4</v>
      </c>
      <c r="E2873">
        <v>1</v>
      </c>
      <c r="F2873" t="s">
        <v>320</v>
      </c>
      <c r="G2873" t="s">
        <v>32</v>
      </c>
      <c r="H2873" t="s">
        <v>33</v>
      </c>
      <c r="I2873" t="s">
        <v>34</v>
      </c>
      <c r="J2873" t="s">
        <v>35</v>
      </c>
      <c r="K2873" t="s">
        <v>114</v>
      </c>
      <c r="L2873" t="s">
        <v>43</v>
      </c>
      <c r="M2873">
        <v>0</v>
      </c>
      <c r="N2873">
        <v>0</v>
      </c>
      <c r="O2873" s="5" t="s">
        <v>475</v>
      </c>
      <c r="P2873" s="5" t="s">
        <v>476</v>
      </c>
      <c r="R2873" t="s">
        <v>47</v>
      </c>
      <c r="T2873">
        <v>20</v>
      </c>
      <c r="U2873">
        <v>82</v>
      </c>
      <c r="V2873">
        <v>16</v>
      </c>
      <c r="W2873">
        <v>13</v>
      </c>
      <c r="X2873">
        <v>27.3</v>
      </c>
      <c r="Z2873" t="s">
        <v>39</v>
      </c>
      <c r="AB2873" t="s">
        <v>87</v>
      </c>
      <c r="AC2873" t="s">
        <v>56</v>
      </c>
      <c r="AD2873" t="s">
        <v>530</v>
      </c>
    </row>
    <row r="2874" spans="1:30" x14ac:dyDescent="0.25">
      <c r="A2874" s="4">
        <v>42589</v>
      </c>
      <c r="B2874" t="s">
        <v>30</v>
      </c>
      <c r="C2874">
        <v>113</v>
      </c>
      <c r="D2874">
        <v>5</v>
      </c>
      <c r="E2874">
        <v>1</v>
      </c>
      <c r="F2874" t="s">
        <v>320</v>
      </c>
      <c r="G2874" t="s">
        <v>32</v>
      </c>
      <c r="H2874" t="s">
        <v>33</v>
      </c>
      <c r="I2874" t="s">
        <v>57</v>
      </c>
      <c r="O2874" s="5"/>
      <c r="P2874" s="5"/>
    </row>
    <row r="2875" spans="1:30" x14ac:dyDescent="0.25">
      <c r="A2875" s="4">
        <v>42589</v>
      </c>
      <c r="B2875" t="s">
        <v>30</v>
      </c>
      <c r="C2875">
        <v>113</v>
      </c>
      <c r="D2875">
        <v>5</v>
      </c>
      <c r="E2875">
        <v>2</v>
      </c>
      <c r="F2875" t="s">
        <v>320</v>
      </c>
      <c r="G2875" t="s">
        <v>32</v>
      </c>
      <c r="H2875" t="s">
        <v>33</v>
      </c>
      <c r="I2875" t="s">
        <v>57</v>
      </c>
      <c r="O2875" s="5"/>
      <c r="P2875" s="5"/>
    </row>
    <row r="2876" spans="1:30" x14ac:dyDescent="0.25">
      <c r="A2876" s="4">
        <v>42589</v>
      </c>
      <c r="B2876" t="s">
        <v>30</v>
      </c>
      <c r="C2876">
        <v>113</v>
      </c>
      <c r="D2876">
        <v>6</v>
      </c>
      <c r="E2876">
        <v>1</v>
      </c>
      <c r="F2876" t="s">
        <v>320</v>
      </c>
      <c r="G2876" t="s">
        <v>32</v>
      </c>
      <c r="H2876" t="s">
        <v>33</v>
      </c>
      <c r="I2876" t="s">
        <v>34</v>
      </c>
      <c r="J2876" t="s">
        <v>62</v>
      </c>
      <c r="O2876" s="5" t="s">
        <v>413</v>
      </c>
      <c r="P2876" s="5" t="s">
        <v>414</v>
      </c>
      <c r="AD2876" t="s">
        <v>531</v>
      </c>
    </row>
    <row r="2877" spans="1:30" x14ac:dyDescent="0.25">
      <c r="A2877" s="4">
        <v>42589</v>
      </c>
      <c r="B2877" t="s">
        <v>30</v>
      </c>
      <c r="C2877">
        <v>113</v>
      </c>
      <c r="D2877">
        <v>6</v>
      </c>
      <c r="E2877">
        <v>2</v>
      </c>
      <c r="F2877" t="s">
        <v>320</v>
      </c>
      <c r="G2877" t="s">
        <v>32</v>
      </c>
      <c r="H2877" t="s">
        <v>33</v>
      </c>
      <c r="I2877" t="s">
        <v>57</v>
      </c>
      <c r="O2877" s="5"/>
      <c r="P2877" s="5"/>
    </row>
    <row r="2878" spans="1:30" x14ac:dyDescent="0.25">
      <c r="A2878" s="4">
        <v>42589</v>
      </c>
      <c r="B2878" t="s">
        <v>30</v>
      </c>
      <c r="C2878">
        <v>113</v>
      </c>
      <c r="D2878">
        <v>8</v>
      </c>
      <c r="E2878">
        <v>1</v>
      </c>
      <c r="F2878" t="s">
        <v>320</v>
      </c>
      <c r="G2878" t="s">
        <v>32</v>
      </c>
      <c r="H2878" t="s">
        <v>33</v>
      </c>
      <c r="I2878" t="s">
        <v>57</v>
      </c>
      <c r="O2878" s="5"/>
      <c r="P2878" s="5"/>
    </row>
    <row r="2879" spans="1:30" x14ac:dyDescent="0.25">
      <c r="A2879" s="4">
        <v>42589</v>
      </c>
      <c r="B2879" t="s">
        <v>30</v>
      </c>
      <c r="C2879">
        <v>113</v>
      </c>
      <c r="D2879">
        <v>8</v>
      </c>
      <c r="E2879">
        <v>2</v>
      </c>
      <c r="F2879" t="s">
        <v>320</v>
      </c>
      <c r="G2879" t="s">
        <v>32</v>
      </c>
      <c r="H2879" t="s">
        <v>33</v>
      </c>
      <c r="I2879" t="s">
        <v>34</v>
      </c>
      <c r="J2879" t="s">
        <v>35</v>
      </c>
      <c r="K2879" t="s">
        <v>36</v>
      </c>
      <c r="L2879" t="s">
        <v>37</v>
      </c>
      <c r="M2879">
        <v>0</v>
      </c>
      <c r="N2879">
        <v>0</v>
      </c>
      <c r="O2879" s="5" t="s">
        <v>417</v>
      </c>
      <c r="P2879" s="5" t="s">
        <v>418</v>
      </c>
      <c r="Q2879">
        <f>37.5-15.5</f>
        <v>22</v>
      </c>
      <c r="R2879" t="s">
        <v>164</v>
      </c>
      <c r="S2879" t="s">
        <v>97</v>
      </c>
      <c r="T2879">
        <v>19</v>
      </c>
      <c r="U2879">
        <v>96</v>
      </c>
      <c r="V2879">
        <v>17</v>
      </c>
      <c r="W2879">
        <v>13.2</v>
      </c>
      <c r="X2879">
        <v>28.8</v>
      </c>
      <c r="Z2879" t="s">
        <v>97</v>
      </c>
      <c r="AA2879" t="s">
        <v>199</v>
      </c>
      <c r="AB2879" t="s">
        <v>87</v>
      </c>
      <c r="AC2879" t="s">
        <v>56</v>
      </c>
    </row>
    <row r="2880" spans="1:30" x14ac:dyDescent="0.25">
      <c r="A2880" s="4">
        <v>42589</v>
      </c>
      <c r="B2880" t="s">
        <v>30</v>
      </c>
      <c r="C2880">
        <v>113</v>
      </c>
      <c r="D2880">
        <v>10</v>
      </c>
      <c r="E2880">
        <v>2</v>
      </c>
      <c r="F2880" t="s">
        <v>320</v>
      </c>
      <c r="G2880" t="s">
        <v>32</v>
      </c>
      <c r="H2880" t="s">
        <v>33</v>
      </c>
      <c r="I2880" t="s">
        <v>34</v>
      </c>
      <c r="J2880" t="s">
        <v>35</v>
      </c>
      <c r="K2880" t="s">
        <v>89</v>
      </c>
      <c r="L2880" t="s">
        <v>43</v>
      </c>
      <c r="M2880">
        <v>0</v>
      </c>
      <c r="N2880">
        <v>0</v>
      </c>
      <c r="O2880" s="5" t="s">
        <v>423</v>
      </c>
      <c r="P2880" s="5" t="s">
        <v>424</v>
      </c>
      <c r="Q2880">
        <f>28.5-13</f>
        <v>15.5</v>
      </c>
      <c r="R2880" t="s">
        <v>65</v>
      </c>
      <c r="T2880">
        <v>20</v>
      </c>
      <c r="V2880">
        <v>17</v>
      </c>
      <c r="W2880">
        <v>12.7</v>
      </c>
      <c r="X2880">
        <v>26.4</v>
      </c>
      <c r="Z2880" t="s">
        <v>532</v>
      </c>
      <c r="AA2880" t="s">
        <v>199</v>
      </c>
      <c r="AB2880" t="s">
        <v>87</v>
      </c>
      <c r="AC2880" t="s">
        <v>56</v>
      </c>
      <c r="AD2880" t="s">
        <v>515</v>
      </c>
    </row>
    <row r="2881" spans="1:30" x14ac:dyDescent="0.25">
      <c r="A2881" s="4">
        <v>42589</v>
      </c>
      <c r="B2881" t="s">
        <v>30</v>
      </c>
      <c r="C2881">
        <v>402</v>
      </c>
      <c r="D2881">
        <v>2</v>
      </c>
      <c r="E2881">
        <v>1</v>
      </c>
      <c r="F2881" t="s">
        <v>320</v>
      </c>
      <c r="G2881" t="s">
        <v>32</v>
      </c>
      <c r="H2881" t="s">
        <v>33</v>
      </c>
      <c r="I2881" t="s">
        <v>57</v>
      </c>
      <c r="O2881" s="5"/>
      <c r="P2881" s="5"/>
    </row>
    <row r="2882" spans="1:30" x14ac:dyDescent="0.25">
      <c r="A2882" s="4">
        <v>42589</v>
      </c>
      <c r="B2882" t="s">
        <v>30</v>
      </c>
      <c r="C2882">
        <v>402</v>
      </c>
      <c r="D2882">
        <v>2</v>
      </c>
      <c r="E2882">
        <v>2</v>
      </c>
      <c r="F2882" t="s">
        <v>320</v>
      </c>
      <c r="G2882" t="s">
        <v>32</v>
      </c>
      <c r="H2882" t="s">
        <v>33</v>
      </c>
      <c r="I2882" t="s">
        <v>57</v>
      </c>
      <c r="O2882" s="5"/>
      <c r="P2882" s="5"/>
    </row>
    <row r="2883" spans="1:30" x14ac:dyDescent="0.25">
      <c r="A2883" s="4">
        <v>42589</v>
      </c>
      <c r="B2883" t="s">
        <v>30</v>
      </c>
      <c r="C2883">
        <v>402</v>
      </c>
      <c r="D2883">
        <v>3</v>
      </c>
      <c r="E2883">
        <v>1</v>
      </c>
      <c r="F2883" t="s">
        <v>320</v>
      </c>
      <c r="G2883" t="s">
        <v>32</v>
      </c>
      <c r="H2883" t="s">
        <v>33</v>
      </c>
      <c r="I2883" t="s">
        <v>57</v>
      </c>
      <c r="O2883" s="5"/>
      <c r="P2883" s="5"/>
    </row>
    <row r="2884" spans="1:30" x14ac:dyDescent="0.25">
      <c r="A2884" s="4">
        <v>42589</v>
      </c>
      <c r="B2884" t="s">
        <v>30</v>
      </c>
      <c r="C2884">
        <v>402</v>
      </c>
      <c r="D2884">
        <v>3</v>
      </c>
      <c r="E2884">
        <v>2</v>
      </c>
      <c r="F2884" t="s">
        <v>320</v>
      </c>
      <c r="G2884" t="s">
        <v>32</v>
      </c>
      <c r="H2884" t="s">
        <v>33</v>
      </c>
      <c r="I2884" t="s">
        <v>57</v>
      </c>
      <c r="O2884" s="5"/>
      <c r="P2884" s="5"/>
    </row>
    <row r="2885" spans="1:30" x14ac:dyDescent="0.25">
      <c r="A2885" s="4">
        <v>42589</v>
      </c>
      <c r="B2885" t="s">
        <v>30</v>
      </c>
      <c r="C2885">
        <v>402</v>
      </c>
      <c r="D2885">
        <v>4</v>
      </c>
      <c r="E2885">
        <v>1</v>
      </c>
      <c r="F2885" t="s">
        <v>320</v>
      </c>
      <c r="G2885" t="s">
        <v>32</v>
      </c>
      <c r="H2885" t="s">
        <v>33</v>
      </c>
      <c r="I2885" t="s">
        <v>53</v>
      </c>
      <c r="J2885" t="s">
        <v>62</v>
      </c>
      <c r="O2885" s="5"/>
      <c r="P2885" s="5"/>
    </row>
    <row r="2886" spans="1:30" x14ac:dyDescent="0.25">
      <c r="A2886" s="4">
        <v>42589</v>
      </c>
      <c r="B2886" t="s">
        <v>30</v>
      </c>
      <c r="C2886">
        <v>402</v>
      </c>
      <c r="D2886">
        <v>4</v>
      </c>
      <c r="E2886">
        <v>2</v>
      </c>
      <c r="F2886" t="s">
        <v>320</v>
      </c>
      <c r="G2886" t="s">
        <v>32</v>
      </c>
      <c r="H2886" t="s">
        <v>33</v>
      </c>
      <c r="I2886" t="s">
        <v>91</v>
      </c>
      <c r="J2886" t="s">
        <v>35</v>
      </c>
      <c r="K2886" t="s">
        <v>114</v>
      </c>
      <c r="L2886" t="s">
        <v>37</v>
      </c>
      <c r="M2886">
        <v>0</v>
      </c>
      <c r="N2886">
        <v>0</v>
      </c>
      <c r="O2886" s="5" t="s">
        <v>520</v>
      </c>
      <c r="P2886" s="5"/>
      <c r="Q2886">
        <f>32-13</f>
        <v>19</v>
      </c>
      <c r="R2886" t="s">
        <v>63</v>
      </c>
      <c r="S2886" t="s">
        <v>39</v>
      </c>
      <c r="T2886">
        <v>30</v>
      </c>
      <c r="W2886">
        <v>12.7</v>
      </c>
      <c r="X2886">
        <v>25.3</v>
      </c>
      <c r="Z2886" t="s">
        <v>97</v>
      </c>
      <c r="AA2886" t="s">
        <v>199</v>
      </c>
      <c r="AB2886" t="s">
        <v>87</v>
      </c>
      <c r="AC2886" t="s">
        <v>56</v>
      </c>
    </row>
    <row r="2887" spans="1:30" x14ac:dyDescent="0.25">
      <c r="A2887" s="4">
        <v>42589</v>
      </c>
      <c r="B2887" t="s">
        <v>30</v>
      </c>
      <c r="C2887">
        <v>402</v>
      </c>
      <c r="D2887">
        <v>6</v>
      </c>
      <c r="E2887">
        <v>1</v>
      </c>
      <c r="F2887" t="s">
        <v>320</v>
      </c>
      <c r="G2887" t="s">
        <v>32</v>
      </c>
      <c r="H2887" t="s">
        <v>33</v>
      </c>
      <c r="I2887" t="s">
        <v>73</v>
      </c>
      <c r="J2887" t="s">
        <v>35</v>
      </c>
      <c r="K2887" t="s">
        <v>36</v>
      </c>
      <c r="L2887" t="s">
        <v>43</v>
      </c>
      <c r="M2887">
        <v>0</v>
      </c>
      <c r="N2887">
        <v>0</v>
      </c>
      <c r="O2887" s="5" t="s">
        <v>430</v>
      </c>
      <c r="P2887" s="5"/>
      <c r="Q2887">
        <f>132-48</f>
        <v>84</v>
      </c>
      <c r="R2887" t="s">
        <v>47</v>
      </c>
      <c r="T2887">
        <v>30</v>
      </c>
      <c r="W2887">
        <v>22.5</v>
      </c>
      <c r="X2887">
        <v>48</v>
      </c>
      <c r="Z2887" t="s">
        <v>97</v>
      </c>
      <c r="AA2887" t="s">
        <v>533</v>
      </c>
      <c r="AB2887" t="s">
        <v>87</v>
      </c>
      <c r="AC2887" t="s">
        <v>56</v>
      </c>
    </row>
    <row r="2888" spans="1:30" x14ac:dyDescent="0.25">
      <c r="A2888" s="4">
        <v>42589</v>
      </c>
      <c r="B2888" t="s">
        <v>30</v>
      </c>
      <c r="C2888">
        <v>402</v>
      </c>
      <c r="D2888">
        <v>8</v>
      </c>
      <c r="E2888">
        <v>1</v>
      </c>
      <c r="F2888" t="s">
        <v>320</v>
      </c>
      <c r="G2888" t="s">
        <v>32</v>
      </c>
      <c r="H2888" t="s">
        <v>33</v>
      </c>
      <c r="I2888" t="s">
        <v>53</v>
      </c>
      <c r="J2888" t="s">
        <v>62</v>
      </c>
      <c r="O2888" s="5"/>
      <c r="P2888" s="5"/>
    </row>
    <row r="2889" spans="1:30" x14ac:dyDescent="0.25">
      <c r="A2889" s="4">
        <v>42589</v>
      </c>
      <c r="B2889" t="s">
        <v>30</v>
      </c>
      <c r="C2889">
        <v>402</v>
      </c>
      <c r="D2889">
        <v>9</v>
      </c>
      <c r="E2889">
        <v>1</v>
      </c>
      <c r="F2889" t="s">
        <v>320</v>
      </c>
      <c r="G2889" t="s">
        <v>32</v>
      </c>
      <c r="H2889" t="s">
        <v>33</v>
      </c>
      <c r="I2889" t="s">
        <v>91</v>
      </c>
      <c r="J2889" t="s">
        <v>42</v>
      </c>
      <c r="K2889" t="s">
        <v>36</v>
      </c>
      <c r="L2889" t="s">
        <v>37</v>
      </c>
      <c r="M2889">
        <v>0</v>
      </c>
      <c r="N2889">
        <v>1</v>
      </c>
      <c r="O2889" s="5" t="s">
        <v>534</v>
      </c>
      <c r="P2889" s="5"/>
      <c r="Q2889">
        <f>32-14</f>
        <v>18</v>
      </c>
      <c r="R2889" t="s">
        <v>38</v>
      </c>
      <c r="S2889" t="s">
        <v>39</v>
      </c>
      <c r="T2889">
        <v>30</v>
      </c>
      <c r="W2889">
        <v>12.5</v>
      </c>
      <c r="X2889">
        <v>23</v>
      </c>
      <c r="Z2889" t="s">
        <v>97</v>
      </c>
      <c r="AA2889" t="s">
        <v>199</v>
      </c>
      <c r="AB2889" t="s">
        <v>87</v>
      </c>
      <c r="AC2889" t="s">
        <v>56</v>
      </c>
    </row>
    <row r="2890" spans="1:30" x14ac:dyDescent="0.25">
      <c r="A2890" s="4">
        <v>42589</v>
      </c>
      <c r="B2890" t="s">
        <v>30</v>
      </c>
      <c r="C2890">
        <v>111</v>
      </c>
      <c r="D2890">
        <v>1</v>
      </c>
      <c r="E2890">
        <v>1</v>
      </c>
      <c r="F2890" t="s">
        <v>31</v>
      </c>
      <c r="G2890" t="s">
        <v>32</v>
      </c>
      <c r="H2890" t="s">
        <v>33</v>
      </c>
      <c r="I2890" t="s">
        <v>34</v>
      </c>
      <c r="J2890" t="s">
        <v>42</v>
      </c>
      <c r="K2890" t="s">
        <v>114</v>
      </c>
      <c r="L2890" t="s">
        <v>43</v>
      </c>
      <c r="M2890">
        <v>0</v>
      </c>
      <c r="N2890">
        <v>1</v>
      </c>
      <c r="O2890" s="5" t="s">
        <v>535</v>
      </c>
      <c r="P2890" s="5" t="s">
        <v>536</v>
      </c>
      <c r="Q2890">
        <f>32.5-13</f>
        <v>19.5</v>
      </c>
      <c r="R2890" t="s">
        <v>65</v>
      </c>
      <c r="T2890">
        <v>20</v>
      </c>
      <c r="U2890">
        <v>93</v>
      </c>
      <c r="V2890">
        <v>17</v>
      </c>
      <c r="W2890">
        <v>13.3</v>
      </c>
      <c r="X2890">
        <v>27.75</v>
      </c>
      <c r="Z2890" t="s">
        <v>39</v>
      </c>
      <c r="AB2890" t="s">
        <v>87</v>
      </c>
      <c r="AC2890" t="s">
        <v>56</v>
      </c>
    </row>
    <row r="2891" spans="1:30" x14ac:dyDescent="0.25">
      <c r="A2891" s="4">
        <v>42589</v>
      </c>
      <c r="B2891" t="s">
        <v>30</v>
      </c>
      <c r="C2891">
        <v>111</v>
      </c>
      <c r="D2891">
        <v>3</v>
      </c>
      <c r="E2891">
        <v>1</v>
      </c>
      <c r="F2891" t="s">
        <v>31</v>
      </c>
      <c r="G2891" t="s">
        <v>32</v>
      </c>
      <c r="H2891" t="s">
        <v>33</v>
      </c>
      <c r="I2891" t="s">
        <v>34</v>
      </c>
      <c r="J2891" t="s">
        <v>35</v>
      </c>
      <c r="K2891" t="s">
        <v>36</v>
      </c>
      <c r="L2891" t="s">
        <v>43</v>
      </c>
      <c r="M2891">
        <v>0</v>
      </c>
      <c r="N2891">
        <v>0</v>
      </c>
      <c r="O2891" s="5" t="s">
        <v>377</v>
      </c>
      <c r="P2891" s="5" t="s">
        <v>378</v>
      </c>
      <c r="Q2891">
        <f>35-14.5</f>
        <v>20.5</v>
      </c>
      <c r="R2891" t="s">
        <v>47</v>
      </c>
      <c r="T2891">
        <v>19</v>
      </c>
      <c r="U2891">
        <v>91</v>
      </c>
      <c r="V2891">
        <v>15</v>
      </c>
      <c r="W2891">
        <v>13.5</v>
      </c>
      <c r="X2891">
        <v>76.2</v>
      </c>
      <c r="Z2891" t="s">
        <v>39</v>
      </c>
      <c r="AB2891" t="s">
        <v>87</v>
      </c>
      <c r="AC2891" t="s">
        <v>56</v>
      </c>
      <c r="AD2891" t="s">
        <v>537</v>
      </c>
    </row>
    <row r="2892" spans="1:30" x14ac:dyDescent="0.25">
      <c r="A2892" s="4">
        <v>42589</v>
      </c>
      <c r="B2892" t="s">
        <v>30</v>
      </c>
      <c r="C2892">
        <v>111</v>
      </c>
      <c r="D2892">
        <v>3</v>
      </c>
      <c r="E2892">
        <v>2</v>
      </c>
      <c r="F2892" t="s">
        <v>31</v>
      </c>
      <c r="G2892" t="s">
        <v>32</v>
      </c>
      <c r="H2892" t="s">
        <v>33</v>
      </c>
      <c r="I2892" t="s">
        <v>34</v>
      </c>
      <c r="J2892" t="s">
        <v>35</v>
      </c>
      <c r="K2892" t="s">
        <v>36</v>
      </c>
      <c r="L2892" t="s">
        <v>43</v>
      </c>
      <c r="M2892">
        <v>0</v>
      </c>
      <c r="N2892">
        <v>0</v>
      </c>
      <c r="O2892" s="5" t="s">
        <v>380</v>
      </c>
      <c r="P2892" s="5" t="s">
        <v>381</v>
      </c>
      <c r="Q2892">
        <f>31.5-12.5</f>
        <v>19</v>
      </c>
      <c r="R2892" t="s">
        <v>47</v>
      </c>
      <c r="T2892">
        <v>19</v>
      </c>
      <c r="U2892">
        <v>89</v>
      </c>
      <c r="V2892">
        <v>17.5</v>
      </c>
      <c r="W2892">
        <v>13</v>
      </c>
      <c r="X2892">
        <v>24.8</v>
      </c>
      <c r="Z2892" t="s">
        <v>39</v>
      </c>
      <c r="AB2892" t="s">
        <v>87</v>
      </c>
      <c r="AC2892" t="s">
        <v>56</v>
      </c>
    </row>
    <row r="2893" spans="1:30" x14ac:dyDescent="0.25">
      <c r="A2893" s="4">
        <v>42589</v>
      </c>
      <c r="B2893" t="s">
        <v>30</v>
      </c>
      <c r="C2893">
        <v>111</v>
      </c>
      <c r="D2893">
        <v>5</v>
      </c>
      <c r="E2893">
        <v>1</v>
      </c>
      <c r="F2893" t="s">
        <v>31</v>
      </c>
      <c r="G2893" t="s">
        <v>32</v>
      </c>
      <c r="H2893" t="s">
        <v>33</v>
      </c>
      <c r="I2893" t="s">
        <v>57</v>
      </c>
      <c r="O2893" s="5"/>
      <c r="P2893" s="5"/>
    </row>
    <row r="2894" spans="1:30" x14ac:dyDescent="0.25">
      <c r="A2894" s="4">
        <v>42589</v>
      </c>
      <c r="B2894" t="s">
        <v>30</v>
      </c>
      <c r="C2894">
        <v>111</v>
      </c>
      <c r="D2894">
        <v>5</v>
      </c>
      <c r="E2894">
        <v>2</v>
      </c>
      <c r="F2894" t="s">
        <v>31</v>
      </c>
      <c r="G2894" t="s">
        <v>32</v>
      </c>
      <c r="H2894" t="s">
        <v>33</v>
      </c>
      <c r="I2894" t="s">
        <v>34</v>
      </c>
      <c r="J2894" t="s">
        <v>42</v>
      </c>
      <c r="K2894" t="s">
        <v>114</v>
      </c>
      <c r="L2894" t="s">
        <v>43</v>
      </c>
      <c r="M2894">
        <v>0</v>
      </c>
      <c r="N2894">
        <v>1</v>
      </c>
      <c r="O2894" s="5" t="s">
        <v>538</v>
      </c>
      <c r="P2894" s="5" t="s">
        <v>539</v>
      </c>
      <c r="Q2894">
        <f>31.5-14</f>
        <v>17.5</v>
      </c>
      <c r="R2894" t="s">
        <v>65</v>
      </c>
      <c r="T2894">
        <v>19</v>
      </c>
      <c r="U2894">
        <v>89</v>
      </c>
      <c r="V2894">
        <v>15</v>
      </c>
      <c r="W2894">
        <v>12.8</v>
      </c>
      <c r="X2894">
        <v>27</v>
      </c>
      <c r="Z2894" t="s">
        <v>39</v>
      </c>
      <c r="AB2894" t="s">
        <v>87</v>
      </c>
      <c r="AC2894" t="s">
        <v>56</v>
      </c>
    </row>
    <row r="2895" spans="1:30" x14ac:dyDescent="0.25">
      <c r="A2895" s="4">
        <v>42589</v>
      </c>
      <c r="B2895" t="s">
        <v>30</v>
      </c>
      <c r="C2895">
        <v>111</v>
      </c>
      <c r="D2895">
        <v>7</v>
      </c>
      <c r="E2895">
        <v>1</v>
      </c>
      <c r="F2895" t="s">
        <v>31</v>
      </c>
      <c r="G2895" t="s">
        <v>32</v>
      </c>
      <c r="H2895" t="s">
        <v>33</v>
      </c>
      <c r="I2895" t="s">
        <v>34</v>
      </c>
      <c r="J2895" t="s">
        <v>35</v>
      </c>
      <c r="K2895" t="s">
        <v>89</v>
      </c>
      <c r="L2895" t="s">
        <v>43</v>
      </c>
      <c r="M2895">
        <v>0</v>
      </c>
      <c r="N2895">
        <v>0</v>
      </c>
      <c r="O2895" s="5" t="s">
        <v>442</v>
      </c>
      <c r="P2895" s="5" t="s">
        <v>443</v>
      </c>
      <c r="Q2895">
        <v>14</v>
      </c>
      <c r="R2895" t="s">
        <v>47</v>
      </c>
      <c r="T2895">
        <v>20</v>
      </c>
      <c r="V2895">
        <v>16</v>
      </c>
      <c r="W2895">
        <v>13</v>
      </c>
      <c r="X2895">
        <v>25.2</v>
      </c>
      <c r="Z2895" t="s">
        <v>39</v>
      </c>
      <c r="AB2895" t="s">
        <v>87</v>
      </c>
      <c r="AC2895" t="s">
        <v>56</v>
      </c>
    </row>
    <row r="2896" spans="1:30" x14ac:dyDescent="0.25">
      <c r="A2896" s="4">
        <v>42589</v>
      </c>
      <c r="B2896" t="s">
        <v>30</v>
      </c>
      <c r="C2896">
        <v>111</v>
      </c>
      <c r="D2896">
        <v>9</v>
      </c>
      <c r="E2896">
        <v>2</v>
      </c>
      <c r="F2896" t="s">
        <v>31</v>
      </c>
      <c r="G2896" t="s">
        <v>32</v>
      </c>
      <c r="H2896" t="s">
        <v>33</v>
      </c>
      <c r="I2896" t="s">
        <v>34</v>
      </c>
      <c r="J2896" t="s">
        <v>35</v>
      </c>
      <c r="K2896" t="s">
        <v>89</v>
      </c>
      <c r="L2896" t="s">
        <v>43</v>
      </c>
      <c r="M2896">
        <v>0</v>
      </c>
      <c r="N2896">
        <v>0</v>
      </c>
      <c r="O2896" s="5" t="s">
        <v>450</v>
      </c>
      <c r="P2896" s="5" t="s">
        <v>451</v>
      </c>
      <c r="Q2896">
        <f>30.5-15.5</f>
        <v>15</v>
      </c>
      <c r="R2896" t="s">
        <v>65</v>
      </c>
      <c r="T2896">
        <v>19</v>
      </c>
      <c r="V2896">
        <v>17</v>
      </c>
      <c r="W2896">
        <v>13</v>
      </c>
      <c r="X2896">
        <v>25.7</v>
      </c>
      <c r="Z2896" t="s">
        <v>39</v>
      </c>
      <c r="AB2896" t="s">
        <v>87</v>
      </c>
      <c r="AC2896" t="s">
        <v>56</v>
      </c>
    </row>
    <row r="2897" spans="1:29" x14ac:dyDescent="0.25">
      <c r="A2897" s="4">
        <v>42589</v>
      </c>
      <c r="B2897" t="s">
        <v>30</v>
      </c>
      <c r="C2897">
        <v>112</v>
      </c>
      <c r="D2897">
        <v>1</v>
      </c>
      <c r="E2897">
        <v>1</v>
      </c>
      <c r="F2897" t="s">
        <v>31</v>
      </c>
      <c r="G2897" t="s">
        <v>32</v>
      </c>
      <c r="H2897" t="s">
        <v>33</v>
      </c>
      <c r="I2897" t="s">
        <v>57</v>
      </c>
      <c r="O2897" s="5"/>
      <c r="P2897" s="5"/>
    </row>
    <row r="2898" spans="1:29" x14ac:dyDescent="0.25">
      <c r="A2898" s="4">
        <v>42589</v>
      </c>
      <c r="B2898" t="s">
        <v>30</v>
      </c>
      <c r="C2898">
        <v>112</v>
      </c>
      <c r="D2898">
        <v>2</v>
      </c>
      <c r="E2898">
        <v>1</v>
      </c>
      <c r="F2898" t="s">
        <v>31</v>
      </c>
      <c r="G2898" t="s">
        <v>32</v>
      </c>
      <c r="H2898" t="s">
        <v>33</v>
      </c>
      <c r="I2898" t="s">
        <v>57</v>
      </c>
      <c r="O2898" s="5"/>
      <c r="P2898" s="5"/>
    </row>
    <row r="2899" spans="1:29" x14ac:dyDescent="0.25">
      <c r="A2899" s="4">
        <v>42589</v>
      </c>
      <c r="B2899" t="s">
        <v>30</v>
      </c>
      <c r="C2899">
        <v>112</v>
      </c>
      <c r="D2899">
        <v>2</v>
      </c>
      <c r="E2899">
        <v>2</v>
      </c>
      <c r="F2899" t="s">
        <v>31</v>
      </c>
      <c r="G2899" t="s">
        <v>32</v>
      </c>
      <c r="H2899" t="s">
        <v>33</v>
      </c>
      <c r="I2899" t="s">
        <v>34</v>
      </c>
      <c r="J2899" t="s">
        <v>35</v>
      </c>
      <c r="K2899" t="s">
        <v>36</v>
      </c>
      <c r="L2899" t="s">
        <v>43</v>
      </c>
      <c r="M2899">
        <v>0</v>
      </c>
      <c r="N2899">
        <v>0</v>
      </c>
      <c r="O2899" s="5" t="s">
        <v>454</v>
      </c>
      <c r="P2899" s="5" t="s">
        <v>455</v>
      </c>
      <c r="Q2899">
        <f>34-15</f>
        <v>19</v>
      </c>
      <c r="R2899" t="s">
        <v>65</v>
      </c>
      <c r="T2899">
        <v>19</v>
      </c>
      <c r="U2899">
        <v>91.5</v>
      </c>
      <c r="V2899">
        <v>15</v>
      </c>
      <c r="W2899">
        <v>13.4</v>
      </c>
      <c r="X2899">
        <v>27.4</v>
      </c>
      <c r="Z2899" t="s">
        <v>39</v>
      </c>
      <c r="AB2899" t="s">
        <v>87</v>
      </c>
      <c r="AC2899" t="s">
        <v>56</v>
      </c>
    </row>
    <row r="2900" spans="1:29" x14ac:dyDescent="0.25">
      <c r="A2900" s="4">
        <v>42589</v>
      </c>
      <c r="B2900" t="s">
        <v>30</v>
      </c>
      <c r="C2900">
        <v>112</v>
      </c>
      <c r="D2900">
        <v>4</v>
      </c>
      <c r="E2900">
        <v>1</v>
      </c>
      <c r="F2900" t="s">
        <v>31</v>
      </c>
      <c r="G2900" t="s">
        <v>32</v>
      </c>
      <c r="H2900" t="s">
        <v>33</v>
      </c>
      <c r="I2900" t="s">
        <v>34</v>
      </c>
      <c r="J2900" t="s">
        <v>35</v>
      </c>
      <c r="K2900" t="s">
        <v>36</v>
      </c>
      <c r="L2900" t="s">
        <v>37</v>
      </c>
      <c r="M2900">
        <v>0</v>
      </c>
      <c r="N2900">
        <v>0</v>
      </c>
      <c r="O2900" s="5" t="s">
        <v>489</v>
      </c>
      <c r="P2900" s="5" t="s">
        <v>490</v>
      </c>
      <c r="Q2900">
        <f>35-14</f>
        <v>21</v>
      </c>
      <c r="R2900" t="s">
        <v>74</v>
      </c>
      <c r="S2900" t="s">
        <v>97</v>
      </c>
      <c r="T2900">
        <v>17</v>
      </c>
      <c r="U2900">
        <v>90</v>
      </c>
      <c r="V2900">
        <v>19</v>
      </c>
      <c r="W2900">
        <v>33.5</v>
      </c>
      <c r="X2900">
        <v>26</v>
      </c>
      <c r="Z2900" t="s">
        <v>39</v>
      </c>
      <c r="AB2900" t="s">
        <v>87</v>
      </c>
      <c r="AC2900" t="s">
        <v>56</v>
      </c>
    </row>
    <row r="2901" spans="1:29" x14ac:dyDescent="0.25">
      <c r="A2901" s="4">
        <v>42589</v>
      </c>
      <c r="B2901" t="s">
        <v>30</v>
      </c>
      <c r="C2901">
        <v>112</v>
      </c>
      <c r="D2901">
        <v>5</v>
      </c>
      <c r="E2901">
        <v>2</v>
      </c>
      <c r="F2901" t="s">
        <v>31</v>
      </c>
      <c r="G2901" t="s">
        <v>32</v>
      </c>
      <c r="H2901" t="s">
        <v>33</v>
      </c>
      <c r="I2901" t="s">
        <v>34</v>
      </c>
      <c r="J2901" t="s">
        <v>35</v>
      </c>
      <c r="K2901" t="s">
        <v>36</v>
      </c>
      <c r="L2901" t="s">
        <v>43</v>
      </c>
      <c r="M2901">
        <v>0</v>
      </c>
      <c r="N2901">
        <v>0</v>
      </c>
      <c r="O2901" s="5" t="s">
        <v>456</v>
      </c>
      <c r="P2901" s="5" t="s">
        <v>457</v>
      </c>
      <c r="Q2901">
        <f>32-13.5</f>
        <v>18.5</v>
      </c>
      <c r="R2901" t="s">
        <v>47</v>
      </c>
      <c r="T2901">
        <v>18</v>
      </c>
      <c r="U2901">
        <v>79</v>
      </c>
      <c r="V2901">
        <v>18</v>
      </c>
      <c r="W2901">
        <v>13</v>
      </c>
      <c r="X2901">
        <v>25</v>
      </c>
      <c r="Z2901" t="s">
        <v>39</v>
      </c>
      <c r="AB2901" t="s">
        <v>87</v>
      </c>
      <c r="AC2901" t="s">
        <v>56</v>
      </c>
    </row>
    <row r="2902" spans="1:29" x14ac:dyDescent="0.25">
      <c r="A2902" s="4">
        <v>42589</v>
      </c>
      <c r="B2902" t="s">
        <v>30</v>
      </c>
      <c r="C2902">
        <v>112</v>
      </c>
      <c r="D2902">
        <v>6</v>
      </c>
      <c r="E2902">
        <v>2</v>
      </c>
      <c r="F2902" t="s">
        <v>31</v>
      </c>
      <c r="G2902" t="s">
        <v>32</v>
      </c>
      <c r="H2902" t="s">
        <v>33</v>
      </c>
      <c r="I2902" t="s">
        <v>91</v>
      </c>
      <c r="J2902" t="s">
        <v>35</v>
      </c>
      <c r="K2902" t="s">
        <v>114</v>
      </c>
      <c r="L2902" t="s">
        <v>37</v>
      </c>
      <c r="M2902">
        <v>0</v>
      </c>
      <c r="N2902">
        <v>0</v>
      </c>
      <c r="O2902" s="5" t="s">
        <v>325</v>
      </c>
      <c r="P2902" s="5"/>
      <c r="Q2902">
        <f>30-13</f>
        <v>17</v>
      </c>
      <c r="R2902" t="s">
        <v>38</v>
      </c>
      <c r="S2902" t="s">
        <v>39</v>
      </c>
      <c r="T2902">
        <v>27</v>
      </c>
      <c r="W2902">
        <v>25</v>
      </c>
      <c r="X2902">
        <v>22.2</v>
      </c>
      <c r="Z2902" t="s">
        <v>39</v>
      </c>
      <c r="AB2902" t="s">
        <v>87</v>
      </c>
      <c r="AC2902" t="s">
        <v>56</v>
      </c>
    </row>
    <row r="2903" spans="1:29" x14ac:dyDescent="0.25">
      <c r="A2903" s="4">
        <v>42589</v>
      </c>
      <c r="B2903" t="s">
        <v>30</v>
      </c>
      <c r="C2903">
        <v>112</v>
      </c>
      <c r="D2903">
        <v>7</v>
      </c>
      <c r="E2903">
        <v>1</v>
      </c>
      <c r="F2903" t="s">
        <v>31</v>
      </c>
      <c r="G2903" t="s">
        <v>32</v>
      </c>
      <c r="H2903" t="s">
        <v>33</v>
      </c>
      <c r="I2903" t="s">
        <v>34</v>
      </c>
      <c r="J2903" t="s">
        <v>35</v>
      </c>
      <c r="K2903" t="s">
        <v>114</v>
      </c>
      <c r="L2903" t="s">
        <v>37</v>
      </c>
      <c r="M2903">
        <v>0</v>
      </c>
      <c r="N2903">
        <v>0</v>
      </c>
      <c r="O2903" s="5" t="s">
        <v>460</v>
      </c>
      <c r="P2903" s="5" t="s">
        <v>461</v>
      </c>
      <c r="Q2903">
        <f>33-13.5</f>
        <v>19.5</v>
      </c>
      <c r="R2903" t="s">
        <v>38</v>
      </c>
      <c r="S2903" t="s">
        <v>39</v>
      </c>
      <c r="T2903">
        <v>19</v>
      </c>
      <c r="V2903">
        <v>17</v>
      </c>
      <c r="W2903">
        <v>13.1</v>
      </c>
      <c r="X2903">
        <v>27.1</v>
      </c>
      <c r="Z2903" t="s">
        <v>39</v>
      </c>
      <c r="AB2903" t="s">
        <v>87</v>
      </c>
      <c r="AC2903" t="s">
        <v>56</v>
      </c>
    </row>
    <row r="2904" spans="1:29" x14ac:dyDescent="0.25">
      <c r="A2904" s="4">
        <v>42589</v>
      </c>
      <c r="B2904" t="s">
        <v>30</v>
      </c>
      <c r="C2904">
        <v>112</v>
      </c>
      <c r="D2904">
        <v>8</v>
      </c>
      <c r="E2904">
        <v>1</v>
      </c>
      <c r="F2904" t="s">
        <v>31</v>
      </c>
      <c r="G2904" t="s">
        <v>32</v>
      </c>
      <c r="H2904" t="s">
        <v>33</v>
      </c>
      <c r="I2904" t="s">
        <v>34</v>
      </c>
      <c r="J2904" t="s">
        <v>35</v>
      </c>
      <c r="K2904" t="s">
        <v>36</v>
      </c>
      <c r="L2904" t="s">
        <v>37</v>
      </c>
      <c r="M2904">
        <v>0</v>
      </c>
      <c r="N2904">
        <v>0</v>
      </c>
      <c r="O2904" s="5" t="s">
        <v>403</v>
      </c>
      <c r="P2904" s="5" t="s">
        <v>404</v>
      </c>
      <c r="Q2904">
        <f>33-14.5</f>
        <v>18.5</v>
      </c>
      <c r="R2904" t="s">
        <v>38</v>
      </c>
      <c r="S2904" t="s">
        <v>39</v>
      </c>
      <c r="T2904">
        <v>19</v>
      </c>
      <c r="U2904">
        <v>90</v>
      </c>
      <c r="V2904">
        <v>16</v>
      </c>
      <c r="W2904">
        <v>13.4</v>
      </c>
      <c r="X2904">
        <v>27</v>
      </c>
      <c r="Z2904" t="s">
        <v>97</v>
      </c>
      <c r="AB2904" t="s">
        <v>87</v>
      </c>
      <c r="AC2904" t="s">
        <v>56</v>
      </c>
    </row>
    <row r="2905" spans="1:29" x14ac:dyDescent="0.25">
      <c r="A2905" s="4">
        <v>42589</v>
      </c>
      <c r="B2905" t="s">
        <v>30</v>
      </c>
      <c r="C2905">
        <v>112</v>
      </c>
      <c r="D2905">
        <v>10</v>
      </c>
      <c r="E2905">
        <v>1</v>
      </c>
      <c r="F2905" t="s">
        <v>31</v>
      </c>
      <c r="G2905" t="s">
        <v>32</v>
      </c>
      <c r="H2905" t="s">
        <v>33</v>
      </c>
      <c r="I2905" t="s">
        <v>91</v>
      </c>
      <c r="J2905" t="s">
        <v>35</v>
      </c>
      <c r="K2905" t="s">
        <v>114</v>
      </c>
      <c r="L2905" t="s">
        <v>43</v>
      </c>
      <c r="M2905">
        <v>0</v>
      </c>
      <c r="N2905">
        <v>0</v>
      </c>
      <c r="O2905" s="5" t="s">
        <v>396</v>
      </c>
      <c r="P2905" s="5"/>
      <c r="Q2905">
        <f>35-16</f>
        <v>19</v>
      </c>
      <c r="R2905" t="s">
        <v>65</v>
      </c>
      <c r="T2905">
        <v>29</v>
      </c>
      <c r="X2905">
        <v>25.2</v>
      </c>
      <c r="Z2905" t="s">
        <v>39</v>
      </c>
      <c r="AB2905" t="s">
        <v>87</v>
      </c>
      <c r="AC2905" t="s">
        <v>56</v>
      </c>
    </row>
    <row r="2906" spans="1:29" x14ac:dyDescent="0.25">
      <c r="A2906" s="4">
        <v>42589</v>
      </c>
      <c r="B2906" t="s">
        <v>30</v>
      </c>
      <c r="C2906">
        <v>112</v>
      </c>
      <c r="D2906">
        <v>9</v>
      </c>
      <c r="E2906">
        <v>2</v>
      </c>
      <c r="F2906" t="s">
        <v>31</v>
      </c>
      <c r="G2906" t="s">
        <v>32</v>
      </c>
      <c r="H2906" t="s">
        <v>33</v>
      </c>
      <c r="I2906" t="s">
        <v>91</v>
      </c>
      <c r="J2906" t="s">
        <v>35</v>
      </c>
      <c r="K2906" t="s">
        <v>36</v>
      </c>
      <c r="L2906" t="s">
        <v>37</v>
      </c>
      <c r="M2906">
        <v>0</v>
      </c>
      <c r="N2906">
        <v>0</v>
      </c>
      <c r="O2906" s="5"/>
      <c r="P2906" s="5" t="s">
        <v>459</v>
      </c>
      <c r="Q2906">
        <f>36.5-13.5</f>
        <v>23</v>
      </c>
      <c r="R2906" t="s">
        <v>74</v>
      </c>
      <c r="S2906" t="s">
        <v>97</v>
      </c>
      <c r="T2906">
        <v>28</v>
      </c>
      <c r="W2906">
        <v>13.3</v>
      </c>
      <c r="X2906">
        <v>25.8</v>
      </c>
      <c r="Z2906" t="s">
        <v>39</v>
      </c>
      <c r="AB2906" t="s">
        <v>87</v>
      </c>
      <c r="AC2906" t="s">
        <v>56</v>
      </c>
    </row>
    <row r="2907" spans="1:29" x14ac:dyDescent="0.25">
      <c r="A2907" s="4">
        <v>42589</v>
      </c>
      <c r="B2907" t="s">
        <v>30</v>
      </c>
      <c r="C2907">
        <v>113</v>
      </c>
      <c r="D2907">
        <v>2</v>
      </c>
      <c r="E2907">
        <v>1</v>
      </c>
      <c r="F2907" t="s">
        <v>31</v>
      </c>
      <c r="G2907" t="s">
        <v>32</v>
      </c>
      <c r="H2907" t="s">
        <v>33</v>
      </c>
      <c r="I2907" t="s">
        <v>57</v>
      </c>
      <c r="O2907" s="5"/>
      <c r="P2907" s="5"/>
    </row>
    <row r="2908" spans="1:29" x14ac:dyDescent="0.25">
      <c r="A2908" s="4">
        <v>42589</v>
      </c>
      <c r="B2908" t="s">
        <v>30</v>
      </c>
      <c r="C2908">
        <v>113</v>
      </c>
      <c r="D2908">
        <v>2</v>
      </c>
      <c r="E2908">
        <v>2</v>
      </c>
      <c r="F2908" t="s">
        <v>31</v>
      </c>
      <c r="G2908" t="s">
        <v>32</v>
      </c>
      <c r="H2908" t="s">
        <v>33</v>
      </c>
      <c r="I2908" t="s">
        <v>57</v>
      </c>
      <c r="O2908" s="5"/>
      <c r="P2908" s="5"/>
    </row>
    <row r="2909" spans="1:29" x14ac:dyDescent="0.25">
      <c r="A2909" s="4">
        <v>42589</v>
      </c>
      <c r="B2909" t="s">
        <v>30</v>
      </c>
      <c r="C2909">
        <v>113</v>
      </c>
      <c r="D2909">
        <v>3</v>
      </c>
      <c r="E2909">
        <v>2</v>
      </c>
      <c r="F2909" t="s">
        <v>31</v>
      </c>
      <c r="G2909" t="s">
        <v>32</v>
      </c>
      <c r="H2909" t="s">
        <v>33</v>
      </c>
      <c r="I2909" t="s">
        <v>34</v>
      </c>
      <c r="J2909" t="s">
        <v>42</v>
      </c>
      <c r="K2909" t="s">
        <v>114</v>
      </c>
      <c r="L2909" t="s">
        <v>37</v>
      </c>
      <c r="M2909">
        <v>0</v>
      </c>
      <c r="N2909">
        <v>1</v>
      </c>
      <c r="O2909" s="5" t="s">
        <v>540</v>
      </c>
      <c r="P2909" s="5" t="s">
        <v>541</v>
      </c>
      <c r="Q2909">
        <f>30-13</f>
        <v>17</v>
      </c>
      <c r="R2909" t="s">
        <v>74</v>
      </c>
      <c r="S2909" t="s">
        <v>97</v>
      </c>
      <c r="T2909">
        <v>18</v>
      </c>
      <c r="U2909">
        <v>88</v>
      </c>
      <c r="V2909">
        <v>17</v>
      </c>
      <c r="W2909">
        <v>13</v>
      </c>
      <c r="X2909">
        <v>26.7</v>
      </c>
      <c r="Z2909" t="s">
        <v>39</v>
      </c>
      <c r="AB2909" t="s">
        <v>87</v>
      </c>
      <c r="AC2909" t="s">
        <v>56</v>
      </c>
    </row>
    <row r="2910" spans="1:29" x14ac:dyDescent="0.25">
      <c r="A2910" s="4">
        <v>42589</v>
      </c>
      <c r="B2910" t="s">
        <v>30</v>
      </c>
      <c r="C2910">
        <v>113</v>
      </c>
      <c r="D2910">
        <v>4</v>
      </c>
      <c r="E2910">
        <v>2</v>
      </c>
      <c r="F2910" t="s">
        <v>31</v>
      </c>
      <c r="G2910" t="s">
        <v>32</v>
      </c>
      <c r="H2910" t="s">
        <v>33</v>
      </c>
      <c r="I2910" t="s">
        <v>73</v>
      </c>
      <c r="J2910" t="s">
        <v>35</v>
      </c>
      <c r="K2910" t="s">
        <v>36</v>
      </c>
      <c r="L2910" t="s">
        <v>43</v>
      </c>
      <c r="M2910">
        <v>0</v>
      </c>
      <c r="N2910">
        <v>0</v>
      </c>
      <c r="O2910" s="5" t="s">
        <v>471</v>
      </c>
      <c r="P2910" s="5"/>
      <c r="Q2910">
        <v>90</v>
      </c>
      <c r="R2910" t="s">
        <v>65</v>
      </c>
      <c r="T2910">
        <v>32</v>
      </c>
      <c r="W2910">
        <v>22</v>
      </c>
      <c r="X2910">
        <v>41.5</v>
      </c>
      <c r="Z2910" t="s">
        <v>39</v>
      </c>
      <c r="AB2910" t="s">
        <v>87</v>
      </c>
      <c r="AC2910" t="s">
        <v>56</v>
      </c>
    </row>
    <row r="2911" spans="1:29" x14ac:dyDescent="0.25">
      <c r="A2911" s="4">
        <v>42589</v>
      </c>
      <c r="B2911" t="s">
        <v>30</v>
      </c>
      <c r="C2911">
        <v>113</v>
      </c>
      <c r="D2911">
        <v>7</v>
      </c>
      <c r="E2911">
        <v>1</v>
      </c>
      <c r="F2911" t="s">
        <v>31</v>
      </c>
      <c r="G2911" t="s">
        <v>32</v>
      </c>
      <c r="H2911" t="s">
        <v>33</v>
      </c>
      <c r="I2911" t="s">
        <v>57</v>
      </c>
      <c r="O2911" s="5"/>
      <c r="P2911" s="5"/>
    </row>
    <row r="2912" spans="1:29" x14ac:dyDescent="0.25">
      <c r="A2912" s="4">
        <v>42589</v>
      </c>
      <c r="B2912" t="s">
        <v>30</v>
      </c>
      <c r="C2912">
        <v>113</v>
      </c>
      <c r="D2912">
        <v>7</v>
      </c>
      <c r="E2912">
        <v>2</v>
      </c>
      <c r="F2912" t="s">
        <v>31</v>
      </c>
      <c r="G2912" t="s">
        <v>32</v>
      </c>
      <c r="H2912" t="s">
        <v>33</v>
      </c>
      <c r="I2912" t="s">
        <v>57</v>
      </c>
      <c r="O2912" s="5"/>
      <c r="P2912" s="5"/>
    </row>
    <row r="2913" spans="1:29" x14ac:dyDescent="0.25">
      <c r="A2913" s="4">
        <v>42589</v>
      </c>
      <c r="B2913" t="s">
        <v>30</v>
      </c>
      <c r="C2913">
        <v>113</v>
      </c>
      <c r="D2913">
        <v>9</v>
      </c>
      <c r="E2913">
        <v>1</v>
      </c>
      <c r="F2913" t="s">
        <v>31</v>
      </c>
      <c r="G2913" t="s">
        <v>32</v>
      </c>
      <c r="H2913" t="s">
        <v>33</v>
      </c>
      <c r="I2913" t="s">
        <v>57</v>
      </c>
      <c r="O2913" s="5"/>
      <c r="P2913" s="5"/>
    </row>
    <row r="2914" spans="1:29" x14ac:dyDescent="0.25">
      <c r="A2914" s="4">
        <v>42589</v>
      </c>
      <c r="B2914" t="s">
        <v>30</v>
      </c>
      <c r="C2914">
        <v>113</v>
      </c>
      <c r="D2914">
        <v>9</v>
      </c>
      <c r="E2914">
        <v>2</v>
      </c>
      <c r="F2914" t="s">
        <v>31</v>
      </c>
      <c r="G2914" t="s">
        <v>32</v>
      </c>
      <c r="H2914" t="s">
        <v>33</v>
      </c>
      <c r="I2914" t="s">
        <v>34</v>
      </c>
      <c r="J2914" t="s">
        <v>35</v>
      </c>
      <c r="K2914" t="s">
        <v>36</v>
      </c>
      <c r="L2914" t="s">
        <v>37</v>
      </c>
      <c r="M2914">
        <v>0</v>
      </c>
      <c r="N2914">
        <v>0</v>
      </c>
      <c r="O2914" s="5" t="s">
        <v>409</v>
      </c>
      <c r="P2914" s="5" t="s">
        <v>410</v>
      </c>
      <c r="Q2914">
        <f>39-17.5</f>
        <v>21.5</v>
      </c>
      <c r="R2914" t="s">
        <v>74</v>
      </c>
      <c r="S2914" t="s">
        <v>97</v>
      </c>
      <c r="T2914">
        <v>17</v>
      </c>
      <c r="U2914">
        <v>84</v>
      </c>
      <c r="V2914">
        <v>17</v>
      </c>
      <c r="W2914">
        <v>12.9</v>
      </c>
      <c r="X2914">
        <v>26.8</v>
      </c>
      <c r="Z2914" t="s">
        <v>39</v>
      </c>
      <c r="AB2914" t="s">
        <v>87</v>
      </c>
      <c r="AC2914" t="s">
        <v>56</v>
      </c>
    </row>
    <row r="2915" spans="1:29" x14ac:dyDescent="0.25">
      <c r="A2915" s="4">
        <v>42589</v>
      </c>
      <c r="B2915" t="s">
        <v>30</v>
      </c>
      <c r="C2915">
        <v>113</v>
      </c>
      <c r="D2915">
        <v>10</v>
      </c>
      <c r="E2915">
        <v>1</v>
      </c>
      <c r="F2915" t="s">
        <v>31</v>
      </c>
      <c r="G2915" t="s">
        <v>32</v>
      </c>
      <c r="H2915" t="s">
        <v>33</v>
      </c>
      <c r="I2915" t="s">
        <v>34</v>
      </c>
      <c r="J2915" t="s">
        <v>35</v>
      </c>
      <c r="K2915" t="s">
        <v>89</v>
      </c>
      <c r="L2915" t="s">
        <v>37</v>
      </c>
      <c r="M2915">
        <v>0</v>
      </c>
      <c r="N2915">
        <v>0</v>
      </c>
      <c r="O2915" s="5" t="s">
        <v>415</v>
      </c>
      <c r="P2915" s="5" t="s">
        <v>416</v>
      </c>
      <c r="Q2915">
        <f>34-20</f>
        <v>14</v>
      </c>
      <c r="R2915" t="s">
        <v>38</v>
      </c>
      <c r="S2915" t="s">
        <v>39</v>
      </c>
      <c r="T2915">
        <v>15</v>
      </c>
      <c r="U2915">
        <v>17</v>
      </c>
      <c r="W2915">
        <v>12.35</v>
      </c>
      <c r="X2915">
        <v>26.1</v>
      </c>
      <c r="Z2915" t="s">
        <v>39</v>
      </c>
      <c r="AB2915" t="s">
        <v>87</v>
      </c>
      <c r="AC2915" t="s">
        <v>56</v>
      </c>
    </row>
    <row r="2916" spans="1:29" x14ac:dyDescent="0.25">
      <c r="A2916" s="4">
        <v>42589</v>
      </c>
      <c r="B2916" t="s">
        <v>30</v>
      </c>
      <c r="C2916">
        <v>402</v>
      </c>
      <c r="D2916">
        <v>1</v>
      </c>
      <c r="E2916">
        <v>1</v>
      </c>
      <c r="F2916" t="s">
        <v>31</v>
      </c>
      <c r="G2916" t="s">
        <v>32</v>
      </c>
      <c r="H2916" t="s">
        <v>33</v>
      </c>
      <c r="I2916" t="s">
        <v>58</v>
      </c>
      <c r="J2916" t="s">
        <v>35</v>
      </c>
      <c r="K2916" t="s">
        <v>36</v>
      </c>
      <c r="L2916" t="s">
        <v>43</v>
      </c>
      <c r="M2916">
        <v>0</v>
      </c>
      <c r="N2916">
        <v>0</v>
      </c>
      <c r="O2916" s="5" t="s">
        <v>542</v>
      </c>
      <c r="P2916" s="5"/>
      <c r="Q2916">
        <f>36-14.5</f>
        <v>21.5</v>
      </c>
      <c r="R2916" t="s">
        <v>47</v>
      </c>
      <c r="S2916" t="s">
        <v>39</v>
      </c>
      <c r="T2916">
        <v>15</v>
      </c>
      <c r="W2916">
        <v>12.7</v>
      </c>
      <c r="X2916">
        <v>22.7</v>
      </c>
      <c r="Z2916" t="s">
        <v>97</v>
      </c>
      <c r="AA2916" t="s">
        <v>543</v>
      </c>
      <c r="AB2916" t="s">
        <v>87</v>
      </c>
      <c r="AC2916" t="s">
        <v>56</v>
      </c>
    </row>
    <row r="2917" spans="1:29" x14ac:dyDescent="0.25">
      <c r="A2917" s="4">
        <v>42589</v>
      </c>
      <c r="B2917" t="s">
        <v>30</v>
      </c>
      <c r="C2917">
        <v>402</v>
      </c>
      <c r="D2917">
        <v>1</v>
      </c>
      <c r="E2917">
        <v>2</v>
      </c>
      <c r="F2917" t="s">
        <v>31</v>
      </c>
      <c r="G2917" t="s">
        <v>32</v>
      </c>
      <c r="H2917" t="s">
        <v>33</v>
      </c>
      <c r="I2917" t="s">
        <v>57</v>
      </c>
      <c r="O2917" s="5"/>
      <c r="P2917" s="5"/>
    </row>
    <row r="2918" spans="1:29" x14ac:dyDescent="0.25">
      <c r="A2918" s="4">
        <v>42589</v>
      </c>
      <c r="B2918" t="s">
        <v>30</v>
      </c>
      <c r="C2918">
        <v>402</v>
      </c>
      <c r="D2918">
        <v>5</v>
      </c>
      <c r="E2918">
        <v>1</v>
      </c>
      <c r="F2918" t="s">
        <v>31</v>
      </c>
      <c r="G2918" t="s">
        <v>32</v>
      </c>
      <c r="H2918" t="s">
        <v>33</v>
      </c>
      <c r="I2918" t="s">
        <v>91</v>
      </c>
      <c r="J2918" t="s">
        <v>42</v>
      </c>
      <c r="K2918" t="s">
        <v>36</v>
      </c>
      <c r="L2918" t="s">
        <v>43</v>
      </c>
      <c r="M2918">
        <v>0</v>
      </c>
      <c r="N2918">
        <v>1</v>
      </c>
      <c r="O2918" s="5" t="s">
        <v>544</v>
      </c>
      <c r="P2918" s="5"/>
      <c r="Q2918">
        <f>36.5-14.5</f>
        <v>22</v>
      </c>
      <c r="R2918" t="s">
        <v>47</v>
      </c>
      <c r="T2918">
        <v>29</v>
      </c>
      <c r="W2918">
        <v>12.8</v>
      </c>
      <c r="X2918">
        <v>25</v>
      </c>
      <c r="Z2918" t="s">
        <v>97</v>
      </c>
      <c r="AA2918" t="s">
        <v>545</v>
      </c>
      <c r="AB2918" t="s">
        <v>87</v>
      </c>
      <c r="AC2918" t="s">
        <v>56</v>
      </c>
    </row>
    <row r="2919" spans="1:29" x14ac:dyDescent="0.25">
      <c r="A2919" s="4">
        <v>42589</v>
      </c>
      <c r="B2919" t="s">
        <v>30</v>
      </c>
      <c r="C2919">
        <v>402</v>
      </c>
      <c r="D2919">
        <v>7</v>
      </c>
      <c r="E2919">
        <v>1</v>
      </c>
      <c r="F2919" t="s">
        <v>31</v>
      </c>
      <c r="G2919" t="s">
        <v>32</v>
      </c>
      <c r="H2919" t="s">
        <v>33</v>
      </c>
      <c r="I2919" t="s">
        <v>91</v>
      </c>
      <c r="J2919" t="s">
        <v>35</v>
      </c>
      <c r="K2919" t="s">
        <v>36</v>
      </c>
      <c r="L2919" t="s">
        <v>43</v>
      </c>
      <c r="M2919">
        <v>0</v>
      </c>
      <c r="N2919">
        <v>0</v>
      </c>
      <c r="O2919" s="5" t="s">
        <v>518</v>
      </c>
      <c r="P2919" s="5"/>
      <c r="Q2919">
        <f>36-17</f>
        <v>19</v>
      </c>
      <c r="R2919" t="s">
        <v>47</v>
      </c>
      <c r="S2919" t="s">
        <v>39</v>
      </c>
      <c r="T2919">
        <v>29</v>
      </c>
      <c r="W2919">
        <v>12.5</v>
      </c>
      <c r="X2919">
        <v>24.5</v>
      </c>
      <c r="Z2919" t="s">
        <v>97</v>
      </c>
      <c r="AB2919" t="s">
        <v>87</v>
      </c>
      <c r="AC2919" t="s">
        <v>56</v>
      </c>
    </row>
    <row r="2920" spans="1:29" x14ac:dyDescent="0.25">
      <c r="A2920" s="4">
        <v>42591</v>
      </c>
      <c r="B2920" t="s">
        <v>30</v>
      </c>
      <c r="C2920">
        <v>501</v>
      </c>
      <c r="D2920">
        <v>1</v>
      </c>
      <c r="E2920">
        <v>1</v>
      </c>
      <c r="F2920" t="s">
        <v>31</v>
      </c>
      <c r="G2920" t="s">
        <v>32</v>
      </c>
      <c r="H2920" t="s">
        <v>33</v>
      </c>
      <c r="I2920" t="s">
        <v>34</v>
      </c>
      <c r="J2920" t="s">
        <v>42</v>
      </c>
      <c r="K2920" t="s">
        <v>114</v>
      </c>
      <c r="L2920" t="s">
        <v>43</v>
      </c>
      <c r="M2920">
        <v>0</v>
      </c>
      <c r="N2920">
        <v>1</v>
      </c>
      <c r="O2920" s="5" t="s">
        <v>546</v>
      </c>
      <c r="P2920" s="5" t="s">
        <v>547</v>
      </c>
      <c r="Q2920">
        <f>29-13</f>
        <v>16</v>
      </c>
      <c r="R2920" t="s">
        <v>65</v>
      </c>
      <c r="T2920">
        <v>19</v>
      </c>
      <c r="U2920">
        <v>8</v>
      </c>
      <c r="V2920">
        <v>16</v>
      </c>
      <c r="W2920">
        <v>13.5</v>
      </c>
      <c r="X2920">
        <v>26.35</v>
      </c>
      <c r="Z2920" t="s">
        <v>39</v>
      </c>
      <c r="AB2920" t="s">
        <v>87</v>
      </c>
      <c r="AC2920" t="s">
        <v>56</v>
      </c>
    </row>
    <row r="2921" spans="1:29" x14ac:dyDescent="0.25">
      <c r="A2921" s="4">
        <v>42591</v>
      </c>
      <c r="B2921" t="s">
        <v>30</v>
      </c>
      <c r="C2921">
        <v>501</v>
      </c>
      <c r="D2921">
        <v>2</v>
      </c>
      <c r="E2921">
        <v>1</v>
      </c>
      <c r="F2921" t="s">
        <v>31</v>
      </c>
      <c r="G2921" t="s">
        <v>32</v>
      </c>
      <c r="H2921" t="s">
        <v>33</v>
      </c>
      <c r="I2921" t="s">
        <v>57</v>
      </c>
      <c r="O2921" s="5"/>
      <c r="P2921" s="5"/>
    </row>
    <row r="2922" spans="1:29" x14ac:dyDescent="0.25">
      <c r="A2922" s="4">
        <v>42591</v>
      </c>
      <c r="B2922" t="s">
        <v>30</v>
      </c>
      <c r="C2922">
        <v>501</v>
      </c>
      <c r="D2922">
        <v>3</v>
      </c>
      <c r="E2922">
        <v>1</v>
      </c>
      <c r="F2922" t="s">
        <v>31</v>
      </c>
      <c r="G2922" t="s">
        <v>32</v>
      </c>
      <c r="H2922" t="s">
        <v>33</v>
      </c>
      <c r="I2922" t="s">
        <v>57</v>
      </c>
      <c r="O2922" s="5"/>
      <c r="P2922" s="5"/>
    </row>
    <row r="2923" spans="1:29" x14ac:dyDescent="0.25">
      <c r="A2923" s="4">
        <v>42591</v>
      </c>
      <c r="B2923" t="s">
        <v>30</v>
      </c>
      <c r="C2923">
        <v>501</v>
      </c>
      <c r="D2923">
        <v>3</v>
      </c>
      <c r="E2923">
        <v>2</v>
      </c>
      <c r="F2923" t="s">
        <v>31</v>
      </c>
      <c r="G2923" t="s">
        <v>32</v>
      </c>
      <c r="H2923" t="s">
        <v>33</v>
      </c>
      <c r="I2923" t="s">
        <v>57</v>
      </c>
      <c r="O2923" s="5"/>
      <c r="P2923" s="5"/>
    </row>
    <row r="2924" spans="1:29" x14ac:dyDescent="0.25">
      <c r="A2924" s="4">
        <v>42591</v>
      </c>
      <c r="B2924" t="s">
        <v>30</v>
      </c>
      <c r="C2924">
        <v>501</v>
      </c>
      <c r="D2924">
        <v>4</v>
      </c>
      <c r="E2924">
        <v>1</v>
      </c>
      <c r="F2924" t="s">
        <v>31</v>
      </c>
      <c r="G2924" t="s">
        <v>32</v>
      </c>
      <c r="H2924" t="s">
        <v>33</v>
      </c>
      <c r="I2924" t="s">
        <v>53</v>
      </c>
      <c r="J2924" t="s">
        <v>62</v>
      </c>
      <c r="O2924" s="5"/>
      <c r="P2924" s="5"/>
    </row>
    <row r="2925" spans="1:29" x14ac:dyDescent="0.25">
      <c r="A2925" s="4">
        <v>42591</v>
      </c>
      <c r="B2925" t="s">
        <v>30</v>
      </c>
      <c r="C2925">
        <v>501</v>
      </c>
      <c r="D2925">
        <v>5</v>
      </c>
      <c r="E2925">
        <v>1</v>
      </c>
      <c r="F2925" t="s">
        <v>31</v>
      </c>
      <c r="G2925" t="s">
        <v>32</v>
      </c>
      <c r="H2925" t="s">
        <v>33</v>
      </c>
      <c r="I2925" t="s">
        <v>57</v>
      </c>
      <c r="O2925" s="5"/>
      <c r="P2925" s="5"/>
    </row>
    <row r="2926" spans="1:29" x14ac:dyDescent="0.25">
      <c r="A2926" s="4">
        <v>42591</v>
      </c>
      <c r="B2926" t="s">
        <v>30</v>
      </c>
      <c r="C2926">
        <v>501</v>
      </c>
      <c r="D2926">
        <v>5</v>
      </c>
      <c r="E2926">
        <v>2</v>
      </c>
      <c r="F2926" t="s">
        <v>31</v>
      </c>
      <c r="G2926" t="s">
        <v>32</v>
      </c>
      <c r="H2926" t="s">
        <v>33</v>
      </c>
      <c r="I2926" t="s">
        <v>57</v>
      </c>
      <c r="O2926" s="5"/>
      <c r="P2926" s="5"/>
    </row>
    <row r="2927" spans="1:29" x14ac:dyDescent="0.25">
      <c r="A2927" s="4">
        <v>42591</v>
      </c>
      <c r="B2927" t="s">
        <v>30</v>
      </c>
      <c r="C2927">
        <v>501</v>
      </c>
      <c r="D2927">
        <v>6</v>
      </c>
      <c r="E2927">
        <v>1</v>
      </c>
      <c r="F2927" t="s">
        <v>31</v>
      </c>
      <c r="G2927" t="s">
        <v>32</v>
      </c>
      <c r="H2927" t="s">
        <v>33</v>
      </c>
      <c r="I2927" t="s">
        <v>57</v>
      </c>
      <c r="O2927" s="5"/>
      <c r="P2927" s="5"/>
    </row>
    <row r="2928" spans="1:29" x14ac:dyDescent="0.25">
      <c r="A2928" s="4">
        <v>42591</v>
      </c>
      <c r="B2928" t="s">
        <v>30</v>
      </c>
      <c r="C2928">
        <v>501</v>
      </c>
      <c r="D2928">
        <v>7</v>
      </c>
      <c r="E2928">
        <v>1</v>
      </c>
      <c r="F2928" t="s">
        <v>31</v>
      </c>
      <c r="G2928" t="s">
        <v>32</v>
      </c>
      <c r="H2928" t="s">
        <v>33</v>
      </c>
      <c r="I2928" t="s">
        <v>57</v>
      </c>
      <c r="O2928" s="5"/>
      <c r="P2928" s="5"/>
    </row>
    <row r="2929" spans="1:30" x14ac:dyDescent="0.25">
      <c r="A2929" s="4">
        <v>42591</v>
      </c>
      <c r="B2929" t="s">
        <v>30</v>
      </c>
      <c r="C2929">
        <v>501</v>
      </c>
      <c r="D2929">
        <v>7</v>
      </c>
      <c r="E2929">
        <v>2</v>
      </c>
      <c r="F2929" t="s">
        <v>31</v>
      </c>
      <c r="G2929" t="s">
        <v>32</v>
      </c>
      <c r="H2929" t="s">
        <v>33</v>
      </c>
      <c r="I2929" t="s">
        <v>57</v>
      </c>
      <c r="O2929" s="5"/>
      <c r="P2929" s="5"/>
    </row>
    <row r="2930" spans="1:30" x14ac:dyDescent="0.25">
      <c r="A2930" s="4">
        <v>42591</v>
      </c>
      <c r="B2930" t="s">
        <v>30</v>
      </c>
      <c r="C2930">
        <v>501</v>
      </c>
      <c r="D2930">
        <v>8</v>
      </c>
      <c r="E2930">
        <v>1</v>
      </c>
      <c r="F2930" t="s">
        <v>31</v>
      </c>
      <c r="G2930" t="s">
        <v>32</v>
      </c>
      <c r="H2930" t="s">
        <v>33</v>
      </c>
      <c r="I2930" t="s">
        <v>57</v>
      </c>
      <c r="O2930" s="5"/>
      <c r="P2930" s="5"/>
    </row>
    <row r="2931" spans="1:30" x14ac:dyDescent="0.25">
      <c r="A2931" s="4">
        <v>42591</v>
      </c>
      <c r="B2931" t="s">
        <v>30</v>
      </c>
      <c r="C2931">
        <v>501</v>
      </c>
      <c r="D2931">
        <v>8</v>
      </c>
      <c r="E2931">
        <v>2</v>
      </c>
      <c r="F2931" t="s">
        <v>31</v>
      </c>
      <c r="G2931" t="s">
        <v>32</v>
      </c>
      <c r="H2931" t="s">
        <v>33</v>
      </c>
      <c r="I2931" t="s">
        <v>53</v>
      </c>
      <c r="J2931" t="s">
        <v>62</v>
      </c>
      <c r="O2931" s="5"/>
      <c r="P2931" s="5"/>
    </row>
    <row r="2932" spans="1:30" x14ac:dyDescent="0.25">
      <c r="A2932" s="4">
        <v>42591</v>
      </c>
      <c r="B2932" t="s">
        <v>30</v>
      </c>
      <c r="C2932">
        <v>501</v>
      </c>
      <c r="D2932">
        <v>9</v>
      </c>
      <c r="E2932">
        <v>1</v>
      </c>
      <c r="F2932" t="s">
        <v>31</v>
      </c>
      <c r="G2932" t="s">
        <v>32</v>
      </c>
      <c r="H2932" t="s">
        <v>33</v>
      </c>
      <c r="I2932" t="s">
        <v>34</v>
      </c>
      <c r="J2932" t="s">
        <v>42</v>
      </c>
      <c r="K2932" t="s">
        <v>36</v>
      </c>
      <c r="L2932" t="s">
        <v>43</v>
      </c>
      <c r="M2932">
        <v>0</v>
      </c>
      <c r="N2932">
        <v>1</v>
      </c>
      <c r="O2932" s="5" t="s">
        <v>548</v>
      </c>
      <c r="P2932" s="5" t="s">
        <v>549</v>
      </c>
      <c r="Q2932">
        <f>30-13</f>
        <v>17</v>
      </c>
      <c r="R2932" t="s">
        <v>65</v>
      </c>
      <c r="T2932">
        <v>21</v>
      </c>
      <c r="U2932">
        <v>85</v>
      </c>
      <c r="V2932">
        <v>14</v>
      </c>
      <c r="W2932">
        <v>13</v>
      </c>
      <c r="X2932">
        <v>29.3</v>
      </c>
      <c r="Z2932" t="s">
        <v>39</v>
      </c>
      <c r="AB2932" t="s">
        <v>40</v>
      </c>
      <c r="AC2932" t="s">
        <v>56</v>
      </c>
    </row>
    <row r="2933" spans="1:30" x14ac:dyDescent="0.25">
      <c r="A2933" s="4">
        <v>42591</v>
      </c>
      <c r="B2933" t="s">
        <v>30</v>
      </c>
      <c r="C2933">
        <v>501</v>
      </c>
      <c r="D2933">
        <v>9</v>
      </c>
      <c r="E2933">
        <v>2</v>
      </c>
      <c r="F2933" t="s">
        <v>31</v>
      </c>
      <c r="G2933" t="s">
        <v>32</v>
      </c>
      <c r="H2933" t="s">
        <v>33</v>
      </c>
      <c r="I2933" t="s">
        <v>53</v>
      </c>
      <c r="J2933" t="s">
        <v>62</v>
      </c>
      <c r="O2933" s="5"/>
      <c r="P2933" s="5"/>
    </row>
    <row r="2934" spans="1:30" x14ac:dyDescent="0.25">
      <c r="A2934" s="4">
        <v>42591</v>
      </c>
      <c r="B2934" t="s">
        <v>30</v>
      </c>
      <c r="C2934">
        <v>503</v>
      </c>
      <c r="D2934">
        <v>1</v>
      </c>
      <c r="E2934">
        <v>1</v>
      </c>
      <c r="F2934" t="s">
        <v>31</v>
      </c>
      <c r="G2934" t="s">
        <v>32</v>
      </c>
      <c r="H2934" t="s">
        <v>33</v>
      </c>
      <c r="I2934" t="s">
        <v>57</v>
      </c>
      <c r="O2934" s="5"/>
      <c r="P2934" s="5"/>
    </row>
    <row r="2935" spans="1:30" x14ac:dyDescent="0.25">
      <c r="A2935" s="4">
        <v>42591</v>
      </c>
      <c r="B2935" t="s">
        <v>30</v>
      </c>
      <c r="C2935">
        <v>503</v>
      </c>
      <c r="D2935">
        <v>1</v>
      </c>
      <c r="E2935">
        <v>2</v>
      </c>
      <c r="F2935" t="s">
        <v>31</v>
      </c>
      <c r="G2935" t="s">
        <v>32</v>
      </c>
      <c r="H2935" t="s">
        <v>33</v>
      </c>
      <c r="I2935" t="s">
        <v>57</v>
      </c>
      <c r="O2935" s="5"/>
      <c r="P2935" s="5"/>
    </row>
    <row r="2936" spans="1:30" x14ac:dyDescent="0.25">
      <c r="A2936" s="4">
        <v>42591</v>
      </c>
      <c r="B2936" t="s">
        <v>30</v>
      </c>
      <c r="C2936">
        <v>503</v>
      </c>
      <c r="D2936">
        <v>2</v>
      </c>
      <c r="E2936">
        <v>1</v>
      </c>
      <c r="F2936" t="s">
        <v>31</v>
      </c>
      <c r="G2936" t="s">
        <v>32</v>
      </c>
      <c r="H2936" t="s">
        <v>33</v>
      </c>
      <c r="I2936" t="s">
        <v>57</v>
      </c>
      <c r="O2936" s="5"/>
      <c r="P2936" s="5"/>
    </row>
    <row r="2937" spans="1:30" x14ac:dyDescent="0.25">
      <c r="A2937" s="4">
        <v>42591</v>
      </c>
      <c r="B2937" t="s">
        <v>30</v>
      </c>
      <c r="C2937">
        <v>503</v>
      </c>
      <c r="D2937">
        <v>2</v>
      </c>
      <c r="E2937">
        <v>2</v>
      </c>
      <c r="F2937" t="s">
        <v>31</v>
      </c>
      <c r="G2937" t="s">
        <v>32</v>
      </c>
      <c r="H2937" t="s">
        <v>33</v>
      </c>
      <c r="I2937" t="s">
        <v>57</v>
      </c>
      <c r="O2937" s="5"/>
      <c r="P2937" s="5"/>
    </row>
    <row r="2938" spans="1:30" x14ac:dyDescent="0.25">
      <c r="A2938" s="4">
        <v>42591</v>
      </c>
      <c r="B2938" t="s">
        <v>30</v>
      </c>
      <c r="C2938">
        <v>503</v>
      </c>
      <c r="D2938">
        <v>3</v>
      </c>
      <c r="E2938">
        <v>1</v>
      </c>
      <c r="F2938" t="s">
        <v>31</v>
      </c>
      <c r="G2938" t="s">
        <v>32</v>
      </c>
      <c r="H2938" t="s">
        <v>33</v>
      </c>
      <c r="I2938" t="s">
        <v>57</v>
      </c>
      <c r="O2938" s="5"/>
      <c r="P2938" s="5"/>
    </row>
    <row r="2939" spans="1:30" x14ac:dyDescent="0.25">
      <c r="A2939" s="4">
        <v>42591</v>
      </c>
      <c r="B2939" t="s">
        <v>30</v>
      </c>
      <c r="C2939">
        <v>503</v>
      </c>
      <c r="D2939">
        <v>3</v>
      </c>
      <c r="E2939">
        <v>2</v>
      </c>
      <c r="F2939" t="s">
        <v>31</v>
      </c>
      <c r="G2939" t="s">
        <v>32</v>
      </c>
      <c r="H2939" t="s">
        <v>33</v>
      </c>
      <c r="I2939" t="s">
        <v>57</v>
      </c>
      <c r="O2939" s="5"/>
      <c r="P2939" s="5"/>
    </row>
    <row r="2940" spans="1:30" x14ac:dyDescent="0.25">
      <c r="A2940" s="4">
        <v>42591</v>
      </c>
      <c r="B2940" t="s">
        <v>30</v>
      </c>
      <c r="C2940">
        <v>503</v>
      </c>
      <c r="D2940">
        <v>4</v>
      </c>
      <c r="E2940">
        <v>1</v>
      </c>
      <c r="F2940" t="s">
        <v>31</v>
      </c>
      <c r="G2940" t="s">
        <v>32</v>
      </c>
      <c r="H2940" t="s">
        <v>33</v>
      </c>
      <c r="I2940" t="s">
        <v>57</v>
      </c>
      <c r="O2940" s="5"/>
      <c r="P2940" s="5"/>
    </row>
    <row r="2941" spans="1:30" x14ac:dyDescent="0.25">
      <c r="A2941" s="4">
        <v>42591</v>
      </c>
      <c r="B2941" t="s">
        <v>30</v>
      </c>
      <c r="C2941">
        <v>503</v>
      </c>
      <c r="D2941">
        <v>5</v>
      </c>
      <c r="E2941">
        <v>1</v>
      </c>
      <c r="F2941" t="s">
        <v>31</v>
      </c>
      <c r="G2941" t="s">
        <v>32</v>
      </c>
      <c r="H2941" t="s">
        <v>33</v>
      </c>
      <c r="I2941" t="s">
        <v>34</v>
      </c>
      <c r="J2941" t="s">
        <v>123</v>
      </c>
      <c r="M2941">
        <v>0</v>
      </c>
      <c r="N2941">
        <v>0</v>
      </c>
      <c r="O2941" s="5" t="s">
        <v>550</v>
      </c>
      <c r="P2941" s="5" t="s">
        <v>551</v>
      </c>
      <c r="AD2941" t="s">
        <v>552</v>
      </c>
    </row>
    <row r="2942" spans="1:30" x14ac:dyDescent="0.25">
      <c r="A2942" s="4">
        <v>42591</v>
      </c>
      <c r="B2942" t="s">
        <v>30</v>
      </c>
      <c r="C2942">
        <v>503</v>
      </c>
      <c r="D2942">
        <v>4</v>
      </c>
      <c r="E2942">
        <v>2</v>
      </c>
      <c r="F2942" t="s">
        <v>31</v>
      </c>
      <c r="G2942" t="s">
        <v>32</v>
      </c>
      <c r="H2942" t="s">
        <v>33</v>
      </c>
      <c r="I2942" t="s">
        <v>53</v>
      </c>
      <c r="J2942" t="s">
        <v>123</v>
      </c>
      <c r="O2942" s="5"/>
      <c r="P2942" s="5"/>
    </row>
    <row r="2943" spans="1:30" x14ac:dyDescent="0.25">
      <c r="A2943" s="4">
        <v>42591</v>
      </c>
      <c r="B2943" t="s">
        <v>30</v>
      </c>
      <c r="C2943">
        <v>503</v>
      </c>
      <c r="D2943">
        <v>7</v>
      </c>
      <c r="E2943">
        <v>1</v>
      </c>
      <c r="F2943" t="s">
        <v>31</v>
      </c>
      <c r="G2943" t="s">
        <v>32</v>
      </c>
      <c r="H2943" t="s">
        <v>33</v>
      </c>
      <c r="I2943" t="s">
        <v>57</v>
      </c>
      <c r="O2943" s="5"/>
      <c r="P2943" s="5"/>
    </row>
    <row r="2944" spans="1:30" x14ac:dyDescent="0.25">
      <c r="A2944" s="4">
        <v>42591</v>
      </c>
      <c r="B2944" t="s">
        <v>30</v>
      </c>
      <c r="C2944">
        <v>503</v>
      </c>
      <c r="D2944">
        <v>7</v>
      </c>
      <c r="E2944">
        <v>2</v>
      </c>
      <c r="F2944" t="s">
        <v>31</v>
      </c>
      <c r="G2944" t="s">
        <v>32</v>
      </c>
      <c r="H2944" t="s">
        <v>33</v>
      </c>
      <c r="I2944" t="s">
        <v>34</v>
      </c>
      <c r="J2944" t="s">
        <v>35</v>
      </c>
      <c r="K2944" t="s">
        <v>114</v>
      </c>
      <c r="L2944" t="s">
        <v>43</v>
      </c>
      <c r="M2944">
        <v>0</v>
      </c>
      <c r="N2944">
        <v>0</v>
      </c>
      <c r="O2944" s="5" t="s">
        <v>553</v>
      </c>
      <c r="P2944" s="5" t="s">
        <v>551</v>
      </c>
      <c r="Q2944">
        <f>29-15</f>
        <v>14</v>
      </c>
      <c r="R2944" t="s">
        <v>65</v>
      </c>
      <c r="T2944">
        <v>17</v>
      </c>
      <c r="U2944">
        <v>72</v>
      </c>
      <c r="V2944">
        <v>15</v>
      </c>
      <c r="W2944">
        <v>12.3</v>
      </c>
      <c r="X2944">
        <v>26</v>
      </c>
      <c r="Z2944" t="s">
        <v>97</v>
      </c>
      <c r="AB2944" t="s">
        <v>40</v>
      </c>
      <c r="AC2944" t="s">
        <v>56</v>
      </c>
    </row>
    <row r="2945" spans="1:29" x14ac:dyDescent="0.25">
      <c r="A2945" s="4">
        <v>42591</v>
      </c>
      <c r="B2945" t="s">
        <v>30</v>
      </c>
      <c r="C2945">
        <v>503</v>
      </c>
      <c r="D2945">
        <v>8</v>
      </c>
      <c r="E2945">
        <v>1</v>
      </c>
      <c r="F2945" t="s">
        <v>31</v>
      </c>
      <c r="G2945" t="s">
        <v>32</v>
      </c>
      <c r="H2945" t="s">
        <v>33</v>
      </c>
      <c r="I2945" t="s">
        <v>73</v>
      </c>
      <c r="J2945" t="s">
        <v>42</v>
      </c>
      <c r="K2945" t="s">
        <v>89</v>
      </c>
      <c r="L2945" t="s">
        <v>37</v>
      </c>
      <c r="M2945">
        <v>0</v>
      </c>
      <c r="N2945">
        <v>1</v>
      </c>
      <c r="O2945" s="5" t="s">
        <v>554</v>
      </c>
      <c r="P2945" s="5"/>
      <c r="Q2945">
        <f>175-90</f>
        <v>85</v>
      </c>
      <c r="R2945" t="s">
        <v>74</v>
      </c>
      <c r="S2945" t="s">
        <v>97</v>
      </c>
      <c r="T2945">
        <v>30</v>
      </c>
      <c r="W2945">
        <v>12.6</v>
      </c>
      <c r="X2945">
        <v>44.7</v>
      </c>
      <c r="Z2945" t="s">
        <v>39</v>
      </c>
      <c r="AB2945" t="s">
        <v>40</v>
      </c>
      <c r="AC2945" t="s">
        <v>56</v>
      </c>
    </row>
    <row r="2946" spans="1:29" x14ac:dyDescent="0.25">
      <c r="A2946" s="4">
        <v>42591</v>
      </c>
      <c r="B2946" t="s">
        <v>30</v>
      </c>
      <c r="C2946">
        <v>503</v>
      </c>
      <c r="D2946">
        <v>8</v>
      </c>
      <c r="E2946">
        <v>2</v>
      </c>
      <c r="F2946" t="s">
        <v>31</v>
      </c>
      <c r="G2946" t="s">
        <v>32</v>
      </c>
      <c r="H2946" t="s">
        <v>33</v>
      </c>
      <c r="I2946" t="s">
        <v>57</v>
      </c>
      <c r="O2946" s="5"/>
      <c r="P2946" s="5"/>
    </row>
    <row r="2947" spans="1:29" x14ac:dyDescent="0.25">
      <c r="A2947" s="4">
        <v>42591</v>
      </c>
      <c r="B2947" t="s">
        <v>30</v>
      </c>
      <c r="C2947">
        <v>503</v>
      </c>
      <c r="D2947">
        <v>9</v>
      </c>
      <c r="E2947">
        <v>1</v>
      </c>
      <c r="F2947" t="s">
        <v>31</v>
      </c>
      <c r="G2947" t="s">
        <v>32</v>
      </c>
      <c r="H2947" t="s">
        <v>33</v>
      </c>
      <c r="I2947" t="s">
        <v>57</v>
      </c>
      <c r="O2947" s="5"/>
      <c r="P2947" s="5"/>
    </row>
    <row r="2948" spans="1:29" x14ac:dyDescent="0.25">
      <c r="A2948" s="4">
        <v>42591</v>
      </c>
      <c r="B2948" t="s">
        <v>30</v>
      </c>
      <c r="C2948">
        <v>503</v>
      </c>
      <c r="D2948">
        <v>9</v>
      </c>
      <c r="E2948">
        <v>2</v>
      </c>
      <c r="F2948" t="s">
        <v>31</v>
      </c>
      <c r="G2948" t="s">
        <v>32</v>
      </c>
      <c r="H2948" t="s">
        <v>33</v>
      </c>
      <c r="I2948" t="s">
        <v>34</v>
      </c>
      <c r="J2948" t="s">
        <v>42</v>
      </c>
      <c r="K2948" t="s">
        <v>89</v>
      </c>
      <c r="L2948" t="s">
        <v>37</v>
      </c>
      <c r="M2948">
        <v>0</v>
      </c>
      <c r="N2948">
        <v>1</v>
      </c>
      <c r="O2948" s="5" t="s">
        <v>555</v>
      </c>
      <c r="P2948" s="5" t="s">
        <v>556</v>
      </c>
      <c r="Q2948">
        <f>27.5-14</f>
        <v>13.5</v>
      </c>
      <c r="R2948" t="s">
        <v>38</v>
      </c>
      <c r="S2948" t="s">
        <v>39</v>
      </c>
      <c r="T2948">
        <v>19</v>
      </c>
      <c r="U2948">
        <v>71</v>
      </c>
      <c r="V2948">
        <v>17</v>
      </c>
      <c r="W2948">
        <v>12.3</v>
      </c>
      <c r="X2948">
        <v>26</v>
      </c>
      <c r="Z2948" t="s">
        <v>97</v>
      </c>
      <c r="AB2948" t="s">
        <v>40</v>
      </c>
      <c r="AC2948" t="s">
        <v>56</v>
      </c>
    </row>
    <row r="2949" spans="1:29" x14ac:dyDescent="0.25">
      <c r="A2949" s="4">
        <v>42591</v>
      </c>
      <c r="B2949" t="s">
        <v>30</v>
      </c>
      <c r="C2949">
        <v>503</v>
      </c>
      <c r="D2949">
        <v>10</v>
      </c>
      <c r="E2949">
        <v>1</v>
      </c>
      <c r="F2949" t="s">
        <v>31</v>
      </c>
      <c r="G2949" t="s">
        <v>32</v>
      </c>
      <c r="H2949" t="s">
        <v>33</v>
      </c>
      <c r="I2949" t="s">
        <v>57</v>
      </c>
      <c r="O2949" s="5"/>
      <c r="P2949" s="5"/>
    </row>
    <row r="2950" spans="1:29" x14ac:dyDescent="0.25">
      <c r="A2950" s="4">
        <v>42591</v>
      </c>
      <c r="B2950" t="s">
        <v>30</v>
      </c>
      <c r="C2950">
        <v>503</v>
      </c>
      <c r="D2950">
        <v>10</v>
      </c>
      <c r="E2950">
        <v>2</v>
      </c>
      <c r="F2950" t="s">
        <v>31</v>
      </c>
      <c r="G2950" t="s">
        <v>32</v>
      </c>
      <c r="H2950" t="s">
        <v>33</v>
      </c>
      <c r="I2950" t="s">
        <v>53</v>
      </c>
      <c r="J2950" t="s">
        <v>62</v>
      </c>
      <c r="O2950" s="5"/>
      <c r="P2950" s="5"/>
    </row>
    <row r="2951" spans="1:29" x14ac:dyDescent="0.25">
      <c r="A2951" s="4">
        <v>42591</v>
      </c>
      <c r="B2951" t="s">
        <v>30</v>
      </c>
      <c r="C2951">
        <v>303</v>
      </c>
      <c r="D2951">
        <v>1</v>
      </c>
      <c r="E2951">
        <v>1</v>
      </c>
      <c r="F2951" t="s">
        <v>31</v>
      </c>
      <c r="G2951" t="s">
        <v>32</v>
      </c>
      <c r="H2951" t="s">
        <v>33</v>
      </c>
      <c r="I2951" t="s">
        <v>58</v>
      </c>
      <c r="J2951" t="s">
        <v>42</v>
      </c>
      <c r="K2951" t="s">
        <v>89</v>
      </c>
      <c r="L2951" t="s">
        <v>43</v>
      </c>
      <c r="M2951">
        <v>0</v>
      </c>
      <c r="N2951">
        <v>1</v>
      </c>
      <c r="O2951" s="5" t="s">
        <v>557</v>
      </c>
      <c r="P2951" s="5"/>
      <c r="Q2951">
        <f>31-13</f>
        <v>18</v>
      </c>
      <c r="R2951" t="s">
        <v>65</v>
      </c>
      <c r="T2951">
        <v>16</v>
      </c>
      <c r="W2951">
        <v>12.4</v>
      </c>
      <c r="X2951">
        <v>25</v>
      </c>
      <c r="Z2951" t="s">
        <v>97</v>
      </c>
      <c r="AB2951" t="s">
        <v>40</v>
      </c>
      <c r="AC2951" t="s">
        <v>56</v>
      </c>
    </row>
    <row r="2952" spans="1:29" x14ac:dyDescent="0.25">
      <c r="A2952" s="4">
        <v>42591</v>
      </c>
      <c r="B2952" t="s">
        <v>30</v>
      </c>
      <c r="C2952">
        <v>303</v>
      </c>
      <c r="D2952">
        <v>2</v>
      </c>
      <c r="E2952">
        <v>1</v>
      </c>
      <c r="F2952" t="s">
        <v>31</v>
      </c>
      <c r="G2952" t="s">
        <v>32</v>
      </c>
      <c r="H2952" t="s">
        <v>33</v>
      </c>
      <c r="I2952" t="s">
        <v>57</v>
      </c>
      <c r="O2952" s="5"/>
      <c r="P2952" s="5"/>
    </row>
    <row r="2953" spans="1:29" x14ac:dyDescent="0.25">
      <c r="A2953" s="4">
        <v>42591</v>
      </c>
      <c r="B2953" t="s">
        <v>30</v>
      </c>
      <c r="C2953">
        <v>303</v>
      </c>
      <c r="D2953">
        <v>2</v>
      </c>
      <c r="E2953">
        <v>2</v>
      </c>
      <c r="F2953" t="s">
        <v>31</v>
      </c>
      <c r="G2953" t="s">
        <v>32</v>
      </c>
      <c r="H2953" t="s">
        <v>33</v>
      </c>
      <c r="I2953" t="s">
        <v>58</v>
      </c>
      <c r="J2953" t="s">
        <v>35</v>
      </c>
      <c r="K2953" t="s">
        <v>36</v>
      </c>
      <c r="L2953" t="s">
        <v>37</v>
      </c>
      <c r="M2953">
        <v>0</v>
      </c>
      <c r="N2953">
        <v>0</v>
      </c>
      <c r="O2953" s="5" t="s">
        <v>558</v>
      </c>
      <c r="P2953" s="5"/>
      <c r="Q2953">
        <f>41.5-14</f>
        <v>27.5</v>
      </c>
      <c r="R2953" t="s">
        <v>298</v>
      </c>
      <c r="S2953" t="s">
        <v>39</v>
      </c>
      <c r="T2953">
        <v>18</v>
      </c>
      <c r="W2953">
        <v>13</v>
      </c>
      <c r="X2953">
        <v>25.8</v>
      </c>
      <c r="Z2953" t="s">
        <v>97</v>
      </c>
      <c r="AB2953" t="s">
        <v>40</v>
      </c>
      <c r="AC2953" t="s">
        <v>56</v>
      </c>
    </row>
    <row r="2954" spans="1:29" x14ac:dyDescent="0.25">
      <c r="A2954" s="4">
        <v>42591</v>
      </c>
      <c r="B2954" t="s">
        <v>30</v>
      </c>
      <c r="C2954">
        <v>303</v>
      </c>
      <c r="D2954">
        <v>3</v>
      </c>
      <c r="E2954">
        <v>1</v>
      </c>
      <c r="F2954" t="s">
        <v>31</v>
      </c>
      <c r="G2954" t="s">
        <v>32</v>
      </c>
      <c r="H2954" t="s">
        <v>33</v>
      </c>
      <c r="I2954" t="s">
        <v>57</v>
      </c>
      <c r="O2954" s="5"/>
      <c r="P2954" s="5"/>
    </row>
    <row r="2955" spans="1:29" x14ac:dyDescent="0.25">
      <c r="A2955" s="4">
        <v>42591</v>
      </c>
      <c r="B2955" t="s">
        <v>30</v>
      </c>
      <c r="C2955">
        <v>303</v>
      </c>
      <c r="D2955">
        <v>3</v>
      </c>
      <c r="E2955">
        <v>2</v>
      </c>
      <c r="F2955" t="s">
        <v>31</v>
      </c>
      <c r="G2955" t="s">
        <v>32</v>
      </c>
      <c r="H2955" t="s">
        <v>33</v>
      </c>
      <c r="I2955" t="s">
        <v>91</v>
      </c>
      <c r="J2955" t="s">
        <v>35</v>
      </c>
      <c r="K2955" t="s">
        <v>36</v>
      </c>
      <c r="L2955" t="s">
        <v>37</v>
      </c>
      <c r="M2955">
        <v>0</v>
      </c>
      <c r="N2955">
        <v>0</v>
      </c>
      <c r="O2955" s="5" t="s">
        <v>134</v>
      </c>
      <c r="P2955" s="5"/>
      <c r="Q2955">
        <f>33-13</f>
        <v>20</v>
      </c>
      <c r="R2955" t="s">
        <v>38</v>
      </c>
      <c r="S2955" t="s">
        <v>39</v>
      </c>
      <c r="T2955">
        <v>28</v>
      </c>
      <c r="W2955">
        <v>12.6</v>
      </c>
      <c r="X2955">
        <v>25.8</v>
      </c>
      <c r="Z2955" t="s">
        <v>97</v>
      </c>
      <c r="AB2955" t="s">
        <v>40</v>
      </c>
      <c r="AC2955" t="s">
        <v>56</v>
      </c>
    </row>
    <row r="2956" spans="1:29" x14ac:dyDescent="0.25">
      <c r="A2956" s="4">
        <v>42591</v>
      </c>
      <c r="B2956" t="s">
        <v>30</v>
      </c>
      <c r="C2956">
        <v>303</v>
      </c>
      <c r="D2956">
        <v>4</v>
      </c>
      <c r="E2956">
        <v>1</v>
      </c>
      <c r="F2956" t="s">
        <v>31</v>
      </c>
      <c r="G2956" t="s">
        <v>32</v>
      </c>
      <c r="H2956" t="s">
        <v>33</v>
      </c>
      <c r="I2956" t="s">
        <v>53</v>
      </c>
      <c r="J2956" t="s">
        <v>62</v>
      </c>
      <c r="O2956" s="5"/>
      <c r="P2956" s="5"/>
    </row>
    <row r="2957" spans="1:29" x14ac:dyDescent="0.25">
      <c r="A2957" s="4">
        <v>42591</v>
      </c>
      <c r="B2957" t="s">
        <v>30</v>
      </c>
      <c r="C2957">
        <v>303</v>
      </c>
      <c r="D2957">
        <v>4</v>
      </c>
      <c r="E2957">
        <v>2</v>
      </c>
      <c r="F2957" t="s">
        <v>31</v>
      </c>
      <c r="G2957" t="s">
        <v>32</v>
      </c>
      <c r="H2957" t="s">
        <v>33</v>
      </c>
      <c r="I2957" t="s">
        <v>53</v>
      </c>
      <c r="J2957" t="s">
        <v>62</v>
      </c>
      <c r="O2957" s="5"/>
      <c r="P2957" s="5"/>
    </row>
    <row r="2958" spans="1:29" x14ac:dyDescent="0.25">
      <c r="A2958" s="4">
        <v>42591</v>
      </c>
      <c r="B2958" t="s">
        <v>30</v>
      </c>
      <c r="C2958">
        <v>303</v>
      </c>
      <c r="D2958">
        <v>5</v>
      </c>
      <c r="E2958">
        <v>1</v>
      </c>
      <c r="F2958" t="s">
        <v>31</v>
      </c>
      <c r="G2958" t="s">
        <v>32</v>
      </c>
      <c r="H2958" t="s">
        <v>33</v>
      </c>
      <c r="I2958" t="s">
        <v>57</v>
      </c>
      <c r="O2958" s="5"/>
      <c r="P2958" s="5"/>
    </row>
    <row r="2959" spans="1:29" x14ac:dyDescent="0.25">
      <c r="A2959" s="4">
        <v>42591</v>
      </c>
      <c r="B2959" t="s">
        <v>30</v>
      </c>
      <c r="C2959">
        <v>303</v>
      </c>
      <c r="D2959">
        <v>5</v>
      </c>
      <c r="E2959">
        <v>2</v>
      </c>
      <c r="F2959" t="s">
        <v>31</v>
      </c>
      <c r="G2959" t="s">
        <v>32</v>
      </c>
      <c r="H2959" t="s">
        <v>33</v>
      </c>
      <c r="I2959" t="s">
        <v>57</v>
      </c>
      <c r="O2959" s="5"/>
      <c r="P2959" s="5"/>
    </row>
    <row r="2960" spans="1:29" x14ac:dyDescent="0.25">
      <c r="A2960" s="4">
        <v>42591</v>
      </c>
      <c r="B2960" t="s">
        <v>30</v>
      </c>
      <c r="C2960">
        <v>303</v>
      </c>
      <c r="D2960">
        <v>6</v>
      </c>
      <c r="E2960">
        <v>1</v>
      </c>
      <c r="F2960" t="s">
        <v>31</v>
      </c>
      <c r="G2960" t="s">
        <v>32</v>
      </c>
      <c r="H2960" t="s">
        <v>33</v>
      </c>
      <c r="I2960" t="s">
        <v>58</v>
      </c>
      <c r="J2960" t="s">
        <v>42</v>
      </c>
      <c r="K2960" t="s">
        <v>36</v>
      </c>
      <c r="L2960" t="s">
        <v>37</v>
      </c>
      <c r="M2960">
        <v>0</v>
      </c>
      <c r="N2960">
        <v>1</v>
      </c>
      <c r="O2960" s="5" t="s">
        <v>559</v>
      </c>
      <c r="P2960" s="5"/>
      <c r="Q2960">
        <f>37-13.5</f>
        <v>23.5</v>
      </c>
      <c r="R2960" t="s">
        <v>38</v>
      </c>
      <c r="S2960" t="s">
        <v>39</v>
      </c>
      <c r="T2960">
        <v>18</v>
      </c>
      <c r="W2960">
        <v>13</v>
      </c>
      <c r="X2960">
        <v>24</v>
      </c>
      <c r="Z2960" t="s">
        <v>97</v>
      </c>
      <c r="AB2960" t="s">
        <v>40</v>
      </c>
      <c r="AC2960" t="s">
        <v>56</v>
      </c>
    </row>
    <row r="2961" spans="1:30" x14ac:dyDescent="0.25">
      <c r="A2961" s="4">
        <v>42591</v>
      </c>
      <c r="B2961" t="s">
        <v>30</v>
      </c>
      <c r="C2961">
        <v>303</v>
      </c>
      <c r="D2961">
        <v>7</v>
      </c>
      <c r="E2961">
        <v>1</v>
      </c>
      <c r="F2961" t="s">
        <v>31</v>
      </c>
      <c r="G2961" t="s">
        <v>32</v>
      </c>
      <c r="H2961" t="s">
        <v>33</v>
      </c>
      <c r="I2961" t="s">
        <v>53</v>
      </c>
      <c r="J2961" t="s">
        <v>62</v>
      </c>
      <c r="O2961" s="5"/>
      <c r="P2961" s="5"/>
    </row>
    <row r="2962" spans="1:30" x14ac:dyDescent="0.25">
      <c r="A2962" s="4">
        <v>42591</v>
      </c>
      <c r="B2962" t="s">
        <v>30</v>
      </c>
      <c r="C2962">
        <v>303</v>
      </c>
      <c r="D2962">
        <v>7</v>
      </c>
      <c r="E2962">
        <v>2</v>
      </c>
      <c r="F2962" t="s">
        <v>31</v>
      </c>
      <c r="G2962" t="s">
        <v>32</v>
      </c>
      <c r="H2962" t="s">
        <v>33</v>
      </c>
      <c r="I2962" t="s">
        <v>58</v>
      </c>
      <c r="J2962" t="s">
        <v>42</v>
      </c>
      <c r="K2962" t="s">
        <v>36</v>
      </c>
      <c r="L2962" t="s">
        <v>37</v>
      </c>
      <c r="M2962">
        <v>0</v>
      </c>
      <c r="N2962">
        <v>1</v>
      </c>
      <c r="O2962" s="5" t="s">
        <v>560</v>
      </c>
      <c r="P2962" s="5"/>
      <c r="Q2962">
        <f>33-14</f>
        <v>19</v>
      </c>
      <c r="R2962" t="s">
        <v>38</v>
      </c>
      <c r="S2962" t="s">
        <v>39</v>
      </c>
      <c r="T2962">
        <v>17</v>
      </c>
      <c r="W2962">
        <v>12.9</v>
      </c>
      <c r="X2962">
        <v>24.2</v>
      </c>
      <c r="Z2962" t="s">
        <v>97</v>
      </c>
      <c r="AB2962" t="s">
        <v>40</v>
      </c>
      <c r="AC2962" t="s">
        <v>56</v>
      </c>
    </row>
    <row r="2963" spans="1:30" x14ac:dyDescent="0.25">
      <c r="A2963" s="4">
        <v>42591</v>
      </c>
      <c r="B2963" t="s">
        <v>30</v>
      </c>
      <c r="C2963">
        <v>303</v>
      </c>
      <c r="D2963">
        <v>8</v>
      </c>
      <c r="E2963">
        <v>1</v>
      </c>
      <c r="F2963" t="s">
        <v>31</v>
      </c>
      <c r="G2963" t="s">
        <v>32</v>
      </c>
      <c r="H2963" t="s">
        <v>33</v>
      </c>
      <c r="I2963" t="s">
        <v>57</v>
      </c>
      <c r="O2963" s="5"/>
      <c r="P2963" s="5"/>
    </row>
    <row r="2964" spans="1:30" x14ac:dyDescent="0.25">
      <c r="A2964" s="4">
        <v>42591</v>
      </c>
      <c r="B2964" t="s">
        <v>30</v>
      </c>
      <c r="C2964">
        <v>303</v>
      </c>
      <c r="D2964">
        <v>8</v>
      </c>
      <c r="E2964">
        <v>2</v>
      </c>
      <c r="F2964" t="s">
        <v>31</v>
      </c>
      <c r="G2964" t="s">
        <v>32</v>
      </c>
      <c r="H2964" t="s">
        <v>33</v>
      </c>
      <c r="I2964" t="s">
        <v>57</v>
      </c>
      <c r="O2964" s="5"/>
      <c r="P2964" s="5"/>
    </row>
    <row r="2965" spans="1:30" x14ac:dyDescent="0.25">
      <c r="A2965" s="4">
        <v>42591</v>
      </c>
      <c r="B2965" t="s">
        <v>30</v>
      </c>
      <c r="C2965">
        <v>303</v>
      </c>
      <c r="D2965">
        <v>9</v>
      </c>
      <c r="E2965">
        <v>1</v>
      </c>
      <c r="F2965" t="s">
        <v>31</v>
      </c>
      <c r="G2965" t="s">
        <v>32</v>
      </c>
      <c r="H2965" t="s">
        <v>33</v>
      </c>
      <c r="I2965" t="s">
        <v>34</v>
      </c>
      <c r="J2965" t="s">
        <v>35</v>
      </c>
      <c r="K2965" t="s">
        <v>114</v>
      </c>
      <c r="L2965" t="s">
        <v>43</v>
      </c>
      <c r="M2965">
        <v>0</v>
      </c>
      <c r="N2965">
        <v>0</v>
      </c>
      <c r="O2965" s="5" t="s">
        <v>561</v>
      </c>
      <c r="P2965" s="5" t="s">
        <v>562</v>
      </c>
      <c r="Q2965">
        <f>34.5-17</f>
        <v>17.5</v>
      </c>
      <c r="R2965" t="s">
        <v>65</v>
      </c>
      <c r="T2965">
        <v>18.5</v>
      </c>
      <c r="U2965">
        <v>79</v>
      </c>
      <c r="V2965">
        <v>18</v>
      </c>
      <c r="W2965">
        <v>13.2</v>
      </c>
      <c r="X2965">
        <v>26</v>
      </c>
      <c r="Z2965" t="s">
        <v>97</v>
      </c>
      <c r="AB2965" t="s">
        <v>40</v>
      </c>
      <c r="AC2965" t="s">
        <v>56</v>
      </c>
    </row>
    <row r="2966" spans="1:30" x14ac:dyDescent="0.25">
      <c r="A2966" s="4">
        <v>42591</v>
      </c>
      <c r="B2966" t="s">
        <v>30</v>
      </c>
      <c r="C2966">
        <v>303</v>
      </c>
      <c r="D2966">
        <v>10</v>
      </c>
      <c r="E2966">
        <v>1</v>
      </c>
      <c r="F2966" t="s">
        <v>31</v>
      </c>
      <c r="G2966" t="s">
        <v>32</v>
      </c>
      <c r="H2966" t="s">
        <v>33</v>
      </c>
      <c r="I2966" t="s">
        <v>57</v>
      </c>
      <c r="O2966" s="5"/>
      <c r="P2966" s="5"/>
    </row>
    <row r="2967" spans="1:30" x14ac:dyDescent="0.25">
      <c r="A2967" s="4">
        <v>42591</v>
      </c>
      <c r="B2967" t="s">
        <v>30</v>
      </c>
      <c r="C2967">
        <v>303</v>
      </c>
      <c r="D2967">
        <v>10</v>
      </c>
      <c r="E2967">
        <v>2</v>
      </c>
      <c r="F2967" t="s">
        <v>31</v>
      </c>
      <c r="G2967" t="s">
        <v>32</v>
      </c>
      <c r="H2967" t="s">
        <v>33</v>
      </c>
      <c r="I2967" t="s">
        <v>58</v>
      </c>
      <c r="J2967" t="s">
        <v>35</v>
      </c>
      <c r="K2967" t="s">
        <v>36</v>
      </c>
      <c r="L2967" t="s">
        <v>37</v>
      </c>
      <c r="M2967">
        <v>0</v>
      </c>
      <c r="N2967">
        <v>0</v>
      </c>
      <c r="O2967" s="5" t="s">
        <v>563</v>
      </c>
      <c r="P2967" s="5"/>
      <c r="Q2967">
        <f>39-13</f>
        <v>26</v>
      </c>
      <c r="R2967" t="s">
        <v>83</v>
      </c>
      <c r="S2967" t="s">
        <v>39</v>
      </c>
      <c r="T2967">
        <v>16</v>
      </c>
      <c r="W2967">
        <v>13.6</v>
      </c>
      <c r="X2967">
        <v>27.8</v>
      </c>
      <c r="Z2967" t="s">
        <v>97</v>
      </c>
      <c r="AB2967" t="s">
        <v>40</v>
      </c>
      <c r="AC2967" t="s">
        <v>56</v>
      </c>
    </row>
    <row r="2968" spans="1:30" x14ac:dyDescent="0.25">
      <c r="A2968" s="4">
        <v>42591</v>
      </c>
      <c r="B2968" t="s">
        <v>30</v>
      </c>
      <c r="C2968">
        <v>401</v>
      </c>
      <c r="D2968">
        <v>1</v>
      </c>
      <c r="E2968">
        <v>1</v>
      </c>
      <c r="F2968" t="s">
        <v>31</v>
      </c>
      <c r="G2968" t="s">
        <v>32</v>
      </c>
      <c r="H2968" t="s">
        <v>33</v>
      </c>
      <c r="I2968" t="s">
        <v>57</v>
      </c>
      <c r="O2968" s="5"/>
      <c r="P2968" s="5"/>
    </row>
    <row r="2969" spans="1:30" x14ac:dyDescent="0.25">
      <c r="A2969" s="4">
        <v>42591</v>
      </c>
      <c r="B2969" t="s">
        <v>30</v>
      </c>
      <c r="C2969">
        <v>401</v>
      </c>
      <c r="D2969">
        <v>2</v>
      </c>
      <c r="E2969">
        <v>1</v>
      </c>
      <c r="F2969" t="s">
        <v>31</v>
      </c>
      <c r="G2969" t="s">
        <v>32</v>
      </c>
      <c r="H2969" t="s">
        <v>33</v>
      </c>
      <c r="I2969" t="s">
        <v>53</v>
      </c>
      <c r="J2969" t="s">
        <v>62</v>
      </c>
      <c r="O2969" s="5"/>
      <c r="P2969" s="5"/>
    </row>
    <row r="2970" spans="1:30" x14ac:dyDescent="0.25">
      <c r="A2970" s="4">
        <v>42591</v>
      </c>
      <c r="B2970" t="s">
        <v>30</v>
      </c>
      <c r="C2970">
        <v>401</v>
      </c>
      <c r="D2970">
        <v>3</v>
      </c>
      <c r="E2970">
        <v>1</v>
      </c>
      <c r="F2970" t="s">
        <v>31</v>
      </c>
      <c r="G2970" t="s">
        <v>32</v>
      </c>
      <c r="H2970" t="s">
        <v>33</v>
      </c>
      <c r="I2970" t="s">
        <v>57</v>
      </c>
      <c r="O2970" s="5"/>
      <c r="P2970" s="5"/>
    </row>
    <row r="2971" spans="1:30" x14ac:dyDescent="0.25">
      <c r="A2971" s="4">
        <v>42591</v>
      </c>
      <c r="B2971" t="s">
        <v>30</v>
      </c>
      <c r="C2971">
        <v>401</v>
      </c>
      <c r="D2971">
        <v>4</v>
      </c>
      <c r="E2971">
        <v>1</v>
      </c>
      <c r="F2971" t="s">
        <v>31</v>
      </c>
      <c r="G2971" t="s">
        <v>32</v>
      </c>
      <c r="H2971" t="s">
        <v>33</v>
      </c>
      <c r="I2971" t="s">
        <v>57</v>
      </c>
      <c r="O2971" s="5"/>
      <c r="P2971" s="5"/>
    </row>
    <row r="2972" spans="1:30" x14ac:dyDescent="0.25">
      <c r="A2972" s="4">
        <v>42591</v>
      </c>
      <c r="B2972" t="s">
        <v>30</v>
      </c>
      <c r="C2972">
        <v>401</v>
      </c>
      <c r="D2972">
        <v>4</v>
      </c>
      <c r="E2972">
        <v>2</v>
      </c>
      <c r="F2972" t="s">
        <v>31</v>
      </c>
      <c r="G2972" t="s">
        <v>32</v>
      </c>
      <c r="H2972" t="s">
        <v>33</v>
      </c>
      <c r="I2972" t="s">
        <v>57</v>
      </c>
      <c r="O2972" s="5"/>
      <c r="P2972" s="5"/>
    </row>
    <row r="2973" spans="1:30" x14ac:dyDescent="0.25">
      <c r="A2973" s="4">
        <v>42591</v>
      </c>
      <c r="B2973" t="s">
        <v>30</v>
      </c>
      <c r="C2973">
        <v>401</v>
      </c>
      <c r="D2973">
        <v>7</v>
      </c>
      <c r="E2973">
        <v>1</v>
      </c>
      <c r="F2973" t="s">
        <v>31</v>
      </c>
      <c r="G2973" t="s">
        <v>32</v>
      </c>
      <c r="H2973" t="s">
        <v>33</v>
      </c>
      <c r="I2973" t="s">
        <v>91</v>
      </c>
      <c r="J2973" t="s">
        <v>42</v>
      </c>
      <c r="K2973" t="s">
        <v>36</v>
      </c>
      <c r="L2973" t="s">
        <v>37</v>
      </c>
      <c r="M2973">
        <v>0</v>
      </c>
      <c r="N2973">
        <v>1</v>
      </c>
      <c r="O2973" s="5" t="s">
        <v>564</v>
      </c>
      <c r="P2973" s="5"/>
      <c r="Q2973">
        <f>35-13</f>
        <v>22</v>
      </c>
      <c r="R2973" t="s">
        <v>81</v>
      </c>
      <c r="S2973" t="s">
        <v>39</v>
      </c>
      <c r="T2973">
        <v>28</v>
      </c>
      <c r="W2973">
        <v>13</v>
      </c>
      <c r="X2973">
        <v>25.5</v>
      </c>
      <c r="Z2973" t="s">
        <v>97</v>
      </c>
      <c r="AB2973" t="s">
        <v>40</v>
      </c>
      <c r="AC2973" t="s">
        <v>56</v>
      </c>
    </row>
    <row r="2974" spans="1:30" x14ac:dyDescent="0.25">
      <c r="A2974" s="4">
        <v>42591</v>
      </c>
      <c r="B2974" t="s">
        <v>30</v>
      </c>
      <c r="C2974">
        <v>401</v>
      </c>
      <c r="D2974">
        <v>9</v>
      </c>
      <c r="E2974">
        <v>1</v>
      </c>
      <c r="F2974" t="s">
        <v>31</v>
      </c>
      <c r="G2974" t="s">
        <v>32</v>
      </c>
      <c r="H2974" t="s">
        <v>33</v>
      </c>
      <c r="I2974" t="s">
        <v>57</v>
      </c>
      <c r="O2974" s="5"/>
      <c r="P2974" s="5"/>
    </row>
    <row r="2975" spans="1:30" x14ac:dyDescent="0.25">
      <c r="A2975" s="4">
        <v>42591</v>
      </c>
      <c r="B2975" t="s">
        <v>30</v>
      </c>
      <c r="C2975">
        <v>703</v>
      </c>
      <c r="D2975">
        <v>1</v>
      </c>
      <c r="E2975">
        <v>1</v>
      </c>
      <c r="F2975" t="s">
        <v>320</v>
      </c>
      <c r="G2975" t="s">
        <v>32</v>
      </c>
      <c r="H2975" t="s">
        <v>33</v>
      </c>
      <c r="I2975" t="s">
        <v>34</v>
      </c>
      <c r="J2975" t="s">
        <v>35</v>
      </c>
      <c r="K2975" t="s">
        <v>114</v>
      </c>
      <c r="L2975" t="s">
        <v>43</v>
      </c>
      <c r="M2975">
        <v>0</v>
      </c>
      <c r="N2975">
        <v>0</v>
      </c>
      <c r="O2975" s="5" t="s">
        <v>565</v>
      </c>
      <c r="P2975" s="5" t="s">
        <v>566</v>
      </c>
      <c r="Q2975">
        <f>28-12.5</f>
        <v>15.5</v>
      </c>
      <c r="R2975" t="s">
        <v>65</v>
      </c>
      <c r="T2975">
        <v>19</v>
      </c>
      <c r="U2975">
        <v>80</v>
      </c>
      <c r="V2975">
        <v>15</v>
      </c>
      <c r="W2975">
        <v>13</v>
      </c>
      <c r="X2975">
        <v>27.5</v>
      </c>
      <c r="Z2975" t="s">
        <v>39</v>
      </c>
      <c r="AB2975" t="s">
        <v>40</v>
      </c>
      <c r="AC2975" t="s">
        <v>56</v>
      </c>
      <c r="AD2975" t="s">
        <v>567</v>
      </c>
    </row>
    <row r="2976" spans="1:30" x14ac:dyDescent="0.25">
      <c r="A2976" s="4">
        <v>42591</v>
      </c>
      <c r="B2976" t="s">
        <v>30</v>
      </c>
      <c r="C2976">
        <v>703</v>
      </c>
      <c r="D2976">
        <v>1</v>
      </c>
      <c r="E2976">
        <v>2</v>
      </c>
      <c r="F2976" t="s">
        <v>320</v>
      </c>
      <c r="G2976" t="s">
        <v>32</v>
      </c>
      <c r="H2976" t="s">
        <v>33</v>
      </c>
      <c r="I2976" t="s">
        <v>58</v>
      </c>
      <c r="J2976" t="s">
        <v>35</v>
      </c>
      <c r="K2976" t="s">
        <v>36</v>
      </c>
      <c r="L2976" t="s">
        <v>43</v>
      </c>
      <c r="M2976">
        <v>0</v>
      </c>
      <c r="N2976">
        <v>0</v>
      </c>
      <c r="O2976" s="5" t="s">
        <v>568</v>
      </c>
      <c r="P2976" s="5"/>
      <c r="Q2976">
        <f>35.5-15.5</f>
        <v>20</v>
      </c>
      <c r="R2976" t="s">
        <v>47</v>
      </c>
      <c r="T2976">
        <v>18</v>
      </c>
      <c r="W2976">
        <v>13</v>
      </c>
      <c r="X2976">
        <v>26.8</v>
      </c>
      <c r="Z2976" t="s">
        <v>97</v>
      </c>
      <c r="AB2976" t="s">
        <v>40</v>
      </c>
      <c r="AC2976" t="s">
        <v>56</v>
      </c>
    </row>
    <row r="2977" spans="1:29" x14ac:dyDescent="0.25">
      <c r="A2977" s="4">
        <v>42591</v>
      </c>
      <c r="B2977" t="s">
        <v>30</v>
      </c>
      <c r="C2977">
        <v>703</v>
      </c>
      <c r="D2977">
        <v>2</v>
      </c>
      <c r="E2977">
        <v>1</v>
      </c>
      <c r="F2977" t="s">
        <v>320</v>
      </c>
      <c r="G2977" t="s">
        <v>32</v>
      </c>
      <c r="H2977" t="s">
        <v>33</v>
      </c>
      <c r="I2977" t="s">
        <v>34</v>
      </c>
      <c r="J2977" t="s">
        <v>35</v>
      </c>
      <c r="K2977" t="s">
        <v>36</v>
      </c>
      <c r="L2977" t="s">
        <v>43</v>
      </c>
      <c r="M2977">
        <v>0</v>
      </c>
      <c r="N2977">
        <v>0</v>
      </c>
      <c r="O2977" s="5" t="s">
        <v>569</v>
      </c>
      <c r="P2977" s="5" t="s">
        <v>570</v>
      </c>
      <c r="Q2977">
        <f>38-15</f>
        <v>23</v>
      </c>
      <c r="R2977" t="s">
        <v>47</v>
      </c>
      <c r="T2977">
        <v>20</v>
      </c>
      <c r="U2977">
        <v>91</v>
      </c>
      <c r="V2977">
        <v>16</v>
      </c>
      <c r="W2977">
        <v>13.4</v>
      </c>
      <c r="X2977">
        <v>27.3</v>
      </c>
      <c r="Z2977" t="s">
        <v>97</v>
      </c>
      <c r="AA2977" t="s">
        <v>199</v>
      </c>
      <c r="AB2977" t="s">
        <v>40</v>
      </c>
      <c r="AC2977" t="s">
        <v>56</v>
      </c>
    </row>
    <row r="2978" spans="1:29" x14ac:dyDescent="0.25">
      <c r="A2978" s="4">
        <v>42591</v>
      </c>
      <c r="B2978" t="s">
        <v>30</v>
      </c>
      <c r="C2978">
        <v>703</v>
      </c>
      <c r="D2978">
        <v>2</v>
      </c>
      <c r="E2978">
        <v>2</v>
      </c>
      <c r="F2978" t="s">
        <v>320</v>
      </c>
      <c r="G2978" t="s">
        <v>32</v>
      </c>
      <c r="H2978" t="s">
        <v>33</v>
      </c>
      <c r="I2978" t="s">
        <v>57</v>
      </c>
      <c r="O2978" s="5"/>
      <c r="P2978" s="5"/>
    </row>
    <row r="2979" spans="1:29" x14ac:dyDescent="0.25">
      <c r="A2979" s="4">
        <v>42591</v>
      </c>
      <c r="B2979" t="s">
        <v>30</v>
      </c>
      <c r="C2979">
        <v>703</v>
      </c>
      <c r="D2979">
        <v>3</v>
      </c>
      <c r="E2979">
        <v>1</v>
      </c>
      <c r="F2979" t="s">
        <v>320</v>
      </c>
      <c r="G2979" t="s">
        <v>32</v>
      </c>
      <c r="H2979" t="s">
        <v>33</v>
      </c>
      <c r="I2979" t="s">
        <v>34</v>
      </c>
      <c r="J2979" t="s">
        <v>35</v>
      </c>
      <c r="K2979" t="s">
        <v>89</v>
      </c>
      <c r="L2979" t="s">
        <v>37</v>
      </c>
      <c r="M2979">
        <v>0</v>
      </c>
      <c r="N2979">
        <v>0</v>
      </c>
      <c r="O2979" s="5" t="s">
        <v>571</v>
      </c>
      <c r="P2979" s="5" t="s">
        <v>572</v>
      </c>
      <c r="Q2979">
        <f>36-20.5</f>
        <v>15.5</v>
      </c>
      <c r="R2979" t="s">
        <v>38</v>
      </c>
      <c r="S2979" t="s">
        <v>39</v>
      </c>
      <c r="T2979">
        <v>19</v>
      </c>
      <c r="U2979">
        <v>76</v>
      </c>
      <c r="V2979">
        <v>16</v>
      </c>
      <c r="W2979">
        <v>12.9</v>
      </c>
      <c r="X2979">
        <v>27</v>
      </c>
      <c r="Z2979" t="s">
        <v>97</v>
      </c>
      <c r="AA2979" t="s">
        <v>199</v>
      </c>
      <c r="AB2979" t="s">
        <v>40</v>
      </c>
      <c r="AC2979" t="s">
        <v>56</v>
      </c>
    </row>
    <row r="2980" spans="1:29" x14ac:dyDescent="0.25">
      <c r="A2980" s="4">
        <v>42591</v>
      </c>
      <c r="B2980" t="s">
        <v>30</v>
      </c>
      <c r="C2980">
        <v>703</v>
      </c>
      <c r="D2980">
        <v>3</v>
      </c>
      <c r="E2980">
        <v>2</v>
      </c>
      <c r="F2980" t="s">
        <v>320</v>
      </c>
      <c r="G2980" t="s">
        <v>32</v>
      </c>
      <c r="H2980" t="s">
        <v>33</v>
      </c>
      <c r="I2980" t="s">
        <v>34</v>
      </c>
      <c r="J2980" t="s">
        <v>35</v>
      </c>
      <c r="K2980" t="s">
        <v>89</v>
      </c>
      <c r="L2980" t="s">
        <v>37</v>
      </c>
      <c r="M2980">
        <v>0</v>
      </c>
      <c r="N2980">
        <v>0</v>
      </c>
      <c r="O2980" s="5" t="s">
        <v>573</v>
      </c>
      <c r="P2980" s="5" t="s">
        <v>574</v>
      </c>
      <c r="Q2980">
        <f>31-16</f>
        <v>15</v>
      </c>
      <c r="R2980" t="s">
        <v>38</v>
      </c>
      <c r="S2980" t="s">
        <v>39</v>
      </c>
      <c r="T2980">
        <v>18</v>
      </c>
      <c r="U2980">
        <v>71</v>
      </c>
      <c r="V2980">
        <v>15</v>
      </c>
      <c r="W2980">
        <v>13</v>
      </c>
      <c r="X2980">
        <v>27.5</v>
      </c>
      <c r="Z2980" t="s">
        <v>97</v>
      </c>
      <c r="AA2980" t="s">
        <v>199</v>
      </c>
      <c r="AB2980" t="s">
        <v>40</v>
      </c>
      <c r="AC2980" t="s">
        <v>56</v>
      </c>
    </row>
    <row r="2981" spans="1:29" x14ac:dyDescent="0.25">
      <c r="A2981" s="4">
        <v>42591</v>
      </c>
      <c r="B2981" t="s">
        <v>30</v>
      </c>
      <c r="C2981">
        <v>703</v>
      </c>
      <c r="D2981">
        <v>4</v>
      </c>
      <c r="E2981">
        <v>1</v>
      </c>
      <c r="F2981" t="s">
        <v>320</v>
      </c>
      <c r="G2981" t="s">
        <v>32</v>
      </c>
      <c r="H2981" t="s">
        <v>33</v>
      </c>
      <c r="I2981" t="s">
        <v>57</v>
      </c>
      <c r="O2981" s="5"/>
      <c r="P2981" s="5"/>
    </row>
    <row r="2982" spans="1:29" x14ac:dyDescent="0.25">
      <c r="A2982" s="4">
        <v>42591</v>
      </c>
      <c r="B2982" t="s">
        <v>30</v>
      </c>
      <c r="C2982">
        <v>703</v>
      </c>
      <c r="D2982">
        <v>4</v>
      </c>
      <c r="E2982">
        <v>2</v>
      </c>
      <c r="F2982" t="s">
        <v>320</v>
      </c>
      <c r="G2982" t="s">
        <v>32</v>
      </c>
      <c r="H2982" t="s">
        <v>33</v>
      </c>
      <c r="I2982" t="s">
        <v>57</v>
      </c>
      <c r="O2982" s="5"/>
      <c r="P2982" s="5"/>
    </row>
    <row r="2983" spans="1:29" x14ac:dyDescent="0.25">
      <c r="A2983" s="4">
        <v>42591</v>
      </c>
      <c r="B2983" t="s">
        <v>30</v>
      </c>
      <c r="C2983">
        <v>703</v>
      </c>
      <c r="D2983">
        <v>5</v>
      </c>
      <c r="E2983">
        <v>1</v>
      </c>
      <c r="F2983" t="s">
        <v>320</v>
      </c>
      <c r="G2983" t="s">
        <v>32</v>
      </c>
      <c r="H2983" t="s">
        <v>33</v>
      </c>
      <c r="I2983" t="s">
        <v>57</v>
      </c>
      <c r="O2983" s="5"/>
      <c r="P2983" s="5"/>
    </row>
    <row r="2984" spans="1:29" x14ac:dyDescent="0.25">
      <c r="A2984" s="4">
        <v>42591</v>
      </c>
      <c r="B2984" t="s">
        <v>30</v>
      </c>
      <c r="C2984">
        <v>703</v>
      </c>
      <c r="D2984">
        <v>5</v>
      </c>
      <c r="E2984">
        <v>2</v>
      </c>
      <c r="F2984" t="s">
        <v>320</v>
      </c>
      <c r="G2984" t="s">
        <v>32</v>
      </c>
      <c r="H2984" t="s">
        <v>33</v>
      </c>
      <c r="I2984" t="s">
        <v>57</v>
      </c>
      <c r="O2984" s="5"/>
      <c r="P2984" s="5"/>
    </row>
    <row r="2985" spans="1:29" x14ac:dyDescent="0.25">
      <c r="A2985" s="4">
        <v>42591</v>
      </c>
      <c r="B2985" t="s">
        <v>30</v>
      </c>
      <c r="C2985">
        <v>703</v>
      </c>
      <c r="D2985">
        <v>6</v>
      </c>
      <c r="E2985">
        <v>1</v>
      </c>
      <c r="F2985" t="s">
        <v>320</v>
      </c>
      <c r="G2985" t="s">
        <v>32</v>
      </c>
      <c r="H2985" t="s">
        <v>33</v>
      </c>
      <c r="I2985" t="s">
        <v>57</v>
      </c>
      <c r="O2985" s="5"/>
      <c r="P2985" s="5"/>
    </row>
    <row r="2986" spans="1:29" x14ac:dyDescent="0.25">
      <c r="A2986" s="4">
        <v>42591</v>
      </c>
      <c r="B2986" t="s">
        <v>30</v>
      </c>
      <c r="C2986">
        <v>703</v>
      </c>
      <c r="D2986">
        <v>6</v>
      </c>
      <c r="E2986">
        <v>2</v>
      </c>
      <c r="F2986" t="s">
        <v>320</v>
      </c>
      <c r="G2986" t="s">
        <v>32</v>
      </c>
      <c r="H2986" t="s">
        <v>33</v>
      </c>
      <c r="I2986" t="s">
        <v>58</v>
      </c>
      <c r="J2986" t="s">
        <v>42</v>
      </c>
      <c r="K2986" t="s">
        <v>114</v>
      </c>
      <c r="L2986" t="s">
        <v>43</v>
      </c>
      <c r="M2986">
        <v>0</v>
      </c>
      <c r="N2986">
        <v>1</v>
      </c>
      <c r="O2986" s="5" t="s">
        <v>575</v>
      </c>
      <c r="P2986" s="5"/>
      <c r="Q2986">
        <f>32-13</f>
        <v>19</v>
      </c>
      <c r="R2986" t="s">
        <v>65</v>
      </c>
      <c r="T2986">
        <v>16</v>
      </c>
      <c r="W2986">
        <v>13.3</v>
      </c>
      <c r="X2986">
        <v>26.8</v>
      </c>
      <c r="Z2986" t="s">
        <v>97</v>
      </c>
      <c r="AA2986" t="s">
        <v>576</v>
      </c>
      <c r="AB2986" t="s">
        <v>40</v>
      </c>
      <c r="AC2986" t="s">
        <v>56</v>
      </c>
    </row>
    <row r="2987" spans="1:29" x14ac:dyDescent="0.25">
      <c r="A2987" s="4">
        <v>42591</v>
      </c>
      <c r="B2987" t="s">
        <v>30</v>
      </c>
      <c r="C2987">
        <v>703</v>
      </c>
      <c r="D2987">
        <v>7</v>
      </c>
      <c r="E2987">
        <v>1</v>
      </c>
      <c r="F2987" t="s">
        <v>320</v>
      </c>
      <c r="G2987" t="s">
        <v>32</v>
      </c>
      <c r="H2987" t="s">
        <v>33</v>
      </c>
      <c r="I2987" t="s">
        <v>34</v>
      </c>
      <c r="J2987" t="s">
        <v>42</v>
      </c>
      <c r="K2987" t="s">
        <v>114</v>
      </c>
      <c r="L2987" t="s">
        <v>37</v>
      </c>
      <c r="M2987">
        <v>0</v>
      </c>
      <c r="N2987">
        <v>1</v>
      </c>
      <c r="O2987" s="5" t="s">
        <v>577</v>
      </c>
      <c r="P2987" s="5" t="s">
        <v>578</v>
      </c>
      <c r="Q2987">
        <f>30-13</f>
        <v>17</v>
      </c>
      <c r="R2987" t="s">
        <v>38</v>
      </c>
      <c r="S2987" t="s">
        <v>39</v>
      </c>
      <c r="T2987">
        <v>20</v>
      </c>
      <c r="U2987">
        <v>85</v>
      </c>
      <c r="V2987">
        <v>16</v>
      </c>
      <c r="W2987">
        <v>13.2</v>
      </c>
      <c r="X2987">
        <v>28.2</v>
      </c>
      <c r="Z2987" t="s">
        <v>39</v>
      </c>
      <c r="AB2987" t="s">
        <v>40</v>
      </c>
      <c r="AC2987" t="s">
        <v>56</v>
      </c>
    </row>
    <row r="2988" spans="1:29" x14ac:dyDescent="0.25">
      <c r="A2988" s="4">
        <v>42591</v>
      </c>
      <c r="B2988" t="s">
        <v>30</v>
      </c>
      <c r="C2988">
        <v>703</v>
      </c>
      <c r="D2988">
        <v>7</v>
      </c>
      <c r="E2988">
        <v>2</v>
      </c>
      <c r="F2988" t="s">
        <v>320</v>
      </c>
      <c r="G2988" t="s">
        <v>32</v>
      </c>
      <c r="H2988" t="s">
        <v>33</v>
      </c>
      <c r="I2988" t="s">
        <v>57</v>
      </c>
      <c r="O2988" s="5"/>
      <c r="P2988" s="5"/>
    </row>
    <row r="2989" spans="1:29" x14ac:dyDescent="0.25">
      <c r="A2989" s="4">
        <v>42591</v>
      </c>
      <c r="B2989" t="s">
        <v>30</v>
      </c>
      <c r="C2989">
        <v>703</v>
      </c>
      <c r="D2989">
        <v>8</v>
      </c>
      <c r="E2989">
        <v>1</v>
      </c>
      <c r="F2989" t="s">
        <v>320</v>
      </c>
      <c r="G2989" t="s">
        <v>32</v>
      </c>
      <c r="H2989" t="s">
        <v>33</v>
      </c>
      <c r="I2989" t="s">
        <v>57</v>
      </c>
      <c r="O2989" s="5"/>
      <c r="P2989" s="5"/>
    </row>
    <row r="2990" spans="1:29" x14ac:dyDescent="0.25">
      <c r="A2990" s="4">
        <v>42591</v>
      </c>
      <c r="B2990" t="s">
        <v>30</v>
      </c>
      <c r="C2990">
        <v>703</v>
      </c>
      <c r="D2990">
        <v>8</v>
      </c>
      <c r="E2990">
        <v>2</v>
      </c>
      <c r="F2990" t="s">
        <v>320</v>
      </c>
      <c r="G2990" t="s">
        <v>32</v>
      </c>
      <c r="H2990" t="s">
        <v>33</v>
      </c>
      <c r="I2990" t="s">
        <v>34</v>
      </c>
      <c r="J2990" t="s">
        <v>35</v>
      </c>
      <c r="K2990" t="s">
        <v>114</v>
      </c>
      <c r="L2990" t="s">
        <v>43</v>
      </c>
      <c r="M2990">
        <v>0</v>
      </c>
      <c r="N2990">
        <v>0</v>
      </c>
      <c r="O2990" s="5" t="s">
        <v>579</v>
      </c>
      <c r="P2990" s="5" t="s">
        <v>580</v>
      </c>
      <c r="Q2990">
        <f>32-14</f>
        <v>18</v>
      </c>
      <c r="R2990" t="s">
        <v>65</v>
      </c>
      <c r="T2990">
        <v>19</v>
      </c>
      <c r="U2990">
        <v>87</v>
      </c>
      <c r="V2990">
        <v>16</v>
      </c>
      <c r="W2990">
        <v>13.2</v>
      </c>
      <c r="X2990">
        <v>28</v>
      </c>
      <c r="Z2990" t="s">
        <v>97</v>
      </c>
      <c r="AA2990" t="s">
        <v>199</v>
      </c>
      <c r="AB2990" t="s">
        <v>40</v>
      </c>
      <c r="AC2990" t="s">
        <v>56</v>
      </c>
    </row>
    <row r="2991" spans="1:29" x14ac:dyDescent="0.25">
      <c r="A2991" s="4">
        <v>42591</v>
      </c>
      <c r="B2991" t="s">
        <v>30</v>
      </c>
      <c r="C2991">
        <v>703</v>
      </c>
      <c r="D2991">
        <v>9</v>
      </c>
      <c r="E2991">
        <v>1</v>
      </c>
      <c r="F2991" t="s">
        <v>320</v>
      </c>
      <c r="G2991" t="s">
        <v>32</v>
      </c>
      <c r="H2991" t="s">
        <v>33</v>
      </c>
      <c r="I2991" t="s">
        <v>34</v>
      </c>
      <c r="J2991" t="s">
        <v>35</v>
      </c>
      <c r="K2991" t="s">
        <v>114</v>
      </c>
      <c r="L2991" t="s">
        <v>37</v>
      </c>
      <c r="M2991">
        <v>0</v>
      </c>
      <c r="N2991">
        <v>0</v>
      </c>
      <c r="O2991" s="5" t="s">
        <v>581</v>
      </c>
      <c r="P2991" s="5" t="s">
        <v>582</v>
      </c>
      <c r="Q2991">
        <f>31-15</f>
        <v>16</v>
      </c>
      <c r="R2991" t="s">
        <v>38</v>
      </c>
      <c r="S2991" t="s">
        <v>39</v>
      </c>
      <c r="T2991">
        <v>19</v>
      </c>
      <c r="U2991">
        <v>75</v>
      </c>
      <c r="V2991">
        <v>15</v>
      </c>
      <c r="W2991">
        <v>13.1</v>
      </c>
      <c r="X2991">
        <v>27.9</v>
      </c>
      <c r="Z2991" t="s">
        <v>97</v>
      </c>
      <c r="AA2991" t="s">
        <v>199</v>
      </c>
      <c r="AB2991" t="s">
        <v>40</v>
      </c>
      <c r="AC2991" t="s">
        <v>56</v>
      </c>
    </row>
    <row r="2992" spans="1:29" x14ac:dyDescent="0.25">
      <c r="A2992" s="4">
        <v>42591</v>
      </c>
      <c r="B2992" t="s">
        <v>30</v>
      </c>
      <c r="C2992">
        <v>703</v>
      </c>
      <c r="D2992">
        <v>9</v>
      </c>
      <c r="E2992">
        <v>2</v>
      </c>
      <c r="F2992" t="s">
        <v>320</v>
      </c>
      <c r="G2992" t="s">
        <v>32</v>
      </c>
      <c r="H2992" t="s">
        <v>33</v>
      </c>
      <c r="I2992" t="s">
        <v>64</v>
      </c>
      <c r="J2992" t="s">
        <v>35</v>
      </c>
      <c r="K2992" t="s">
        <v>36</v>
      </c>
      <c r="L2992" t="s">
        <v>37</v>
      </c>
      <c r="M2992">
        <v>0</v>
      </c>
      <c r="N2992">
        <v>0</v>
      </c>
      <c r="O2992" s="5" t="s">
        <v>583</v>
      </c>
      <c r="P2992" s="5"/>
      <c r="Q2992">
        <f>210-48</f>
        <v>162</v>
      </c>
      <c r="R2992" t="s">
        <v>74</v>
      </c>
      <c r="S2992" t="s">
        <v>97</v>
      </c>
      <c r="T2992">
        <v>44</v>
      </c>
      <c r="W2992">
        <v>27.5</v>
      </c>
      <c r="X2992">
        <v>46.2</v>
      </c>
      <c r="Z2992" t="s">
        <v>97</v>
      </c>
      <c r="AA2992" t="s">
        <v>584</v>
      </c>
      <c r="AB2992" t="s">
        <v>40</v>
      </c>
      <c r="AC2992" t="s">
        <v>56</v>
      </c>
    </row>
    <row r="2993" spans="1:30" x14ac:dyDescent="0.25">
      <c r="A2993" s="4">
        <v>42591</v>
      </c>
      <c r="B2993" t="s">
        <v>30</v>
      </c>
      <c r="C2993">
        <v>703</v>
      </c>
      <c r="D2993">
        <v>10</v>
      </c>
      <c r="E2993">
        <v>1</v>
      </c>
      <c r="F2993" t="s">
        <v>320</v>
      </c>
      <c r="G2993" t="s">
        <v>32</v>
      </c>
      <c r="H2993" t="s">
        <v>33</v>
      </c>
      <c r="I2993" t="s">
        <v>57</v>
      </c>
      <c r="O2993" s="5"/>
      <c r="P2993" s="5"/>
    </row>
    <row r="2994" spans="1:30" x14ac:dyDescent="0.25">
      <c r="A2994" s="4">
        <v>42591</v>
      </c>
      <c r="B2994" t="s">
        <v>30</v>
      </c>
      <c r="C2994">
        <v>703</v>
      </c>
      <c r="D2994">
        <v>10</v>
      </c>
      <c r="E2994">
        <v>2</v>
      </c>
      <c r="F2994" t="s">
        <v>320</v>
      </c>
      <c r="G2994" t="s">
        <v>32</v>
      </c>
      <c r="H2994" t="s">
        <v>33</v>
      </c>
      <c r="I2994" t="s">
        <v>57</v>
      </c>
      <c r="O2994" s="5"/>
      <c r="P2994" s="5"/>
    </row>
    <row r="2995" spans="1:30" x14ac:dyDescent="0.25">
      <c r="A2995" s="4">
        <v>42591</v>
      </c>
      <c r="B2995" t="s">
        <v>30</v>
      </c>
      <c r="C2995">
        <v>701</v>
      </c>
      <c r="D2995">
        <v>1</v>
      </c>
      <c r="E2995">
        <v>1</v>
      </c>
      <c r="F2995" t="s">
        <v>320</v>
      </c>
      <c r="G2995" t="s">
        <v>32</v>
      </c>
      <c r="H2995" t="s">
        <v>33</v>
      </c>
      <c r="I2995" t="s">
        <v>34</v>
      </c>
      <c r="J2995" t="s">
        <v>35</v>
      </c>
      <c r="K2995" t="s">
        <v>114</v>
      </c>
      <c r="L2995" t="s">
        <v>43</v>
      </c>
      <c r="M2995">
        <v>0</v>
      </c>
      <c r="N2995">
        <v>0</v>
      </c>
      <c r="O2995" s="5" t="s">
        <v>585</v>
      </c>
      <c r="P2995" s="5" t="s">
        <v>586</v>
      </c>
      <c r="Q2995">
        <f>32-14.5</f>
        <v>17.5</v>
      </c>
      <c r="R2995" t="s">
        <v>65</v>
      </c>
      <c r="T2995">
        <v>18.5</v>
      </c>
      <c r="U2995">
        <v>88</v>
      </c>
      <c r="V2995">
        <v>16</v>
      </c>
      <c r="W2995">
        <v>13</v>
      </c>
      <c r="X2995">
        <v>28.2</v>
      </c>
      <c r="Z2995" t="s">
        <v>97</v>
      </c>
      <c r="AA2995" t="s">
        <v>199</v>
      </c>
      <c r="AB2995" t="s">
        <v>40</v>
      </c>
      <c r="AC2995" t="s">
        <v>56</v>
      </c>
      <c r="AD2995" t="s">
        <v>587</v>
      </c>
    </row>
    <row r="2996" spans="1:30" x14ac:dyDescent="0.25">
      <c r="A2996" s="4">
        <v>42591</v>
      </c>
      <c r="B2996" t="s">
        <v>30</v>
      </c>
      <c r="C2996">
        <v>701</v>
      </c>
      <c r="D2996">
        <v>1</v>
      </c>
      <c r="E2996">
        <v>2</v>
      </c>
      <c r="F2996" t="s">
        <v>320</v>
      </c>
      <c r="G2996" t="s">
        <v>32</v>
      </c>
      <c r="H2996" t="s">
        <v>33</v>
      </c>
      <c r="I2996" t="s">
        <v>34</v>
      </c>
      <c r="J2996" t="s">
        <v>35</v>
      </c>
      <c r="K2996" t="s">
        <v>114</v>
      </c>
      <c r="L2996" t="s">
        <v>43</v>
      </c>
      <c r="M2996">
        <v>0</v>
      </c>
      <c r="N2996">
        <v>0</v>
      </c>
      <c r="O2996" s="5" t="s">
        <v>588</v>
      </c>
      <c r="P2996" s="5" t="s">
        <v>589</v>
      </c>
      <c r="Q2996">
        <f>33-15</f>
        <v>18</v>
      </c>
      <c r="R2996" t="s">
        <v>65</v>
      </c>
      <c r="T2996">
        <v>16</v>
      </c>
      <c r="U2996">
        <v>89</v>
      </c>
      <c r="V2996">
        <v>16</v>
      </c>
      <c r="W2996">
        <v>13</v>
      </c>
      <c r="X2996">
        <v>28.2</v>
      </c>
      <c r="Z2996" t="s">
        <v>97</v>
      </c>
      <c r="AA2996" t="s">
        <v>590</v>
      </c>
      <c r="AB2996" t="s">
        <v>40</v>
      </c>
      <c r="AC2996" t="s">
        <v>56</v>
      </c>
    </row>
    <row r="2997" spans="1:30" x14ac:dyDescent="0.25">
      <c r="A2997" s="4">
        <v>42591</v>
      </c>
      <c r="B2997" t="s">
        <v>30</v>
      </c>
      <c r="C2997">
        <v>701</v>
      </c>
      <c r="D2997">
        <v>2</v>
      </c>
      <c r="E2997">
        <v>1</v>
      </c>
      <c r="F2997" t="s">
        <v>320</v>
      </c>
      <c r="G2997" t="s">
        <v>32</v>
      </c>
      <c r="H2997" t="s">
        <v>33</v>
      </c>
      <c r="I2997" t="s">
        <v>57</v>
      </c>
      <c r="O2997" s="5"/>
      <c r="P2997" s="5"/>
    </row>
    <row r="2998" spans="1:30" x14ac:dyDescent="0.25">
      <c r="A2998" s="4">
        <v>42591</v>
      </c>
      <c r="B2998" t="s">
        <v>30</v>
      </c>
      <c r="C2998">
        <v>701</v>
      </c>
      <c r="D2998">
        <v>2</v>
      </c>
      <c r="E2998">
        <v>2</v>
      </c>
      <c r="F2998" t="s">
        <v>320</v>
      </c>
      <c r="G2998" t="s">
        <v>32</v>
      </c>
      <c r="H2998" t="s">
        <v>33</v>
      </c>
      <c r="I2998" t="s">
        <v>57</v>
      </c>
      <c r="O2998" s="5"/>
      <c r="P2998" s="5"/>
    </row>
    <row r="2999" spans="1:30" x14ac:dyDescent="0.25">
      <c r="A2999" s="4">
        <v>42591</v>
      </c>
      <c r="B2999" t="s">
        <v>30</v>
      </c>
      <c r="C2999">
        <v>701</v>
      </c>
      <c r="D2999">
        <v>3</v>
      </c>
      <c r="E2999">
        <v>1</v>
      </c>
      <c r="F2999" t="s">
        <v>320</v>
      </c>
      <c r="G2999" t="s">
        <v>32</v>
      </c>
      <c r="H2999" t="s">
        <v>33</v>
      </c>
      <c r="I2999" t="s">
        <v>57</v>
      </c>
      <c r="O2999" s="5"/>
      <c r="P2999" s="5"/>
    </row>
    <row r="3000" spans="1:30" x14ac:dyDescent="0.25">
      <c r="A3000" s="4">
        <v>42591</v>
      </c>
      <c r="B3000" t="s">
        <v>30</v>
      </c>
      <c r="C3000">
        <v>701</v>
      </c>
      <c r="D3000">
        <v>3</v>
      </c>
      <c r="E3000">
        <v>2</v>
      </c>
      <c r="F3000" t="s">
        <v>320</v>
      </c>
      <c r="G3000" t="s">
        <v>32</v>
      </c>
      <c r="H3000" t="s">
        <v>33</v>
      </c>
      <c r="I3000" t="s">
        <v>34</v>
      </c>
      <c r="J3000" t="s">
        <v>35</v>
      </c>
      <c r="K3000" t="s">
        <v>89</v>
      </c>
      <c r="L3000" t="s">
        <v>37</v>
      </c>
      <c r="M3000">
        <v>0</v>
      </c>
      <c r="N3000">
        <v>0</v>
      </c>
      <c r="O3000" s="5" t="s">
        <v>591</v>
      </c>
      <c r="P3000" s="5" t="s">
        <v>592</v>
      </c>
      <c r="Q3000">
        <f>32-17</f>
        <v>15</v>
      </c>
      <c r="R3000" t="s">
        <v>38</v>
      </c>
      <c r="S3000" t="s">
        <v>39</v>
      </c>
      <c r="T3000">
        <v>18</v>
      </c>
      <c r="U3000">
        <v>88</v>
      </c>
      <c r="V3000">
        <v>16</v>
      </c>
      <c r="W3000">
        <v>13.2</v>
      </c>
      <c r="X3000">
        <v>29.6</v>
      </c>
      <c r="Z3000" t="s">
        <v>97</v>
      </c>
      <c r="AA3000" t="s">
        <v>199</v>
      </c>
      <c r="AB3000" t="s">
        <v>40</v>
      </c>
      <c r="AC3000" t="s">
        <v>56</v>
      </c>
    </row>
    <row r="3001" spans="1:30" x14ac:dyDescent="0.25">
      <c r="A3001" s="4">
        <v>42591</v>
      </c>
      <c r="B3001" t="s">
        <v>30</v>
      </c>
      <c r="C3001">
        <v>701</v>
      </c>
      <c r="D3001">
        <v>4</v>
      </c>
      <c r="E3001">
        <v>1</v>
      </c>
      <c r="F3001" t="s">
        <v>320</v>
      </c>
      <c r="G3001" t="s">
        <v>32</v>
      </c>
      <c r="H3001" t="s">
        <v>33</v>
      </c>
      <c r="I3001" t="s">
        <v>34</v>
      </c>
      <c r="J3001" t="s">
        <v>35</v>
      </c>
      <c r="K3001" t="s">
        <v>114</v>
      </c>
      <c r="L3001" t="s">
        <v>43</v>
      </c>
      <c r="M3001">
        <v>0</v>
      </c>
      <c r="N3001">
        <v>0</v>
      </c>
      <c r="O3001" s="5" t="s">
        <v>593</v>
      </c>
      <c r="P3001" s="5" t="s">
        <v>594</v>
      </c>
      <c r="Q3001">
        <f>31-14</f>
        <v>17</v>
      </c>
      <c r="R3001" t="s">
        <v>65</v>
      </c>
      <c r="T3001">
        <v>18</v>
      </c>
      <c r="U3001">
        <v>89</v>
      </c>
      <c r="V3001">
        <v>16</v>
      </c>
      <c r="W3001">
        <v>13.2</v>
      </c>
      <c r="X3001">
        <v>28</v>
      </c>
      <c r="Z3001" t="s">
        <v>97</v>
      </c>
      <c r="AA3001" t="s">
        <v>199</v>
      </c>
      <c r="AB3001" t="s">
        <v>40</v>
      </c>
      <c r="AC3001" t="s">
        <v>56</v>
      </c>
    </row>
    <row r="3002" spans="1:30" x14ac:dyDescent="0.25">
      <c r="A3002" s="4">
        <v>42591</v>
      </c>
      <c r="B3002" t="s">
        <v>30</v>
      </c>
      <c r="C3002">
        <v>701</v>
      </c>
      <c r="D3002">
        <v>4</v>
      </c>
      <c r="E3002">
        <v>2</v>
      </c>
      <c r="F3002" t="s">
        <v>320</v>
      </c>
      <c r="G3002" t="s">
        <v>32</v>
      </c>
      <c r="H3002" t="s">
        <v>33</v>
      </c>
      <c r="I3002" t="s">
        <v>57</v>
      </c>
      <c r="O3002" s="5"/>
      <c r="P3002" s="5"/>
    </row>
    <row r="3003" spans="1:30" x14ac:dyDescent="0.25">
      <c r="A3003" s="4">
        <v>42591</v>
      </c>
      <c r="B3003" t="s">
        <v>30</v>
      </c>
      <c r="C3003">
        <v>701</v>
      </c>
      <c r="D3003">
        <v>5</v>
      </c>
      <c r="E3003">
        <v>1</v>
      </c>
      <c r="F3003" t="s">
        <v>320</v>
      </c>
      <c r="G3003" t="s">
        <v>32</v>
      </c>
      <c r="H3003" t="s">
        <v>33</v>
      </c>
      <c r="I3003" t="s">
        <v>58</v>
      </c>
      <c r="J3003" t="s">
        <v>35</v>
      </c>
      <c r="K3003" t="s">
        <v>36</v>
      </c>
      <c r="L3003" t="s">
        <v>37</v>
      </c>
      <c r="M3003">
        <v>0</v>
      </c>
      <c r="N3003">
        <v>0</v>
      </c>
      <c r="O3003" s="5" t="s">
        <v>595</v>
      </c>
      <c r="P3003" s="5"/>
      <c r="Q3003">
        <f>38.5-14</f>
        <v>24.5</v>
      </c>
      <c r="R3003" t="s">
        <v>136</v>
      </c>
      <c r="S3003" t="s">
        <v>97</v>
      </c>
      <c r="T3003">
        <v>19</v>
      </c>
      <c r="W3003">
        <v>13.3</v>
      </c>
      <c r="X3003">
        <v>28</v>
      </c>
      <c r="Z3003" t="s">
        <v>97</v>
      </c>
      <c r="AA3003" t="s">
        <v>596</v>
      </c>
      <c r="AB3003" t="s">
        <v>40</v>
      </c>
      <c r="AC3003" t="s">
        <v>56</v>
      </c>
    </row>
    <row r="3004" spans="1:30" x14ac:dyDescent="0.25">
      <c r="A3004" s="4">
        <v>42591</v>
      </c>
      <c r="B3004" t="s">
        <v>30</v>
      </c>
      <c r="C3004">
        <v>701</v>
      </c>
      <c r="D3004">
        <v>6</v>
      </c>
      <c r="E3004">
        <v>1</v>
      </c>
      <c r="F3004" t="s">
        <v>320</v>
      </c>
      <c r="G3004" t="s">
        <v>32</v>
      </c>
      <c r="H3004" t="s">
        <v>33</v>
      </c>
      <c r="I3004" t="s">
        <v>34</v>
      </c>
      <c r="J3004" t="s">
        <v>42</v>
      </c>
      <c r="K3004" t="s">
        <v>114</v>
      </c>
      <c r="L3004" t="s">
        <v>43</v>
      </c>
      <c r="M3004">
        <v>0</v>
      </c>
      <c r="N3004">
        <v>1</v>
      </c>
      <c r="O3004" s="5" t="s">
        <v>597</v>
      </c>
      <c r="P3004" s="5" t="s">
        <v>598</v>
      </c>
      <c r="Q3004">
        <f>36-15</f>
        <v>21</v>
      </c>
      <c r="R3004" t="s">
        <v>65</v>
      </c>
      <c r="T3004">
        <v>19</v>
      </c>
      <c r="U3004">
        <v>87</v>
      </c>
      <c r="V3004">
        <v>16</v>
      </c>
      <c r="W3004">
        <v>13</v>
      </c>
      <c r="X3004">
        <v>28.7</v>
      </c>
      <c r="Z3004" t="s">
        <v>39</v>
      </c>
      <c r="AB3004" t="s">
        <v>40</v>
      </c>
      <c r="AC3004" t="s">
        <v>56</v>
      </c>
    </row>
    <row r="3005" spans="1:30" x14ac:dyDescent="0.25">
      <c r="A3005" s="4">
        <v>42591</v>
      </c>
      <c r="B3005" t="s">
        <v>30</v>
      </c>
      <c r="C3005">
        <v>701</v>
      </c>
      <c r="D3005">
        <v>7</v>
      </c>
      <c r="E3005">
        <v>1</v>
      </c>
      <c r="F3005" t="s">
        <v>320</v>
      </c>
      <c r="G3005" t="s">
        <v>32</v>
      </c>
      <c r="H3005" t="s">
        <v>33</v>
      </c>
      <c r="I3005" t="s">
        <v>57</v>
      </c>
      <c r="O3005" s="5"/>
      <c r="P3005" s="5"/>
    </row>
    <row r="3006" spans="1:30" x14ac:dyDescent="0.25">
      <c r="A3006" s="4">
        <v>42591</v>
      </c>
      <c r="B3006" t="s">
        <v>30</v>
      </c>
      <c r="C3006">
        <v>701</v>
      </c>
      <c r="D3006">
        <v>7</v>
      </c>
      <c r="E3006">
        <v>2</v>
      </c>
      <c r="F3006" t="s">
        <v>320</v>
      </c>
      <c r="G3006" t="s">
        <v>32</v>
      </c>
      <c r="H3006" t="s">
        <v>33</v>
      </c>
      <c r="I3006" t="s">
        <v>57</v>
      </c>
      <c r="O3006" s="5"/>
      <c r="P3006" s="5"/>
    </row>
    <row r="3007" spans="1:30" x14ac:dyDescent="0.25">
      <c r="A3007" s="4">
        <v>42591</v>
      </c>
      <c r="B3007" t="s">
        <v>30</v>
      </c>
      <c r="C3007">
        <v>701</v>
      </c>
      <c r="D3007">
        <v>8</v>
      </c>
      <c r="E3007">
        <v>1</v>
      </c>
      <c r="F3007" t="s">
        <v>320</v>
      </c>
      <c r="G3007" t="s">
        <v>32</v>
      </c>
      <c r="H3007" t="s">
        <v>33</v>
      </c>
      <c r="I3007" t="s">
        <v>53</v>
      </c>
      <c r="J3007" t="s">
        <v>62</v>
      </c>
      <c r="O3007" s="5"/>
      <c r="P3007" s="5"/>
    </row>
    <row r="3008" spans="1:30" x14ac:dyDescent="0.25">
      <c r="A3008" s="4">
        <v>42591</v>
      </c>
      <c r="B3008" t="s">
        <v>30</v>
      </c>
      <c r="C3008">
        <v>701</v>
      </c>
      <c r="D3008">
        <v>9</v>
      </c>
      <c r="E3008">
        <v>1</v>
      </c>
      <c r="F3008" t="s">
        <v>320</v>
      </c>
      <c r="G3008" t="s">
        <v>32</v>
      </c>
      <c r="H3008" t="s">
        <v>33</v>
      </c>
      <c r="I3008" t="s">
        <v>91</v>
      </c>
      <c r="J3008" t="s">
        <v>42</v>
      </c>
      <c r="K3008" t="s">
        <v>114</v>
      </c>
      <c r="L3008" t="s">
        <v>43</v>
      </c>
      <c r="M3008">
        <v>0</v>
      </c>
      <c r="N3008">
        <v>1</v>
      </c>
      <c r="O3008" s="5" t="s">
        <v>599</v>
      </c>
      <c r="P3008" s="5"/>
      <c r="Q3008">
        <f>31-13</f>
        <v>18</v>
      </c>
      <c r="R3008" t="s">
        <v>47</v>
      </c>
      <c r="T3008">
        <v>28</v>
      </c>
      <c r="W3008">
        <v>12.7</v>
      </c>
      <c r="X3008">
        <v>25.9</v>
      </c>
      <c r="Z3008" t="s">
        <v>97</v>
      </c>
      <c r="AA3008" t="s">
        <v>199</v>
      </c>
      <c r="AB3008" t="s">
        <v>40</v>
      </c>
      <c r="AC3008" t="s">
        <v>56</v>
      </c>
    </row>
    <row r="3009" spans="1:30" x14ac:dyDescent="0.25">
      <c r="A3009" s="4">
        <v>42591</v>
      </c>
      <c r="B3009" t="s">
        <v>30</v>
      </c>
      <c r="C3009">
        <v>701</v>
      </c>
      <c r="D3009">
        <v>10</v>
      </c>
      <c r="E3009">
        <v>1</v>
      </c>
      <c r="F3009" t="s">
        <v>320</v>
      </c>
      <c r="G3009" t="s">
        <v>32</v>
      </c>
      <c r="H3009" t="s">
        <v>33</v>
      </c>
      <c r="I3009" t="s">
        <v>57</v>
      </c>
      <c r="O3009" s="5"/>
      <c r="P3009" s="5"/>
    </row>
    <row r="3010" spans="1:30" x14ac:dyDescent="0.25">
      <c r="A3010" s="4">
        <v>42591</v>
      </c>
      <c r="B3010" t="s">
        <v>30</v>
      </c>
      <c r="C3010">
        <v>701</v>
      </c>
      <c r="D3010">
        <v>10</v>
      </c>
      <c r="E3010">
        <v>2</v>
      </c>
      <c r="F3010" t="s">
        <v>320</v>
      </c>
      <c r="G3010" t="s">
        <v>32</v>
      </c>
      <c r="H3010" t="s">
        <v>33</v>
      </c>
      <c r="I3010" t="s">
        <v>53</v>
      </c>
      <c r="J3010" t="s">
        <v>62</v>
      </c>
      <c r="O3010" s="5"/>
      <c r="P3010" s="5"/>
    </row>
    <row r="3011" spans="1:30" x14ac:dyDescent="0.25">
      <c r="A3011" s="4">
        <v>42591</v>
      </c>
      <c r="B3011" t="s">
        <v>30</v>
      </c>
      <c r="C3011">
        <v>801</v>
      </c>
      <c r="D3011">
        <v>2</v>
      </c>
      <c r="E3011">
        <v>1</v>
      </c>
      <c r="F3011" t="s">
        <v>320</v>
      </c>
      <c r="G3011" t="s">
        <v>32</v>
      </c>
      <c r="H3011" t="s">
        <v>33</v>
      </c>
      <c r="I3011" t="s">
        <v>53</v>
      </c>
      <c r="J3011" t="s">
        <v>62</v>
      </c>
      <c r="O3011" s="5"/>
      <c r="P3011" s="5"/>
    </row>
    <row r="3012" spans="1:30" x14ac:dyDescent="0.25">
      <c r="A3012" s="4">
        <v>42591</v>
      </c>
      <c r="B3012" t="s">
        <v>30</v>
      </c>
      <c r="C3012">
        <v>801</v>
      </c>
      <c r="D3012">
        <v>5</v>
      </c>
      <c r="E3012">
        <v>1</v>
      </c>
      <c r="F3012" t="s">
        <v>320</v>
      </c>
      <c r="G3012" t="s">
        <v>32</v>
      </c>
      <c r="H3012" t="s">
        <v>33</v>
      </c>
      <c r="I3012" t="s">
        <v>58</v>
      </c>
      <c r="J3012" t="s">
        <v>35</v>
      </c>
      <c r="K3012" t="s">
        <v>114</v>
      </c>
      <c r="L3012" t="s">
        <v>43</v>
      </c>
      <c r="M3012">
        <v>0</v>
      </c>
      <c r="N3012">
        <v>0</v>
      </c>
      <c r="O3012" s="5" t="s">
        <v>600</v>
      </c>
      <c r="P3012" s="5"/>
      <c r="Q3012">
        <f>36-18.5</f>
        <v>17.5</v>
      </c>
      <c r="R3012" t="s">
        <v>65</v>
      </c>
      <c r="T3012">
        <v>17</v>
      </c>
      <c r="W3012">
        <v>13.2</v>
      </c>
      <c r="X3012">
        <v>28</v>
      </c>
      <c r="Z3012" t="s">
        <v>97</v>
      </c>
      <c r="AA3012" t="s">
        <v>199</v>
      </c>
      <c r="AB3012" t="s">
        <v>40</v>
      </c>
      <c r="AC3012" t="s">
        <v>56</v>
      </c>
    </row>
    <row r="3013" spans="1:30" x14ac:dyDescent="0.25">
      <c r="A3013" s="4">
        <v>42591</v>
      </c>
      <c r="B3013" t="s">
        <v>30</v>
      </c>
      <c r="C3013">
        <v>801</v>
      </c>
      <c r="D3013">
        <v>6</v>
      </c>
      <c r="E3013">
        <v>1</v>
      </c>
      <c r="F3013" t="s">
        <v>320</v>
      </c>
      <c r="G3013" t="s">
        <v>32</v>
      </c>
      <c r="H3013" t="s">
        <v>33</v>
      </c>
      <c r="I3013" t="s">
        <v>53</v>
      </c>
      <c r="J3013" t="s">
        <v>62</v>
      </c>
      <c r="O3013" s="5"/>
      <c r="P3013" s="5"/>
    </row>
    <row r="3014" spans="1:30" x14ac:dyDescent="0.25">
      <c r="A3014" s="4">
        <v>42591</v>
      </c>
      <c r="B3014" t="s">
        <v>30</v>
      </c>
      <c r="C3014">
        <v>801</v>
      </c>
      <c r="D3014">
        <v>8</v>
      </c>
      <c r="E3014">
        <v>1</v>
      </c>
      <c r="F3014" t="s">
        <v>320</v>
      </c>
      <c r="G3014" t="s">
        <v>32</v>
      </c>
      <c r="H3014" t="s">
        <v>33</v>
      </c>
      <c r="I3014" t="s">
        <v>57</v>
      </c>
      <c r="O3014" s="5"/>
      <c r="P3014" s="5"/>
    </row>
    <row r="3015" spans="1:30" x14ac:dyDescent="0.25">
      <c r="A3015" s="4">
        <v>42591</v>
      </c>
      <c r="B3015" t="s">
        <v>30</v>
      </c>
      <c r="C3015">
        <v>801</v>
      </c>
      <c r="D3015">
        <v>9</v>
      </c>
      <c r="E3015">
        <v>1</v>
      </c>
      <c r="F3015" t="s">
        <v>320</v>
      </c>
      <c r="G3015" t="s">
        <v>32</v>
      </c>
      <c r="H3015" t="s">
        <v>33</v>
      </c>
      <c r="I3015" t="s">
        <v>57</v>
      </c>
      <c r="O3015" s="5"/>
      <c r="P3015" s="5"/>
    </row>
    <row r="3016" spans="1:30" x14ac:dyDescent="0.25">
      <c r="A3016" s="4">
        <v>42591</v>
      </c>
      <c r="B3016" t="s">
        <v>30</v>
      </c>
      <c r="C3016">
        <v>801</v>
      </c>
      <c r="D3016">
        <v>9</v>
      </c>
      <c r="E3016">
        <v>2</v>
      </c>
      <c r="F3016" t="s">
        <v>320</v>
      </c>
      <c r="G3016" t="s">
        <v>32</v>
      </c>
      <c r="H3016" t="s">
        <v>33</v>
      </c>
      <c r="I3016" t="s">
        <v>58</v>
      </c>
      <c r="J3016" t="s">
        <v>35</v>
      </c>
      <c r="K3016" t="s">
        <v>36</v>
      </c>
      <c r="L3016" t="s">
        <v>37</v>
      </c>
      <c r="M3016">
        <v>0</v>
      </c>
      <c r="N3016">
        <v>0</v>
      </c>
      <c r="O3016" s="5" t="s">
        <v>601</v>
      </c>
      <c r="P3016" s="5"/>
      <c r="Q3016">
        <f>49.5-16</f>
        <v>33.5</v>
      </c>
      <c r="R3016" t="s">
        <v>143</v>
      </c>
      <c r="S3016" t="s">
        <v>97</v>
      </c>
      <c r="Z3016" t="s">
        <v>97</v>
      </c>
      <c r="AA3016" t="s">
        <v>199</v>
      </c>
      <c r="AB3016" t="s">
        <v>40</v>
      </c>
      <c r="AC3016" t="s">
        <v>56</v>
      </c>
      <c r="AD3016" t="s">
        <v>602</v>
      </c>
    </row>
    <row r="3017" spans="1:30" x14ac:dyDescent="0.25">
      <c r="A3017" s="4">
        <v>42591</v>
      </c>
      <c r="B3017" t="s">
        <v>30</v>
      </c>
      <c r="C3017">
        <v>801</v>
      </c>
      <c r="D3017">
        <v>10</v>
      </c>
      <c r="E3017">
        <v>1</v>
      </c>
      <c r="F3017" t="s">
        <v>320</v>
      </c>
      <c r="G3017" t="s">
        <v>32</v>
      </c>
      <c r="H3017" t="s">
        <v>33</v>
      </c>
      <c r="I3017" t="s">
        <v>34</v>
      </c>
      <c r="J3017" t="s">
        <v>35</v>
      </c>
      <c r="K3017" t="s">
        <v>36</v>
      </c>
      <c r="L3017" t="s">
        <v>37</v>
      </c>
      <c r="M3017">
        <v>0</v>
      </c>
      <c r="N3017">
        <v>0</v>
      </c>
      <c r="O3017" s="5" t="s">
        <v>603</v>
      </c>
      <c r="P3017" s="5" t="s">
        <v>604</v>
      </c>
      <c r="Q3017">
        <f>39-15</f>
        <v>24</v>
      </c>
      <c r="R3017" t="s">
        <v>143</v>
      </c>
      <c r="S3017" t="s">
        <v>97</v>
      </c>
      <c r="T3017">
        <v>16</v>
      </c>
      <c r="U3017">
        <v>98</v>
      </c>
      <c r="V3017">
        <v>16</v>
      </c>
      <c r="W3017">
        <v>12.9</v>
      </c>
      <c r="X3017">
        <v>29.8</v>
      </c>
      <c r="Z3017" t="s">
        <v>97</v>
      </c>
      <c r="AA3017" t="s">
        <v>199</v>
      </c>
      <c r="AB3017" t="s">
        <v>40</v>
      </c>
      <c r="AC3017" t="s">
        <v>56</v>
      </c>
    </row>
    <row r="3018" spans="1:30" x14ac:dyDescent="0.25">
      <c r="A3018" s="4">
        <v>42591</v>
      </c>
      <c r="B3018" t="s">
        <v>30</v>
      </c>
      <c r="C3018">
        <v>803</v>
      </c>
      <c r="D3018">
        <v>10</v>
      </c>
      <c r="E3018">
        <v>2</v>
      </c>
      <c r="F3018" t="s">
        <v>320</v>
      </c>
      <c r="G3018" t="s">
        <v>32</v>
      </c>
      <c r="H3018" t="s">
        <v>33</v>
      </c>
      <c r="I3018" t="s">
        <v>73</v>
      </c>
      <c r="J3018" t="s">
        <v>35</v>
      </c>
      <c r="K3018" t="s">
        <v>36</v>
      </c>
      <c r="L3018" t="s">
        <v>43</v>
      </c>
      <c r="M3018">
        <v>0</v>
      </c>
      <c r="N3018">
        <v>0</v>
      </c>
      <c r="O3018" s="5"/>
      <c r="P3018" s="5" t="s">
        <v>605</v>
      </c>
      <c r="Q3018">
        <f>148-50</f>
        <v>98</v>
      </c>
      <c r="R3018" t="s">
        <v>47</v>
      </c>
      <c r="T3018">
        <v>30</v>
      </c>
      <c r="W3018">
        <v>22.5</v>
      </c>
      <c r="X3018">
        <v>42.9</v>
      </c>
      <c r="Z3018" t="s">
        <v>97</v>
      </c>
      <c r="AA3018" t="s">
        <v>199</v>
      </c>
      <c r="AB3018" t="s">
        <v>40</v>
      </c>
      <c r="AC3018" t="s">
        <v>56</v>
      </c>
    </row>
    <row r="3019" spans="1:30" x14ac:dyDescent="0.25">
      <c r="A3019" s="4">
        <v>42591</v>
      </c>
      <c r="B3019" t="s">
        <v>30</v>
      </c>
      <c r="C3019">
        <v>803</v>
      </c>
      <c r="D3019">
        <v>8</v>
      </c>
      <c r="E3019">
        <v>1</v>
      </c>
      <c r="F3019" t="s">
        <v>320</v>
      </c>
      <c r="G3019" t="s">
        <v>32</v>
      </c>
      <c r="H3019" t="s">
        <v>33</v>
      </c>
      <c r="I3019" t="s">
        <v>57</v>
      </c>
      <c r="O3019" s="5"/>
      <c r="P3019" s="5"/>
    </row>
    <row r="3020" spans="1:30" x14ac:dyDescent="0.25">
      <c r="A3020" s="4">
        <v>42591</v>
      </c>
      <c r="B3020" t="s">
        <v>30</v>
      </c>
      <c r="C3020">
        <v>803</v>
      </c>
      <c r="D3020">
        <v>8</v>
      </c>
      <c r="E3020">
        <v>2</v>
      </c>
      <c r="F3020" t="s">
        <v>320</v>
      </c>
      <c r="G3020" t="s">
        <v>32</v>
      </c>
      <c r="H3020" t="s">
        <v>33</v>
      </c>
      <c r="I3020" t="s">
        <v>57</v>
      </c>
      <c r="O3020" s="5"/>
      <c r="P3020" s="5"/>
    </row>
    <row r="3021" spans="1:30" x14ac:dyDescent="0.25">
      <c r="A3021" s="4">
        <v>42591</v>
      </c>
      <c r="B3021" t="s">
        <v>30</v>
      </c>
      <c r="C3021">
        <v>803</v>
      </c>
      <c r="D3021">
        <v>7</v>
      </c>
      <c r="E3021">
        <v>1</v>
      </c>
      <c r="F3021" t="s">
        <v>320</v>
      </c>
      <c r="G3021" t="s">
        <v>32</v>
      </c>
      <c r="H3021" t="s">
        <v>33</v>
      </c>
      <c r="I3021" t="s">
        <v>57</v>
      </c>
      <c r="O3021" s="5"/>
      <c r="P3021" s="5"/>
    </row>
    <row r="3022" spans="1:30" x14ac:dyDescent="0.25">
      <c r="A3022" s="4">
        <v>42591</v>
      </c>
      <c r="B3022" t="s">
        <v>30</v>
      </c>
      <c r="C3022">
        <v>803</v>
      </c>
      <c r="D3022">
        <v>6</v>
      </c>
      <c r="E3022">
        <v>1</v>
      </c>
      <c r="F3022" t="s">
        <v>320</v>
      </c>
      <c r="G3022" t="s">
        <v>32</v>
      </c>
      <c r="H3022" t="s">
        <v>33</v>
      </c>
      <c r="I3022" t="s">
        <v>57</v>
      </c>
      <c r="O3022" s="5"/>
      <c r="P3022" s="5"/>
    </row>
    <row r="3023" spans="1:30" x14ac:dyDescent="0.25">
      <c r="A3023" s="4">
        <v>42591</v>
      </c>
      <c r="B3023" t="s">
        <v>30</v>
      </c>
      <c r="C3023">
        <v>803</v>
      </c>
      <c r="D3023">
        <v>5</v>
      </c>
      <c r="E3023">
        <v>1</v>
      </c>
      <c r="F3023" t="s">
        <v>320</v>
      </c>
      <c r="G3023" t="s">
        <v>32</v>
      </c>
      <c r="H3023" t="s">
        <v>33</v>
      </c>
      <c r="I3023" t="s">
        <v>57</v>
      </c>
      <c r="O3023" s="5"/>
      <c r="P3023" s="5"/>
    </row>
    <row r="3024" spans="1:30" x14ac:dyDescent="0.25">
      <c r="A3024" s="4">
        <v>42591</v>
      </c>
      <c r="B3024" t="s">
        <v>30</v>
      </c>
      <c r="C3024">
        <v>803</v>
      </c>
      <c r="D3024">
        <v>3</v>
      </c>
      <c r="E3024">
        <v>1</v>
      </c>
      <c r="F3024" t="s">
        <v>320</v>
      </c>
      <c r="G3024" t="s">
        <v>32</v>
      </c>
      <c r="H3024" t="s">
        <v>33</v>
      </c>
      <c r="I3024" t="s">
        <v>91</v>
      </c>
      <c r="J3024" t="s">
        <v>35</v>
      </c>
      <c r="K3024" t="s">
        <v>36</v>
      </c>
      <c r="L3024" t="s">
        <v>37</v>
      </c>
      <c r="M3024">
        <v>0</v>
      </c>
      <c r="N3024">
        <v>0</v>
      </c>
      <c r="O3024" s="5"/>
      <c r="P3024" s="5" t="s">
        <v>606</v>
      </c>
      <c r="Q3024">
        <f>38-17.5</f>
        <v>20.5</v>
      </c>
      <c r="R3024" t="s">
        <v>143</v>
      </c>
      <c r="S3024" t="s">
        <v>97</v>
      </c>
      <c r="T3024">
        <v>28.5</v>
      </c>
      <c r="W3024">
        <v>13.1</v>
      </c>
      <c r="X3024">
        <v>26.1</v>
      </c>
      <c r="Z3024" t="s">
        <v>97</v>
      </c>
      <c r="AA3024" t="s">
        <v>199</v>
      </c>
      <c r="AB3024" t="s">
        <v>40</v>
      </c>
      <c r="AC3024" t="s">
        <v>56</v>
      </c>
    </row>
    <row r="3025" spans="1:30" x14ac:dyDescent="0.25">
      <c r="A3025" s="4">
        <v>42591</v>
      </c>
      <c r="B3025" t="s">
        <v>30</v>
      </c>
      <c r="C3025">
        <v>803</v>
      </c>
      <c r="D3025">
        <v>3</v>
      </c>
      <c r="E3025">
        <v>2</v>
      </c>
      <c r="F3025" t="s">
        <v>320</v>
      </c>
      <c r="G3025" t="s">
        <v>32</v>
      </c>
      <c r="H3025" t="s">
        <v>33</v>
      </c>
      <c r="I3025" t="s">
        <v>91</v>
      </c>
      <c r="J3025" t="s">
        <v>35</v>
      </c>
      <c r="K3025" t="s">
        <v>36</v>
      </c>
      <c r="L3025" t="s">
        <v>37</v>
      </c>
      <c r="M3025">
        <v>0</v>
      </c>
      <c r="N3025">
        <v>0</v>
      </c>
      <c r="O3025" s="5"/>
      <c r="P3025" s="5"/>
      <c r="Q3025">
        <f>52-18</f>
        <v>34</v>
      </c>
      <c r="R3025" t="s">
        <v>143</v>
      </c>
      <c r="S3025" t="s">
        <v>97</v>
      </c>
      <c r="T3025">
        <v>30</v>
      </c>
      <c r="W3025">
        <v>14</v>
      </c>
      <c r="X3025">
        <v>27.7</v>
      </c>
      <c r="Z3025" t="s">
        <v>39</v>
      </c>
      <c r="AB3025" t="s">
        <v>40</v>
      </c>
      <c r="AC3025" t="s">
        <v>56</v>
      </c>
      <c r="AD3025" t="s">
        <v>607</v>
      </c>
    </row>
    <row r="3026" spans="1:30" x14ac:dyDescent="0.25">
      <c r="A3026" s="4">
        <v>42591</v>
      </c>
      <c r="B3026" t="s">
        <v>30</v>
      </c>
      <c r="C3026">
        <v>803</v>
      </c>
      <c r="D3026">
        <v>2</v>
      </c>
      <c r="E3026">
        <v>1</v>
      </c>
      <c r="F3026" t="s">
        <v>320</v>
      </c>
      <c r="G3026" t="s">
        <v>32</v>
      </c>
      <c r="H3026" t="s">
        <v>33</v>
      </c>
      <c r="I3026" t="s">
        <v>34</v>
      </c>
      <c r="J3026" t="s">
        <v>42</v>
      </c>
      <c r="K3026" t="s">
        <v>89</v>
      </c>
      <c r="L3026" t="s">
        <v>37</v>
      </c>
      <c r="M3026">
        <v>0</v>
      </c>
      <c r="N3026">
        <v>1</v>
      </c>
      <c r="O3026" s="5" t="s">
        <v>608</v>
      </c>
      <c r="P3026" s="5" t="s">
        <v>609</v>
      </c>
      <c r="Q3026">
        <f>28-15</f>
        <v>13</v>
      </c>
      <c r="R3026" t="s">
        <v>38</v>
      </c>
      <c r="S3026" t="s">
        <v>39</v>
      </c>
      <c r="T3026">
        <v>19</v>
      </c>
      <c r="U3026">
        <v>77</v>
      </c>
      <c r="V3026">
        <v>13</v>
      </c>
      <c r="W3026">
        <v>12.5</v>
      </c>
      <c r="X3026">
        <v>26.8</v>
      </c>
      <c r="Z3026" t="s">
        <v>97</v>
      </c>
      <c r="AA3026" t="s">
        <v>199</v>
      </c>
      <c r="AB3026" t="s">
        <v>40</v>
      </c>
      <c r="AC3026" t="s">
        <v>56</v>
      </c>
    </row>
    <row r="3027" spans="1:30" x14ac:dyDescent="0.25">
      <c r="A3027" s="4">
        <v>42591</v>
      </c>
      <c r="B3027" t="s">
        <v>30</v>
      </c>
      <c r="C3027">
        <v>803</v>
      </c>
      <c r="D3027">
        <v>2</v>
      </c>
      <c r="E3027">
        <v>2</v>
      </c>
      <c r="F3027" t="s">
        <v>320</v>
      </c>
      <c r="G3027" t="s">
        <v>32</v>
      </c>
      <c r="H3027" t="s">
        <v>33</v>
      </c>
      <c r="I3027" t="s">
        <v>57</v>
      </c>
      <c r="O3027" s="5"/>
      <c r="P3027" s="5"/>
    </row>
    <row r="3028" spans="1:30" x14ac:dyDescent="0.25">
      <c r="A3028" s="4">
        <v>42591</v>
      </c>
      <c r="B3028" t="s">
        <v>30</v>
      </c>
      <c r="C3028">
        <v>803</v>
      </c>
      <c r="D3028">
        <v>1</v>
      </c>
      <c r="E3028">
        <v>1</v>
      </c>
      <c r="F3028" t="s">
        <v>320</v>
      </c>
      <c r="G3028" t="s">
        <v>32</v>
      </c>
      <c r="H3028" t="s">
        <v>33</v>
      </c>
      <c r="I3028" t="s">
        <v>57</v>
      </c>
      <c r="O3028" s="5"/>
      <c r="P3028" s="5"/>
    </row>
    <row r="3029" spans="1:30" x14ac:dyDescent="0.25">
      <c r="A3029" s="4">
        <v>42591</v>
      </c>
      <c r="B3029" t="s">
        <v>30</v>
      </c>
      <c r="C3029">
        <v>901</v>
      </c>
      <c r="D3029">
        <v>1</v>
      </c>
      <c r="E3029">
        <v>1</v>
      </c>
      <c r="F3029" t="s">
        <v>320</v>
      </c>
      <c r="G3029" t="s">
        <v>32</v>
      </c>
      <c r="H3029" t="s">
        <v>33</v>
      </c>
      <c r="I3029" t="s">
        <v>34</v>
      </c>
      <c r="J3029" t="s">
        <v>35</v>
      </c>
      <c r="K3029" t="s">
        <v>36</v>
      </c>
      <c r="L3029" t="s">
        <v>37</v>
      </c>
      <c r="M3029">
        <v>0</v>
      </c>
      <c r="N3029">
        <v>0</v>
      </c>
      <c r="O3029" s="5" t="s">
        <v>104</v>
      </c>
      <c r="P3029" s="5" t="s">
        <v>171</v>
      </c>
      <c r="Q3029">
        <f>34.5-14</f>
        <v>20.5</v>
      </c>
      <c r="R3029" t="s">
        <v>74</v>
      </c>
      <c r="S3029" t="s">
        <v>97</v>
      </c>
      <c r="T3029">
        <v>18</v>
      </c>
      <c r="U3029">
        <v>91</v>
      </c>
      <c r="V3029">
        <v>16</v>
      </c>
      <c r="W3029">
        <v>13.2</v>
      </c>
      <c r="X3029">
        <v>27.2</v>
      </c>
      <c r="Y3029" t="s">
        <v>610</v>
      </c>
      <c r="Z3029" t="s">
        <v>97</v>
      </c>
      <c r="AA3029" t="s">
        <v>199</v>
      </c>
      <c r="AB3029" t="s">
        <v>40</v>
      </c>
      <c r="AC3029" t="s">
        <v>56</v>
      </c>
      <c r="AD3029" t="s">
        <v>611</v>
      </c>
    </row>
    <row r="3030" spans="1:30" x14ac:dyDescent="0.25">
      <c r="A3030" s="4">
        <v>42592</v>
      </c>
      <c r="B3030" t="s">
        <v>30</v>
      </c>
      <c r="C3030">
        <v>703</v>
      </c>
      <c r="D3030">
        <v>1</v>
      </c>
      <c r="E3030">
        <v>1</v>
      </c>
      <c r="F3030" t="s">
        <v>320</v>
      </c>
      <c r="G3030" t="s">
        <v>32</v>
      </c>
      <c r="H3030" t="s">
        <v>33</v>
      </c>
      <c r="I3030" t="s">
        <v>34</v>
      </c>
      <c r="J3030" t="s">
        <v>35</v>
      </c>
      <c r="K3030" t="s">
        <v>89</v>
      </c>
      <c r="L3030" t="s">
        <v>37</v>
      </c>
      <c r="M3030">
        <v>0</v>
      </c>
      <c r="N3030">
        <v>0</v>
      </c>
      <c r="O3030" s="5" t="s">
        <v>612</v>
      </c>
      <c r="P3030" s="5" t="s">
        <v>613</v>
      </c>
      <c r="Q3030">
        <f>29.5-16.5</f>
        <v>13</v>
      </c>
      <c r="R3030" t="s">
        <v>38</v>
      </c>
      <c r="S3030" t="s">
        <v>39</v>
      </c>
      <c r="T3030">
        <v>18</v>
      </c>
      <c r="U3030">
        <v>80</v>
      </c>
      <c r="V3030">
        <v>15</v>
      </c>
      <c r="W3030">
        <v>12.6</v>
      </c>
      <c r="X3030">
        <v>27.2</v>
      </c>
      <c r="Z3030" t="s">
        <v>97</v>
      </c>
      <c r="AA3030" t="s">
        <v>199</v>
      </c>
      <c r="AB3030" t="s">
        <v>59</v>
      </c>
      <c r="AC3030" t="s">
        <v>56</v>
      </c>
    </row>
    <row r="3031" spans="1:30" x14ac:dyDescent="0.25">
      <c r="A3031" s="4">
        <v>42592</v>
      </c>
      <c r="B3031" t="s">
        <v>30</v>
      </c>
      <c r="C3031">
        <v>703</v>
      </c>
      <c r="D3031">
        <v>1</v>
      </c>
      <c r="E3031">
        <v>2</v>
      </c>
      <c r="F3031" t="s">
        <v>320</v>
      </c>
      <c r="G3031" t="s">
        <v>32</v>
      </c>
      <c r="H3031" t="s">
        <v>33</v>
      </c>
      <c r="I3031" t="s">
        <v>57</v>
      </c>
      <c r="O3031" s="5"/>
      <c r="P3031" s="5"/>
    </row>
    <row r="3032" spans="1:30" x14ac:dyDescent="0.25">
      <c r="A3032" s="4">
        <v>42592</v>
      </c>
      <c r="B3032" t="s">
        <v>30</v>
      </c>
      <c r="C3032">
        <v>703</v>
      </c>
      <c r="D3032">
        <v>2</v>
      </c>
      <c r="E3032">
        <v>1</v>
      </c>
      <c r="F3032" t="s">
        <v>320</v>
      </c>
      <c r="G3032" t="s">
        <v>32</v>
      </c>
      <c r="H3032" t="s">
        <v>33</v>
      </c>
      <c r="I3032" t="s">
        <v>57</v>
      </c>
      <c r="O3032" s="5"/>
      <c r="P3032" s="5"/>
    </row>
    <row r="3033" spans="1:30" x14ac:dyDescent="0.25">
      <c r="A3033" s="4">
        <v>42592</v>
      </c>
      <c r="B3033" t="s">
        <v>30</v>
      </c>
      <c r="C3033">
        <v>703</v>
      </c>
      <c r="D3033">
        <v>2</v>
      </c>
      <c r="E3033">
        <v>2</v>
      </c>
      <c r="F3033" t="s">
        <v>320</v>
      </c>
      <c r="G3033" t="s">
        <v>32</v>
      </c>
      <c r="H3033" t="s">
        <v>33</v>
      </c>
      <c r="I3033" t="s">
        <v>57</v>
      </c>
      <c r="O3033" s="5"/>
      <c r="P3033" s="5"/>
    </row>
    <row r="3034" spans="1:30" x14ac:dyDescent="0.25">
      <c r="A3034" s="4">
        <v>42592</v>
      </c>
      <c r="B3034" t="s">
        <v>30</v>
      </c>
      <c r="C3034">
        <v>703</v>
      </c>
      <c r="D3034">
        <v>3</v>
      </c>
      <c r="E3034">
        <v>1</v>
      </c>
      <c r="F3034" t="s">
        <v>320</v>
      </c>
      <c r="G3034" t="s">
        <v>32</v>
      </c>
      <c r="H3034" t="s">
        <v>33</v>
      </c>
      <c r="I3034" t="s">
        <v>34</v>
      </c>
      <c r="J3034" t="s">
        <v>35</v>
      </c>
      <c r="K3034" t="s">
        <v>114</v>
      </c>
      <c r="L3034" t="s">
        <v>37</v>
      </c>
      <c r="M3034">
        <v>0</v>
      </c>
      <c r="N3034">
        <v>0</v>
      </c>
      <c r="O3034" s="5" t="s">
        <v>614</v>
      </c>
      <c r="P3034" s="5" t="s">
        <v>615</v>
      </c>
      <c r="Q3034">
        <f>33-18.5</f>
        <v>14.5</v>
      </c>
      <c r="R3034" t="s">
        <v>38</v>
      </c>
      <c r="S3034" t="s">
        <v>39</v>
      </c>
      <c r="T3034">
        <v>18</v>
      </c>
      <c r="U3034">
        <v>79</v>
      </c>
      <c r="V3034">
        <v>15</v>
      </c>
      <c r="W3034">
        <v>12.9</v>
      </c>
      <c r="X3034">
        <v>27.5</v>
      </c>
      <c r="Z3034" t="s">
        <v>97</v>
      </c>
      <c r="AA3034" t="s">
        <v>199</v>
      </c>
      <c r="AB3034" t="s">
        <v>59</v>
      </c>
      <c r="AC3034" t="s">
        <v>56</v>
      </c>
    </row>
    <row r="3035" spans="1:30" x14ac:dyDescent="0.25">
      <c r="A3035" s="4">
        <v>42592</v>
      </c>
      <c r="B3035" t="s">
        <v>30</v>
      </c>
      <c r="C3035">
        <v>703</v>
      </c>
      <c r="D3035">
        <v>3</v>
      </c>
      <c r="E3035">
        <v>2</v>
      </c>
      <c r="F3035" t="s">
        <v>320</v>
      </c>
      <c r="G3035" t="s">
        <v>32</v>
      </c>
      <c r="H3035" t="s">
        <v>33</v>
      </c>
      <c r="I3035" t="s">
        <v>53</v>
      </c>
      <c r="J3035" t="s">
        <v>62</v>
      </c>
      <c r="O3035" s="5"/>
      <c r="P3035" s="5"/>
    </row>
    <row r="3036" spans="1:30" x14ac:dyDescent="0.25">
      <c r="A3036" s="4">
        <v>42592</v>
      </c>
      <c r="B3036" t="s">
        <v>30</v>
      </c>
      <c r="C3036">
        <v>703</v>
      </c>
      <c r="D3036">
        <v>4</v>
      </c>
      <c r="E3036">
        <v>1</v>
      </c>
      <c r="F3036" t="s">
        <v>320</v>
      </c>
      <c r="G3036" t="s">
        <v>32</v>
      </c>
      <c r="H3036" t="s">
        <v>33</v>
      </c>
      <c r="I3036" t="s">
        <v>57</v>
      </c>
      <c r="O3036" s="5"/>
      <c r="P3036" s="5"/>
    </row>
    <row r="3037" spans="1:30" x14ac:dyDescent="0.25">
      <c r="A3037" s="4">
        <v>42592</v>
      </c>
      <c r="B3037" t="s">
        <v>30</v>
      </c>
      <c r="C3037">
        <v>703</v>
      </c>
      <c r="D3037">
        <v>4</v>
      </c>
      <c r="E3037">
        <v>2</v>
      </c>
      <c r="F3037" t="s">
        <v>320</v>
      </c>
      <c r="G3037" t="s">
        <v>32</v>
      </c>
      <c r="H3037" t="s">
        <v>33</v>
      </c>
      <c r="I3037" t="s">
        <v>57</v>
      </c>
      <c r="O3037" s="5"/>
      <c r="P3037" s="5"/>
    </row>
    <row r="3038" spans="1:30" x14ac:dyDescent="0.25">
      <c r="A3038" s="4">
        <v>42592</v>
      </c>
      <c r="B3038" t="s">
        <v>30</v>
      </c>
      <c r="C3038">
        <v>703</v>
      </c>
      <c r="D3038">
        <v>5</v>
      </c>
      <c r="E3038">
        <v>1</v>
      </c>
      <c r="F3038" t="s">
        <v>320</v>
      </c>
      <c r="G3038" t="s">
        <v>32</v>
      </c>
      <c r="H3038" t="s">
        <v>33</v>
      </c>
      <c r="I3038" t="s">
        <v>91</v>
      </c>
      <c r="J3038" t="s">
        <v>42</v>
      </c>
      <c r="K3038" t="s">
        <v>36</v>
      </c>
      <c r="L3038" t="s">
        <v>43</v>
      </c>
      <c r="M3038">
        <v>0</v>
      </c>
      <c r="N3038">
        <v>1</v>
      </c>
      <c r="O3038" s="5" t="s">
        <v>616</v>
      </c>
      <c r="P3038" s="5"/>
      <c r="Q3038">
        <f>39-13</f>
        <v>26</v>
      </c>
      <c r="R3038" t="s">
        <v>47</v>
      </c>
      <c r="T3038">
        <v>30</v>
      </c>
      <c r="W3038">
        <v>13.1</v>
      </c>
      <c r="X3038">
        <v>26.5</v>
      </c>
      <c r="Z3038" t="s">
        <v>39</v>
      </c>
      <c r="AB3038" t="s">
        <v>59</v>
      </c>
      <c r="AC3038" t="s">
        <v>56</v>
      </c>
    </row>
    <row r="3039" spans="1:30" x14ac:dyDescent="0.25">
      <c r="A3039" s="4">
        <v>42592</v>
      </c>
      <c r="B3039" t="s">
        <v>30</v>
      </c>
      <c r="C3039">
        <v>703</v>
      </c>
      <c r="D3039">
        <v>5</v>
      </c>
      <c r="E3039">
        <v>2</v>
      </c>
      <c r="F3039" t="s">
        <v>320</v>
      </c>
      <c r="G3039" t="s">
        <v>32</v>
      </c>
      <c r="H3039" t="s">
        <v>33</v>
      </c>
      <c r="I3039" t="s">
        <v>58</v>
      </c>
      <c r="J3039" t="s">
        <v>35</v>
      </c>
      <c r="K3039" t="s">
        <v>114</v>
      </c>
      <c r="L3039" t="s">
        <v>43</v>
      </c>
      <c r="M3039">
        <v>0</v>
      </c>
      <c r="N3039">
        <v>0</v>
      </c>
      <c r="O3039" s="5"/>
      <c r="P3039" s="5" t="s">
        <v>617</v>
      </c>
      <c r="Q3039">
        <f>33-15.5</f>
        <v>17.5</v>
      </c>
      <c r="R3039" t="s">
        <v>47</v>
      </c>
      <c r="T3039">
        <v>16</v>
      </c>
      <c r="Z3039" t="s">
        <v>97</v>
      </c>
      <c r="AA3039" t="s">
        <v>199</v>
      </c>
      <c r="AB3039" t="s">
        <v>59</v>
      </c>
      <c r="AC3039" t="s">
        <v>56</v>
      </c>
    </row>
    <row r="3040" spans="1:30" x14ac:dyDescent="0.25">
      <c r="A3040" s="4">
        <v>42592</v>
      </c>
      <c r="B3040" t="s">
        <v>30</v>
      </c>
      <c r="C3040">
        <v>703</v>
      </c>
      <c r="D3040">
        <v>6</v>
      </c>
      <c r="E3040">
        <v>1</v>
      </c>
      <c r="F3040" t="s">
        <v>320</v>
      </c>
      <c r="G3040" t="s">
        <v>32</v>
      </c>
      <c r="H3040" t="s">
        <v>33</v>
      </c>
      <c r="I3040" t="s">
        <v>34</v>
      </c>
      <c r="J3040" t="s">
        <v>35</v>
      </c>
      <c r="K3040" t="s">
        <v>89</v>
      </c>
      <c r="L3040" t="s">
        <v>37</v>
      </c>
      <c r="M3040">
        <v>0</v>
      </c>
      <c r="N3040">
        <v>0</v>
      </c>
      <c r="O3040" s="5" t="s">
        <v>577</v>
      </c>
      <c r="P3040" s="5" t="s">
        <v>578</v>
      </c>
      <c r="Q3040">
        <f>32-17</f>
        <v>15</v>
      </c>
      <c r="R3040" t="s">
        <v>38</v>
      </c>
      <c r="S3040" t="s">
        <v>39</v>
      </c>
      <c r="T3040">
        <v>18</v>
      </c>
      <c r="U3040">
        <v>82</v>
      </c>
      <c r="V3040">
        <v>18</v>
      </c>
      <c r="W3040">
        <v>13</v>
      </c>
      <c r="X3040">
        <v>27.5</v>
      </c>
      <c r="Z3040" t="s">
        <v>39</v>
      </c>
      <c r="AB3040" t="s">
        <v>59</v>
      </c>
      <c r="AC3040" t="s">
        <v>56</v>
      </c>
    </row>
    <row r="3041" spans="1:29" x14ac:dyDescent="0.25">
      <c r="A3041" s="4">
        <v>42592</v>
      </c>
      <c r="B3041" t="s">
        <v>30</v>
      </c>
      <c r="C3041">
        <v>703</v>
      </c>
      <c r="D3041">
        <v>6</v>
      </c>
      <c r="E3041">
        <v>2</v>
      </c>
      <c r="F3041" t="s">
        <v>320</v>
      </c>
      <c r="G3041" t="s">
        <v>32</v>
      </c>
      <c r="H3041" t="s">
        <v>33</v>
      </c>
      <c r="I3041" t="s">
        <v>34</v>
      </c>
      <c r="J3041" t="s">
        <v>42</v>
      </c>
      <c r="K3041" t="s">
        <v>89</v>
      </c>
      <c r="L3041" t="s">
        <v>37</v>
      </c>
      <c r="M3041">
        <v>0</v>
      </c>
      <c r="N3041">
        <v>1</v>
      </c>
      <c r="O3041" s="5" t="s">
        <v>618</v>
      </c>
      <c r="P3041" s="5" t="s">
        <v>619</v>
      </c>
      <c r="Q3041">
        <f>32-17</f>
        <v>15</v>
      </c>
      <c r="R3041" t="s">
        <v>38</v>
      </c>
      <c r="S3041" t="s">
        <v>39</v>
      </c>
      <c r="T3041">
        <v>19</v>
      </c>
      <c r="U3041">
        <v>82</v>
      </c>
      <c r="V3041">
        <v>16</v>
      </c>
      <c r="W3041">
        <v>12.8</v>
      </c>
      <c r="X3041">
        <v>27.6</v>
      </c>
      <c r="Z3041" t="s">
        <v>39</v>
      </c>
      <c r="AB3041" t="s">
        <v>59</v>
      </c>
      <c r="AC3041" t="s">
        <v>56</v>
      </c>
    </row>
    <row r="3042" spans="1:29" x14ac:dyDescent="0.25">
      <c r="A3042" s="4">
        <v>42592</v>
      </c>
      <c r="B3042" t="s">
        <v>30</v>
      </c>
      <c r="C3042">
        <v>703</v>
      </c>
      <c r="D3042">
        <v>7</v>
      </c>
      <c r="E3042">
        <v>1</v>
      </c>
      <c r="F3042" t="s">
        <v>320</v>
      </c>
      <c r="G3042" t="s">
        <v>32</v>
      </c>
      <c r="H3042" t="s">
        <v>33</v>
      </c>
      <c r="I3042" t="s">
        <v>34</v>
      </c>
      <c r="J3042" t="s">
        <v>35</v>
      </c>
      <c r="K3042" t="s">
        <v>89</v>
      </c>
      <c r="L3042" t="s">
        <v>37</v>
      </c>
      <c r="M3042">
        <v>0</v>
      </c>
      <c r="N3042">
        <v>0</v>
      </c>
      <c r="O3042" s="5" t="s">
        <v>571</v>
      </c>
      <c r="P3042" s="5" t="s">
        <v>572</v>
      </c>
      <c r="Q3042">
        <f>30-16</f>
        <v>14</v>
      </c>
      <c r="R3042" t="s">
        <v>38</v>
      </c>
      <c r="S3042" t="s">
        <v>39</v>
      </c>
      <c r="T3042">
        <v>19</v>
      </c>
      <c r="U3042">
        <v>75</v>
      </c>
      <c r="V3042">
        <v>16</v>
      </c>
      <c r="W3042">
        <v>12.8</v>
      </c>
      <c r="X3042">
        <v>27.2</v>
      </c>
      <c r="Z3042" t="s">
        <v>97</v>
      </c>
      <c r="AA3042" t="s">
        <v>199</v>
      </c>
      <c r="AB3042" t="s">
        <v>59</v>
      </c>
      <c r="AC3042" t="s">
        <v>56</v>
      </c>
    </row>
    <row r="3043" spans="1:29" x14ac:dyDescent="0.25">
      <c r="A3043" s="4">
        <v>42592</v>
      </c>
      <c r="B3043" t="s">
        <v>30</v>
      </c>
      <c r="C3043">
        <v>703</v>
      </c>
      <c r="D3043">
        <v>7</v>
      </c>
      <c r="E3043">
        <v>2</v>
      </c>
      <c r="F3043" t="s">
        <v>320</v>
      </c>
      <c r="G3043" t="s">
        <v>32</v>
      </c>
      <c r="H3043" t="s">
        <v>33</v>
      </c>
      <c r="I3043" t="s">
        <v>57</v>
      </c>
      <c r="O3043" s="5"/>
      <c r="P3043" s="5"/>
    </row>
    <row r="3044" spans="1:29" x14ac:dyDescent="0.25">
      <c r="A3044" s="4">
        <v>42592</v>
      </c>
      <c r="B3044" t="s">
        <v>30</v>
      </c>
      <c r="C3044">
        <v>703</v>
      </c>
      <c r="D3044">
        <v>8</v>
      </c>
      <c r="E3044">
        <v>1</v>
      </c>
      <c r="F3044" t="s">
        <v>320</v>
      </c>
      <c r="G3044" t="s">
        <v>32</v>
      </c>
      <c r="H3044" t="s">
        <v>33</v>
      </c>
      <c r="I3044" t="s">
        <v>57</v>
      </c>
      <c r="O3044" s="5"/>
      <c r="P3044" s="5"/>
    </row>
    <row r="3045" spans="1:29" x14ac:dyDescent="0.25">
      <c r="A3045" s="4">
        <v>42592</v>
      </c>
      <c r="B3045" t="s">
        <v>30</v>
      </c>
      <c r="C3045">
        <v>703</v>
      </c>
      <c r="D3045">
        <v>8</v>
      </c>
      <c r="E3045">
        <v>2</v>
      </c>
      <c r="F3045" t="s">
        <v>320</v>
      </c>
      <c r="G3045" t="s">
        <v>32</v>
      </c>
      <c r="H3045" t="s">
        <v>33</v>
      </c>
      <c r="I3045" t="s">
        <v>58</v>
      </c>
      <c r="J3045" t="s">
        <v>42</v>
      </c>
      <c r="K3045" t="s">
        <v>114</v>
      </c>
      <c r="L3045" t="s">
        <v>37</v>
      </c>
      <c r="M3045">
        <v>0</v>
      </c>
      <c r="N3045">
        <v>1</v>
      </c>
      <c r="O3045" s="5" t="s">
        <v>620</v>
      </c>
      <c r="P3045" s="5"/>
      <c r="Q3045">
        <f>30-13</f>
        <v>17</v>
      </c>
      <c r="R3045" t="s">
        <v>38</v>
      </c>
      <c r="S3045" t="s">
        <v>39</v>
      </c>
      <c r="T3045">
        <v>18.5</v>
      </c>
      <c r="W3045">
        <v>12.6</v>
      </c>
      <c r="X3045">
        <v>26.6</v>
      </c>
      <c r="Z3045" t="s">
        <v>97</v>
      </c>
      <c r="AA3045" t="s">
        <v>621</v>
      </c>
      <c r="AB3045" t="s">
        <v>59</v>
      </c>
      <c r="AC3045" t="s">
        <v>56</v>
      </c>
    </row>
    <row r="3046" spans="1:29" x14ac:dyDescent="0.25">
      <c r="A3046" s="4">
        <v>42592</v>
      </c>
      <c r="B3046" t="s">
        <v>30</v>
      </c>
      <c r="C3046">
        <v>703</v>
      </c>
      <c r="D3046">
        <v>9</v>
      </c>
      <c r="E3046">
        <v>1</v>
      </c>
      <c r="F3046" t="s">
        <v>320</v>
      </c>
      <c r="G3046" t="s">
        <v>32</v>
      </c>
      <c r="H3046" t="s">
        <v>33</v>
      </c>
      <c r="I3046" t="s">
        <v>34</v>
      </c>
      <c r="J3046" t="s">
        <v>35</v>
      </c>
      <c r="K3046" t="s">
        <v>89</v>
      </c>
      <c r="L3046" t="s">
        <v>37</v>
      </c>
      <c r="M3046">
        <v>0</v>
      </c>
      <c r="N3046">
        <v>0</v>
      </c>
      <c r="O3046" s="5" t="s">
        <v>581</v>
      </c>
      <c r="P3046" s="5" t="s">
        <v>582</v>
      </c>
      <c r="Q3046">
        <f>29-15</f>
        <v>14</v>
      </c>
      <c r="R3046" t="s">
        <v>38</v>
      </c>
      <c r="S3046" t="s">
        <v>39</v>
      </c>
      <c r="T3046">
        <v>19</v>
      </c>
      <c r="U3046">
        <v>76</v>
      </c>
      <c r="V3046">
        <v>16</v>
      </c>
      <c r="W3046">
        <v>12.8</v>
      </c>
      <c r="X3046">
        <v>27.3</v>
      </c>
      <c r="Z3046" t="s">
        <v>97</v>
      </c>
      <c r="AA3046" t="s">
        <v>199</v>
      </c>
      <c r="AB3046" t="s">
        <v>59</v>
      </c>
      <c r="AC3046" t="s">
        <v>56</v>
      </c>
    </row>
    <row r="3047" spans="1:29" x14ac:dyDescent="0.25">
      <c r="A3047" s="4">
        <v>42592</v>
      </c>
      <c r="B3047" t="s">
        <v>30</v>
      </c>
      <c r="C3047">
        <v>703</v>
      </c>
      <c r="D3047">
        <v>9</v>
      </c>
      <c r="E3047">
        <v>2</v>
      </c>
      <c r="F3047" t="s">
        <v>320</v>
      </c>
      <c r="G3047" t="s">
        <v>32</v>
      </c>
      <c r="H3047" t="s">
        <v>33</v>
      </c>
      <c r="I3047" t="s">
        <v>57</v>
      </c>
      <c r="O3047" s="5"/>
      <c r="P3047" s="5"/>
    </row>
    <row r="3048" spans="1:29" x14ac:dyDescent="0.25">
      <c r="A3048" s="4">
        <v>42592</v>
      </c>
      <c r="B3048" t="s">
        <v>30</v>
      </c>
      <c r="C3048">
        <v>703</v>
      </c>
      <c r="D3048">
        <v>10</v>
      </c>
      <c r="E3048">
        <v>1</v>
      </c>
      <c r="F3048" t="s">
        <v>320</v>
      </c>
      <c r="G3048" t="s">
        <v>32</v>
      </c>
      <c r="H3048" t="s">
        <v>33</v>
      </c>
      <c r="I3048" t="s">
        <v>57</v>
      </c>
      <c r="O3048" s="5"/>
      <c r="P3048" s="5"/>
    </row>
    <row r="3049" spans="1:29" x14ac:dyDescent="0.25">
      <c r="A3049" s="4">
        <v>42592</v>
      </c>
      <c r="B3049" t="s">
        <v>30</v>
      </c>
      <c r="C3049">
        <v>703</v>
      </c>
      <c r="D3049">
        <v>10</v>
      </c>
      <c r="E3049">
        <v>2</v>
      </c>
      <c r="F3049" t="s">
        <v>320</v>
      </c>
      <c r="G3049" t="s">
        <v>32</v>
      </c>
      <c r="H3049" t="s">
        <v>33</v>
      </c>
      <c r="I3049" t="s">
        <v>34</v>
      </c>
      <c r="J3049" t="s">
        <v>35</v>
      </c>
      <c r="K3049" t="s">
        <v>36</v>
      </c>
      <c r="L3049" t="s">
        <v>43</v>
      </c>
      <c r="M3049">
        <v>0</v>
      </c>
      <c r="N3049">
        <v>0</v>
      </c>
      <c r="O3049" s="5" t="s">
        <v>569</v>
      </c>
      <c r="P3049" s="5" t="s">
        <v>570</v>
      </c>
      <c r="Q3049">
        <f>36-16</f>
        <v>20</v>
      </c>
      <c r="R3049" t="s">
        <v>65</v>
      </c>
      <c r="T3049">
        <v>20</v>
      </c>
      <c r="U3049">
        <v>94</v>
      </c>
      <c r="V3049">
        <v>16</v>
      </c>
      <c r="W3049">
        <v>13</v>
      </c>
      <c r="X3049">
        <v>26.9</v>
      </c>
      <c r="Z3049" t="s">
        <v>97</v>
      </c>
      <c r="AA3049" t="s">
        <v>199</v>
      </c>
      <c r="AB3049" t="s">
        <v>59</v>
      </c>
      <c r="AC3049" t="s">
        <v>56</v>
      </c>
    </row>
    <row r="3050" spans="1:29" x14ac:dyDescent="0.25">
      <c r="A3050" s="4">
        <v>42592</v>
      </c>
      <c r="B3050" t="s">
        <v>30</v>
      </c>
      <c r="C3050">
        <v>701</v>
      </c>
      <c r="D3050">
        <v>1</v>
      </c>
      <c r="E3050">
        <v>1</v>
      </c>
      <c r="F3050" t="s">
        <v>320</v>
      </c>
      <c r="G3050" t="s">
        <v>32</v>
      </c>
      <c r="H3050" t="s">
        <v>33</v>
      </c>
      <c r="I3050" t="s">
        <v>34</v>
      </c>
      <c r="J3050" t="s">
        <v>35</v>
      </c>
      <c r="K3050" t="s">
        <v>36</v>
      </c>
      <c r="L3050" t="s">
        <v>37</v>
      </c>
      <c r="M3050">
        <v>0</v>
      </c>
      <c r="N3050">
        <v>0</v>
      </c>
      <c r="O3050" s="5" t="s">
        <v>591</v>
      </c>
      <c r="P3050" s="5" t="s">
        <v>592</v>
      </c>
      <c r="Q3050">
        <f>36-17</f>
        <v>19</v>
      </c>
      <c r="R3050" t="s">
        <v>38</v>
      </c>
      <c r="T3050">
        <v>18</v>
      </c>
      <c r="U3050">
        <v>87</v>
      </c>
      <c r="V3050">
        <v>15</v>
      </c>
      <c r="W3050">
        <v>13.1</v>
      </c>
      <c r="X3050">
        <v>28</v>
      </c>
      <c r="Z3050" t="s">
        <v>97</v>
      </c>
      <c r="AA3050" t="s">
        <v>199</v>
      </c>
      <c r="AB3050" t="s">
        <v>59</v>
      </c>
      <c r="AC3050" t="s">
        <v>56</v>
      </c>
    </row>
    <row r="3051" spans="1:29" x14ac:dyDescent="0.25">
      <c r="A3051" s="4">
        <v>42592</v>
      </c>
      <c r="B3051" t="s">
        <v>30</v>
      </c>
      <c r="C3051">
        <v>701</v>
      </c>
      <c r="D3051">
        <v>2</v>
      </c>
      <c r="E3051">
        <v>1</v>
      </c>
      <c r="F3051" t="s">
        <v>320</v>
      </c>
      <c r="G3051" t="s">
        <v>32</v>
      </c>
      <c r="H3051" t="s">
        <v>33</v>
      </c>
      <c r="I3051" t="s">
        <v>34</v>
      </c>
      <c r="J3051" t="s">
        <v>35</v>
      </c>
      <c r="K3051" t="s">
        <v>114</v>
      </c>
      <c r="L3051" t="s">
        <v>43</v>
      </c>
      <c r="M3051">
        <v>0</v>
      </c>
      <c r="N3051">
        <v>0</v>
      </c>
      <c r="O3051" s="5" t="s">
        <v>588</v>
      </c>
      <c r="P3051" s="5" t="s">
        <v>589</v>
      </c>
      <c r="Q3051">
        <f>36-19</f>
        <v>17</v>
      </c>
      <c r="R3051" t="s">
        <v>65</v>
      </c>
      <c r="T3051">
        <v>20</v>
      </c>
      <c r="U3051">
        <v>86</v>
      </c>
      <c r="V3051">
        <v>16</v>
      </c>
      <c r="W3051">
        <v>12.9</v>
      </c>
      <c r="X3051">
        <v>27</v>
      </c>
      <c r="Z3051" t="s">
        <v>97</v>
      </c>
      <c r="AA3051" t="s">
        <v>199</v>
      </c>
      <c r="AB3051" t="s">
        <v>59</v>
      </c>
      <c r="AC3051" t="s">
        <v>56</v>
      </c>
    </row>
    <row r="3052" spans="1:29" x14ac:dyDescent="0.25">
      <c r="A3052" s="4">
        <v>42592</v>
      </c>
      <c r="B3052" t="s">
        <v>30</v>
      </c>
      <c r="C3052">
        <v>701</v>
      </c>
      <c r="D3052">
        <v>2</v>
      </c>
      <c r="E3052">
        <v>2</v>
      </c>
      <c r="F3052" t="s">
        <v>320</v>
      </c>
      <c r="G3052" t="s">
        <v>32</v>
      </c>
      <c r="H3052" t="s">
        <v>33</v>
      </c>
      <c r="I3052" t="s">
        <v>57</v>
      </c>
      <c r="O3052" s="5"/>
      <c r="P3052" s="5"/>
    </row>
    <row r="3053" spans="1:29" x14ac:dyDescent="0.25">
      <c r="A3053" s="4">
        <v>42592</v>
      </c>
      <c r="B3053" t="s">
        <v>30</v>
      </c>
      <c r="C3053">
        <v>701</v>
      </c>
      <c r="D3053">
        <v>3</v>
      </c>
      <c r="E3053">
        <v>1</v>
      </c>
      <c r="F3053" t="s">
        <v>320</v>
      </c>
      <c r="G3053" t="s">
        <v>32</v>
      </c>
      <c r="H3053" t="s">
        <v>33</v>
      </c>
      <c r="I3053" t="s">
        <v>57</v>
      </c>
      <c r="O3053" s="5"/>
      <c r="P3053" s="5"/>
    </row>
    <row r="3054" spans="1:29" x14ac:dyDescent="0.25">
      <c r="A3054" s="4">
        <v>42592</v>
      </c>
      <c r="B3054" t="s">
        <v>30</v>
      </c>
      <c r="C3054">
        <v>701</v>
      </c>
      <c r="D3054">
        <v>3</v>
      </c>
      <c r="E3054">
        <v>2</v>
      </c>
      <c r="F3054" t="s">
        <v>320</v>
      </c>
      <c r="G3054" t="s">
        <v>32</v>
      </c>
      <c r="H3054" t="s">
        <v>33</v>
      </c>
      <c r="I3054" t="s">
        <v>34</v>
      </c>
      <c r="J3054" t="s">
        <v>35</v>
      </c>
      <c r="K3054" t="s">
        <v>114</v>
      </c>
      <c r="L3054" t="s">
        <v>43</v>
      </c>
      <c r="M3054">
        <v>0</v>
      </c>
      <c r="N3054">
        <v>0</v>
      </c>
      <c r="O3054" s="5" t="s">
        <v>593</v>
      </c>
      <c r="P3054" s="5" t="s">
        <v>594</v>
      </c>
      <c r="Q3054">
        <f>29-13</f>
        <v>16</v>
      </c>
      <c r="R3054" t="s">
        <v>65</v>
      </c>
      <c r="T3054">
        <v>20</v>
      </c>
      <c r="U3054">
        <v>87</v>
      </c>
      <c r="V3054">
        <v>17</v>
      </c>
      <c r="W3054">
        <v>12.9</v>
      </c>
      <c r="X3054">
        <v>28.1</v>
      </c>
      <c r="Z3054" t="s">
        <v>97</v>
      </c>
      <c r="AA3054" t="s">
        <v>199</v>
      </c>
      <c r="AB3054" t="s">
        <v>59</v>
      </c>
      <c r="AC3054" t="s">
        <v>56</v>
      </c>
    </row>
    <row r="3055" spans="1:29" x14ac:dyDescent="0.25">
      <c r="A3055" s="4">
        <v>42592</v>
      </c>
      <c r="B3055" t="s">
        <v>30</v>
      </c>
      <c r="C3055">
        <v>701</v>
      </c>
      <c r="D3055">
        <v>4</v>
      </c>
      <c r="E3055">
        <v>1</v>
      </c>
      <c r="F3055" t="s">
        <v>320</v>
      </c>
      <c r="G3055" t="s">
        <v>32</v>
      </c>
      <c r="H3055" t="s">
        <v>33</v>
      </c>
      <c r="I3055" t="s">
        <v>34</v>
      </c>
      <c r="J3055" t="s">
        <v>35</v>
      </c>
      <c r="K3055" t="s">
        <v>114</v>
      </c>
      <c r="L3055" t="s">
        <v>43</v>
      </c>
      <c r="M3055">
        <v>0</v>
      </c>
      <c r="N3055">
        <v>0</v>
      </c>
      <c r="O3055" s="5" t="s">
        <v>585</v>
      </c>
      <c r="P3055" s="5" t="s">
        <v>586</v>
      </c>
      <c r="Q3055">
        <f>29-13</f>
        <v>16</v>
      </c>
      <c r="R3055" t="s">
        <v>65</v>
      </c>
      <c r="T3055">
        <v>19</v>
      </c>
      <c r="U3055">
        <v>91</v>
      </c>
      <c r="V3055">
        <v>16</v>
      </c>
      <c r="W3055">
        <v>12.9</v>
      </c>
      <c r="X3055">
        <v>27.5</v>
      </c>
      <c r="Z3055" t="s">
        <v>97</v>
      </c>
      <c r="AA3055" t="s">
        <v>199</v>
      </c>
      <c r="AB3055" t="s">
        <v>59</v>
      </c>
      <c r="AC3055" t="s">
        <v>56</v>
      </c>
    </row>
    <row r="3056" spans="1:29" x14ac:dyDescent="0.25">
      <c r="A3056" s="4">
        <v>42592</v>
      </c>
      <c r="B3056" t="s">
        <v>30</v>
      </c>
      <c r="C3056">
        <v>701</v>
      </c>
      <c r="D3056">
        <v>4</v>
      </c>
      <c r="E3056">
        <v>2</v>
      </c>
      <c r="F3056" t="s">
        <v>320</v>
      </c>
      <c r="G3056" t="s">
        <v>32</v>
      </c>
      <c r="H3056" t="s">
        <v>33</v>
      </c>
      <c r="I3056" t="s">
        <v>57</v>
      </c>
      <c r="O3056" s="5"/>
      <c r="P3056" s="5"/>
    </row>
    <row r="3057" spans="1:30" x14ac:dyDescent="0.25">
      <c r="A3057" s="4">
        <v>42592</v>
      </c>
      <c r="B3057" t="s">
        <v>30</v>
      </c>
      <c r="C3057">
        <v>701</v>
      </c>
      <c r="D3057">
        <v>5</v>
      </c>
      <c r="E3057">
        <v>1</v>
      </c>
      <c r="F3057" t="s">
        <v>320</v>
      </c>
      <c r="G3057" t="s">
        <v>32</v>
      </c>
      <c r="H3057" t="s">
        <v>33</v>
      </c>
      <c r="I3057" t="s">
        <v>34</v>
      </c>
      <c r="J3057" t="s">
        <v>42</v>
      </c>
      <c r="K3057" t="s">
        <v>114</v>
      </c>
      <c r="L3057" t="s">
        <v>43</v>
      </c>
      <c r="M3057">
        <v>0</v>
      </c>
      <c r="N3057">
        <v>1</v>
      </c>
      <c r="O3057" s="5" t="s">
        <v>622</v>
      </c>
      <c r="P3057" s="5" t="s">
        <v>623</v>
      </c>
      <c r="Q3057">
        <f>29-13</f>
        <v>16</v>
      </c>
      <c r="R3057" t="s">
        <v>65</v>
      </c>
      <c r="T3057">
        <v>18</v>
      </c>
      <c r="U3057">
        <v>81</v>
      </c>
      <c r="V3057">
        <v>16</v>
      </c>
      <c r="W3057">
        <v>12.9</v>
      </c>
      <c r="X3057">
        <v>26.2</v>
      </c>
      <c r="Z3057" t="s">
        <v>39</v>
      </c>
      <c r="AB3057" t="s">
        <v>59</v>
      </c>
      <c r="AC3057" t="s">
        <v>56</v>
      </c>
      <c r="AD3057" t="s">
        <v>624</v>
      </c>
    </row>
    <row r="3058" spans="1:30" x14ac:dyDescent="0.25">
      <c r="A3058" s="4">
        <v>42592</v>
      </c>
      <c r="B3058" t="s">
        <v>30</v>
      </c>
      <c r="C3058">
        <v>701</v>
      </c>
      <c r="D3058">
        <v>5</v>
      </c>
      <c r="E3058">
        <v>2</v>
      </c>
      <c r="F3058" t="s">
        <v>320</v>
      </c>
      <c r="G3058" t="s">
        <v>32</v>
      </c>
      <c r="H3058" t="s">
        <v>33</v>
      </c>
      <c r="I3058" t="s">
        <v>34</v>
      </c>
      <c r="J3058" t="s">
        <v>35</v>
      </c>
      <c r="K3058" t="s">
        <v>36</v>
      </c>
      <c r="L3058" t="s">
        <v>37</v>
      </c>
      <c r="M3058">
        <v>0</v>
      </c>
      <c r="N3058">
        <v>0</v>
      </c>
      <c r="O3058" s="5" t="s">
        <v>625</v>
      </c>
      <c r="P3058" s="5" t="s">
        <v>626</v>
      </c>
      <c r="Q3058">
        <f>31-13</f>
        <v>18</v>
      </c>
      <c r="R3058" t="s">
        <v>38</v>
      </c>
      <c r="S3058" t="s">
        <v>39</v>
      </c>
      <c r="T3058">
        <v>18</v>
      </c>
      <c r="U3058">
        <v>83</v>
      </c>
      <c r="V3058">
        <v>18</v>
      </c>
      <c r="W3058">
        <v>12.9</v>
      </c>
      <c r="X3058">
        <v>28.4</v>
      </c>
      <c r="Y3058" t="s">
        <v>627</v>
      </c>
      <c r="Z3058" t="s">
        <v>97</v>
      </c>
      <c r="AA3058" t="s">
        <v>199</v>
      </c>
      <c r="AB3058" t="s">
        <v>59</v>
      </c>
      <c r="AC3058" t="s">
        <v>56</v>
      </c>
    </row>
    <row r="3059" spans="1:30" x14ac:dyDescent="0.25">
      <c r="A3059" s="4">
        <v>42592</v>
      </c>
      <c r="B3059" t="s">
        <v>30</v>
      </c>
      <c r="C3059">
        <v>701</v>
      </c>
      <c r="D3059">
        <v>6</v>
      </c>
      <c r="E3059">
        <v>1</v>
      </c>
      <c r="F3059" t="s">
        <v>320</v>
      </c>
      <c r="G3059" t="s">
        <v>32</v>
      </c>
      <c r="H3059" t="s">
        <v>33</v>
      </c>
      <c r="I3059" t="s">
        <v>34</v>
      </c>
      <c r="J3059" t="s">
        <v>35</v>
      </c>
      <c r="K3059" t="s">
        <v>36</v>
      </c>
      <c r="L3059" t="s">
        <v>43</v>
      </c>
      <c r="M3059">
        <v>0</v>
      </c>
      <c r="N3059">
        <v>0</v>
      </c>
      <c r="O3059" s="5" t="s">
        <v>597</v>
      </c>
      <c r="P3059" s="5" t="s">
        <v>598</v>
      </c>
      <c r="Q3059">
        <f>34-15</f>
        <v>19</v>
      </c>
      <c r="R3059" t="s">
        <v>65</v>
      </c>
      <c r="T3059">
        <v>19</v>
      </c>
      <c r="U3059">
        <v>86</v>
      </c>
      <c r="V3059">
        <v>16</v>
      </c>
      <c r="W3059">
        <v>12.8</v>
      </c>
      <c r="X3059">
        <v>27.7</v>
      </c>
      <c r="Z3059" t="s">
        <v>97</v>
      </c>
      <c r="AA3059" t="s">
        <v>199</v>
      </c>
      <c r="AB3059" t="s">
        <v>59</v>
      </c>
      <c r="AC3059" t="s">
        <v>56</v>
      </c>
      <c r="AD3059" t="s">
        <v>628</v>
      </c>
    </row>
    <row r="3060" spans="1:30" x14ac:dyDescent="0.25">
      <c r="A3060" s="4">
        <v>42592</v>
      </c>
      <c r="B3060" t="s">
        <v>30</v>
      </c>
      <c r="C3060">
        <v>701</v>
      </c>
      <c r="D3060">
        <v>6</v>
      </c>
      <c r="E3060">
        <v>2</v>
      </c>
      <c r="F3060" t="s">
        <v>320</v>
      </c>
      <c r="G3060" t="s">
        <v>32</v>
      </c>
      <c r="H3060" t="s">
        <v>33</v>
      </c>
      <c r="I3060" t="s">
        <v>57</v>
      </c>
      <c r="O3060" s="5"/>
      <c r="P3060" s="5"/>
    </row>
    <row r="3061" spans="1:30" x14ac:dyDescent="0.25">
      <c r="A3061" s="4">
        <v>42592</v>
      </c>
      <c r="B3061" t="s">
        <v>30</v>
      </c>
      <c r="C3061">
        <v>701</v>
      </c>
      <c r="D3061">
        <v>9</v>
      </c>
      <c r="E3061">
        <v>1</v>
      </c>
      <c r="F3061" t="s">
        <v>320</v>
      </c>
      <c r="G3061" t="s">
        <v>32</v>
      </c>
      <c r="H3061" t="s">
        <v>33</v>
      </c>
      <c r="I3061" t="s">
        <v>57</v>
      </c>
      <c r="O3061" s="5"/>
      <c r="P3061" s="5"/>
    </row>
    <row r="3062" spans="1:30" x14ac:dyDescent="0.25">
      <c r="A3062" s="4">
        <v>42592</v>
      </c>
      <c r="B3062" t="s">
        <v>30</v>
      </c>
      <c r="C3062">
        <v>701</v>
      </c>
      <c r="D3062">
        <v>9</v>
      </c>
      <c r="E3062">
        <v>2</v>
      </c>
      <c r="F3062" t="s">
        <v>320</v>
      </c>
      <c r="G3062" t="s">
        <v>32</v>
      </c>
      <c r="H3062" t="s">
        <v>33</v>
      </c>
      <c r="I3062" t="s">
        <v>34</v>
      </c>
      <c r="J3062" t="s">
        <v>35</v>
      </c>
      <c r="K3062" t="s">
        <v>89</v>
      </c>
      <c r="L3062" t="s">
        <v>37</v>
      </c>
      <c r="M3062">
        <v>0</v>
      </c>
      <c r="N3062">
        <v>0</v>
      </c>
      <c r="O3062" s="5" t="s">
        <v>573</v>
      </c>
      <c r="P3062" s="5" t="s">
        <v>574</v>
      </c>
      <c r="Q3062">
        <f>29-14</f>
        <v>15</v>
      </c>
      <c r="R3062" t="s">
        <v>38</v>
      </c>
      <c r="S3062" t="s">
        <v>39</v>
      </c>
      <c r="T3062">
        <v>19</v>
      </c>
      <c r="U3062">
        <v>70</v>
      </c>
      <c r="V3062">
        <v>16</v>
      </c>
      <c r="W3062">
        <v>12.9</v>
      </c>
      <c r="X3062">
        <v>25.9</v>
      </c>
      <c r="Z3062" t="s">
        <v>39</v>
      </c>
      <c r="AB3062" t="s">
        <v>59</v>
      </c>
      <c r="AC3062" t="s">
        <v>56</v>
      </c>
      <c r="AD3062" t="s">
        <v>537</v>
      </c>
    </row>
    <row r="3063" spans="1:30" x14ac:dyDescent="0.25">
      <c r="A3063" s="4">
        <v>42592</v>
      </c>
      <c r="B3063" t="s">
        <v>30</v>
      </c>
      <c r="C3063">
        <v>701</v>
      </c>
      <c r="D3063">
        <v>10</v>
      </c>
      <c r="E3063">
        <v>1</v>
      </c>
      <c r="F3063" t="s">
        <v>320</v>
      </c>
      <c r="G3063" t="s">
        <v>32</v>
      </c>
      <c r="H3063" t="s">
        <v>33</v>
      </c>
      <c r="I3063" t="s">
        <v>34</v>
      </c>
      <c r="J3063" t="s">
        <v>42</v>
      </c>
      <c r="K3063" t="s">
        <v>89</v>
      </c>
      <c r="L3063" t="s">
        <v>43</v>
      </c>
      <c r="M3063">
        <v>0</v>
      </c>
      <c r="N3063">
        <v>1</v>
      </c>
      <c r="O3063" s="5" t="s">
        <v>629</v>
      </c>
      <c r="P3063" s="5" t="s">
        <v>630</v>
      </c>
      <c r="Q3063">
        <f>27-14</f>
        <v>13</v>
      </c>
      <c r="R3063" t="s">
        <v>65</v>
      </c>
      <c r="T3063">
        <v>21</v>
      </c>
      <c r="U3063">
        <v>87</v>
      </c>
      <c r="V3063">
        <v>16</v>
      </c>
      <c r="W3063">
        <v>12.7</v>
      </c>
      <c r="X3063">
        <v>26.6</v>
      </c>
      <c r="Z3063" t="s">
        <v>39</v>
      </c>
      <c r="AB3063" t="s">
        <v>59</v>
      </c>
      <c r="AC3063" t="s">
        <v>56</v>
      </c>
    </row>
    <row r="3064" spans="1:30" x14ac:dyDescent="0.25">
      <c r="A3064" s="4">
        <v>42592</v>
      </c>
      <c r="B3064" t="s">
        <v>30</v>
      </c>
      <c r="C3064">
        <v>701</v>
      </c>
      <c r="D3064">
        <v>10</v>
      </c>
      <c r="E3064">
        <v>2</v>
      </c>
      <c r="F3064" t="s">
        <v>320</v>
      </c>
      <c r="G3064" t="s">
        <v>32</v>
      </c>
      <c r="H3064" t="s">
        <v>33</v>
      </c>
      <c r="I3064" t="s">
        <v>73</v>
      </c>
      <c r="J3064" t="s">
        <v>35</v>
      </c>
      <c r="K3064" t="s">
        <v>36</v>
      </c>
      <c r="L3064" t="s">
        <v>37</v>
      </c>
      <c r="M3064">
        <v>0</v>
      </c>
      <c r="N3064">
        <v>0</v>
      </c>
      <c r="O3064" s="5"/>
      <c r="P3064" s="5" t="s">
        <v>94</v>
      </c>
      <c r="Q3064">
        <f>142-50</f>
        <v>92</v>
      </c>
      <c r="R3064" t="s">
        <v>74</v>
      </c>
      <c r="S3064" t="s">
        <v>97</v>
      </c>
      <c r="T3064">
        <v>29</v>
      </c>
      <c r="W3064">
        <v>22.2</v>
      </c>
      <c r="X3064">
        <v>42.8</v>
      </c>
      <c r="Y3064" t="s">
        <v>631</v>
      </c>
      <c r="Z3064" t="s">
        <v>97</v>
      </c>
      <c r="AA3064" t="s">
        <v>199</v>
      </c>
      <c r="AB3064" t="s">
        <v>59</v>
      </c>
      <c r="AC3064" t="s">
        <v>56</v>
      </c>
      <c r="AD3064" t="s">
        <v>632</v>
      </c>
    </row>
    <row r="3065" spans="1:30" x14ac:dyDescent="0.25">
      <c r="A3065" s="4">
        <v>42592</v>
      </c>
      <c r="B3065" t="s">
        <v>30</v>
      </c>
      <c r="C3065">
        <v>801</v>
      </c>
      <c r="D3065">
        <v>2</v>
      </c>
      <c r="E3065">
        <v>1</v>
      </c>
      <c r="F3065" t="s">
        <v>320</v>
      </c>
      <c r="G3065" t="s">
        <v>32</v>
      </c>
      <c r="H3065" t="s">
        <v>33</v>
      </c>
      <c r="I3065" t="s">
        <v>53</v>
      </c>
      <c r="J3065" t="s">
        <v>62</v>
      </c>
      <c r="O3065" s="5"/>
      <c r="P3065" s="5"/>
    </row>
    <row r="3066" spans="1:30" x14ac:dyDescent="0.25">
      <c r="A3066" s="4">
        <v>42592</v>
      </c>
      <c r="B3066" t="s">
        <v>30</v>
      </c>
      <c r="C3066">
        <v>801</v>
      </c>
      <c r="D3066">
        <v>2</v>
      </c>
      <c r="E3066">
        <v>2</v>
      </c>
      <c r="F3066" t="s">
        <v>320</v>
      </c>
      <c r="G3066" t="s">
        <v>32</v>
      </c>
      <c r="H3066" t="s">
        <v>33</v>
      </c>
      <c r="I3066" t="s">
        <v>57</v>
      </c>
      <c r="O3066" s="5"/>
      <c r="P3066" s="5"/>
    </row>
    <row r="3067" spans="1:30" x14ac:dyDescent="0.25">
      <c r="A3067" s="4">
        <v>42592</v>
      </c>
      <c r="B3067" t="s">
        <v>30</v>
      </c>
      <c r="C3067">
        <v>801</v>
      </c>
      <c r="D3067">
        <v>3</v>
      </c>
      <c r="E3067">
        <v>1</v>
      </c>
      <c r="F3067" t="s">
        <v>320</v>
      </c>
      <c r="G3067" t="s">
        <v>32</v>
      </c>
      <c r="H3067" t="s">
        <v>33</v>
      </c>
      <c r="I3067" t="s">
        <v>57</v>
      </c>
      <c r="O3067" s="5"/>
      <c r="P3067" s="5"/>
    </row>
    <row r="3068" spans="1:30" x14ac:dyDescent="0.25">
      <c r="A3068" s="4">
        <v>42592</v>
      </c>
      <c r="B3068" t="s">
        <v>30</v>
      </c>
      <c r="C3068">
        <v>801</v>
      </c>
      <c r="D3068">
        <v>3</v>
      </c>
      <c r="E3068">
        <v>2</v>
      </c>
      <c r="F3068" t="s">
        <v>320</v>
      </c>
      <c r="G3068" t="s">
        <v>32</v>
      </c>
      <c r="H3068" t="s">
        <v>33</v>
      </c>
      <c r="I3068" t="s">
        <v>57</v>
      </c>
      <c r="O3068" s="5"/>
      <c r="P3068" s="5"/>
    </row>
    <row r="3069" spans="1:30" x14ac:dyDescent="0.25">
      <c r="A3069" s="4">
        <v>42592</v>
      </c>
      <c r="B3069" t="s">
        <v>30</v>
      </c>
      <c r="C3069">
        <v>801</v>
      </c>
      <c r="D3069">
        <v>4</v>
      </c>
      <c r="E3069">
        <v>1</v>
      </c>
      <c r="F3069" t="s">
        <v>320</v>
      </c>
      <c r="G3069" t="s">
        <v>32</v>
      </c>
      <c r="H3069" t="s">
        <v>33</v>
      </c>
      <c r="I3069" t="s">
        <v>91</v>
      </c>
      <c r="J3069" t="s">
        <v>42</v>
      </c>
      <c r="K3069" t="s">
        <v>36</v>
      </c>
      <c r="L3069" t="s">
        <v>43</v>
      </c>
      <c r="M3069">
        <v>0</v>
      </c>
      <c r="N3069">
        <v>1</v>
      </c>
      <c r="O3069" s="5" t="s">
        <v>633</v>
      </c>
      <c r="P3069" s="5"/>
      <c r="Q3069">
        <f>34.5-13</f>
        <v>21.5</v>
      </c>
      <c r="R3069" t="s">
        <v>47</v>
      </c>
      <c r="T3069">
        <v>30</v>
      </c>
      <c r="W3069">
        <v>12.9</v>
      </c>
      <c r="X3069">
        <v>26.2</v>
      </c>
      <c r="Z3069" t="s">
        <v>97</v>
      </c>
      <c r="AA3069" t="s">
        <v>634</v>
      </c>
      <c r="AB3069" t="s">
        <v>59</v>
      </c>
      <c r="AC3069" t="s">
        <v>56</v>
      </c>
    </row>
    <row r="3070" spans="1:30" x14ac:dyDescent="0.25">
      <c r="A3070" s="4">
        <v>42592</v>
      </c>
      <c r="B3070" t="s">
        <v>30</v>
      </c>
      <c r="C3070">
        <v>801</v>
      </c>
      <c r="D3070">
        <v>5</v>
      </c>
      <c r="E3070">
        <v>1</v>
      </c>
      <c r="F3070" t="s">
        <v>320</v>
      </c>
      <c r="G3070" t="s">
        <v>32</v>
      </c>
      <c r="H3070" t="s">
        <v>33</v>
      </c>
      <c r="I3070" t="s">
        <v>58</v>
      </c>
      <c r="J3070" t="s">
        <v>35</v>
      </c>
      <c r="K3070" t="s">
        <v>36</v>
      </c>
      <c r="L3070" t="s">
        <v>37</v>
      </c>
      <c r="M3070">
        <v>0</v>
      </c>
      <c r="N3070">
        <v>0</v>
      </c>
      <c r="O3070" s="5" t="s">
        <v>601</v>
      </c>
      <c r="P3070" s="5"/>
      <c r="Q3070">
        <f>49.5-16</f>
        <v>33.5</v>
      </c>
      <c r="R3070" t="s">
        <v>143</v>
      </c>
      <c r="S3070" t="s">
        <v>97</v>
      </c>
      <c r="T3070">
        <v>18.5</v>
      </c>
      <c r="W3070">
        <v>13</v>
      </c>
      <c r="X3070">
        <v>27.8</v>
      </c>
      <c r="Z3070" t="s">
        <v>97</v>
      </c>
      <c r="AA3070" t="s">
        <v>199</v>
      </c>
      <c r="AB3070" t="s">
        <v>59</v>
      </c>
      <c r="AC3070" t="s">
        <v>56</v>
      </c>
      <c r="AD3070" t="s">
        <v>635</v>
      </c>
    </row>
    <row r="3071" spans="1:30" x14ac:dyDescent="0.25">
      <c r="A3071" s="4">
        <v>42592</v>
      </c>
      <c r="B3071" t="s">
        <v>30</v>
      </c>
      <c r="C3071">
        <v>801</v>
      </c>
      <c r="D3071">
        <v>6</v>
      </c>
      <c r="E3071">
        <v>1</v>
      </c>
      <c r="F3071" t="s">
        <v>320</v>
      </c>
      <c r="G3071" t="s">
        <v>32</v>
      </c>
      <c r="H3071" t="s">
        <v>33</v>
      </c>
      <c r="I3071" t="s">
        <v>91</v>
      </c>
      <c r="J3071" t="s">
        <v>42</v>
      </c>
      <c r="K3071" t="s">
        <v>36</v>
      </c>
      <c r="L3071" t="s">
        <v>43</v>
      </c>
      <c r="M3071">
        <v>0</v>
      </c>
      <c r="N3071">
        <v>1</v>
      </c>
      <c r="O3071" s="5" t="s">
        <v>636</v>
      </c>
      <c r="P3071" s="5"/>
      <c r="R3071" t="s">
        <v>47</v>
      </c>
      <c r="T3071">
        <v>28.5</v>
      </c>
      <c r="W3071">
        <v>12.9</v>
      </c>
      <c r="X3071">
        <v>28.4</v>
      </c>
      <c r="Z3071" t="s">
        <v>97</v>
      </c>
      <c r="AA3071" t="s">
        <v>637</v>
      </c>
      <c r="AB3071" t="s">
        <v>59</v>
      </c>
      <c r="AC3071" t="s">
        <v>56</v>
      </c>
    </row>
    <row r="3072" spans="1:30" x14ac:dyDescent="0.25">
      <c r="A3072" s="4">
        <v>42592</v>
      </c>
      <c r="B3072" t="s">
        <v>30</v>
      </c>
      <c r="C3072">
        <v>801</v>
      </c>
      <c r="D3072">
        <v>6</v>
      </c>
      <c r="E3072">
        <v>2</v>
      </c>
      <c r="F3072" t="s">
        <v>320</v>
      </c>
      <c r="G3072" t="s">
        <v>32</v>
      </c>
      <c r="H3072" t="s">
        <v>33</v>
      </c>
      <c r="I3072" t="s">
        <v>34</v>
      </c>
      <c r="J3072" t="s">
        <v>35</v>
      </c>
      <c r="K3072" t="s">
        <v>36</v>
      </c>
      <c r="L3072" t="s">
        <v>37</v>
      </c>
      <c r="M3072">
        <v>0</v>
      </c>
      <c r="N3072">
        <v>0</v>
      </c>
      <c r="O3072" s="5" t="s">
        <v>603</v>
      </c>
      <c r="P3072" s="5" t="s">
        <v>604</v>
      </c>
      <c r="Q3072">
        <f>38-18</f>
        <v>20</v>
      </c>
      <c r="R3072" t="s">
        <v>164</v>
      </c>
      <c r="S3072" t="s">
        <v>97</v>
      </c>
      <c r="T3072">
        <v>18</v>
      </c>
      <c r="U3072">
        <v>101</v>
      </c>
      <c r="V3072">
        <v>16</v>
      </c>
      <c r="W3072">
        <v>12.8</v>
      </c>
      <c r="X3072">
        <v>28.3</v>
      </c>
      <c r="Z3072" t="s">
        <v>39</v>
      </c>
      <c r="AB3072" t="s">
        <v>59</v>
      </c>
      <c r="AC3072" t="s">
        <v>56</v>
      </c>
    </row>
    <row r="3073" spans="1:30" x14ac:dyDescent="0.25">
      <c r="A3073" s="4">
        <v>42592</v>
      </c>
      <c r="B3073" t="s">
        <v>30</v>
      </c>
      <c r="C3073">
        <v>801</v>
      </c>
      <c r="D3073">
        <v>7</v>
      </c>
      <c r="E3073">
        <v>1</v>
      </c>
      <c r="F3073" t="s">
        <v>320</v>
      </c>
      <c r="G3073" t="s">
        <v>32</v>
      </c>
      <c r="H3073" t="s">
        <v>33</v>
      </c>
      <c r="I3073" t="s">
        <v>91</v>
      </c>
      <c r="J3073" t="s">
        <v>42</v>
      </c>
      <c r="K3073" t="s">
        <v>36</v>
      </c>
      <c r="L3073" t="s">
        <v>37</v>
      </c>
      <c r="M3073">
        <v>0</v>
      </c>
      <c r="N3073">
        <v>1</v>
      </c>
      <c r="O3073" s="5" t="s">
        <v>638</v>
      </c>
      <c r="P3073" s="5"/>
      <c r="Q3073">
        <f>35-18</f>
        <v>17</v>
      </c>
      <c r="R3073" t="s">
        <v>38</v>
      </c>
      <c r="S3073" t="s">
        <v>39</v>
      </c>
      <c r="T3073">
        <v>28.5</v>
      </c>
      <c r="W3073">
        <v>12.9</v>
      </c>
      <c r="X3073">
        <v>26</v>
      </c>
      <c r="Y3073" t="s">
        <v>639</v>
      </c>
      <c r="Z3073" t="s">
        <v>97</v>
      </c>
      <c r="AA3073" t="s">
        <v>640</v>
      </c>
      <c r="AB3073" t="s">
        <v>59</v>
      </c>
      <c r="AC3073" t="s">
        <v>56</v>
      </c>
    </row>
    <row r="3074" spans="1:30" x14ac:dyDescent="0.25">
      <c r="A3074" s="4">
        <v>42592</v>
      </c>
      <c r="B3074" t="s">
        <v>30</v>
      </c>
      <c r="C3074">
        <v>801</v>
      </c>
      <c r="D3074">
        <v>7</v>
      </c>
      <c r="E3074">
        <v>2</v>
      </c>
      <c r="F3074" t="s">
        <v>320</v>
      </c>
      <c r="G3074" t="s">
        <v>32</v>
      </c>
      <c r="H3074" t="s">
        <v>33</v>
      </c>
      <c r="I3074" t="s">
        <v>73</v>
      </c>
      <c r="J3074" t="s">
        <v>35</v>
      </c>
      <c r="K3074" t="s">
        <v>36</v>
      </c>
      <c r="L3074" t="s">
        <v>43</v>
      </c>
      <c r="M3074">
        <v>0</v>
      </c>
      <c r="N3074">
        <v>0</v>
      </c>
      <c r="O3074" s="5"/>
      <c r="P3074" s="5" t="s">
        <v>605</v>
      </c>
      <c r="Q3074">
        <f>142-46</f>
        <v>96</v>
      </c>
      <c r="R3074" t="s">
        <v>65</v>
      </c>
      <c r="T3074">
        <v>33</v>
      </c>
      <c r="W3074">
        <v>22</v>
      </c>
      <c r="X3074">
        <v>41.8</v>
      </c>
      <c r="Z3074" t="s">
        <v>97</v>
      </c>
      <c r="AA3074" t="s">
        <v>199</v>
      </c>
      <c r="AB3074" t="s">
        <v>59</v>
      </c>
      <c r="AC3074" t="s">
        <v>56</v>
      </c>
      <c r="AD3074" t="s">
        <v>497</v>
      </c>
    </row>
    <row r="3075" spans="1:30" x14ac:dyDescent="0.25">
      <c r="A3075" s="4">
        <v>42592</v>
      </c>
      <c r="B3075" t="s">
        <v>30</v>
      </c>
      <c r="C3075">
        <v>801</v>
      </c>
      <c r="D3075">
        <v>8</v>
      </c>
      <c r="E3075">
        <v>1</v>
      </c>
      <c r="F3075" t="s">
        <v>320</v>
      </c>
      <c r="G3075" t="s">
        <v>32</v>
      </c>
      <c r="H3075" t="s">
        <v>33</v>
      </c>
      <c r="I3075" t="s">
        <v>57</v>
      </c>
      <c r="O3075" s="5"/>
      <c r="P3075" s="5"/>
    </row>
    <row r="3076" spans="1:30" x14ac:dyDescent="0.25">
      <c r="A3076" s="4">
        <v>42592</v>
      </c>
      <c r="B3076" t="s">
        <v>30</v>
      </c>
      <c r="C3076">
        <v>801</v>
      </c>
      <c r="D3076">
        <v>9</v>
      </c>
      <c r="E3076">
        <v>1</v>
      </c>
      <c r="F3076" t="s">
        <v>320</v>
      </c>
      <c r="G3076" t="s">
        <v>32</v>
      </c>
      <c r="H3076" t="s">
        <v>33</v>
      </c>
      <c r="I3076" t="s">
        <v>91</v>
      </c>
      <c r="J3076" t="s">
        <v>35</v>
      </c>
      <c r="K3076" t="s">
        <v>36</v>
      </c>
      <c r="L3076" t="s">
        <v>43</v>
      </c>
      <c r="M3076">
        <v>0</v>
      </c>
      <c r="N3076">
        <v>0</v>
      </c>
      <c r="O3076" s="5" t="s">
        <v>641</v>
      </c>
      <c r="P3076" s="5"/>
      <c r="Q3076">
        <f>37-15</f>
        <v>22</v>
      </c>
      <c r="R3076" t="s">
        <v>47</v>
      </c>
      <c r="T3076">
        <v>29</v>
      </c>
      <c r="W3076">
        <v>12.9</v>
      </c>
      <c r="X3076">
        <v>25.7</v>
      </c>
      <c r="Z3076" t="s">
        <v>97</v>
      </c>
      <c r="AA3076" t="s">
        <v>199</v>
      </c>
      <c r="AB3076" t="s">
        <v>59</v>
      </c>
      <c r="AC3076" t="s">
        <v>56</v>
      </c>
    </row>
    <row r="3077" spans="1:30" x14ac:dyDescent="0.25">
      <c r="A3077" s="4">
        <v>42592</v>
      </c>
      <c r="B3077" t="s">
        <v>30</v>
      </c>
      <c r="C3077">
        <v>801</v>
      </c>
      <c r="D3077">
        <v>9</v>
      </c>
      <c r="E3077">
        <v>2</v>
      </c>
      <c r="F3077" t="s">
        <v>320</v>
      </c>
      <c r="G3077" t="s">
        <v>32</v>
      </c>
      <c r="H3077" t="s">
        <v>33</v>
      </c>
      <c r="I3077" t="s">
        <v>58</v>
      </c>
      <c r="J3077" t="s">
        <v>122</v>
      </c>
      <c r="O3077" s="5"/>
      <c r="P3077" s="5"/>
    </row>
    <row r="3078" spans="1:30" x14ac:dyDescent="0.25">
      <c r="A3078" s="4">
        <v>42592</v>
      </c>
      <c r="B3078" t="s">
        <v>30</v>
      </c>
      <c r="C3078">
        <v>801</v>
      </c>
      <c r="D3078">
        <v>10</v>
      </c>
      <c r="E3078">
        <v>1</v>
      </c>
      <c r="F3078" t="s">
        <v>320</v>
      </c>
      <c r="G3078" t="s">
        <v>32</v>
      </c>
      <c r="H3078" t="s">
        <v>33</v>
      </c>
      <c r="I3078" t="s">
        <v>70</v>
      </c>
      <c r="J3078" t="s">
        <v>123</v>
      </c>
      <c r="O3078" s="5"/>
      <c r="P3078" s="5"/>
    </row>
    <row r="3079" spans="1:30" x14ac:dyDescent="0.25">
      <c r="A3079" s="4">
        <v>42592</v>
      </c>
      <c r="B3079" t="s">
        <v>30</v>
      </c>
      <c r="C3079">
        <v>801</v>
      </c>
      <c r="D3079">
        <v>10</v>
      </c>
      <c r="E3079">
        <v>2</v>
      </c>
      <c r="F3079" t="s">
        <v>320</v>
      </c>
      <c r="G3079" t="s">
        <v>32</v>
      </c>
      <c r="H3079" t="s">
        <v>33</v>
      </c>
      <c r="I3079" t="s">
        <v>73</v>
      </c>
      <c r="J3079" t="s">
        <v>35</v>
      </c>
      <c r="K3079" t="s">
        <v>36</v>
      </c>
      <c r="L3079" t="s">
        <v>43</v>
      </c>
      <c r="M3079">
        <v>0</v>
      </c>
      <c r="N3079">
        <v>0</v>
      </c>
      <c r="O3079" s="5" t="s">
        <v>642</v>
      </c>
      <c r="P3079" s="5"/>
      <c r="Q3079">
        <f>136-46</f>
        <v>90</v>
      </c>
      <c r="R3079" t="s">
        <v>65</v>
      </c>
      <c r="T3079">
        <v>30</v>
      </c>
      <c r="W3079">
        <v>21.5</v>
      </c>
      <c r="X3079">
        <v>41</v>
      </c>
      <c r="Z3079" t="s">
        <v>97</v>
      </c>
      <c r="AA3079" t="s">
        <v>199</v>
      </c>
      <c r="AB3079" t="s">
        <v>59</v>
      </c>
      <c r="AC3079" t="s">
        <v>56</v>
      </c>
      <c r="AD3079" t="s">
        <v>643</v>
      </c>
    </row>
    <row r="3080" spans="1:30" x14ac:dyDescent="0.25">
      <c r="A3080" s="4">
        <v>42592</v>
      </c>
      <c r="B3080" t="s">
        <v>30</v>
      </c>
      <c r="C3080">
        <v>803</v>
      </c>
      <c r="D3080">
        <v>10</v>
      </c>
      <c r="E3080">
        <v>1</v>
      </c>
      <c r="F3080" t="s">
        <v>320</v>
      </c>
      <c r="G3080" t="s">
        <v>32</v>
      </c>
      <c r="H3080" t="s">
        <v>33</v>
      </c>
      <c r="I3080" t="s">
        <v>34</v>
      </c>
      <c r="J3080" t="s">
        <v>42</v>
      </c>
      <c r="K3080" t="s">
        <v>89</v>
      </c>
      <c r="L3080" t="s">
        <v>43</v>
      </c>
      <c r="M3080">
        <v>0</v>
      </c>
      <c r="N3080">
        <v>1</v>
      </c>
      <c r="O3080" s="5" t="s">
        <v>644</v>
      </c>
      <c r="P3080" s="5" t="s">
        <v>645</v>
      </c>
      <c r="Q3080">
        <f>24-14</f>
        <v>10</v>
      </c>
      <c r="R3080" t="s">
        <v>65</v>
      </c>
      <c r="T3080">
        <v>18</v>
      </c>
      <c r="U3080">
        <v>100</v>
      </c>
      <c r="V3080">
        <v>14</v>
      </c>
      <c r="W3080">
        <v>12.5</v>
      </c>
      <c r="X3080">
        <v>24.1</v>
      </c>
      <c r="Z3080" t="s">
        <v>97</v>
      </c>
      <c r="AA3080" t="s">
        <v>199</v>
      </c>
      <c r="AB3080" t="s">
        <v>59</v>
      </c>
      <c r="AC3080" t="s">
        <v>56</v>
      </c>
    </row>
    <row r="3081" spans="1:30" x14ac:dyDescent="0.25">
      <c r="A3081" s="4">
        <v>42592</v>
      </c>
      <c r="B3081" t="s">
        <v>30</v>
      </c>
      <c r="C3081">
        <v>803</v>
      </c>
      <c r="D3081">
        <v>9</v>
      </c>
      <c r="E3081">
        <v>1</v>
      </c>
      <c r="F3081" t="s">
        <v>320</v>
      </c>
      <c r="G3081" t="s">
        <v>32</v>
      </c>
      <c r="H3081" t="s">
        <v>33</v>
      </c>
      <c r="I3081" t="s">
        <v>34</v>
      </c>
      <c r="J3081" t="s">
        <v>42</v>
      </c>
      <c r="K3081" t="s">
        <v>114</v>
      </c>
      <c r="L3081" t="s">
        <v>43</v>
      </c>
      <c r="M3081">
        <v>0</v>
      </c>
      <c r="N3081">
        <v>1</v>
      </c>
      <c r="O3081" s="5" t="s">
        <v>646</v>
      </c>
      <c r="P3081" s="5" t="s">
        <v>647</v>
      </c>
      <c r="Q3081">
        <f>35-18</f>
        <v>17</v>
      </c>
      <c r="R3081" t="s">
        <v>65</v>
      </c>
      <c r="T3081">
        <v>18.5</v>
      </c>
      <c r="U3081">
        <v>84</v>
      </c>
      <c r="V3081">
        <v>16</v>
      </c>
      <c r="W3081">
        <v>12.5</v>
      </c>
      <c r="X3081">
        <v>26.6</v>
      </c>
      <c r="Z3081" t="s">
        <v>39</v>
      </c>
      <c r="AB3081" t="s">
        <v>59</v>
      </c>
      <c r="AC3081" t="s">
        <v>56</v>
      </c>
      <c r="AD3081" t="s">
        <v>648</v>
      </c>
    </row>
    <row r="3082" spans="1:30" x14ac:dyDescent="0.25">
      <c r="A3082" s="4">
        <v>42592</v>
      </c>
      <c r="B3082" t="s">
        <v>30</v>
      </c>
      <c r="C3082">
        <v>803</v>
      </c>
      <c r="D3082">
        <v>9</v>
      </c>
      <c r="E3082">
        <v>2</v>
      </c>
      <c r="F3082" t="s">
        <v>320</v>
      </c>
      <c r="G3082" t="s">
        <v>32</v>
      </c>
      <c r="H3082" t="s">
        <v>33</v>
      </c>
      <c r="I3082" t="s">
        <v>91</v>
      </c>
      <c r="J3082" t="s">
        <v>35</v>
      </c>
      <c r="K3082" t="s">
        <v>36</v>
      </c>
      <c r="L3082" t="s">
        <v>37</v>
      </c>
      <c r="M3082">
        <v>0</v>
      </c>
      <c r="N3082">
        <v>0</v>
      </c>
      <c r="O3082" s="5" t="s">
        <v>649</v>
      </c>
      <c r="P3082" s="5"/>
      <c r="Q3082">
        <f>46-27</f>
        <v>19</v>
      </c>
      <c r="R3082" t="s">
        <v>74</v>
      </c>
      <c r="S3082" t="s">
        <v>97</v>
      </c>
      <c r="T3082">
        <v>29</v>
      </c>
      <c r="W3082">
        <v>12.5</v>
      </c>
      <c r="X3082">
        <v>25.9</v>
      </c>
      <c r="Z3082" t="s">
        <v>97</v>
      </c>
      <c r="AA3082" t="s">
        <v>199</v>
      </c>
      <c r="AB3082" t="s">
        <v>59</v>
      </c>
      <c r="AC3082" t="s">
        <v>56</v>
      </c>
    </row>
    <row r="3083" spans="1:30" x14ac:dyDescent="0.25">
      <c r="A3083" s="4">
        <v>42592</v>
      </c>
      <c r="B3083" t="s">
        <v>30</v>
      </c>
      <c r="C3083">
        <v>803</v>
      </c>
      <c r="D3083">
        <v>8</v>
      </c>
      <c r="E3083">
        <v>1</v>
      </c>
      <c r="F3083" t="s">
        <v>320</v>
      </c>
      <c r="G3083" t="s">
        <v>32</v>
      </c>
      <c r="H3083" t="s">
        <v>33</v>
      </c>
      <c r="I3083" t="s">
        <v>53</v>
      </c>
      <c r="J3083" t="s">
        <v>62</v>
      </c>
      <c r="O3083" s="5"/>
      <c r="P3083" s="5"/>
    </row>
    <row r="3084" spans="1:30" x14ac:dyDescent="0.25">
      <c r="A3084" s="4">
        <v>42592</v>
      </c>
      <c r="B3084" t="s">
        <v>30</v>
      </c>
      <c r="C3084">
        <v>803</v>
      </c>
      <c r="D3084">
        <v>8</v>
      </c>
      <c r="E3084">
        <v>2</v>
      </c>
      <c r="F3084" t="s">
        <v>320</v>
      </c>
      <c r="G3084" t="s">
        <v>32</v>
      </c>
      <c r="H3084" t="s">
        <v>33</v>
      </c>
      <c r="I3084" t="s">
        <v>57</v>
      </c>
      <c r="O3084" s="5"/>
      <c r="P3084" s="5"/>
    </row>
    <row r="3085" spans="1:30" x14ac:dyDescent="0.25">
      <c r="A3085" s="4">
        <v>42592</v>
      </c>
      <c r="B3085" t="s">
        <v>30</v>
      </c>
      <c r="C3085">
        <v>803</v>
      </c>
      <c r="D3085">
        <v>7</v>
      </c>
      <c r="E3085">
        <v>1</v>
      </c>
      <c r="F3085" t="s">
        <v>320</v>
      </c>
      <c r="G3085" t="s">
        <v>32</v>
      </c>
      <c r="H3085" t="s">
        <v>33</v>
      </c>
      <c r="I3085" t="s">
        <v>91</v>
      </c>
      <c r="J3085" t="s">
        <v>42</v>
      </c>
      <c r="K3085" t="s">
        <v>36</v>
      </c>
      <c r="L3085" t="s">
        <v>43</v>
      </c>
      <c r="M3085">
        <v>0</v>
      </c>
      <c r="N3085">
        <v>1</v>
      </c>
      <c r="O3085" s="5" t="s">
        <v>650</v>
      </c>
      <c r="P3085" s="5"/>
      <c r="Q3085">
        <f>41-15</f>
        <v>26</v>
      </c>
      <c r="R3085" t="s">
        <v>47</v>
      </c>
      <c r="T3085">
        <v>30</v>
      </c>
      <c r="W3085">
        <v>12.9</v>
      </c>
      <c r="X3085">
        <v>26.5</v>
      </c>
      <c r="Z3085" t="s">
        <v>97</v>
      </c>
      <c r="AA3085" t="s">
        <v>199</v>
      </c>
      <c r="AB3085" t="s">
        <v>59</v>
      </c>
      <c r="AC3085" t="s">
        <v>56</v>
      </c>
    </row>
    <row r="3086" spans="1:30" x14ac:dyDescent="0.25">
      <c r="A3086" s="4">
        <v>42592</v>
      </c>
      <c r="B3086" t="s">
        <v>30</v>
      </c>
      <c r="C3086">
        <v>803</v>
      </c>
      <c r="D3086">
        <v>7</v>
      </c>
      <c r="E3086">
        <v>2</v>
      </c>
      <c r="F3086" t="s">
        <v>320</v>
      </c>
      <c r="G3086" t="s">
        <v>32</v>
      </c>
      <c r="H3086" t="s">
        <v>33</v>
      </c>
      <c r="I3086" t="s">
        <v>91</v>
      </c>
      <c r="J3086" t="s">
        <v>35</v>
      </c>
      <c r="K3086" t="s">
        <v>36</v>
      </c>
      <c r="L3086" t="s">
        <v>37</v>
      </c>
      <c r="M3086">
        <v>0</v>
      </c>
      <c r="N3086">
        <v>0</v>
      </c>
      <c r="O3086" s="5"/>
      <c r="P3086" s="5" t="s">
        <v>651</v>
      </c>
      <c r="Q3086">
        <f>46-14.5</f>
        <v>31.5</v>
      </c>
      <c r="R3086" t="s">
        <v>120</v>
      </c>
      <c r="S3086" t="s">
        <v>39</v>
      </c>
      <c r="Z3086" t="s">
        <v>39</v>
      </c>
      <c r="AB3086" t="s">
        <v>59</v>
      </c>
      <c r="AC3086" t="s">
        <v>56</v>
      </c>
    </row>
    <row r="3087" spans="1:30" x14ac:dyDescent="0.25">
      <c r="A3087" s="4">
        <v>42592</v>
      </c>
      <c r="B3087" t="s">
        <v>30</v>
      </c>
      <c r="C3087">
        <v>803</v>
      </c>
      <c r="D3087">
        <v>6</v>
      </c>
      <c r="E3087">
        <v>1</v>
      </c>
      <c r="F3087" t="s">
        <v>320</v>
      </c>
      <c r="G3087" t="s">
        <v>32</v>
      </c>
      <c r="H3087" t="s">
        <v>33</v>
      </c>
      <c r="I3087" t="s">
        <v>58</v>
      </c>
      <c r="J3087" t="s">
        <v>42</v>
      </c>
      <c r="K3087" t="s">
        <v>114</v>
      </c>
      <c r="L3087" t="s">
        <v>43</v>
      </c>
      <c r="M3087">
        <v>0</v>
      </c>
      <c r="N3087">
        <v>1</v>
      </c>
      <c r="O3087" s="5" t="s">
        <v>652</v>
      </c>
      <c r="P3087" s="5"/>
      <c r="Q3087">
        <f>34-16</f>
        <v>18</v>
      </c>
      <c r="R3087" t="s">
        <v>47</v>
      </c>
      <c r="T3087">
        <v>17</v>
      </c>
      <c r="W3087">
        <v>12.5</v>
      </c>
      <c r="X3087">
        <v>26.6</v>
      </c>
      <c r="Z3087" t="s">
        <v>97</v>
      </c>
      <c r="AA3087" t="s">
        <v>199</v>
      </c>
      <c r="AB3087" t="s">
        <v>59</v>
      </c>
      <c r="AC3087" t="s">
        <v>56</v>
      </c>
    </row>
    <row r="3088" spans="1:30" x14ac:dyDescent="0.25">
      <c r="A3088" s="4">
        <v>42592</v>
      </c>
      <c r="B3088" t="s">
        <v>30</v>
      </c>
      <c r="C3088">
        <v>803</v>
      </c>
      <c r="D3088">
        <v>5</v>
      </c>
      <c r="E3088">
        <v>1</v>
      </c>
      <c r="F3088" t="s">
        <v>320</v>
      </c>
      <c r="G3088" t="s">
        <v>32</v>
      </c>
      <c r="H3088" t="s">
        <v>33</v>
      </c>
      <c r="I3088" t="s">
        <v>91</v>
      </c>
      <c r="J3088" t="s">
        <v>42</v>
      </c>
      <c r="K3088" t="s">
        <v>36</v>
      </c>
      <c r="L3088" t="s">
        <v>37</v>
      </c>
      <c r="M3088">
        <v>0</v>
      </c>
      <c r="N3088">
        <v>1</v>
      </c>
      <c r="O3088" s="5" t="s">
        <v>653</v>
      </c>
      <c r="P3088" s="5"/>
      <c r="Q3088">
        <f>39-17</f>
        <v>22</v>
      </c>
      <c r="R3088" t="s">
        <v>74</v>
      </c>
      <c r="S3088" t="s">
        <v>97</v>
      </c>
      <c r="T3088">
        <v>28</v>
      </c>
      <c r="W3088">
        <v>12.9</v>
      </c>
      <c r="X3088">
        <v>26.1</v>
      </c>
      <c r="Z3088" t="s">
        <v>97</v>
      </c>
      <c r="AA3088" t="s">
        <v>199</v>
      </c>
      <c r="AB3088" t="s">
        <v>59</v>
      </c>
      <c r="AC3088" t="s">
        <v>56</v>
      </c>
      <c r="AD3088" t="s">
        <v>654</v>
      </c>
    </row>
    <row r="3089" spans="1:34" x14ac:dyDescent="0.25">
      <c r="A3089" s="4">
        <v>42592</v>
      </c>
      <c r="B3089" t="s">
        <v>30</v>
      </c>
      <c r="C3089">
        <v>803</v>
      </c>
      <c r="D3089">
        <v>5</v>
      </c>
      <c r="E3089">
        <v>2</v>
      </c>
      <c r="F3089" t="s">
        <v>320</v>
      </c>
      <c r="G3089" t="s">
        <v>32</v>
      </c>
      <c r="H3089" t="s">
        <v>33</v>
      </c>
      <c r="I3089" t="s">
        <v>57</v>
      </c>
      <c r="O3089" s="5"/>
      <c r="P3089" s="5"/>
    </row>
    <row r="3090" spans="1:34" x14ac:dyDescent="0.25">
      <c r="A3090" s="4">
        <v>42592</v>
      </c>
      <c r="B3090" t="s">
        <v>30</v>
      </c>
      <c r="C3090">
        <v>803</v>
      </c>
      <c r="D3090">
        <v>4</v>
      </c>
      <c r="E3090">
        <v>1</v>
      </c>
      <c r="F3090" t="s">
        <v>320</v>
      </c>
      <c r="G3090" t="s">
        <v>32</v>
      </c>
      <c r="H3090" t="s">
        <v>33</v>
      </c>
      <c r="I3090" t="s">
        <v>57</v>
      </c>
      <c r="O3090" s="5"/>
      <c r="P3090" s="5"/>
    </row>
    <row r="3091" spans="1:34" x14ac:dyDescent="0.25">
      <c r="A3091" s="4">
        <v>42592</v>
      </c>
      <c r="B3091" t="s">
        <v>30</v>
      </c>
      <c r="C3091">
        <v>803</v>
      </c>
      <c r="D3091">
        <v>4</v>
      </c>
      <c r="E3091">
        <v>2</v>
      </c>
      <c r="F3091" t="s">
        <v>320</v>
      </c>
      <c r="G3091" t="s">
        <v>32</v>
      </c>
      <c r="H3091" t="s">
        <v>33</v>
      </c>
      <c r="I3091" t="s">
        <v>91</v>
      </c>
      <c r="J3091" t="s">
        <v>42</v>
      </c>
      <c r="K3091" t="s">
        <v>114</v>
      </c>
      <c r="L3091" t="s">
        <v>43</v>
      </c>
      <c r="M3091">
        <v>0</v>
      </c>
      <c r="N3091">
        <v>1</v>
      </c>
      <c r="O3091" s="5" t="s">
        <v>655</v>
      </c>
      <c r="P3091" s="5"/>
      <c r="Q3091">
        <f>32-15</f>
        <v>17</v>
      </c>
      <c r="R3091" t="s">
        <v>47</v>
      </c>
      <c r="T3091">
        <v>20</v>
      </c>
      <c r="W3091">
        <v>12.8</v>
      </c>
      <c r="X3091">
        <v>25.4</v>
      </c>
      <c r="Z3091" t="s">
        <v>97</v>
      </c>
      <c r="AA3091" t="s">
        <v>199</v>
      </c>
      <c r="AB3091" t="s">
        <v>59</v>
      </c>
      <c r="AC3091" t="s">
        <v>56</v>
      </c>
    </row>
    <row r="3092" spans="1:34" x14ac:dyDescent="0.25">
      <c r="A3092" s="4">
        <v>42592</v>
      </c>
      <c r="B3092" t="s">
        <v>30</v>
      </c>
      <c r="C3092">
        <v>803</v>
      </c>
      <c r="D3092">
        <v>3</v>
      </c>
      <c r="E3092">
        <v>1</v>
      </c>
      <c r="F3092" t="s">
        <v>320</v>
      </c>
      <c r="G3092" t="s">
        <v>32</v>
      </c>
      <c r="H3092" t="s">
        <v>33</v>
      </c>
      <c r="I3092" t="s">
        <v>34</v>
      </c>
      <c r="J3092" t="s">
        <v>35</v>
      </c>
      <c r="K3092" t="s">
        <v>89</v>
      </c>
      <c r="L3092" t="s">
        <v>37</v>
      </c>
      <c r="M3092">
        <v>0</v>
      </c>
      <c r="N3092">
        <v>0</v>
      </c>
      <c r="O3092" s="5" t="s">
        <v>608</v>
      </c>
      <c r="P3092" s="5" t="s">
        <v>609</v>
      </c>
      <c r="Q3092">
        <f>28-16</f>
        <v>12</v>
      </c>
      <c r="R3092" t="s">
        <v>38</v>
      </c>
      <c r="S3092" t="s">
        <v>39</v>
      </c>
      <c r="Z3092" t="s">
        <v>97</v>
      </c>
      <c r="AA3092" t="s">
        <v>199</v>
      </c>
      <c r="AB3092" t="s">
        <v>59</v>
      </c>
      <c r="AC3092" t="s">
        <v>56</v>
      </c>
      <c r="AD3092" t="s">
        <v>437</v>
      </c>
    </row>
    <row r="3093" spans="1:34" x14ac:dyDescent="0.25">
      <c r="A3093" s="4">
        <v>42592</v>
      </c>
      <c r="B3093" t="s">
        <v>30</v>
      </c>
      <c r="C3093">
        <v>803</v>
      </c>
      <c r="D3093">
        <v>2</v>
      </c>
      <c r="E3093">
        <v>1</v>
      </c>
      <c r="F3093" t="s">
        <v>320</v>
      </c>
      <c r="G3093" t="s">
        <v>32</v>
      </c>
      <c r="H3093" t="s">
        <v>33</v>
      </c>
      <c r="I3093" t="s">
        <v>73</v>
      </c>
      <c r="J3093" t="s">
        <v>35</v>
      </c>
      <c r="O3093" s="5" t="s">
        <v>656</v>
      </c>
      <c r="P3093" s="5"/>
      <c r="AB3093" t="s">
        <v>59</v>
      </c>
      <c r="AC3093" t="s">
        <v>56</v>
      </c>
      <c r="AD3093" t="s">
        <v>437</v>
      </c>
    </row>
    <row r="3094" spans="1:34" x14ac:dyDescent="0.25">
      <c r="A3094" s="4">
        <v>42592</v>
      </c>
      <c r="B3094" t="s">
        <v>30</v>
      </c>
      <c r="C3094">
        <v>803</v>
      </c>
      <c r="D3094">
        <v>2</v>
      </c>
      <c r="E3094">
        <v>2</v>
      </c>
      <c r="F3094" t="s">
        <v>320</v>
      </c>
      <c r="G3094" t="s">
        <v>32</v>
      </c>
      <c r="H3094" t="s">
        <v>33</v>
      </c>
      <c r="I3094" t="s">
        <v>57</v>
      </c>
      <c r="O3094" s="5"/>
      <c r="P3094" s="5"/>
    </row>
    <row r="3095" spans="1:34" x14ac:dyDescent="0.25">
      <c r="A3095" s="4">
        <v>42592</v>
      </c>
      <c r="B3095" t="s">
        <v>30</v>
      </c>
      <c r="C3095">
        <v>803</v>
      </c>
      <c r="D3095">
        <v>1</v>
      </c>
      <c r="E3095">
        <v>1</v>
      </c>
      <c r="F3095" t="s">
        <v>320</v>
      </c>
      <c r="G3095" t="s">
        <v>32</v>
      </c>
      <c r="H3095" t="s">
        <v>33</v>
      </c>
      <c r="I3095" t="s">
        <v>57</v>
      </c>
      <c r="O3095" s="5"/>
      <c r="P3095" s="5"/>
    </row>
    <row r="3096" spans="1:34" x14ac:dyDescent="0.25">
      <c r="A3096" s="4">
        <v>42592</v>
      </c>
      <c r="B3096" t="s">
        <v>30</v>
      </c>
      <c r="C3096">
        <v>901</v>
      </c>
      <c r="D3096">
        <v>4</v>
      </c>
      <c r="E3096">
        <v>1</v>
      </c>
      <c r="F3096" t="s">
        <v>320</v>
      </c>
      <c r="G3096" t="s">
        <v>32</v>
      </c>
      <c r="H3096" t="s">
        <v>33</v>
      </c>
      <c r="I3096" t="s">
        <v>53</v>
      </c>
      <c r="J3096" t="s">
        <v>62</v>
      </c>
      <c r="O3096" s="5"/>
      <c r="P3096" s="5"/>
    </row>
    <row r="3097" spans="1:34" x14ac:dyDescent="0.25">
      <c r="A3097" s="4">
        <v>42592</v>
      </c>
      <c r="B3097" t="s">
        <v>30</v>
      </c>
      <c r="C3097">
        <v>901</v>
      </c>
      <c r="D3097">
        <v>6</v>
      </c>
      <c r="E3097">
        <v>1</v>
      </c>
      <c r="F3097" t="s">
        <v>320</v>
      </c>
      <c r="G3097" t="s">
        <v>32</v>
      </c>
      <c r="H3097" t="s">
        <v>33</v>
      </c>
      <c r="I3097" t="s">
        <v>34</v>
      </c>
      <c r="J3097" t="s">
        <v>35</v>
      </c>
      <c r="O3097" s="5" t="s">
        <v>104</v>
      </c>
      <c r="P3097" s="5" t="s">
        <v>171</v>
      </c>
      <c r="AB3097" t="s">
        <v>59</v>
      </c>
      <c r="AC3097" t="s">
        <v>56</v>
      </c>
      <c r="AD3097" t="s">
        <v>657</v>
      </c>
      <c r="AH3097" t="s">
        <v>611</v>
      </c>
    </row>
    <row r="3098" spans="1:34" x14ac:dyDescent="0.25">
      <c r="A3098" s="4">
        <v>42592</v>
      </c>
      <c r="B3098" t="s">
        <v>30</v>
      </c>
      <c r="C3098">
        <v>501</v>
      </c>
      <c r="D3098">
        <v>1</v>
      </c>
      <c r="E3098">
        <v>1</v>
      </c>
      <c r="F3098" t="s">
        <v>31</v>
      </c>
      <c r="G3098" t="s">
        <v>32</v>
      </c>
      <c r="H3098" t="s">
        <v>33</v>
      </c>
      <c r="I3098" t="s">
        <v>57</v>
      </c>
      <c r="O3098" s="5"/>
      <c r="P3098" s="5"/>
    </row>
    <row r="3099" spans="1:34" x14ac:dyDescent="0.25">
      <c r="A3099" s="4">
        <v>42592</v>
      </c>
      <c r="B3099" t="s">
        <v>30</v>
      </c>
      <c r="C3099">
        <v>501</v>
      </c>
      <c r="D3099">
        <v>2</v>
      </c>
      <c r="E3099">
        <v>1</v>
      </c>
      <c r="F3099" t="s">
        <v>31</v>
      </c>
      <c r="G3099" t="s">
        <v>32</v>
      </c>
      <c r="H3099" t="s">
        <v>33</v>
      </c>
      <c r="I3099" t="s">
        <v>57</v>
      </c>
      <c r="O3099" s="5"/>
      <c r="P3099" s="5"/>
    </row>
    <row r="3100" spans="1:34" x14ac:dyDescent="0.25">
      <c r="A3100" s="4">
        <v>42592</v>
      </c>
      <c r="B3100" t="s">
        <v>30</v>
      </c>
      <c r="C3100">
        <v>501</v>
      </c>
      <c r="D3100">
        <v>2</v>
      </c>
      <c r="E3100">
        <v>2</v>
      </c>
      <c r="F3100" t="s">
        <v>31</v>
      </c>
      <c r="G3100" t="s">
        <v>32</v>
      </c>
      <c r="H3100" t="s">
        <v>33</v>
      </c>
      <c r="I3100" t="s">
        <v>73</v>
      </c>
      <c r="J3100" t="s">
        <v>35</v>
      </c>
      <c r="K3100" t="s">
        <v>89</v>
      </c>
      <c r="L3100" t="s">
        <v>37</v>
      </c>
      <c r="M3100">
        <v>0</v>
      </c>
      <c r="N3100">
        <v>0</v>
      </c>
      <c r="O3100" s="5" t="s">
        <v>658</v>
      </c>
      <c r="P3100" s="5"/>
      <c r="Q3100">
        <f>155-90</f>
        <v>65</v>
      </c>
      <c r="R3100" t="s">
        <v>38</v>
      </c>
      <c r="S3100" t="s">
        <v>39</v>
      </c>
      <c r="T3100">
        <v>28</v>
      </c>
      <c r="W3100">
        <v>20.9</v>
      </c>
      <c r="X3100">
        <v>41.5</v>
      </c>
      <c r="Z3100" t="s">
        <v>39</v>
      </c>
      <c r="AB3100" t="s">
        <v>40</v>
      </c>
      <c r="AC3100" t="s">
        <v>56</v>
      </c>
    </row>
    <row r="3101" spans="1:34" x14ac:dyDescent="0.25">
      <c r="A3101" s="4">
        <v>42592</v>
      </c>
      <c r="B3101" t="s">
        <v>30</v>
      </c>
      <c r="C3101">
        <v>501</v>
      </c>
      <c r="D3101">
        <v>3</v>
      </c>
      <c r="E3101">
        <v>1</v>
      </c>
      <c r="F3101" t="s">
        <v>31</v>
      </c>
      <c r="G3101" t="s">
        <v>32</v>
      </c>
      <c r="H3101" t="s">
        <v>33</v>
      </c>
      <c r="I3101" t="s">
        <v>57</v>
      </c>
      <c r="O3101" s="5"/>
      <c r="P3101" s="5"/>
    </row>
    <row r="3102" spans="1:34" x14ac:dyDescent="0.25">
      <c r="A3102" s="4">
        <v>42592</v>
      </c>
      <c r="B3102" t="s">
        <v>30</v>
      </c>
      <c r="C3102">
        <v>501</v>
      </c>
      <c r="D3102">
        <v>3</v>
      </c>
      <c r="E3102">
        <v>2</v>
      </c>
      <c r="F3102" t="s">
        <v>31</v>
      </c>
      <c r="G3102" t="s">
        <v>32</v>
      </c>
      <c r="H3102" t="s">
        <v>33</v>
      </c>
      <c r="I3102" t="s">
        <v>34</v>
      </c>
      <c r="J3102" t="s">
        <v>35</v>
      </c>
      <c r="K3102" t="s">
        <v>114</v>
      </c>
      <c r="L3102" t="s">
        <v>43</v>
      </c>
      <c r="M3102">
        <v>0</v>
      </c>
      <c r="N3102">
        <v>0</v>
      </c>
      <c r="O3102" s="5" t="s">
        <v>546</v>
      </c>
      <c r="P3102" s="5" t="s">
        <v>547</v>
      </c>
      <c r="R3102" t="s">
        <v>65</v>
      </c>
      <c r="T3102">
        <v>20</v>
      </c>
      <c r="U3102">
        <v>82</v>
      </c>
      <c r="V3102">
        <v>16</v>
      </c>
      <c r="W3102">
        <v>13.5</v>
      </c>
      <c r="X3102">
        <v>27.2</v>
      </c>
      <c r="Z3102" t="s">
        <v>97</v>
      </c>
      <c r="AB3102" t="s">
        <v>40</v>
      </c>
      <c r="AC3102" t="s">
        <v>56</v>
      </c>
    </row>
    <row r="3103" spans="1:34" x14ac:dyDescent="0.25">
      <c r="A3103" s="4">
        <v>42592</v>
      </c>
      <c r="B3103" t="s">
        <v>30</v>
      </c>
      <c r="C3103">
        <v>501</v>
      </c>
      <c r="D3103">
        <v>4</v>
      </c>
      <c r="E3103">
        <v>1</v>
      </c>
      <c r="F3103" t="s">
        <v>31</v>
      </c>
      <c r="G3103" t="s">
        <v>32</v>
      </c>
      <c r="H3103" t="s">
        <v>33</v>
      </c>
      <c r="I3103" t="s">
        <v>57</v>
      </c>
      <c r="O3103" s="5"/>
      <c r="P3103" s="5"/>
    </row>
    <row r="3104" spans="1:34" x14ac:dyDescent="0.25">
      <c r="A3104" s="4">
        <v>42592</v>
      </c>
      <c r="B3104" t="s">
        <v>30</v>
      </c>
      <c r="C3104">
        <v>501</v>
      </c>
      <c r="D3104">
        <v>5</v>
      </c>
      <c r="E3104">
        <v>1</v>
      </c>
      <c r="F3104" t="s">
        <v>31</v>
      </c>
      <c r="G3104" t="s">
        <v>32</v>
      </c>
      <c r="H3104" t="s">
        <v>33</v>
      </c>
      <c r="I3104" t="s">
        <v>53</v>
      </c>
      <c r="J3104" t="s">
        <v>62</v>
      </c>
      <c r="O3104" s="5"/>
      <c r="P3104" s="5"/>
      <c r="AB3104" t="s">
        <v>40</v>
      </c>
      <c r="AC3104" t="s">
        <v>56</v>
      </c>
      <c r="AD3104" t="s">
        <v>659</v>
      </c>
    </row>
    <row r="3105" spans="1:29" x14ac:dyDescent="0.25">
      <c r="A3105" s="4">
        <v>42592</v>
      </c>
      <c r="B3105" t="s">
        <v>30</v>
      </c>
      <c r="C3105">
        <v>501</v>
      </c>
      <c r="D3105">
        <v>5</v>
      </c>
      <c r="E3105">
        <v>2</v>
      </c>
      <c r="F3105" t="s">
        <v>31</v>
      </c>
      <c r="G3105" t="s">
        <v>32</v>
      </c>
      <c r="H3105" t="s">
        <v>33</v>
      </c>
      <c r="I3105" t="s">
        <v>57</v>
      </c>
      <c r="O3105" s="5"/>
      <c r="P3105" s="5"/>
    </row>
    <row r="3106" spans="1:29" x14ac:dyDescent="0.25">
      <c r="A3106" s="4">
        <v>42592</v>
      </c>
      <c r="B3106" t="s">
        <v>30</v>
      </c>
      <c r="C3106">
        <v>501</v>
      </c>
      <c r="D3106">
        <v>6</v>
      </c>
      <c r="E3106">
        <v>1</v>
      </c>
      <c r="F3106" t="s">
        <v>31</v>
      </c>
      <c r="G3106" t="s">
        <v>32</v>
      </c>
      <c r="H3106" t="s">
        <v>33</v>
      </c>
      <c r="I3106" t="s">
        <v>57</v>
      </c>
      <c r="O3106" s="5"/>
      <c r="P3106" s="5"/>
    </row>
    <row r="3107" spans="1:29" x14ac:dyDescent="0.25">
      <c r="A3107" s="4">
        <v>42592</v>
      </c>
      <c r="B3107" t="s">
        <v>30</v>
      </c>
      <c r="C3107">
        <v>501</v>
      </c>
      <c r="D3107">
        <v>7</v>
      </c>
      <c r="E3107">
        <v>1</v>
      </c>
      <c r="F3107" t="s">
        <v>31</v>
      </c>
      <c r="G3107" t="s">
        <v>32</v>
      </c>
      <c r="H3107" t="s">
        <v>33</v>
      </c>
      <c r="I3107" t="s">
        <v>57</v>
      </c>
      <c r="O3107" s="5"/>
      <c r="P3107" s="5"/>
    </row>
    <row r="3108" spans="1:29" x14ac:dyDescent="0.25">
      <c r="A3108" s="4">
        <v>42592</v>
      </c>
      <c r="B3108" t="s">
        <v>30</v>
      </c>
      <c r="C3108">
        <v>501</v>
      </c>
      <c r="D3108">
        <v>10</v>
      </c>
      <c r="E3108">
        <v>1</v>
      </c>
      <c r="F3108" t="s">
        <v>31</v>
      </c>
      <c r="G3108" t="s">
        <v>32</v>
      </c>
      <c r="H3108" t="s">
        <v>33</v>
      </c>
      <c r="I3108" t="s">
        <v>57</v>
      </c>
      <c r="O3108" s="5"/>
      <c r="P3108" s="5"/>
    </row>
    <row r="3109" spans="1:29" x14ac:dyDescent="0.25">
      <c r="A3109" s="4">
        <v>42592</v>
      </c>
      <c r="B3109" t="s">
        <v>30</v>
      </c>
      <c r="C3109">
        <v>501</v>
      </c>
      <c r="D3109">
        <v>10</v>
      </c>
      <c r="E3109">
        <v>2</v>
      </c>
      <c r="F3109" t="s">
        <v>31</v>
      </c>
      <c r="G3109" t="s">
        <v>32</v>
      </c>
      <c r="H3109" t="s">
        <v>33</v>
      </c>
      <c r="I3109" t="s">
        <v>58</v>
      </c>
      <c r="J3109" t="s">
        <v>35</v>
      </c>
      <c r="K3109" t="s">
        <v>36</v>
      </c>
      <c r="L3109" t="s">
        <v>37</v>
      </c>
      <c r="M3109">
        <v>0</v>
      </c>
      <c r="N3109">
        <v>0</v>
      </c>
      <c r="O3109" s="5" t="s">
        <v>272</v>
      </c>
      <c r="P3109" s="5"/>
      <c r="Q3109">
        <f>48-14.5</f>
        <v>33.5</v>
      </c>
      <c r="R3109" t="s">
        <v>149</v>
      </c>
      <c r="S3109" t="s">
        <v>97</v>
      </c>
      <c r="T3109">
        <v>19</v>
      </c>
      <c r="W3109">
        <v>13.4</v>
      </c>
      <c r="X3109">
        <v>31.6</v>
      </c>
      <c r="Z3109" t="s">
        <v>97</v>
      </c>
      <c r="AB3109" t="s">
        <v>40</v>
      </c>
      <c r="AC3109" t="s">
        <v>56</v>
      </c>
    </row>
    <row r="3110" spans="1:29" x14ac:dyDescent="0.25">
      <c r="A3110" s="4">
        <v>42592</v>
      </c>
      <c r="B3110" t="s">
        <v>30</v>
      </c>
      <c r="C3110">
        <v>503</v>
      </c>
      <c r="D3110">
        <v>1</v>
      </c>
      <c r="E3110">
        <v>1</v>
      </c>
      <c r="F3110" t="s">
        <v>31</v>
      </c>
      <c r="G3110" t="s">
        <v>32</v>
      </c>
      <c r="H3110" t="s">
        <v>33</v>
      </c>
      <c r="I3110" t="s">
        <v>53</v>
      </c>
      <c r="J3110" t="s">
        <v>62</v>
      </c>
      <c r="O3110" s="5"/>
      <c r="P3110" s="5"/>
    </row>
    <row r="3111" spans="1:29" x14ac:dyDescent="0.25">
      <c r="A3111" s="4">
        <v>42592</v>
      </c>
      <c r="B3111" t="s">
        <v>30</v>
      </c>
      <c r="C3111">
        <v>503</v>
      </c>
      <c r="D3111">
        <v>1</v>
      </c>
      <c r="E3111">
        <v>2</v>
      </c>
      <c r="F3111" t="s">
        <v>31</v>
      </c>
      <c r="G3111" t="s">
        <v>32</v>
      </c>
      <c r="H3111" t="s">
        <v>33</v>
      </c>
      <c r="I3111" t="s">
        <v>57</v>
      </c>
      <c r="O3111" s="5"/>
      <c r="P3111" s="5"/>
    </row>
    <row r="3112" spans="1:29" x14ac:dyDescent="0.25">
      <c r="A3112" s="4">
        <v>42592</v>
      </c>
      <c r="B3112" t="s">
        <v>30</v>
      </c>
      <c r="C3112">
        <v>503</v>
      </c>
      <c r="D3112">
        <v>2</v>
      </c>
      <c r="E3112">
        <v>1</v>
      </c>
      <c r="F3112" t="s">
        <v>31</v>
      </c>
      <c r="G3112" t="s">
        <v>32</v>
      </c>
      <c r="H3112" t="s">
        <v>33</v>
      </c>
      <c r="I3112" t="s">
        <v>91</v>
      </c>
      <c r="J3112" t="s">
        <v>42</v>
      </c>
      <c r="K3112" t="s">
        <v>36</v>
      </c>
      <c r="L3112" t="s">
        <v>37</v>
      </c>
      <c r="M3112">
        <v>0</v>
      </c>
      <c r="N3112">
        <v>1</v>
      </c>
      <c r="O3112" s="5" t="s">
        <v>660</v>
      </c>
      <c r="P3112" s="5"/>
      <c r="Q3112">
        <f>34-12.5</f>
        <v>21.5</v>
      </c>
      <c r="R3112" t="s">
        <v>38</v>
      </c>
      <c r="S3112" t="s">
        <v>39</v>
      </c>
      <c r="T3112">
        <v>30</v>
      </c>
      <c r="W3112">
        <v>13.2</v>
      </c>
      <c r="X3112">
        <v>26.5</v>
      </c>
      <c r="Z3112" t="s">
        <v>39</v>
      </c>
      <c r="AB3112" t="s">
        <v>40</v>
      </c>
      <c r="AC3112" t="s">
        <v>56</v>
      </c>
    </row>
    <row r="3113" spans="1:29" x14ac:dyDescent="0.25">
      <c r="A3113" s="4">
        <v>42592</v>
      </c>
      <c r="B3113" t="s">
        <v>30</v>
      </c>
      <c r="C3113">
        <v>503</v>
      </c>
      <c r="D3113">
        <v>2</v>
      </c>
      <c r="E3113">
        <v>2</v>
      </c>
      <c r="F3113" t="s">
        <v>31</v>
      </c>
      <c r="G3113" t="s">
        <v>32</v>
      </c>
      <c r="H3113" t="s">
        <v>33</v>
      </c>
      <c r="I3113" t="s">
        <v>73</v>
      </c>
      <c r="J3113" t="s">
        <v>35</v>
      </c>
      <c r="K3113" t="s">
        <v>36</v>
      </c>
      <c r="L3113" t="s">
        <v>37</v>
      </c>
      <c r="M3113">
        <v>0</v>
      </c>
      <c r="N3113">
        <v>0</v>
      </c>
      <c r="O3113" s="5" t="s">
        <v>554</v>
      </c>
      <c r="P3113" s="5"/>
      <c r="Q3113">
        <v>90</v>
      </c>
      <c r="R3113" t="s">
        <v>38</v>
      </c>
      <c r="S3113" t="s">
        <v>39</v>
      </c>
      <c r="T3113">
        <v>31</v>
      </c>
      <c r="W3113">
        <v>12.5</v>
      </c>
      <c r="X3113">
        <v>42.2</v>
      </c>
      <c r="Z3113" t="s">
        <v>39</v>
      </c>
      <c r="AB3113" t="s">
        <v>40</v>
      </c>
      <c r="AC3113" t="s">
        <v>56</v>
      </c>
    </row>
    <row r="3114" spans="1:29" x14ac:dyDescent="0.25">
      <c r="A3114" s="4">
        <v>42592</v>
      </c>
      <c r="B3114" t="s">
        <v>30</v>
      </c>
      <c r="C3114">
        <v>503</v>
      </c>
      <c r="D3114">
        <v>3</v>
      </c>
      <c r="E3114">
        <v>1</v>
      </c>
      <c r="F3114" t="s">
        <v>31</v>
      </c>
      <c r="G3114" t="s">
        <v>32</v>
      </c>
      <c r="H3114" t="s">
        <v>33</v>
      </c>
      <c r="I3114" t="s">
        <v>57</v>
      </c>
      <c r="O3114" s="5"/>
      <c r="P3114" s="5"/>
    </row>
    <row r="3115" spans="1:29" x14ac:dyDescent="0.25">
      <c r="A3115" s="4">
        <v>42592</v>
      </c>
      <c r="B3115" t="s">
        <v>30</v>
      </c>
      <c r="C3115">
        <v>503</v>
      </c>
      <c r="D3115">
        <v>3</v>
      </c>
      <c r="E3115">
        <v>2</v>
      </c>
      <c r="F3115" t="s">
        <v>31</v>
      </c>
      <c r="G3115" t="s">
        <v>32</v>
      </c>
      <c r="H3115" t="s">
        <v>33</v>
      </c>
      <c r="I3115" t="s">
        <v>57</v>
      </c>
      <c r="O3115" s="5"/>
      <c r="P3115" s="5"/>
    </row>
    <row r="3116" spans="1:29" x14ac:dyDescent="0.25">
      <c r="A3116" s="4">
        <v>42592</v>
      </c>
      <c r="B3116" t="s">
        <v>30</v>
      </c>
      <c r="C3116">
        <v>503</v>
      </c>
      <c r="D3116">
        <v>4</v>
      </c>
      <c r="E3116">
        <v>1</v>
      </c>
      <c r="F3116" t="s">
        <v>31</v>
      </c>
      <c r="G3116" t="s">
        <v>32</v>
      </c>
      <c r="H3116" t="s">
        <v>33</v>
      </c>
      <c r="I3116" t="s">
        <v>70</v>
      </c>
      <c r="J3116" t="s">
        <v>123</v>
      </c>
      <c r="O3116" s="5"/>
      <c r="P3116" s="5"/>
    </row>
    <row r="3117" spans="1:29" x14ac:dyDescent="0.25">
      <c r="A3117" s="4">
        <v>42592</v>
      </c>
      <c r="B3117" t="s">
        <v>30</v>
      </c>
      <c r="C3117">
        <v>503</v>
      </c>
      <c r="D3117">
        <v>5</v>
      </c>
      <c r="E3117">
        <v>1</v>
      </c>
      <c r="F3117" t="s">
        <v>31</v>
      </c>
      <c r="G3117" t="s">
        <v>32</v>
      </c>
      <c r="H3117" t="s">
        <v>33</v>
      </c>
      <c r="I3117" t="s">
        <v>53</v>
      </c>
      <c r="J3117" t="s">
        <v>62</v>
      </c>
      <c r="O3117" s="5"/>
      <c r="P3117" s="5"/>
    </row>
    <row r="3118" spans="1:29" x14ac:dyDescent="0.25">
      <c r="A3118" s="4">
        <v>42592</v>
      </c>
      <c r="B3118" t="s">
        <v>30</v>
      </c>
      <c r="C3118">
        <v>503</v>
      </c>
      <c r="D3118">
        <v>6</v>
      </c>
      <c r="E3118">
        <v>1</v>
      </c>
      <c r="F3118" t="s">
        <v>31</v>
      </c>
      <c r="G3118" t="s">
        <v>32</v>
      </c>
      <c r="H3118" t="s">
        <v>33</v>
      </c>
      <c r="I3118" t="s">
        <v>57</v>
      </c>
      <c r="O3118" s="5"/>
      <c r="P3118" s="5"/>
    </row>
    <row r="3119" spans="1:29" x14ac:dyDescent="0.25">
      <c r="A3119" s="4">
        <v>42592</v>
      </c>
      <c r="B3119" t="s">
        <v>30</v>
      </c>
      <c r="C3119">
        <v>503</v>
      </c>
      <c r="D3119">
        <v>6</v>
      </c>
      <c r="E3119">
        <v>2</v>
      </c>
      <c r="F3119" t="s">
        <v>31</v>
      </c>
      <c r="G3119" t="s">
        <v>32</v>
      </c>
      <c r="H3119" t="s">
        <v>33</v>
      </c>
      <c r="I3119" t="s">
        <v>57</v>
      </c>
      <c r="O3119" s="5"/>
      <c r="P3119" s="5"/>
    </row>
    <row r="3120" spans="1:29" x14ac:dyDescent="0.25">
      <c r="A3120" s="4">
        <v>42592</v>
      </c>
      <c r="B3120" t="s">
        <v>30</v>
      </c>
      <c r="C3120">
        <v>503</v>
      </c>
      <c r="D3120">
        <v>7</v>
      </c>
      <c r="E3120">
        <v>1</v>
      </c>
      <c r="F3120" t="s">
        <v>31</v>
      </c>
      <c r="G3120" t="s">
        <v>32</v>
      </c>
      <c r="H3120" t="s">
        <v>33</v>
      </c>
      <c r="I3120" t="s">
        <v>57</v>
      </c>
      <c r="O3120" s="5"/>
      <c r="P3120" s="5"/>
    </row>
    <row r="3121" spans="1:29" x14ac:dyDescent="0.25">
      <c r="A3121" s="4">
        <v>42592</v>
      </c>
      <c r="B3121" t="s">
        <v>30</v>
      </c>
      <c r="C3121">
        <v>503</v>
      </c>
      <c r="D3121">
        <v>7</v>
      </c>
      <c r="E3121">
        <v>2</v>
      </c>
      <c r="F3121" t="s">
        <v>31</v>
      </c>
      <c r="G3121" t="s">
        <v>32</v>
      </c>
      <c r="H3121" t="s">
        <v>33</v>
      </c>
      <c r="I3121" t="s">
        <v>34</v>
      </c>
      <c r="J3121" t="s">
        <v>35</v>
      </c>
      <c r="K3121" t="s">
        <v>114</v>
      </c>
      <c r="L3121" t="s">
        <v>43</v>
      </c>
      <c r="M3121">
        <v>0</v>
      </c>
      <c r="N3121">
        <v>0</v>
      </c>
      <c r="O3121" s="5" t="s">
        <v>553</v>
      </c>
      <c r="P3121" s="5" t="s">
        <v>551</v>
      </c>
      <c r="Q3121">
        <f>27.5-14</f>
        <v>13.5</v>
      </c>
      <c r="R3121" t="s">
        <v>65</v>
      </c>
      <c r="T3121">
        <v>19</v>
      </c>
      <c r="U3121">
        <v>75</v>
      </c>
      <c r="V3121">
        <v>16.5</v>
      </c>
      <c r="W3121">
        <v>12.4</v>
      </c>
      <c r="X3121">
        <v>29</v>
      </c>
      <c r="Y3121" t="s">
        <v>661</v>
      </c>
      <c r="Z3121" t="s">
        <v>97</v>
      </c>
      <c r="AB3121" t="s">
        <v>40</v>
      </c>
      <c r="AC3121" t="s">
        <v>56</v>
      </c>
    </row>
    <row r="3122" spans="1:29" x14ac:dyDescent="0.25">
      <c r="A3122" s="4">
        <v>42592</v>
      </c>
      <c r="B3122" t="s">
        <v>30</v>
      </c>
      <c r="C3122">
        <v>503</v>
      </c>
      <c r="D3122">
        <v>8</v>
      </c>
      <c r="E3122">
        <v>1</v>
      </c>
      <c r="F3122" t="s">
        <v>31</v>
      </c>
      <c r="G3122" t="s">
        <v>32</v>
      </c>
      <c r="H3122" t="s">
        <v>33</v>
      </c>
      <c r="I3122" t="s">
        <v>57</v>
      </c>
      <c r="O3122" s="5"/>
      <c r="P3122" s="5"/>
    </row>
    <row r="3123" spans="1:29" x14ac:dyDescent="0.25">
      <c r="A3123" s="4">
        <v>42592</v>
      </c>
      <c r="B3123" t="s">
        <v>30</v>
      </c>
      <c r="C3123">
        <v>503</v>
      </c>
      <c r="D3123">
        <v>8</v>
      </c>
      <c r="E3123">
        <v>2</v>
      </c>
      <c r="F3123" t="s">
        <v>31</v>
      </c>
      <c r="G3123" t="s">
        <v>32</v>
      </c>
      <c r="H3123" t="s">
        <v>33</v>
      </c>
      <c r="I3123" t="s">
        <v>53</v>
      </c>
      <c r="J3123" t="s">
        <v>62</v>
      </c>
      <c r="O3123" s="5"/>
      <c r="P3123" s="5"/>
    </row>
    <row r="3124" spans="1:29" x14ac:dyDescent="0.25">
      <c r="A3124" s="4">
        <v>42592</v>
      </c>
      <c r="B3124" t="s">
        <v>30</v>
      </c>
      <c r="C3124">
        <v>503</v>
      </c>
      <c r="D3124">
        <v>9</v>
      </c>
      <c r="E3124">
        <v>1</v>
      </c>
      <c r="F3124" t="s">
        <v>31</v>
      </c>
      <c r="G3124" t="s">
        <v>32</v>
      </c>
      <c r="H3124" t="s">
        <v>33</v>
      </c>
      <c r="I3124" t="s">
        <v>73</v>
      </c>
      <c r="J3124" t="s">
        <v>122</v>
      </c>
      <c r="O3124" s="5"/>
      <c r="P3124" s="5"/>
    </row>
    <row r="3125" spans="1:29" x14ac:dyDescent="0.25">
      <c r="A3125" s="4">
        <v>42592</v>
      </c>
      <c r="B3125" t="s">
        <v>30</v>
      </c>
      <c r="C3125">
        <v>503</v>
      </c>
      <c r="D3125">
        <v>9</v>
      </c>
      <c r="E3125">
        <v>2</v>
      </c>
      <c r="F3125" t="s">
        <v>31</v>
      </c>
      <c r="G3125" t="s">
        <v>32</v>
      </c>
      <c r="H3125" t="s">
        <v>33</v>
      </c>
      <c r="I3125" t="s">
        <v>34</v>
      </c>
      <c r="J3125" t="s">
        <v>35</v>
      </c>
      <c r="K3125" t="s">
        <v>114</v>
      </c>
      <c r="M3125">
        <v>0</v>
      </c>
      <c r="N3125">
        <v>0</v>
      </c>
      <c r="O3125" s="5" t="s">
        <v>662</v>
      </c>
      <c r="P3125" s="5" t="s">
        <v>663</v>
      </c>
      <c r="Q3125">
        <f>32-14</f>
        <v>18</v>
      </c>
      <c r="T3125">
        <v>19</v>
      </c>
      <c r="U3125">
        <v>78</v>
      </c>
      <c r="V3125">
        <v>18</v>
      </c>
      <c r="W3125">
        <v>12.7</v>
      </c>
      <c r="X3125">
        <v>29.2</v>
      </c>
      <c r="Z3125" t="s">
        <v>97</v>
      </c>
      <c r="AB3125" t="s">
        <v>40</v>
      </c>
      <c r="AC3125" t="s">
        <v>56</v>
      </c>
    </row>
    <row r="3126" spans="1:29" x14ac:dyDescent="0.25">
      <c r="A3126" s="4">
        <v>42592</v>
      </c>
      <c r="B3126" t="s">
        <v>30</v>
      </c>
      <c r="C3126">
        <v>503</v>
      </c>
      <c r="D3126">
        <v>10</v>
      </c>
      <c r="E3126">
        <v>1</v>
      </c>
      <c r="F3126" t="s">
        <v>31</v>
      </c>
      <c r="G3126" t="s">
        <v>32</v>
      </c>
      <c r="H3126" t="s">
        <v>33</v>
      </c>
      <c r="I3126" t="s">
        <v>57</v>
      </c>
      <c r="O3126" s="5"/>
      <c r="P3126" s="5"/>
    </row>
    <row r="3127" spans="1:29" x14ac:dyDescent="0.25">
      <c r="A3127" s="4">
        <v>42592</v>
      </c>
      <c r="B3127" t="s">
        <v>30</v>
      </c>
      <c r="C3127">
        <v>503</v>
      </c>
      <c r="D3127">
        <v>10</v>
      </c>
      <c r="E3127">
        <v>2</v>
      </c>
      <c r="F3127" t="s">
        <v>31</v>
      </c>
      <c r="G3127" t="s">
        <v>32</v>
      </c>
      <c r="H3127" t="s">
        <v>33</v>
      </c>
      <c r="I3127" t="s">
        <v>34</v>
      </c>
      <c r="J3127" t="s">
        <v>35</v>
      </c>
      <c r="K3127" t="s">
        <v>114</v>
      </c>
      <c r="L3127" t="s">
        <v>37</v>
      </c>
      <c r="M3127">
        <v>0</v>
      </c>
      <c r="N3127">
        <v>0</v>
      </c>
      <c r="O3127" s="5" t="s">
        <v>664</v>
      </c>
      <c r="P3127" s="5" t="s">
        <v>665</v>
      </c>
      <c r="Q3127">
        <f>32.5-16</f>
        <v>16.5</v>
      </c>
      <c r="R3127" t="s">
        <v>38</v>
      </c>
      <c r="T3127">
        <v>19</v>
      </c>
      <c r="U3127">
        <v>84</v>
      </c>
      <c r="V3127">
        <v>15</v>
      </c>
      <c r="W3127">
        <v>13.1</v>
      </c>
      <c r="X3127">
        <v>25.4</v>
      </c>
      <c r="Z3127" t="s">
        <v>39</v>
      </c>
      <c r="AB3127" t="s">
        <v>40</v>
      </c>
      <c r="AC3127" t="s">
        <v>56</v>
      </c>
    </row>
    <row r="3128" spans="1:29" x14ac:dyDescent="0.25">
      <c r="A3128" s="4">
        <v>42592</v>
      </c>
      <c r="B3128" t="s">
        <v>30</v>
      </c>
      <c r="C3128">
        <v>303</v>
      </c>
      <c r="D3128">
        <v>1</v>
      </c>
      <c r="E3128">
        <v>1</v>
      </c>
      <c r="F3128" t="s">
        <v>31</v>
      </c>
      <c r="G3128" t="s">
        <v>32</v>
      </c>
      <c r="H3128" t="s">
        <v>33</v>
      </c>
      <c r="I3128" t="s">
        <v>58</v>
      </c>
      <c r="J3128" t="s">
        <v>35</v>
      </c>
      <c r="K3128" t="s">
        <v>36</v>
      </c>
      <c r="L3128" t="s">
        <v>37</v>
      </c>
      <c r="M3128">
        <v>0</v>
      </c>
      <c r="N3128">
        <v>0</v>
      </c>
      <c r="O3128" s="5" t="s">
        <v>559</v>
      </c>
      <c r="P3128" s="5"/>
      <c r="Q3128">
        <f>37-13.5</f>
        <v>23.5</v>
      </c>
      <c r="R3128" t="s">
        <v>38</v>
      </c>
      <c r="S3128" t="s">
        <v>39</v>
      </c>
      <c r="T3128">
        <v>18</v>
      </c>
      <c r="W3128">
        <v>13</v>
      </c>
      <c r="X3128">
        <v>24.1</v>
      </c>
      <c r="Z3128" t="s">
        <v>39</v>
      </c>
      <c r="AB3128" t="s">
        <v>40</v>
      </c>
      <c r="AC3128" t="s">
        <v>56</v>
      </c>
    </row>
    <row r="3129" spans="1:29" x14ac:dyDescent="0.25">
      <c r="A3129" s="4">
        <v>42592</v>
      </c>
      <c r="B3129" t="s">
        <v>30</v>
      </c>
      <c r="C3129">
        <v>303</v>
      </c>
      <c r="D3129">
        <v>2</v>
      </c>
      <c r="E3129">
        <v>1</v>
      </c>
      <c r="F3129" t="s">
        <v>31</v>
      </c>
      <c r="G3129" t="s">
        <v>32</v>
      </c>
      <c r="H3129" t="s">
        <v>33</v>
      </c>
      <c r="I3129" t="s">
        <v>58</v>
      </c>
      <c r="J3129" t="s">
        <v>35</v>
      </c>
      <c r="K3129" t="s">
        <v>36</v>
      </c>
      <c r="L3129" t="s">
        <v>43</v>
      </c>
      <c r="M3129">
        <v>0</v>
      </c>
      <c r="N3129">
        <v>0</v>
      </c>
      <c r="O3129" s="5" t="s">
        <v>666</v>
      </c>
      <c r="P3129" s="5"/>
      <c r="Q3129">
        <f>44-16</f>
        <v>28</v>
      </c>
      <c r="R3129" t="s">
        <v>65</v>
      </c>
      <c r="T3129">
        <v>18</v>
      </c>
      <c r="W3129">
        <v>13</v>
      </c>
      <c r="X3129">
        <v>29.5</v>
      </c>
      <c r="Z3129" t="s">
        <v>97</v>
      </c>
      <c r="AB3129" t="s">
        <v>40</v>
      </c>
      <c r="AC3129" t="s">
        <v>56</v>
      </c>
    </row>
    <row r="3130" spans="1:29" x14ac:dyDescent="0.25">
      <c r="A3130" s="4">
        <v>42592</v>
      </c>
      <c r="B3130" t="s">
        <v>30</v>
      </c>
      <c r="C3130">
        <v>303</v>
      </c>
      <c r="D3130">
        <v>2</v>
      </c>
      <c r="E3130">
        <v>2</v>
      </c>
      <c r="F3130" t="s">
        <v>31</v>
      </c>
      <c r="G3130" t="s">
        <v>32</v>
      </c>
      <c r="H3130" t="s">
        <v>33</v>
      </c>
      <c r="I3130" t="s">
        <v>57</v>
      </c>
      <c r="O3130" s="5"/>
      <c r="P3130" s="5"/>
    </row>
    <row r="3131" spans="1:29" x14ac:dyDescent="0.25">
      <c r="A3131" s="4">
        <v>42592</v>
      </c>
      <c r="B3131" t="s">
        <v>30</v>
      </c>
      <c r="C3131">
        <v>303</v>
      </c>
      <c r="D3131">
        <v>3</v>
      </c>
      <c r="E3131">
        <v>1</v>
      </c>
      <c r="F3131" t="s">
        <v>31</v>
      </c>
      <c r="G3131" t="s">
        <v>32</v>
      </c>
      <c r="H3131" t="s">
        <v>33</v>
      </c>
      <c r="I3131" t="s">
        <v>57</v>
      </c>
      <c r="O3131" s="5"/>
      <c r="P3131" s="5"/>
    </row>
    <row r="3132" spans="1:29" x14ac:dyDescent="0.25">
      <c r="A3132" s="4">
        <v>42592</v>
      </c>
      <c r="B3132" t="s">
        <v>30</v>
      </c>
      <c r="C3132">
        <v>303</v>
      </c>
      <c r="D3132">
        <v>3</v>
      </c>
      <c r="E3132">
        <v>2</v>
      </c>
      <c r="F3132" t="s">
        <v>31</v>
      </c>
      <c r="G3132" t="s">
        <v>32</v>
      </c>
      <c r="H3132" t="s">
        <v>33</v>
      </c>
      <c r="I3132" t="s">
        <v>53</v>
      </c>
      <c r="J3132" t="s">
        <v>62</v>
      </c>
      <c r="O3132" s="5"/>
      <c r="P3132" s="5"/>
    </row>
    <row r="3133" spans="1:29" x14ac:dyDescent="0.25">
      <c r="A3133" s="4">
        <v>42592</v>
      </c>
      <c r="B3133" t="s">
        <v>30</v>
      </c>
      <c r="C3133">
        <v>303</v>
      </c>
      <c r="D3133">
        <v>4</v>
      </c>
      <c r="E3133">
        <v>1</v>
      </c>
      <c r="F3133" t="s">
        <v>31</v>
      </c>
      <c r="G3133" t="s">
        <v>32</v>
      </c>
      <c r="H3133" t="s">
        <v>33</v>
      </c>
      <c r="I3133" t="s">
        <v>34</v>
      </c>
      <c r="J3133" t="s">
        <v>35</v>
      </c>
      <c r="K3133" t="s">
        <v>114</v>
      </c>
      <c r="L3133" t="s">
        <v>37</v>
      </c>
      <c r="M3133">
        <v>0</v>
      </c>
      <c r="N3133">
        <v>0</v>
      </c>
      <c r="O3133" s="5" t="s">
        <v>667</v>
      </c>
      <c r="P3133" s="5" t="s">
        <v>668</v>
      </c>
      <c r="Q3133">
        <f>27.5-13</f>
        <v>14.5</v>
      </c>
      <c r="R3133" t="s">
        <v>38</v>
      </c>
      <c r="T3133">
        <v>18</v>
      </c>
      <c r="U3133">
        <v>81.5</v>
      </c>
      <c r="V3133">
        <v>16</v>
      </c>
      <c r="W3133">
        <v>13.1</v>
      </c>
      <c r="X3133">
        <v>26.8</v>
      </c>
      <c r="Z3133" t="s">
        <v>39</v>
      </c>
      <c r="AB3133" t="s">
        <v>40</v>
      </c>
      <c r="AC3133" t="s">
        <v>56</v>
      </c>
    </row>
    <row r="3134" spans="1:29" x14ac:dyDescent="0.25">
      <c r="A3134" s="4">
        <v>42592</v>
      </c>
      <c r="B3134" t="s">
        <v>30</v>
      </c>
      <c r="C3134">
        <v>303</v>
      </c>
      <c r="D3134">
        <v>5</v>
      </c>
      <c r="E3134">
        <v>1</v>
      </c>
      <c r="F3134" t="s">
        <v>31</v>
      </c>
      <c r="G3134" t="s">
        <v>32</v>
      </c>
      <c r="H3134" t="s">
        <v>33</v>
      </c>
      <c r="I3134" t="s">
        <v>58</v>
      </c>
      <c r="J3134" t="s">
        <v>35</v>
      </c>
      <c r="K3134" t="s">
        <v>36</v>
      </c>
      <c r="L3134" t="s">
        <v>37</v>
      </c>
      <c r="M3134">
        <v>0</v>
      </c>
      <c r="N3134">
        <v>0</v>
      </c>
      <c r="O3134" s="5" t="s">
        <v>563</v>
      </c>
      <c r="P3134" s="5"/>
      <c r="Q3134">
        <f>40-12.5</f>
        <v>27.5</v>
      </c>
      <c r="R3134" t="s">
        <v>83</v>
      </c>
      <c r="S3134" t="s">
        <v>39</v>
      </c>
      <c r="T3134">
        <v>17</v>
      </c>
      <c r="W3134">
        <v>13.6</v>
      </c>
      <c r="X3134">
        <v>27</v>
      </c>
      <c r="Z3134" t="s">
        <v>39</v>
      </c>
      <c r="AB3134" t="s">
        <v>40</v>
      </c>
      <c r="AC3134" t="s">
        <v>56</v>
      </c>
    </row>
    <row r="3135" spans="1:29" x14ac:dyDescent="0.25">
      <c r="A3135" s="4">
        <v>42592</v>
      </c>
      <c r="B3135" t="s">
        <v>30</v>
      </c>
      <c r="C3135">
        <v>303</v>
      </c>
      <c r="D3135">
        <v>5</v>
      </c>
      <c r="E3135">
        <v>2</v>
      </c>
      <c r="F3135" t="s">
        <v>31</v>
      </c>
      <c r="G3135" t="s">
        <v>32</v>
      </c>
      <c r="H3135" t="s">
        <v>33</v>
      </c>
      <c r="I3135" t="s">
        <v>57</v>
      </c>
      <c r="O3135" s="5"/>
      <c r="P3135" s="5"/>
    </row>
    <row r="3136" spans="1:29" x14ac:dyDescent="0.25">
      <c r="A3136" s="4">
        <v>42592</v>
      </c>
      <c r="B3136" t="s">
        <v>30</v>
      </c>
      <c r="C3136">
        <v>303</v>
      </c>
      <c r="D3136">
        <v>6</v>
      </c>
      <c r="E3136">
        <v>1</v>
      </c>
      <c r="F3136" t="s">
        <v>31</v>
      </c>
      <c r="G3136" t="s">
        <v>32</v>
      </c>
      <c r="H3136" t="s">
        <v>33</v>
      </c>
      <c r="I3136" t="s">
        <v>57</v>
      </c>
      <c r="O3136" s="5"/>
      <c r="P3136" s="5"/>
    </row>
    <row r="3137" spans="1:29" x14ac:dyDescent="0.25">
      <c r="A3137" s="4">
        <v>42592</v>
      </c>
      <c r="B3137" t="s">
        <v>30</v>
      </c>
      <c r="C3137">
        <v>303</v>
      </c>
      <c r="D3137">
        <v>6</v>
      </c>
      <c r="E3137">
        <v>2</v>
      </c>
      <c r="F3137" t="s">
        <v>31</v>
      </c>
      <c r="G3137" t="s">
        <v>32</v>
      </c>
      <c r="H3137" t="s">
        <v>33</v>
      </c>
      <c r="I3137" t="s">
        <v>57</v>
      </c>
      <c r="O3137" s="5"/>
      <c r="P3137" s="5"/>
    </row>
    <row r="3138" spans="1:29" x14ac:dyDescent="0.25">
      <c r="A3138" s="4">
        <v>42592</v>
      </c>
      <c r="B3138" t="s">
        <v>30</v>
      </c>
      <c r="C3138">
        <v>303</v>
      </c>
      <c r="D3138">
        <v>7</v>
      </c>
      <c r="E3138">
        <v>1</v>
      </c>
      <c r="F3138" t="s">
        <v>31</v>
      </c>
      <c r="G3138" t="s">
        <v>32</v>
      </c>
      <c r="H3138" t="s">
        <v>33</v>
      </c>
      <c r="I3138" t="s">
        <v>53</v>
      </c>
      <c r="J3138" t="s">
        <v>62</v>
      </c>
      <c r="O3138" s="5"/>
      <c r="P3138" s="5"/>
    </row>
    <row r="3139" spans="1:29" x14ac:dyDescent="0.25">
      <c r="A3139" s="4">
        <v>42592</v>
      </c>
      <c r="B3139" t="s">
        <v>30</v>
      </c>
      <c r="C3139">
        <v>303</v>
      </c>
      <c r="D3139">
        <v>9</v>
      </c>
      <c r="E3139">
        <v>1</v>
      </c>
      <c r="F3139" t="s">
        <v>31</v>
      </c>
      <c r="G3139" t="s">
        <v>32</v>
      </c>
      <c r="H3139" t="s">
        <v>33</v>
      </c>
      <c r="I3139" t="s">
        <v>57</v>
      </c>
      <c r="O3139" s="5"/>
      <c r="P3139" s="5"/>
    </row>
    <row r="3140" spans="1:29" x14ac:dyDescent="0.25">
      <c r="A3140" s="4">
        <v>42592</v>
      </c>
      <c r="B3140" t="s">
        <v>30</v>
      </c>
      <c r="C3140">
        <v>401</v>
      </c>
      <c r="D3140">
        <v>1</v>
      </c>
      <c r="E3140">
        <v>1</v>
      </c>
      <c r="F3140" t="s">
        <v>31</v>
      </c>
      <c r="G3140" t="s">
        <v>32</v>
      </c>
      <c r="H3140" t="s">
        <v>33</v>
      </c>
      <c r="I3140" t="s">
        <v>58</v>
      </c>
      <c r="J3140" t="s">
        <v>35</v>
      </c>
      <c r="K3140" t="s">
        <v>36</v>
      </c>
      <c r="L3140" t="s">
        <v>37</v>
      </c>
      <c r="M3140">
        <v>0</v>
      </c>
      <c r="N3140">
        <v>0</v>
      </c>
      <c r="O3140" s="5" t="s">
        <v>669</v>
      </c>
      <c r="P3140" s="5"/>
      <c r="Q3140">
        <f>43-13</f>
        <v>30</v>
      </c>
      <c r="R3140" t="s">
        <v>83</v>
      </c>
      <c r="S3140" t="s">
        <v>39</v>
      </c>
      <c r="T3140">
        <v>17</v>
      </c>
      <c r="W3140">
        <v>29</v>
      </c>
      <c r="X3140">
        <v>27</v>
      </c>
      <c r="Z3140" t="s">
        <v>97</v>
      </c>
      <c r="AB3140" t="s">
        <v>40</v>
      </c>
      <c r="AC3140" t="s">
        <v>56</v>
      </c>
    </row>
    <row r="3141" spans="1:29" x14ac:dyDescent="0.25">
      <c r="A3141" s="4">
        <v>42592</v>
      </c>
      <c r="B3141" t="s">
        <v>30</v>
      </c>
      <c r="C3141">
        <v>401</v>
      </c>
      <c r="D3141">
        <v>2</v>
      </c>
      <c r="E3141">
        <v>1</v>
      </c>
      <c r="F3141" t="s">
        <v>31</v>
      </c>
      <c r="G3141" t="s">
        <v>32</v>
      </c>
      <c r="H3141" t="s">
        <v>33</v>
      </c>
      <c r="I3141" t="s">
        <v>91</v>
      </c>
      <c r="J3141" t="s">
        <v>35</v>
      </c>
      <c r="K3141" t="s">
        <v>36</v>
      </c>
      <c r="L3141" t="s">
        <v>37</v>
      </c>
      <c r="M3141">
        <v>0</v>
      </c>
      <c r="N3141">
        <v>0</v>
      </c>
      <c r="O3141" s="5" t="s">
        <v>564</v>
      </c>
      <c r="P3141" s="5"/>
      <c r="Q3141">
        <f>35-14.5</f>
        <v>20.5</v>
      </c>
      <c r="R3141" t="s">
        <v>38</v>
      </c>
      <c r="S3141" t="s">
        <v>39</v>
      </c>
      <c r="T3141">
        <v>29</v>
      </c>
      <c r="W3141">
        <v>13.5</v>
      </c>
      <c r="X3141">
        <v>26.4</v>
      </c>
      <c r="Z3141" t="s">
        <v>39</v>
      </c>
      <c r="AB3141" t="s">
        <v>40</v>
      </c>
      <c r="AC3141" t="s">
        <v>56</v>
      </c>
    </row>
    <row r="3142" spans="1:29" x14ac:dyDescent="0.25">
      <c r="A3142" s="4">
        <v>42592</v>
      </c>
      <c r="B3142" t="s">
        <v>30</v>
      </c>
      <c r="C3142">
        <v>401</v>
      </c>
      <c r="D3142">
        <v>4</v>
      </c>
      <c r="E3142">
        <v>1</v>
      </c>
      <c r="F3142" t="s">
        <v>31</v>
      </c>
      <c r="G3142" t="s">
        <v>32</v>
      </c>
      <c r="H3142" t="s">
        <v>33</v>
      </c>
      <c r="I3142" t="s">
        <v>34</v>
      </c>
      <c r="J3142" t="s">
        <v>42</v>
      </c>
      <c r="K3142" t="s">
        <v>36</v>
      </c>
      <c r="L3142" t="s">
        <v>37</v>
      </c>
      <c r="M3142">
        <v>0</v>
      </c>
      <c r="N3142">
        <v>1</v>
      </c>
      <c r="O3142" s="5" t="s">
        <v>670</v>
      </c>
      <c r="P3142" s="5" t="s">
        <v>671</v>
      </c>
      <c r="Q3142">
        <f>34-13.5</f>
        <v>20.5</v>
      </c>
      <c r="R3142" t="s">
        <v>38</v>
      </c>
      <c r="S3142" t="s">
        <v>39</v>
      </c>
      <c r="T3142">
        <v>19</v>
      </c>
      <c r="U3142">
        <v>93.5</v>
      </c>
      <c r="V3142">
        <v>18</v>
      </c>
      <c r="W3142">
        <v>13.5</v>
      </c>
      <c r="X3142">
        <v>28.2</v>
      </c>
      <c r="Z3142" t="s">
        <v>97</v>
      </c>
      <c r="AB3142" t="s">
        <v>40</v>
      </c>
      <c r="AC3142" t="s">
        <v>56</v>
      </c>
    </row>
    <row r="3143" spans="1:29" x14ac:dyDescent="0.25">
      <c r="A3143" s="4">
        <v>42592</v>
      </c>
      <c r="B3143" t="s">
        <v>30</v>
      </c>
      <c r="C3143">
        <v>401</v>
      </c>
      <c r="D3143">
        <v>6</v>
      </c>
      <c r="E3143">
        <v>1</v>
      </c>
      <c r="F3143" t="s">
        <v>31</v>
      </c>
      <c r="G3143" t="s">
        <v>32</v>
      </c>
      <c r="H3143" t="s">
        <v>33</v>
      </c>
      <c r="I3143" t="s">
        <v>58</v>
      </c>
      <c r="J3143" t="s">
        <v>42</v>
      </c>
      <c r="K3143" t="s">
        <v>36</v>
      </c>
      <c r="L3143" t="s">
        <v>43</v>
      </c>
      <c r="M3143">
        <v>0</v>
      </c>
      <c r="N3143">
        <v>0</v>
      </c>
      <c r="O3143" s="5" t="s">
        <v>672</v>
      </c>
      <c r="P3143" s="5"/>
      <c r="Q3143">
        <f>39-14</f>
        <v>25</v>
      </c>
      <c r="R3143" t="s">
        <v>47</v>
      </c>
      <c r="T3143">
        <v>18</v>
      </c>
      <c r="W3143">
        <v>13.3</v>
      </c>
      <c r="X3143">
        <v>29.7</v>
      </c>
      <c r="Z3143" t="s">
        <v>97</v>
      </c>
      <c r="AB3143" t="s">
        <v>40</v>
      </c>
      <c r="AC3143" t="s">
        <v>56</v>
      </c>
    </row>
    <row r="3144" spans="1:29" x14ac:dyDescent="0.25">
      <c r="A3144" s="4">
        <v>42592</v>
      </c>
      <c r="B3144" t="s">
        <v>30</v>
      </c>
      <c r="C3144">
        <v>401</v>
      </c>
      <c r="D3144">
        <v>6</v>
      </c>
      <c r="E3144">
        <v>2</v>
      </c>
      <c r="F3144" t="s">
        <v>31</v>
      </c>
      <c r="G3144" t="s">
        <v>32</v>
      </c>
      <c r="H3144" t="s">
        <v>33</v>
      </c>
      <c r="I3144" t="s">
        <v>58</v>
      </c>
      <c r="J3144" t="s">
        <v>35</v>
      </c>
      <c r="K3144" t="s">
        <v>36</v>
      </c>
      <c r="L3144" t="s">
        <v>43</v>
      </c>
      <c r="M3144">
        <v>0</v>
      </c>
      <c r="N3144">
        <v>0</v>
      </c>
      <c r="O3144" s="5" t="s">
        <v>673</v>
      </c>
      <c r="P3144" s="5"/>
      <c r="Q3144">
        <f>38-16.5</f>
        <v>21.5</v>
      </c>
      <c r="R3144" t="s">
        <v>65</v>
      </c>
      <c r="T3144">
        <v>17</v>
      </c>
      <c r="W3144">
        <v>29</v>
      </c>
      <c r="X3144">
        <v>26.4</v>
      </c>
      <c r="Z3144" t="s">
        <v>97</v>
      </c>
      <c r="AB3144" t="s">
        <v>40</v>
      </c>
      <c r="AC3144" t="s">
        <v>56</v>
      </c>
    </row>
    <row r="3145" spans="1:29" x14ac:dyDescent="0.25">
      <c r="A3145" s="4">
        <v>42592</v>
      </c>
      <c r="B3145" t="s">
        <v>30</v>
      </c>
      <c r="C3145">
        <v>401</v>
      </c>
      <c r="D3145">
        <v>7</v>
      </c>
      <c r="E3145">
        <v>1</v>
      </c>
      <c r="F3145" t="s">
        <v>31</v>
      </c>
      <c r="G3145" t="s">
        <v>32</v>
      </c>
      <c r="H3145" t="s">
        <v>33</v>
      </c>
      <c r="I3145" t="s">
        <v>57</v>
      </c>
      <c r="O3145" s="5"/>
      <c r="P3145" s="5"/>
    </row>
    <row r="3146" spans="1:29" x14ac:dyDescent="0.25">
      <c r="A3146" s="4">
        <v>42592</v>
      </c>
      <c r="B3146" t="s">
        <v>30</v>
      </c>
      <c r="C3146">
        <v>401</v>
      </c>
      <c r="D3146">
        <v>7</v>
      </c>
      <c r="E3146">
        <v>2</v>
      </c>
      <c r="F3146" t="s">
        <v>31</v>
      </c>
      <c r="G3146" t="s">
        <v>32</v>
      </c>
      <c r="H3146" t="s">
        <v>33</v>
      </c>
      <c r="I3146" t="s">
        <v>53</v>
      </c>
      <c r="J3146" t="s">
        <v>62</v>
      </c>
      <c r="O3146" s="5"/>
      <c r="P3146" s="5"/>
    </row>
    <row r="3147" spans="1:29" x14ac:dyDescent="0.25">
      <c r="A3147" s="4">
        <v>42592</v>
      </c>
      <c r="B3147" t="s">
        <v>30</v>
      </c>
      <c r="C3147">
        <v>401</v>
      </c>
      <c r="D3147">
        <v>8</v>
      </c>
      <c r="E3147">
        <v>1</v>
      </c>
      <c r="F3147" t="s">
        <v>31</v>
      </c>
      <c r="G3147" t="s">
        <v>32</v>
      </c>
      <c r="H3147" t="s">
        <v>33</v>
      </c>
      <c r="I3147" t="s">
        <v>57</v>
      </c>
      <c r="O3147" s="5"/>
      <c r="P3147" s="5"/>
    </row>
    <row r="3148" spans="1:29" x14ac:dyDescent="0.25">
      <c r="A3148" s="4">
        <v>42592</v>
      </c>
      <c r="B3148" t="s">
        <v>30</v>
      </c>
      <c r="C3148">
        <v>401</v>
      </c>
      <c r="D3148">
        <v>8</v>
      </c>
      <c r="E3148">
        <v>2</v>
      </c>
      <c r="F3148" t="s">
        <v>31</v>
      </c>
      <c r="G3148" t="s">
        <v>32</v>
      </c>
      <c r="H3148" t="s">
        <v>33</v>
      </c>
      <c r="I3148" t="s">
        <v>57</v>
      </c>
      <c r="O3148" s="5"/>
      <c r="P3148" s="5"/>
    </row>
    <row r="3149" spans="1:29" x14ac:dyDescent="0.25">
      <c r="A3149" s="4">
        <v>42592</v>
      </c>
      <c r="B3149" t="s">
        <v>30</v>
      </c>
      <c r="C3149">
        <v>401</v>
      </c>
      <c r="D3149">
        <v>9</v>
      </c>
      <c r="E3149">
        <v>1</v>
      </c>
      <c r="F3149" t="s">
        <v>31</v>
      </c>
      <c r="G3149" t="s">
        <v>32</v>
      </c>
      <c r="H3149" t="s">
        <v>33</v>
      </c>
      <c r="I3149" t="s">
        <v>34</v>
      </c>
      <c r="J3149" t="s">
        <v>42</v>
      </c>
      <c r="K3149" t="s">
        <v>114</v>
      </c>
      <c r="L3149" t="s">
        <v>37</v>
      </c>
      <c r="M3149">
        <v>0</v>
      </c>
      <c r="N3149">
        <v>1</v>
      </c>
      <c r="O3149" s="5" t="s">
        <v>674</v>
      </c>
      <c r="P3149" s="5" t="s">
        <v>675</v>
      </c>
      <c r="Q3149">
        <f>27.5-13</f>
        <v>14.5</v>
      </c>
      <c r="R3149" t="s">
        <v>38</v>
      </c>
      <c r="S3149" t="s">
        <v>39</v>
      </c>
      <c r="T3149">
        <v>19</v>
      </c>
      <c r="U3149">
        <v>87</v>
      </c>
      <c r="V3149">
        <v>16</v>
      </c>
      <c r="W3149">
        <v>13</v>
      </c>
      <c r="X3149">
        <v>26</v>
      </c>
      <c r="Z3149" t="s">
        <v>39</v>
      </c>
      <c r="AB3149" t="s">
        <v>40</v>
      </c>
      <c r="AC3149" t="s">
        <v>56</v>
      </c>
    </row>
    <row r="3150" spans="1:29" x14ac:dyDescent="0.25">
      <c r="A3150" s="4">
        <v>42592</v>
      </c>
      <c r="B3150" t="s">
        <v>30</v>
      </c>
      <c r="C3150">
        <v>401</v>
      </c>
      <c r="D3150">
        <v>10</v>
      </c>
      <c r="E3150">
        <v>1</v>
      </c>
      <c r="F3150" t="s">
        <v>31</v>
      </c>
      <c r="G3150" t="s">
        <v>32</v>
      </c>
      <c r="H3150" t="s">
        <v>33</v>
      </c>
      <c r="I3150" t="s">
        <v>91</v>
      </c>
      <c r="J3150" t="s">
        <v>42</v>
      </c>
      <c r="K3150" t="s">
        <v>36</v>
      </c>
      <c r="M3150">
        <v>0</v>
      </c>
      <c r="N3150">
        <v>1</v>
      </c>
      <c r="O3150" s="5" t="s">
        <v>676</v>
      </c>
      <c r="P3150" s="5"/>
      <c r="Q3150">
        <f>34.5-14</f>
        <v>20.5</v>
      </c>
      <c r="T3150">
        <v>30</v>
      </c>
      <c r="W3150">
        <v>12.9</v>
      </c>
      <c r="X3150">
        <v>26.35</v>
      </c>
      <c r="Z3150" t="s">
        <v>97</v>
      </c>
      <c r="AB3150" t="s">
        <v>40</v>
      </c>
      <c r="AC3150" t="s">
        <v>56</v>
      </c>
    </row>
    <row r="3151" spans="1:29" x14ac:dyDescent="0.25">
      <c r="A3151" s="4">
        <v>42593</v>
      </c>
      <c r="B3151" t="s">
        <v>30</v>
      </c>
      <c r="C3151">
        <v>501</v>
      </c>
      <c r="D3151">
        <v>1</v>
      </c>
      <c r="E3151">
        <v>1</v>
      </c>
      <c r="F3151" t="s">
        <v>31</v>
      </c>
      <c r="G3151" t="s">
        <v>32</v>
      </c>
      <c r="H3151" t="s">
        <v>33</v>
      </c>
      <c r="I3151" t="s">
        <v>57</v>
      </c>
      <c r="O3151" s="5"/>
      <c r="P3151" s="5"/>
    </row>
    <row r="3152" spans="1:29" x14ac:dyDescent="0.25">
      <c r="A3152" s="4">
        <v>42593</v>
      </c>
      <c r="B3152" t="s">
        <v>30</v>
      </c>
      <c r="C3152">
        <v>501</v>
      </c>
      <c r="D3152">
        <v>1</v>
      </c>
      <c r="E3152">
        <v>2</v>
      </c>
      <c r="F3152" t="s">
        <v>31</v>
      </c>
      <c r="G3152" t="s">
        <v>32</v>
      </c>
      <c r="H3152" t="s">
        <v>33</v>
      </c>
      <c r="I3152" t="s">
        <v>53</v>
      </c>
      <c r="J3152" t="s">
        <v>62</v>
      </c>
      <c r="O3152" s="5"/>
      <c r="P3152" s="5"/>
    </row>
    <row r="3153" spans="1:30" x14ac:dyDescent="0.25">
      <c r="A3153" s="4">
        <v>42593</v>
      </c>
      <c r="B3153" t="s">
        <v>30</v>
      </c>
      <c r="C3153">
        <v>501</v>
      </c>
      <c r="D3153">
        <v>2</v>
      </c>
      <c r="E3153">
        <v>1</v>
      </c>
      <c r="F3153" t="s">
        <v>31</v>
      </c>
      <c r="G3153" t="s">
        <v>32</v>
      </c>
      <c r="H3153" t="s">
        <v>33</v>
      </c>
      <c r="I3153" t="s">
        <v>57</v>
      </c>
      <c r="O3153" s="5"/>
      <c r="P3153" s="5"/>
    </row>
    <row r="3154" spans="1:30" x14ac:dyDescent="0.25">
      <c r="A3154" s="4">
        <v>42593</v>
      </c>
      <c r="B3154" t="s">
        <v>30</v>
      </c>
      <c r="C3154">
        <v>501</v>
      </c>
      <c r="D3154">
        <v>2</v>
      </c>
      <c r="E3154">
        <v>2</v>
      </c>
      <c r="F3154" t="s">
        <v>31</v>
      </c>
      <c r="G3154" t="s">
        <v>32</v>
      </c>
      <c r="H3154" t="s">
        <v>33</v>
      </c>
      <c r="I3154" t="s">
        <v>57</v>
      </c>
      <c r="O3154" s="5"/>
      <c r="P3154" s="5"/>
    </row>
    <row r="3155" spans="1:30" x14ac:dyDescent="0.25">
      <c r="A3155" s="4">
        <v>42593</v>
      </c>
      <c r="B3155" t="s">
        <v>30</v>
      </c>
      <c r="C3155">
        <v>501</v>
      </c>
      <c r="D3155">
        <v>3</v>
      </c>
      <c r="E3155">
        <v>1</v>
      </c>
      <c r="F3155" t="s">
        <v>31</v>
      </c>
      <c r="G3155" t="s">
        <v>32</v>
      </c>
      <c r="H3155" t="s">
        <v>33</v>
      </c>
      <c r="I3155" t="s">
        <v>64</v>
      </c>
      <c r="J3155" t="s">
        <v>42</v>
      </c>
      <c r="K3155" t="s">
        <v>89</v>
      </c>
      <c r="L3155" t="s">
        <v>37</v>
      </c>
      <c r="M3155">
        <v>0</v>
      </c>
      <c r="N3155">
        <v>1</v>
      </c>
      <c r="O3155" s="5" t="s">
        <v>672</v>
      </c>
      <c r="P3155" s="5"/>
      <c r="Q3155">
        <f>198-90</f>
        <v>108</v>
      </c>
      <c r="R3155" t="s">
        <v>38</v>
      </c>
      <c r="S3155" t="s">
        <v>39</v>
      </c>
      <c r="T3155">
        <v>45</v>
      </c>
      <c r="W3155">
        <v>24.2</v>
      </c>
      <c r="X3155">
        <v>42.2</v>
      </c>
      <c r="Z3155" t="s">
        <v>39</v>
      </c>
      <c r="AB3155" t="s">
        <v>40</v>
      </c>
      <c r="AC3155" t="s">
        <v>88</v>
      </c>
    </row>
    <row r="3156" spans="1:30" x14ac:dyDescent="0.25">
      <c r="A3156" s="4">
        <v>42593</v>
      </c>
      <c r="B3156" t="s">
        <v>30</v>
      </c>
      <c r="C3156">
        <v>501</v>
      </c>
      <c r="D3156">
        <v>4</v>
      </c>
      <c r="E3156">
        <v>1</v>
      </c>
      <c r="F3156" t="s">
        <v>31</v>
      </c>
      <c r="G3156" t="s">
        <v>32</v>
      </c>
      <c r="H3156" t="s">
        <v>33</v>
      </c>
      <c r="I3156" t="s">
        <v>57</v>
      </c>
      <c r="O3156" s="5"/>
      <c r="P3156" s="5"/>
    </row>
    <row r="3157" spans="1:30" x14ac:dyDescent="0.25">
      <c r="A3157" s="4">
        <v>42593</v>
      </c>
      <c r="B3157" t="s">
        <v>30</v>
      </c>
      <c r="C3157">
        <v>501</v>
      </c>
      <c r="D3157">
        <v>5</v>
      </c>
      <c r="E3157">
        <v>1</v>
      </c>
      <c r="F3157" t="s">
        <v>31</v>
      </c>
      <c r="G3157" t="s">
        <v>32</v>
      </c>
      <c r="H3157" t="s">
        <v>33</v>
      </c>
      <c r="I3157" t="s">
        <v>34</v>
      </c>
      <c r="J3157" t="s">
        <v>35</v>
      </c>
      <c r="K3157" t="s">
        <v>114</v>
      </c>
      <c r="L3157" t="s">
        <v>43</v>
      </c>
      <c r="M3157">
        <v>0</v>
      </c>
      <c r="N3157">
        <v>0</v>
      </c>
      <c r="O3157" s="5" t="s">
        <v>546</v>
      </c>
      <c r="P3157" s="5" t="s">
        <v>547</v>
      </c>
      <c r="Q3157">
        <f>30.5-14.5</f>
        <v>16</v>
      </c>
      <c r="R3157" t="s">
        <v>65</v>
      </c>
      <c r="T3157">
        <v>20</v>
      </c>
      <c r="U3157">
        <v>85</v>
      </c>
      <c r="V3157">
        <v>19</v>
      </c>
      <c r="W3157">
        <v>13.4</v>
      </c>
      <c r="X3157">
        <v>26.85</v>
      </c>
      <c r="Z3157" t="s">
        <v>97</v>
      </c>
      <c r="AB3157" t="s">
        <v>40</v>
      </c>
      <c r="AC3157" t="s">
        <v>88</v>
      </c>
    </row>
    <row r="3158" spans="1:30" x14ac:dyDescent="0.25">
      <c r="A3158" s="4">
        <v>42593</v>
      </c>
      <c r="B3158" t="s">
        <v>30</v>
      </c>
      <c r="C3158">
        <v>501</v>
      </c>
      <c r="D3158">
        <v>6</v>
      </c>
      <c r="E3158">
        <v>1</v>
      </c>
      <c r="F3158" t="s">
        <v>31</v>
      </c>
      <c r="G3158" t="s">
        <v>32</v>
      </c>
      <c r="H3158" t="s">
        <v>33</v>
      </c>
      <c r="I3158" t="s">
        <v>57</v>
      </c>
      <c r="O3158" s="5"/>
      <c r="P3158" s="5"/>
    </row>
    <row r="3159" spans="1:30" x14ac:dyDescent="0.25">
      <c r="A3159" s="4">
        <v>42593</v>
      </c>
      <c r="B3159" t="s">
        <v>30</v>
      </c>
      <c r="C3159">
        <v>501</v>
      </c>
      <c r="D3159">
        <v>8</v>
      </c>
      <c r="E3159">
        <v>1</v>
      </c>
      <c r="F3159" t="s">
        <v>31</v>
      </c>
      <c r="G3159" t="s">
        <v>32</v>
      </c>
      <c r="H3159" t="s">
        <v>33</v>
      </c>
      <c r="I3159" t="s">
        <v>53</v>
      </c>
      <c r="J3159" t="s">
        <v>123</v>
      </c>
      <c r="O3159" s="5"/>
      <c r="P3159" s="5"/>
    </row>
    <row r="3160" spans="1:30" x14ac:dyDescent="0.25">
      <c r="A3160" s="4">
        <v>42593</v>
      </c>
      <c r="B3160" t="s">
        <v>30</v>
      </c>
      <c r="C3160">
        <v>501</v>
      </c>
      <c r="D3160">
        <v>10</v>
      </c>
      <c r="E3160">
        <v>1</v>
      </c>
      <c r="F3160" t="s">
        <v>31</v>
      </c>
      <c r="G3160" t="s">
        <v>32</v>
      </c>
      <c r="H3160" t="s">
        <v>33</v>
      </c>
      <c r="I3160" t="s">
        <v>57</v>
      </c>
      <c r="O3160" s="5"/>
      <c r="P3160" s="5"/>
    </row>
    <row r="3161" spans="1:30" x14ac:dyDescent="0.25">
      <c r="A3161" s="4">
        <v>42593</v>
      </c>
      <c r="B3161" t="s">
        <v>30</v>
      </c>
      <c r="C3161">
        <v>503</v>
      </c>
      <c r="D3161">
        <v>1</v>
      </c>
      <c r="E3161">
        <v>1</v>
      </c>
      <c r="F3161" t="s">
        <v>31</v>
      </c>
      <c r="G3161" t="s">
        <v>32</v>
      </c>
      <c r="H3161" t="s">
        <v>33</v>
      </c>
      <c r="I3161" t="s">
        <v>34</v>
      </c>
      <c r="J3161" t="s">
        <v>42</v>
      </c>
      <c r="K3161" t="s">
        <v>114</v>
      </c>
      <c r="L3161" t="s">
        <v>37</v>
      </c>
      <c r="M3161">
        <v>0</v>
      </c>
      <c r="N3161">
        <v>1</v>
      </c>
      <c r="O3161" s="5" t="s">
        <v>677</v>
      </c>
      <c r="P3161" s="5" t="s">
        <v>678</v>
      </c>
      <c r="Q3161">
        <f>28-12.5</f>
        <v>15.5</v>
      </c>
      <c r="R3161" t="s">
        <v>38</v>
      </c>
      <c r="S3161" t="s">
        <v>39</v>
      </c>
      <c r="T3161">
        <v>18</v>
      </c>
      <c r="U3161">
        <v>75</v>
      </c>
      <c r="V3161">
        <v>17</v>
      </c>
      <c r="W3161">
        <v>12.9</v>
      </c>
      <c r="X3161">
        <v>25.4</v>
      </c>
      <c r="Z3161" t="s">
        <v>39</v>
      </c>
      <c r="AB3161" t="s">
        <v>40</v>
      </c>
      <c r="AC3161" t="s">
        <v>88</v>
      </c>
    </row>
    <row r="3162" spans="1:30" x14ac:dyDescent="0.25">
      <c r="A3162" s="4">
        <v>42593</v>
      </c>
      <c r="B3162" t="s">
        <v>30</v>
      </c>
      <c r="C3162">
        <v>503</v>
      </c>
      <c r="D3162">
        <v>1</v>
      </c>
      <c r="E3162">
        <v>2</v>
      </c>
      <c r="F3162" t="s">
        <v>31</v>
      </c>
      <c r="G3162" t="s">
        <v>32</v>
      </c>
      <c r="H3162" t="s">
        <v>33</v>
      </c>
      <c r="I3162" t="s">
        <v>34</v>
      </c>
      <c r="J3162" t="s">
        <v>42</v>
      </c>
      <c r="K3162" t="s">
        <v>89</v>
      </c>
      <c r="L3162" t="s">
        <v>43</v>
      </c>
      <c r="M3162">
        <v>0</v>
      </c>
      <c r="N3162">
        <v>1</v>
      </c>
      <c r="O3162" s="5" t="s">
        <v>679</v>
      </c>
      <c r="P3162" s="5" t="s">
        <v>680</v>
      </c>
      <c r="Q3162">
        <f>26.5-12.5</f>
        <v>14</v>
      </c>
      <c r="R3162" t="s">
        <v>65</v>
      </c>
      <c r="T3162">
        <v>17</v>
      </c>
      <c r="U3162">
        <v>83</v>
      </c>
      <c r="V3162">
        <v>17</v>
      </c>
      <c r="W3162">
        <v>12.2</v>
      </c>
      <c r="X3162">
        <v>24.8</v>
      </c>
      <c r="Z3162" t="s">
        <v>39</v>
      </c>
      <c r="AB3162" t="s">
        <v>40</v>
      </c>
      <c r="AC3162" t="s">
        <v>88</v>
      </c>
      <c r="AD3162" t="s">
        <v>681</v>
      </c>
    </row>
    <row r="3163" spans="1:30" x14ac:dyDescent="0.25">
      <c r="A3163" s="4">
        <v>42593</v>
      </c>
      <c r="B3163" t="s">
        <v>30</v>
      </c>
      <c r="C3163">
        <v>503</v>
      </c>
      <c r="D3163">
        <v>2</v>
      </c>
      <c r="E3163">
        <v>1</v>
      </c>
      <c r="F3163" t="s">
        <v>31</v>
      </c>
      <c r="G3163" t="s">
        <v>32</v>
      </c>
      <c r="H3163" t="s">
        <v>33</v>
      </c>
      <c r="I3163" t="s">
        <v>70</v>
      </c>
      <c r="J3163" t="s">
        <v>123</v>
      </c>
      <c r="O3163" s="5"/>
      <c r="P3163" s="5"/>
    </row>
    <row r="3164" spans="1:30" x14ac:dyDescent="0.25">
      <c r="A3164" s="4">
        <v>42593</v>
      </c>
      <c r="B3164" t="s">
        <v>30</v>
      </c>
      <c r="C3164">
        <v>503</v>
      </c>
      <c r="D3164">
        <v>3</v>
      </c>
      <c r="E3164">
        <v>1</v>
      </c>
      <c r="F3164" t="s">
        <v>31</v>
      </c>
      <c r="G3164" t="s">
        <v>32</v>
      </c>
      <c r="H3164" t="s">
        <v>33</v>
      </c>
      <c r="I3164" t="s">
        <v>57</v>
      </c>
      <c r="O3164" s="5"/>
      <c r="P3164" s="5"/>
    </row>
    <row r="3165" spans="1:30" x14ac:dyDescent="0.25">
      <c r="A3165" s="4">
        <v>42593</v>
      </c>
      <c r="B3165" t="s">
        <v>30</v>
      </c>
      <c r="C3165">
        <v>503</v>
      </c>
      <c r="D3165">
        <v>3</v>
      </c>
      <c r="E3165">
        <v>2</v>
      </c>
      <c r="F3165" t="s">
        <v>31</v>
      </c>
      <c r="G3165" t="s">
        <v>32</v>
      </c>
      <c r="H3165" t="s">
        <v>33</v>
      </c>
      <c r="I3165" t="s">
        <v>53</v>
      </c>
      <c r="J3165" t="s">
        <v>123</v>
      </c>
      <c r="O3165" s="5"/>
      <c r="P3165" s="5"/>
    </row>
    <row r="3166" spans="1:30" x14ac:dyDescent="0.25">
      <c r="A3166" s="4">
        <v>42593</v>
      </c>
      <c r="B3166" t="s">
        <v>30</v>
      </c>
      <c r="C3166">
        <v>503</v>
      </c>
      <c r="D3166">
        <v>4</v>
      </c>
      <c r="E3166">
        <v>1</v>
      </c>
      <c r="F3166" t="s">
        <v>31</v>
      </c>
      <c r="G3166" t="s">
        <v>32</v>
      </c>
      <c r="H3166" t="s">
        <v>33</v>
      </c>
      <c r="I3166" t="s">
        <v>73</v>
      </c>
      <c r="J3166" t="s">
        <v>35</v>
      </c>
      <c r="K3166" t="s">
        <v>36</v>
      </c>
      <c r="L3166" t="s">
        <v>37</v>
      </c>
      <c r="M3166">
        <v>0</v>
      </c>
      <c r="N3166">
        <v>0</v>
      </c>
      <c r="O3166" s="5" t="s">
        <v>554</v>
      </c>
      <c r="P3166" s="5"/>
      <c r="Q3166">
        <f>179-90</f>
        <v>89</v>
      </c>
      <c r="R3166" t="s">
        <v>38</v>
      </c>
      <c r="S3166" t="s">
        <v>39</v>
      </c>
      <c r="T3166">
        <v>29</v>
      </c>
      <c r="W3166">
        <v>22.5</v>
      </c>
      <c r="X3166">
        <v>42.5</v>
      </c>
      <c r="Z3166" t="s">
        <v>39</v>
      </c>
      <c r="AB3166" t="s">
        <v>40</v>
      </c>
      <c r="AC3166" t="s">
        <v>682</v>
      </c>
    </row>
    <row r="3167" spans="1:30" x14ac:dyDescent="0.25">
      <c r="A3167" s="4">
        <v>42593</v>
      </c>
      <c r="B3167" t="s">
        <v>30</v>
      </c>
      <c r="C3167">
        <v>503</v>
      </c>
      <c r="D3167">
        <v>5</v>
      </c>
      <c r="E3167">
        <v>1</v>
      </c>
      <c r="F3167" t="s">
        <v>31</v>
      </c>
      <c r="G3167" t="s">
        <v>32</v>
      </c>
      <c r="H3167" t="s">
        <v>33</v>
      </c>
      <c r="I3167" t="s">
        <v>57</v>
      </c>
      <c r="O3167" s="5"/>
      <c r="P3167" s="5"/>
    </row>
    <row r="3168" spans="1:30" x14ac:dyDescent="0.25">
      <c r="A3168" s="4">
        <v>42593</v>
      </c>
      <c r="B3168" t="s">
        <v>30</v>
      </c>
      <c r="C3168">
        <v>503</v>
      </c>
      <c r="D3168">
        <v>5</v>
      </c>
      <c r="E3168">
        <v>2</v>
      </c>
      <c r="F3168" t="s">
        <v>31</v>
      </c>
      <c r="G3168" t="s">
        <v>32</v>
      </c>
      <c r="H3168" t="s">
        <v>33</v>
      </c>
      <c r="I3168" t="s">
        <v>57</v>
      </c>
      <c r="O3168" s="5"/>
      <c r="P3168" s="5"/>
    </row>
    <row r="3169" spans="1:30" x14ac:dyDescent="0.25">
      <c r="A3169" s="4">
        <v>42593</v>
      </c>
      <c r="B3169" t="s">
        <v>30</v>
      </c>
      <c r="C3169">
        <v>503</v>
      </c>
      <c r="D3169">
        <v>6</v>
      </c>
      <c r="E3169">
        <v>1</v>
      </c>
      <c r="F3169" t="s">
        <v>31</v>
      </c>
      <c r="G3169" t="s">
        <v>32</v>
      </c>
      <c r="H3169" t="s">
        <v>33</v>
      </c>
      <c r="I3169" t="s">
        <v>57</v>
      </c>
      <c r="O3169" s="5"/>
      <c r="P3169" s="5"/>
    </row>
    <row r="3170" spans="1:30" x14ac:dyDescent="0.25">
      <c r="A3170" s="4">
        <v>42593</v>
      </c>
      <c r="B3170" t="s">
        <v>30</v>
      </c>
      <c r="C3170">
        <v>503</v>
      </c>
      <c r="D3170">
        <v>6</v>
      </c>
      <c r="E3170">
        <v>2</v>
      </c>
      <c r="F3170" t="s">
        <v>31</v>
      </c>
      <c r="G3170" t="s">
        <v>32</v>
      </c>
      <c r="H3170" t="s">
        <v>33</v>
      </c>
      <c r="I3170" t="s">
        <v>70</v>
      </c>
      <c r="J3170" t="s">
        <v>123</v>
      </c>
      <c r="O3170" s="5"/>
      <c r="P3170" s="5"/>
    </row>
    <row r="3171" spans="1:30" x14ac:dyDescent="0.25">
      <c r="A3171" s="4">
        <v>42593</v>
      </c>
      <c r="B3171" t="s">
        <v>30</v>
      </c>
      <c r="C3171">
        <v>503</v>
      </c>
      <c r="D3171">
        <v>7</v>
      </c>
      <c r="E3171">
        <v>1</v>
      </c>
      <c r="F3171" t="s">
        <v>31</v>
      </c>
      <c r="G3171" t="s">
        <v>32</v>
      </c>
      <c r="H3171" t="s">
        <v>33</v>
      </c>
      <c r="I3171" t="s">
        <v>34</v>
      </c>
      <c r="J3171" t="s">
        <v>35</v>
      </c>
      <c r="K3171" t="s">
        <v>89</v>
      </c>
      <c r="L3171" t="s">
        <v>43</v>
      </c>
      <c r="M3171">
        <v>0</v>
      </c>
      <c r="N3171">
        <v>0</v>
      </c>
      <c r="O3171" s="5" t="s">
        <v>553</v>
      </c>
      <c r="P3171" s="5" t="s">
        <v>551</v>
      </c>
      <c r="Q3171">
        <v>13</v>
      </c>
      <c r="R3171" t="s">
        <v>65</v>
      </c>
      <c r="T3171">
        <v>19</v>
      </c>
      <c r="U3171">
        <v>74</v>
      </c>
      <c r="V3171">
        <v>16</v>
      </c>
      <c r="W3171">
        <v>12.25</v>
      </c>
      <c r="X3171">
        <v>25.2</v>
      </c>
      <c r="Z3171" t="s">
        <v>39</v>
      </c>
      <c r="AB3171" t="s">
        <v>40</v>
      </c>
      <c r="AC3171" t="s">
        <v>88</v>
      </c>
    </row>
    <row r="3172" spans="1:30" x14ac:dyDescent="0.25">
      <c r="A3172" s="4">
        <v>42593</v>
      </c>
      <c r="B3172" t="s">
        <v>30</v>
      </c>
      <c r="C3172">
        <v>503</v>
      </c>
      <c r="D3172">
        <v>7</v>
      </c>
      <c r="E3172">
        <v>2</v>
      </c>
      <c r="F3172" t="s">
        <v>31</v>
      </c>
      <c r="G3172" t="s">
        <v>32</v>
      </c>
      <c r="H3172" t="s">
        <v>33</v>
      </c>
      <c r="I3172" t="s">
        <v>34</v>
      </c>
      <c r="J3172" t="s">
        <v>35</v>
      </c>
      <c r="K3172" t="s">
        <v>114</v>
      </c>
      <c r="L3172" t="s">
        <v>37</v>
      </c>
      <c r="M3172">
        <v>0</v>
      </c>
      <c r="N3172">
        <v>0</v>
      </c>
      <c r="O3172" s="5" t="s">
        <v>683</v>
      </c>
      <c r="P3172" s="5" t="s">
        <v>684</v>
      </c>
      <c r="Q3172">
        <f>30-13</f>
        <v>17</v>
      </c>
      <c r="R3172" t="s">
        <v>38</v>
      </c>
      <c r="S3172" t="s">
        <v>39</v>
      </c>
      <c r="T3172">
        <v>18</v>
      </c>
      <c r="U3172">
        <v>82</v>
      </c>
      <c r="V3172">
        <v>16.5</v>
      </c>
      <c r="W3172">
        <v>13.3</v>
      </c>
      <c r="X3172">
        <v>27.5</v>
      </c>
      <c r="Z3172" t="s">
        <v>39</v>
      </c>
      <c r="AB3172" t="s">
        <v>40</v>
      </c>
      <c r="AC3172" t="s">
        <v>88</v>
      </c>
    </row>
    <row r="3173" spans="1:30" x14ac:dyDescent="0.25">
      <c r="A3173" s="4">
        <v>42593</v>
      </c>
      <c r="B3173" t="s">
        <v>30</v>
      </c>
      <c r="C3173">
        <v>503</v>
      </c>
      <c r="D3173">
        <v>8</v>
      </c>
      <c r="E3173">
        <v>1</v>
      </c>
      <c r="F3173" t="s">
        <v>31</v>
      </c>
      <c r="G3173" t="s">
        <v>32</v>
      </c>
      <c r="H3173" t="s">
        <v>33</v>
      </c>
      <c r="I3173" t="s">
        <v>34</v>
      </c>
      <c r="J3173" t="s">
        <v>35</v>
      </c>
      <c r="K3173" t="s">
        <v>114</v>
      </c>
      <c r="L3173" t="s">
        <v>43</v>
      </c>
      <c r="M3173">
        <v>0</v>
      </c>
      <c r="N3173">
        <v>0</v>
      </c>
      <c r="O3173" s="5" t="s">
        <v>662</v>
      </c>
      <c r="P3173" s="5" t="s">
        <v>663</v>
      </c>
      <c r="Q3173">
        <f>33.5-16</f>
        <v>17.5</v>
      </c>
      <c r="R3173" t="s">
        <v>47</v>
      </c>
      <c r="T3173">
        <v>18</v>
      </c>
      <c r="U3173">
        <v>79</v>
      </c>
      <c r="V3173">
        <v>19</v>
      </c>
      <c r="W3173">
        <v>12.9</v>
      </c>
      <c r="X3173">
        <v>28</v>
      </c>
      <c r="Y3173" t="s">
        <v>685</v>
      </c>
      <c r="Z3173" t="s">
        <v>39</v>
      </c>
      <c r="AB3173" t="s">
        <v>40</v>
      </c>
      <c r="AC3173" t="s">
        <v>88</v>
      </c>
    </row>
    <row r="3174" spans="1:30" x14ac:dyDescent="0.25">
      <c r="A3174" s="4">
        <v>42593</v>
      </c>
      <c r="B3174" t="s">
        <v>30</v>
      </c>
      <c r="C3174">
        <v>503</v>
      </c>
      <c r="D3174">
        <v>8</v>
      </c>
      <c r="E3174">
        <v>2</v>
      </c>
      <c r="F3174" t="s">
        <v>31</v>
      </c>
      <c r="G3174" t="s">
        <v>32</v>
      </c>
      <c r="H3174" t="s">
        <v>33</v>
      </c>
      <c r="I3174" t="s">
        <v>73</v>
      </c>
      <c r="J3174" t="s">
        <v>42</v>
      </c>
      <c r="K3174" t="s">
        <v>89</v>
      </c>
      <c r="L3174" t="s">
        <v>37</v>
      </c>
      <c r="M3174">
        <v>0</v>
      </c>
      <c r="N3174">
        <v>1</v>
      </c>
      <c r="O3174" s="5" t="s">
        <v>686</v>
      </c>
      <c r="P3174" s="5"/>
      <c r="Q3174">
        <f>135-90</f>
        <v>45</v>
      </c>
      <c r="R3174" t="s">
        <v>38</v>
      </c>
      <c r="S3174" t="s">
        <v>39</v>
      </c>
      <c r="T3174">
        <v>28</v>
      </c>
      <c r="W3174">
        <v>19.100000000000001</v>
      </c>
      <c r="X3174">
        <v>36.9</v>
      </c>
      <c r="Z3174" t="s">
        <v>39</v>
      </c>
      <c r="AB3174" t="s">
        <v>40</v>
      </c>
      <c r="AC3174" t="s">
        <v>88</v>
      </c>
      <c r="AD3174" t="s">
        <v>497</v>
      </c>
    </row>
    <row r="3175" spans="1:30" x14ac:dyDescent="0.25">
      <c r="A3175" s="4">
        <v>42593</v>
      </c>
      <c r="B3175" t="s">
        <v>30</v>
      </c>
      <c r="C3175">
        <v>503</v>
      </c>
      <c r="D3175">
        <v>9</v>
      </c>
      <c r="E3175">
        <v>1</v>
      </c>
      <c r="F3175" t="s">
        <v>31</v>
      </c>
      <c r="G3175" t="s">
        <v>32</v>
      </c>
      <c r="H3175" t="s">
        <v>33</v>
      </c>
      <c r="I3175" t="s">
        <v>34</v>
      </c>
      <c r="J3175" t="s">
        <v>35</v>
      </c>
      <c r="K3175" t="s">
        <v>114</v>
      </c>
      <c r="L3175" t="s">
        <v>37</v>
      </c>
      <c r="M3175">
        <v>0</v>
      </c>
      <c r="N3175">
        <v>0</v>
      </c>
      <c r="O3175" s="5" t="s">
        <v>664</v>
      </c>
      <c r="P3175" s="5" t="s">
        <v>665</v>
      </c>
      <c r="Q3175">
        <f>30.5-15.5</f>
        <v>15</v>
      </c>
      <c r="R3175" t="s">
        <v>38</v>
      </c>
      <c r="S3175" t="s">
        <v>39</v>
      </c>
      <c r="T3175">
        <v>19</v>
      </c>
      <c r="U3175">
        <v>83</v>
      </c>
      <c r="V3175">
        <v>17</v>
      </c>
      <c r="W3175">
        <v>13</v>
      </c>
      <c r="X3175">
        <v>26</v>
      </c>
      <c r="Z3175" t="s">
        <v>39</v>
      </c>
      <c r="AB3175" t="s">
        <v>40</v>
      </c>
      <c r="AC3175" t="s">
        <v>88</v>
      </c>
    </row>
    <row r="3176" spans="1:30" x14ac:dyDescent="0.25">
      <c r="A3176" s="4">
        <v>42593</v>
      </c>
      <c r="B3176" t="s">
        <v>30</v>
      </c>
      <c r="C3176">
        <v>503</v>
      </c>
      <c r="D3176">
        <v>9</v>
      </c>
      <c r="E3176">
        <v>2</v>
      </c>
      <c r="F3176" t="s">
        <v>31</v>
      </c>
      <c r="G3176" t="s">
        <v>32</v>
      </c>
      <c r="H3176" t="s">
        <v>33</v>
      </c>
      <c r="I3176" t="s">
        <v>73</v>
      </c>
      <c r="J3176" t="s">
        <v>42</v>
      </c>
      <c r="K3176" t="s">
        <v>89</v>
      </c>
      <c r="L3176" t="s">
        <v>43</v>
      </c>
      <c r="M3176">
        <v>0</v>
      </c>
      <c r="N3176">
        <v>1</v>
      </c>
      <c r="O3176" s="5" t="s">
        <v>687</v>
      </c>
      <c r="P3176" s="5"/>
      <c r="Q3176">
        <f>140-90</f>
        <v>50</v>
      </c>
      <c r="R3176" t="s">
        <v>65</v>
      </c>
      <c r="T3176">
        <v>29</v>
      </c>
      <c r="W3176">
        <v>19.399999999999999</v>
      </c>
      <c r="X3176">
        <v>37.75</v>
      </c>
      <c r="Z3176" t="s">
        <v>39</v>
      </c>
      <c r="AB3176" t="s">
        <v>40</v>
      </c>
      <c r="AC3176" t="s">
        <v>88</v>
      </c>
    </row>
    <row r="3177" spans="1:30" x14ac:dyDescent="0.25">
      <c r="A3177" s="4">
        <v>42593</v>
      </c>
      <c r="B3177" t="s">
        <v>30</v>
      </c>
      <c r="C3177">
        <v>503</v>
      </c>
      <c r="D3177">
        <v>10</v>
      </c>
      <c r="E3177">
        <v>1</v>
      </c>
      <c r="F3177" t="s">
        <v>31</v>
      </c>
      <c r="G3177" t="s">
        <v>32</v>
      </c>
      <c r="H3177" t="s">
        <v>33</v>
      </c>
      <c r="I3177" t="s">
        <v>57</v>
      </c>
      <c r="O3177" s="5"/>
      <c r="P3177" s="5"/>
    </row>
    <row r="3178" spans="1:30" x14ac:dyDescent="0.25">
      <c r="A3178" s="4">
        <v>42593</v>
      </c>
      <c r="B3178" t="s">
        <v>30</v>
      </c>
      <c r="C3178">
        <v>503</v>
      </c>
      <c r="D3178">
        <v>10</v>
      </c>
      <c r="E3178">
        <v>2</v>
      </c>
      <c r="F3178" t="s">
        <v>31</v>
      </c>
      <c r="G3178" t="s">
        <v>32</v>
      </c>
      <c r="H3178" t="s">
        <v>33</v>
      </c>
      <c r="I3178" t="s">
        <v>58</v>
      </c>
      <c r="J3178" t="s">
        <v>51</v>
      </c>
      <c r="K3178" t="s">
        <v>36</v>
      </c>
      <c r="L3178" t="s">
        <v>37</v>
      </c>
      <c r="M3178">
        <v>1</v>
      </c>
      <c r="N3178">
        <v>0</v>
      </c>
      <c r="O3178" s="5" t="s">
        <v>165</v>
      </c>
      <c r="P3178" s="5" t="s">
        <v>688</v>
      </c>
      <c r="Q3178">
        <f>37.5-12.5</f>
        <v>25</v>
      </c>
      <c r="R3178" t="s">
        <v>74</v>
      </c>
      <c r="S3178" t="s">
        <v>97</v>
      </c>
      <c r="T3178">
        <v>18</v>
      </c>
      <c r="W3178">
        <v>13.1</v>
      </c>
      <c r="X3178">
        <v>24.2</v>
      </c>
      <c r="Z3178" t="s">
        <v>97</v>
      </c>
      <c r="AB3178" t="s">
        <v>40</v>
      </c>
      <c r="AC3178" t="s">
        <v>88</v>
      </c>
    </row>
    <row r="3179" spans="1:30" x14ac:dyDescent="0.25">
      <c r="A3179" s="4">
        <v>42593</v>
      </c>
      <c r="B3179" t="s">
        <v>30</v>
      </c>
      <c r="C3179">
        <v>303</v>
      </c>
      <c r="D3179">
        <v>1</v>
      </c>
      <c r="E3179">
        <v>1</v>
      </c>
      <c r="F3179" t="s">
        <v>31</v>
      </c>
      <c r="G3179" t="s">
        <v>32</v>
      </c>
      <c r="H3179" t="s">
        <v>33</v>
      </c>
      <c r="I3179" t="s">
        <v>53</v>
      </c>
      <c r="J3179" t="s">
        <v>62</v>
      </c>
      <c r="O3179" s="5"/>
      <c r="P3179" s="5"/>
      <c r="AB3179" t="s">
        <v>40</v>
      </c>
      <c r="AC3179" t="s">
        <v>88</v>
      </c>
    </row>
    <row r="3180" spans="1:30" x14ac:dyDescent="0.25">
      <c r="A3180" s="4">
        <v>42593</v>
      </c>
      <c r="B3180" t="s">
        <v>30</v>
      </c>
      <c r="C3180">
        <v>303</v>
      </c>
      <c r="D3180">
        <v>1</v>
      </c>
      <c r="E3180">
        <v>2</v>
      </c>
      <c r="F3180" t="s">
        <v>31</v>
      </c>
      <c r="G3180" t="s">
        <v>32</v>
      </c>
      <c r="H3180" t="s">
        <v>33</v>
      </c>
      <c r="I3180" t="s">
        <v>58</v>
      </c>
      <c r="J3180" t="s">
        <v>42</v>
      </c>
      <c r="K3180" t="s">
        <v>36</v>
      </c>
      <c r="L3180" t="s">
        <v>43</v>
      </c>
      <c r="M3180">
        <v>0</v>
      </c>
      <c r="N3180">
        <v>1</v>
      </c>
      <c r="O3180" s="5" t="s">
        <v>689</v>
      </c>
      <c r="P3180" s="5"/>
      <c r="Q3180">
        <f>36-13.5</f>
        <v>22.5</v>
      </c>
      <c r="R3180" t="s">
        <v>65</v>
      </c>
      <c r="T3180">
        <v>16</v>
      </c>
      <c r="W3180">
        <v>12.85</v>
      </c>
      <c r="X3180">
        <v>26.5</v>
      </c>
      <c r="Z3180" t="s">
        <v>97</v>
      </c>
      <c r="AB3180" t="s">
        <v>40</v>
      </c>
      <c r="AC3180" t="s">
        <v>88</v>
      </c>
    </row>
    <row r="3181" spans="1:30" x14ac:dyDescent="0.25">
      <c r="A3181" s="4">
        <v>42593</v>
      </c>
      <c r="B3181" t="s">
        <v>30</v>
      </c>
      <c r="C3181">
        <v>303</v>
      </c>
      <c r="D3181">
        <v>2</v>
      </c>
      <c r="E3181">
        <v>1</v>
      </c>
      <c r="F3181" t="s">
        <v>31</v>
      </c>
      <c r="G3181" t="s">
        <v>32</v>
      </c>
      <c r="H3181" t="s">
        <v>33</v>
      </c>
      <c r="I3181" t="s">
        <v>58</v>
      </c>
      <c r="J3181" t="s">
        <v>35</v>
      </c>
      <c r="K3181" t="s">
        <v>36</v>
      </c>
      <c r="L3181" t="s">
        <v>43</v>
      </c>
      <c r="M3181">
        <v>0</v>
      </c>
      <c r="N3181">
        <v>0</v>
      </c>
      <c r="O3181" s="5" t="s">
        <v>559</v>
      </c>
      <c r="P3181" s="5"/>
      <c r="Q3181">
        <f>38-14.5</f>
        <v>23.5</v>
      </c>
      <c r="R3181" t="s">
        <v>65</v>
      </c>
      <c r="T3181">
        <v>18</v>
      </c>
      <c r="W3181">
        <v>12.7</v>
      </c>
      <c r="X3181">
        <v>25.7</v>
      </c>
      <c r="Z3181" t="s">
        <v>39</v>
      </c>
      <c r="AB3181" t="s">
        <v>40</v>
      </c>
      <c r="AC3181" t="s">
        <v>88</v>
      </c>
    </row>
    <row r="3182" spans="1:30" x14ac:dyDescent="0.25">
      <c r="A3182" s="4">
        <v>42593</v>
      </c>
      <c r="B3182" t="s">
        <v>30</v>
      </c>
      <c r="C3182">
        <v>303</v>
      </c>
      <c r="D3182">
        <v>2</v>
      </c>
      <c r="E3182">
        <v>2</v>
      </c>
      <c r="F3182" t="s">
        <v>31</v>
      </c>
      <c r="G3182" t="s">
        <v>32</v>
      </c>
      <c r="H3182" t="s">
        <v>33</v>
      </c>
      <c r="I3182" t="s">
        <v>58</v>
      </c>
      <c r="J3182" t="s">
        <v>35</v>
      </c>
      <c r="K3182" t="s">
        <v>89</v>
      </c>
      <c r="L3182" t="s">
        <v>37</v>
      </c>
      <c r="M3182">
        <v>0</v>
      </c>
      <c r="N3182">
        <v>0</v>
      </c>
      <c r="O3182" s="5" t="s">
        <v>557</v>
      </c>
      <c r="P3182" s="5"/>
      <c r="Q3182">
        <f>34-17.5</f>
        <v>16.5</v>
      </c>
      <c r="R3182" t="s">
        <v>38</v>
      </c>
      <c r="S3182" t="s">
        <v>39</v>
      </c>
      <c r="T3182">
        <v>18</v>
      </c>
      <c r="W3182">
        <v>12.3</v>
      </c>
      <c r="X3182">
        <v>27.2</v>
      </c>
      <c r="Z3182" t="s">
        <v>39</v>
      </c>
      <c r="AB3182" t="s">
        <v>40</v>
      </c>
      <c r="AC3182" t="s">
        <v>88</v>
      </c>
    </row>
    <row r="3183" spans="1:30" x14ac:dyDescent="0.25">
      <c r="A3183" s="4">
        <v>42593</v>
      </c>
      <c r="B3183" t="s">
        <v>30</v>
      </c>
      <c r="C3183">
        <v>303</v>
      </c>
      <c r="D3183">
        <v>3</v>
      </c>
      <c r="E3183">
        <v>1</v>
      </c>
      <c r="F3183" t="s">
        <v>31</v>
      </c>
      <c r="G3183" t="s">
        <v>32</v>
      </c>
      <c r="H3183" t="s">
        <v>33</v>
      </c>
      <c r="I3183" t="s">
        <v>57</v>
      </c>
      <c r="O3183" s="5"/>
      <c r="P3183" s="5"/>
    </row>
    <row r="3184" spans="1:30" x14ac:dyDescent="0.25">
      <c r="A3184" s="4">
        <v>42593</v>
      </c>
      <c r="B3184" t="s">
        <v>30</v>
      </c>
      <c r="C3184">
        <v>303</v>
      </c>
      <c r="D3184">
        <v>3</v>
      </c>
      <c r="E3184">
        <v>2</v>
      </c>
      <c r="F3184" t="s">
        <v>31</v>
      </c>
      <c r="G3184" t="s">
        <v>32</v>
      </c>
      <c r="H3184" t="s">
        <v>33</v>
      </c>
      <c r="I3184" t="s">
        <v>58</v>
      </c>
      <c r="J3184" t="s">
        <v>35</v>
      </c>
      <c r="K3184" t="s">
        <v>36</v>
      </c>
      <c r="L3184" t="s">
        <v>37</v>
      </c>
      <c r="M3184">
        <v>0</v>
      </c>
      <c r="N3184">
        <v>0</v>
      </c>
      <c r="O3184" s="5" t="s">
        <v>558</v>
      </c>
      <c r="P3184" s="5"/>
      <c r="Q3184">
        <f>43.5-15</f>
        <v>28.5</v>
      </c>
      <c r="R3184" t="s">
        <v>81</v>
      </c>
      <c r="S3184" t="s">
        <v>39</v>
      </c>
      <c r="T3184">
        <v>17</v>
      </c>
      <c r="W3184">
        <v>12.9</v>
      </c>
      <c r="X3184">
        <v>27.5</v>
      </c>
      <c r="Z3184" t="s">
        <v>39</v>
      </c>
      <c r="AB3184" t="s">
        <v>40</v>
      </c>
      <c r="AC3184" t="s">
        <v>88</v>
      </c>
    </row>
    <row r="3185" spans="1:29" x14ac:dyDescent="0.25">
      <c r="A3185" s="4">
        <v>42593</v>
      </c>
      <c r="B3185" t="s">
        <v>30</v>
      </c>
      <c r="C3185">
        <v>303</v>
      </c>
      <c r="D3185">
        <v>4</v>
      </c>
      <c r="E3185">
        <v>1</v>
      </c>
      <c r="F3185" t="s">
        <v>31</v>
      </c>
      <c r="G3185" t="s">
        <v>32</v>
      </c>
      <c r="H3185" t="s">
        <v>33</v>
      </c>
      <c r="I3185" t="s">
        <v>58</v>
      </c>
      <c r="J3185" t="s">
        <v>35</v>
      </c>
      <c r="K3185" t="s">
        <v>36</v>
      </c>
      <c r="L3185" t="s">
        <v>37</v>
      </c>
      <c r="M3185">
        <v>0</v>
      </c>
      <c r="N3185">
        <v>0</v>
      </c>
      <c r="O3185" s="5" t="s">
        <v>563</v>
      </c>
      <c r="P3185" s="5"/>
      <c r="Q3185">
        <f>39-13.5</f>
        <v>25.5</v>
      </c>
      <c r="R3185" t="s">
        <v>83</v>
      </c>
      <c r="S3185" t="s">
        <v>39</v>
      </c>
      <c r="T3185">
        <v>17</v>
      </c>
      <c r="W3185">
        <v>13.4</v>
      </c>
      <c r="X3185">
        <v>27</v>
      </c>
      <c r="Z3185" t="s">
        <v>39</v>
      </c>
      <c r="AB3185" t="s">
        <v>40</v>
      </c>
      <c r="AC3185" t="s">
        <v>88</v>
      </c>
    </row>
    <row r="3186" spans="1:29" x14ac:dyDescent="0.25">
      <c r="A3186" s="4">
        <v>42593</v>
      </c>
      <c r="B3186" t="s">
        <v>30</v>
      </c>
      <c r="C3186">
        <v>303</v>
      </c>
      <c r="D3186">
        <v>6</v>
      </c>
      <c r="E3186">
        <v>1</v>
      </c>
      <c r="F3186" t="s">
        <v>31</v>
      </c>
      <c r="G3186" t="s">
        <v>32</v>
      </c>
      <c r="H3186" t="s">
        <v>33</v>
      </c>
      <c r="I3186" t="s">
        <v>53</v>
      </c>
      <c r="J3186" t="s">
        <v>62</v>
      </c>
      <c r="O3186" s="5"/>
      <c r="P3186" s="5"/>
      <c r="AB3186" t="s">
        <v>40</v>
      </c>
      <c r="AC3186" t="s">
        <v>88</v>
      </c>
    </row>
    <row r="3187" spans="1:29" x14ac:dyDescent="0.25">
      <c r="A3187" s="4">
        <v>42593</v>
      </c>
      <c r="B3187" t="s">
        <v>30</v>
      </c>
      <c r="C3187">
        <v>303</v>
      </c>
      <c r="D3187">
        <v>6</v>
      </c>
      <c r="E3187">
        <v>2</v>
      </c>
      <c r="F3187" t="s">
        <v>31</v>
      </c>
      <c r="G3187" t="s">
        <v>32</v>
      </c>
      <c r="H3187" t="s">
        <v>33</v>
      </c>
      <c r="I3187" t="s">
        <v>34</v>
      </c>
      <c r="J3187" t="s">
        <v>42</v>
      </c>
      <c r="K3187" t="s">
        <v>114</v>
      </c>
      <c r="L3187" t="s">
        <v>43</v>
      </c>
      <c r="M3187">
        <v>0</v>
      </c>
      <c r="N3187">
        <v>1</v>
      </c>
      <c r="O3187" s="5" t="s">
        <v>690</v>
      </c>
      <c r="P3187" s="5" t="s">
        <v>691</v>
      </c>
      <c r="Q3187">
        <f>32-15.5</f>
        <v>16.5</v>
      </c>
      <c r="R3187" t="s">
        <v>65</v>
      </c>
      <c r="T3187">
        <v>17</v>
      </c>
      <c r="U3187">
        <v>85.5</v>
      </c>
      <c r="V3187">
        <v>15</v>
      </c>
      <c r="W3187">
        <v>13.3</v>
      </c>
      <c r="X3187">
        <v>27.6</v>
      </c>
      <c r="Z3187" t="s">
        <v>39</v>
      </c>
      <c r="AB3187" t="s">
        <v>40</v>
      </c>
      <c r="AC3187" t="s">
        <v>88</v>
      </c>
    </row>
    <row r="3188" spans="1:29" x14ac:dyDescent="0.25">
      <c r="A3188" s="4">
        <v>42593</v>
      </c>
      <c r="B3188" t="s">
        <v>30</v>
      </c>
      <c r="C3188">
        <v>303</v>
      </c>
      <c r="D3188">
        <v>7</v>
      </c>
      <c r="E3188">
        <v>1</v>
      </c>
      <c r="F3188" t="s">
        <v>31</v>
      </c>
      <c r="G3188" t="s">
        <v>32</v>
      </c>
      <c r="H3188" t="s">
        <v>33</v>
      </c>
      <c r="I3188" t="s">
        <v>34</v>
      </c>
      <c r="J3188" t="s">
        <v>42</v>
      </c>
      <c r="K3188" t="s">
        <v>114</v>
      </c>
      <c r="L3188" t="s">
        <v>37</v>
      </c>
      <c r="M3188">
        <v>0</v>
      </c>
      <c r="N3188">
        <v>1</v>
      </c>
      <c r="O3188" s="5" t="s">
        <v>692</v>
      </c>
      <c r="P3188" s="5" t="s">
        <v>691</v>
      </c>
      <c r="Q3188">
        <f>29-13</f>
        <v>16</v>
      </c>
      <c r="R3188" t="s">
        <v>38</v>
      </c>
      <c r="S3188" t="s">
        <v>39</v>
      </c>
      <c r="T3188">
        <v>18</v>
      </c>
      <c r="U3188">
        <v>85</v>
      </c>
      <c r="V3188">
        <v>16</v>
      </c>
      <c r="W3188">
        <v>12.7</v>
      </c>
      <c r="X3188">
        <v>26.8</v>
      </c>
      <c r="Y3188" t="s">
        <v>693</v>
      </c>
      <c r="Z3188" t="s">
        <v>97</v>
      </c>
      <c r="AB3188" t="s">
        <v>40</v>
      </c>
      <c r="AC3188" t="s">
        <v>88</v>
      </c>
    </row>
    <row r="3189" spans="1:29" x14ac:dyDescent="0.25">
      <c r="A3189" s="4">
        <v>42593</v>
      </c>
      <c r="B3189" t="s">
        <v>30</v>
      </c>
      <c r="C3189">
        <v>303</v>
      </c>
      <c r="D3189">
        <v>7</v>
      </c>
      <c r="E3189">
        <v>2</v>
      </c>
      <c r="F3189" t="s">
        <v>31</v>
      </c>
      <c r="G3189" t="s">
        <v>32</v>
      </c>
      <c r="H3189" t="s">
        <v>33</v>
      </c>
      <c r="I3189" t="s">
        <v>34</v>
      </c>
      <c r="J3189" t="s">
        <v>35</v>
      </c>
      <c r="K3189" t="s">
        <v>114</v>
      </c>
      <c r="L3189" t="s">
        <v>37</v>
      </c>
      <c r="M3189">
        <v>0</v>
      </c>
      <c r="N3189">
        <v>0</v>
      </c>
      <c r="O3189" s="5" t="s">
        <v>667</v>
      </c>
      <c r="P3189" s="5" t="s">
        <v>668</v>
      </c>
      <c r="Q3189">
        <f>28-13</f>
        <v>15</v>
      </c>
      <c r="R3189" t="s">
        <v>38</v>
      </c>
      <c r="S3189" t="s">
        <v>39</v>
      </c>
      <c r="T3189">
        <v>17</v>
      </c>
      <c r="U3189">
        <v>81.5</v>
      </c>
      <c r="V3189">
        <v>17</v>
      </c>
      <c r="W3189">
        <v>12.8</v>
      </c>
      <c r="X3189">
        <v>27</v>
      </c>
      <c r="Z3189" t="s">
        <v>39</v>
      </c>
      <c r="AB3189" t="s">
        <v>40</v>
      </c>
      <c r="AC3189" t="s">
        <v>88</v>
      </c>
    </row>
    <row r="3190" spans="1:29" x14ac:dyDescent="0.25">
      <c r="A3190" s="4">
        <v>42593</v>
      </c>
      <c r="B3190" t="s">
        <v>30</v>
      </c>
      <c r="C3190">
        <v>303</v>
      </c>
      <c r="D3190">
        <v>8</v>
      </c>
      <c r="E3190">
        <v>1</v>
      </c>
      <c r="F3190" t="s">
        <v>31</v>
      </c>
      <c r="G3190" t="s">
        <v>32</v>
      </c>
      <c r="H3190" t="s">
        <v>33</v>
      </c>
      <c r="I3190" t="s">
        <v>57</v>
      </c>
      <c r="O3190" s="5"/>
      <c r="P3190" s="5"/>
    </row>
    <row r="3191" spans="1:29" x14ac:dyDescent="0.25">
      <c r="A3191" s="4">
        <v>42593</v>
      </c>
      <c r="B3191" t="s">
        <v>30</v>
      </c>
      <c r="C3191">
        <v>303</v>
      </c>
      <c r="D3191">
        <v>8</v>
      </c>
      <c r="E3191">
        <v>2</v>
      </c>
      <c r="F3191" t="s">
        <v>31</v>
      </c>
      <c r="G3191" t="s">
        <v>32</v>
      </c>
      <c r="H3191" t="s">
        <v>33</v>
      </c>
      <c r="I3191" t="s">
        <v>57</v>
      </c>
      <c r="O3191" s="5"/>
      <c r="P3191" s="5"/>
    </row>
    <row r="3192" spans="1:29" x14ac:dyDescent="0.25">
      <c r="A3192" s="4">
        <v>42593</v>
      </c>
      <c r="B3192" t="s">
        <v>30</v>
      </c>
      <c r="C3192">
        <v>303</v>
      </c>
      <c r="D3192">
        <v>9</v>
      </c>
      <c r="E3192">
        <v>1</v>
      </c>
      <c r="F3192" t="s">
        <v>31</v>
      </c>
      <c r="G3192" t="s">
        <v>32</v>
      </c>
      <c r="H3192" t="s">
        <v>33</v>
      </c>
      <c r="I3192" t="s">
        <v>57</v>
      </c>
      <c r="O3192" s="5"/>
      <c r="P3192" s="5"/>
    </row>
    <row r="3193" spans="1:29" x14ac:dyDescent="0.25">
      <c r="A3193" s="4">
        <v>42593</v>
      </c>
      <c r="B3193" t="s">
        <v>30</v>
      </c>
      <c r="C3193">
        <v>303</v>
      </c>
      <c r="D3193">
        <v>9</v>
      </c>
      <c r="E3193">
        <v>2</v>
      </c>
      <c r="F3193" t="s">
        <v>31</v>
      </c>
      <c r="G3193" t="s">
        <v>32</v>
      </c>
      <c r="H3193" t="s">
        <v>33</v>
      </c>
      <c r="I3193" t="s">
        <v>57</v>
      </c>
      <c r="O3193" s="5"/>
      <c r="P3193" s="5"/>
    </row>
    <row r="3194" spans="1:29" x14ac:dyDescent="0.25">
      <c r="A3194" s="4">
        <v>42593</v>
      </c>
      <c r="B3194" t="s">
        <v>30</v>
      </c>
      <c r="C3194">
        <v>303</v>
      </c>
      <c r="D3194">
        <v>10</v>
      </c>
      <c r="E3194">
        <v>1</v>
      </c>
      <c r="F3194" t="s">
        <v>31</v>
      </c>
      <c r="G3194" t="s">
        <v>32</v>
      </c>
      <c r="H3194" t="s">
        <v>33</v>
      </c>
      <c r="I3194" t="s">
        <v>53</v>
      </c>
      <c r="J3194" t="s">
        <v>62</v>
      </c>
      <c r="O3194" s="5"/>
      <c r="P3194" s="5"/>
    </row>
    <row r="3195" spans="1:29" x14ac:dyDescent="0.25">
      <c r="A3195" s="4">
        <v>42593</v>
      </c>
      <c r="B3195" t="s">
        <v>30</v>
      </c>
      <c r="C3195">
        <v>303</v>
      </c>
      <c r="D3195">
        <v>10</v>
      </c>
      <c r="E3195">
        <v>2</v>
      </c>
      <c r="F3195" t="s">
        <v>31</v>
      </c>
      <c r="G3195" t="s">
        <v>32</v>
      </c>
      <c r="H3195" t="s">
        <v>33</v>
      </c>
      <c r="I3195" t="s">
        <v>34</v>
      </c>
      <c r="J3195" t="s">
        <v>35</v>
      </c>
      <c r="K3195" t="s">
        <v>114</v>
      </c>
      <c r="L3195" t="s">
        <v>43</v>
      </c>
      <c r="M3195">
        <v>0</v>
      </c>
      <c r="N3195">
        <v>0</v>
      </c>
      <c r="O3195" s="5" t="s">
        <v>561</v>
      </c>
      <c r="P3195" s="5" t="s">
        <v>562</v>
      </c>
      <c r="Q3195">
        <f>30-13</f>
        <v>17</v>
      </c>
      <c r="R3195" t="s">
        <v>65</v>
      </c>
      <c r="T3195">
        <v>18</v>
      </c>
      <c r="U3195">
        <v>78</v>
      </c>
      <c r="V3195">
        <v>15</v>
      </c>
      <c r="W3195">
        <v>13</v>
      </c>
      <c r="X3195">
        <v>27.1</v>
      </c>
      <c r="Z3195" t="s">
        <v>97</v>
      </c>
      <c r="AB3195" t="s">
        <v>40</v>
      </c>
      <c r="AC3195" t="s">
        <v>88</v>
      </c>
    </row>
    <row r="3196" spans="1:29" x14ac:dyDescent="0.25">
      <c r="A3196" s="4">
        <v>42593</v>
      </c>
      <c r="B3196" t="s">
        <v>30</v>
      </c>
      <c r="C3196">
        <v>401</v>
      </c>
      <c r="D3196">
        <v>1</v>
      </c>
      <c r="E3196">
        <v>1</v>
      </c>
      <c r="F3196" t="s">
        <v>31</v>
      </c>
      <c r="G3196" t="s">
        <v>32</v>
      </c>
      <c r="H3196" t="s">
        <v>33</v>
      </c>
      <c r="I3196" t="s">
        <v>57</v>
      </c>
      <c r="O3196" s="5"/>
      <c r="P3196" s="5"/>
    </row>
    <row r="3197" spans="1:29" x14ac:dyDescent="0.25">
      <c r="A3197" s="4">
        <v>42593</v>
      </c>
      <c r="B3197" t="s">
        <v>30</v>
      </c>
      <c r="C3197">
        <v>401</v>
      </c>
      <c r="D3197">
        <v>1</v>
      </c>
      <c r="E3197">
        <v>2</v>
      </c>
      <c r="F3197" t="s">
        <v>31</v>
      </c>
      <c r="G3197" t="s">
        <v>32</v>
      </c>
      <c r="H3197" t="s">
        <v>33</v>
      </c>
      <c r="I3197" t="s">
        <v>57</v>
      </c>
      <c r="O3197" s="5"/>
      <c r="P3197" s="5"/>
    </row>
    <row r="3198" spans="1:29" x14ac:dyDescent="0.25">
      <c r="A3198" s="4">
        <v>42593</v>
      </c>
      <c r="B3198" t="s">
        <v>30</v>
      </c>
      <c r="C3198">
        <v>401</v>
      </c>
      <c r="D3198">
        <v>2</v>
      </c>
      <c r="E3198">
        <v>1</v>
      </c>
      <c r="F3198" t="s">
        <v>31</v>
      </c>
      <c r="G3198" t="s">
        <v>32</v>
      </c>
      <c r="H3198" t="s">
        <v>33</v>
      </c>
      <c r="I3198" t="s">
        <v>57</v>
      </c>
      <c r="O3198" s="5"/>
      <c r="P3198" s="5"/>
    </row>
    <row r="3199" spans="1:29" x14ac:dyDescent="0.25">
      <c r="A3199" s="4">
        <v>42593</v>
      </c>
      <c r="B3199" t="s">
        <v>30</v>
      </c>
      <c r="C3199">
        <v>401</v>
      </c>
      <c r="D3199">
        <v>3</v>
      </c>
      <c r="E3199">
        <v>1</v>
      </c>
      <c r="F3199" t="s">
        <v>31</v>
      </c>
      <c r="G3199" t="s">
        <v>32</v>
      </c>
      <c r="H3199" t="s">
        <v>33</v>
      </c>
      <c r="I3199" t="s">
        <v>53</v>
      </c>
      <c r="J3199" t="s">
        <v>62</v>
      </c>
      <c r="O3199" s="5"/>
      <c r="P3199" s="5"/>
    </row>
    <row r="3200" spans="1:29" x14ac:dyDescent="0.25">
      <c r="A3200" s="4">
        <v>42593</v>
      </c>
      <c r="B3200" t="s">
        <v>30</v>
      </c>
      <c r="C3200">
        <v>401</v>
      </c>
      <c r="D3200">
        <v>4</v>
      </c>
      <c r="E3200">
        <v>1</v>
      </c>
      <c r="F3200" t="s">
        <v>31</v>
      </c>
      <c r="G3200" t="s">
        <v>32</v>
      </c>
      <c r="H3200" t="s">
        <v>33</v>
      </c>
      <c r="I3200" t="s">
        <v>57</v>
      </c>
      <c r="O3200" s="5"/>
      <c r="P3200" s="5"/>
    </row>
    <row r="3201" spans="1:29" x14ac:dyDescent="0.25">
      <c r="A3201" s="4">
        <v>42593</v>
      </c>
      <c r="B3201" t="s">
        <v>30</v>
      </c>
      <c r="C3201">
        <v>401</v>
      </c>
      <c r="D3201">
        <v>5</v>
      </c>
      <c r="E3201">
        <v>1</v>
      </c>
      <c r="F3201" t="s">
        <v>31</v>
      </c>
      <c r="G3201" t="s">
        <v>32</v>
      </c>
      <c r="H3201" t="s">
        <v>33</v>
      </c>
      <c r="I3201" t="s">
        <v>34</v>
      </c>
      <c r="J3201" t="s">
        <v>42</v>
      </c>
      <c r="K3201" t="s">
        <v>36</v>
      </c>
      <c r="L3201" t="s">
        <v>43</v>
      </c>
      <c r="M3201">
        <v>0</v>
      </c>
      <c r="N3201">
        <v>1</v>
      </c>
      <c r="O3201" s="5" t="s">
        <v>694</v>
      </c>
      <c r="P3201" s="5" t="s">
        <v>695</v>
      </c>
      <c r="Q3201">
        <f>35-16.5</f>
        <v>18.5</v>
      </c>
      <c r="R3201" t="s">
        <v>47</v>
      </c>
      <c r="T3201">
        <v>18</v>
      </c>
      <c r="U3201">
        <v>95</v>
      </c>
      <c r="V3201">
        <v>16</v>
      </c>
      <c r="W3201">
        <v>13</v>
      </c>
      <c r="X3201">
        <v>28.9</v>
      </c>
      <c r="Z3201" t="s">
        <v>39</v>
      </c>
      <c r="AB3201" t="s">
        <v>40</v>
      </c>
      <c r="AC3201" t="s">
        <v>88</v>
      </c>
    </row>
    <row r="3202" spans="1:29" x14ac:dyDescent="0.25">
      <c r="A3202" s="4">
        <v>42593</v>
      </c>
      <c r="B3202" t="s">
        <v>30</v>
      </c>
      <c r="C3202">
        <v>401</v>
      </c>
      <c r="D3202">
        <v>6</v>
      </c>
      <c r="E3202">
        <v>1</v>
      </c>
      <c r="F3202" t="s">
        <v>31</v>
      </c>
      <c r="G3202" t="s">
        <v>32</v>
      </c>
      <c r="H3202" t="s">
        <v>33</v>
      </c>
      <c r="I3202" t="s">
        <v>64</v>
      </c>
      <c r="J3202" t="s">
        <v>35</v>
      </c>
      <c r="K3202" t="s">
        <v>36</v>
      </c>
      <c r="L3202" t="s">
        <v>43</v>
      </c>
      <c r="M3202">
        <v>0</v>
      </c>
      <c r="N3202">
        <v>0</v>
      </c>
      <c r="O3202" s="5" t="s">
        <v>696</v>
      </c>
      <c r="P3202" s="5" t="s">
        <v>697</v>
      </c>
      <c r="Q3202">
        <f>280-90</f>
        <v>190</v>
      </c>
      <c r="R3202" t="s">
        <v>47</v>
      </c>
      <c r="T3202">
        <v>44</v>
      </c>
      <c r="W3202">
        <v>27</v>
      </c>
      <c r="X3202">
        <v>50.1</v>
      </c>
      <c r="Z3202" t="s">
        <v>97</v>
      </c>
      <c r="AB3202" t="s">
        <v>40</v>
      </c>
      <c r="AC3202" t="s">
        <v>88</v>
      </c>
    </row>
    <row r="3203" spans="1:29" x14ac:dyDescent="0.25">
      <c r="A3203" s="4">
        <v>42593</v>
      </c>
      <c r="B3203" t="s">
        <v>30</v>
      </c>
      <c r="C3203">
        <v>401</v>
      </c>
      <c r="D3203">
        <v>7</v>
      </c>
      <c r="E3203">
        <v>1</v>
      </c>
      <c r="F3203" t="s">
        <v>31</v>
      </c>
      <c r="G3203" t="s">
        <v>32</v>
      </c>
      <c r="H3203" t="s">
        <v>33</v>
      </c>
      <c r="I3203" t="s">
        <v>57</v>
      </c>
      <c r="O3203" s="5"/>
      <c r="P3203" s="5"/>
    </row>
    <row r="3204" spans="1:29" x14ac:dyDescent="0.25">
      <c r="A3204" s="4">
        <v>42593</v>
      </c>
      <c r="B3204" t="s">
        <v>30</v>
      </c>
      <c r="C3204">
        <v>401</v>
      </c>
      <c r="D3204">
        <v>8</v>
      </c>
      <c r="E3204">
        <v>1</v>
      </c>
      <c r="F3204" t="s">
        <v>31</v>
      </c>
      <c r="G3204" t="s">
        <v>32</v>
      </c>
      <c r="H3204" t="s">
        <v>33</v>
      </c>
      <c r="I3204" t="s">
        <v>34</v>
      </c>
      <c r="J3204" t="s">
        <v>35</v>
      </c>
      <c r="K3204" t="s">
        <v>114</v>
      </c>
      <c r="L3204" t="s">
        <v>37</v>
      </c>
      <c r="M3204">
        <v>0</v>
      </c>
      <c r="N3204">
        <v>0</v>
      </c>
      <c r="O3204" s="5" t="s">
        <v>674</v>
      </c>
      <c r="P3204" s="5" t="s">
        <v>675</v>
      </c>
      <c r="Q3204">
        <f>26.5-12.5</f>
        <v>14</v>
      </c>
      <c r="R3204" t="s">
        <v>38</v>
      </c>
      <c r="S3204" t="s">
        <v>39</v>
      </c>
      <c r="T3204">
        <v>18.5</v>
      </c>
      <c r="U3204">
        <v>86</v>
      </c>
      <c r="V3204">
        <v>15</v>
      </c>
      <c r="W3204">
        <v>12.9</v>
      </c>
      <c r="X3204">
        <v>26.8</v>
      </c>
      <c r="Z3204" t="s">
        <v>97</v>
      </c>
      <c r="AB3204" t="s">
        <v>40</v>
      </c>
      <c r="AC3204" t="s">
        <v>88</v>
      </c>
    </row>
    <row r="3205" spans="1:29" x14ac:dyDescent="0.25">
      <c r="A3205" s="4">
        <v>42593</v>
      </c>
      <c r="B3205" t="s">
        <v>30</v>
      </c>
      <c r="C3205">
        <v>401</v>
      </c>
      <c r="D3205">
        <v>8</v>
      </c>
      <c r="E3205">
        <v>2</v>
      </c>
      <c r="F3205" t="s">
        <v>31</v>
      </c>
      <c r="G3205" t="s">
        <v>32</v>
      </c>
      <c r="H3205" t="s">
        <v>33</v>
      </c>
      <c r="I3205" t="s">
        <v>91</v>
      </c>
      <c r="J3205" t="s">
        <v>35</v>
      </c>
      <c r="K3205" t="s">
        <v>36</v>
      </c>
      <c r="L3205" t="s">
        <v>37</v>
      </c>
      <c r="M3205">
        <v>0</v>
      </c>
      <c r="N3205">
        <v>0</v>
      </c>
      <c r="O3205" s="5" t="s">
        <v>564</v>
      </c>
      <c r="P3205" s="5"/>
      <c r="Q3205">
        <f>32-12.5</f>
        <v>19.5</v>
      </c>
      <c r="R3205" t="s">
        <v>38</v>
      </c>
      <c r="S3205" t="s">
        <v>39</v>
      </c>
      <c r="T3205">
        <v>28</v>
      </c>
      <c r="W3205">
        <v>13.2</v>
      </c>
      <c r="X3205">
        <v>27.8</v>
      </c>
      <c r="Z3205" t="s">
        <v>39</v>
      </c>
      <c r="AB3205" t="s">
        <v>40</v>
      </c>
      <c r="AC3205" t="s">
        <v>88</v>
      </c>
    </row>
    <row r="3206" spans="1:29" x14ac:dyDescent="0.25">
      <c r="A3206" s="4">
        <v>42593</v>
      </c>
      <c r="B3206" t="s">
        <v>30</v>
      </c>
      <c r="C3206">
        <v>401</v>
      </c>
      <c r="D3206">
        <v>9</v>
      </c>
      <c r="E3206">
        <v>1</v>
      </c>
      <c r="F3206" t="s">
        <v>31</v>
      </c>
      <c r="G3206" t="s">
        <v>32</v>
      </c>
      <c r="H3206" t="s">
        <v>33</v>
      </c>
      <c r="I3206" t="s">
        <v>57</v>
      </c>
      <c r="O3206" s="5"/>
      <c r="P3206" s="5"/>
    </row>
    <row r="3207" spans="1:29" x14ac:dyDescent="0.25">
      <c r="A3207" s="4">
        <v>42593</v>
      </c>
      <c r="B3207" t="s">
        <v>30</v>
      </c>
      <c r="C3207">
        <v>401</v>
      </c>
      <c r="D3207">
        <v>10</v>
      </c>
      <c r="E3207">
        <v>1</v>
      </c>
      <c r="F3207" t="s">
        <v>31</v>
      </c>
      <c r="G3207" t="s">
        <v>32</v>
      </c>
      <c r="H3207" t="s">
        <v>33</v>
      </c>
      <c r="I3207" t="s">
        <v>57</v>
      </c>
      <c r="O3207" s="5"/>
      <c r="P3207" s="5"/>
    </row>
    <row r="3208" spans="1:29" x14ac:dyDescent="0.25">
      <c r="A3208" s="4">
        <v>42593</v>
      </c>
      <c r="B3208" t="s">
        <v>30</v>
      </c>
      <c r="C3208">
        <v>401</v>
      </c>
      <c r="D3208">
        <v>10</v>
      </c>
      <c r="E3208">
        <v>2</v>
      </c>
      <c r="F3208" t="s">
        <v>31</v>
      </c>
      <c r="G3208" t="s">
        <v>32</v>
      </c>
      <c r="H3208" t="s">
        <v>33</v>
      </c>
      <c r="I3208" t="s">
        <v>103</v>
      </c>
      <c r="J3208" t="s">
        <v>42</v>
      </c>
      <c r="K3208" t="s">
        <v>89</v>
      </c>
      <c r="L3208" t="s">
        <v>37</v>
      </c>
      <c r="M3208">
        <v>0</v>
      </c>
      <c r="N3208">
        <v>1</v>
      </c>
      <c r="O3208" s="5" t="s">
        <v>698</v>
      </c>
      <c r="P3208" s="5"/>
      <c r="Q3208">
        <f>27-13</f>
        <v>14</v>
      </c>
      <c r="R3208" t="s">
        <v>38</v>
      </c>
      <c r="S3208" t="s">
        <v>39</v>
      </c>
      <c r="T3208">
        <v>28</v>
      </c>
      <c r="W3208">
        <v>11.5</v>
      </c>
      <c r="X3208">
        <v>23.9</v>
      </c>
      <c r="Z3208" t="s">
        <v>97</v>
      </c>
      <c r="AA3208" t="s">
        <v>699</v>
      </c>
      <c r="AB3208" t="s">
        <v>40</v>
      </c>
      <c r="AC3208" t="s">
        <v>88</v>
      </c>
    </row>
    <row r="3209" spans="1:29" x14ac:dyDescent="0.25">
      <c r="A3209" s="4">
        <v>42593</v>
      </c>
      <c r="B3209" t="s">
        <v>30</v>
      </c>
      <c r="C3209">
        <v>703</v>
      </c>
      <c r="D3209">
        <v>1</v>
      </c>
      <c r="E3209">
        <v>1</v>
      </c>
      <c r="F3209" t="s">
        <v>320</v>
      </c>
      <c r="G3209" t="s">
        <v>32</v>
      </c>
      <c r="H3209" t="s">
        <v>33</v>
      </c>
      <c r="I3209" t="s">
        <v>34</v>
      </c>
      <c r="J3209" t="s">
        <v>35</v>
      </c>
      <c r="K3209" t="s">
        <v>114</v>
      </c>
      <c r="L3209" t="s">
        <v>43</v>
      </c>
      <c r="M3209">
        <v>0</v>
      </c>
      <c r="N3209">
        <v>0</v>
      </c>
      <c r="O3209" s="5" t="s">
        <v>579</v>
      </c>
      <c r="P3209" s="5" t="s">
        <v>580</v>
      </c>
      <c r="Q3209">
        <f>31.5-14</f>
        <v>17.5</v>
      </c>
      <c r="R3209" t="s">
        <v>65</v>
      </c>
      <c r="T3209">
        <v>20</v>
      </c>
      <c r="U3209">
        <v>89</v>
      </c>
      <c r="V3209">
        <v>15</v>
      </c>
      <c r="W3209">
        <v>12.8</v>
      </c>
      <c r="X3209">
        <v>27.7</v>
      </c>
      <c r="Z3209" t="s">
        <v>97</v>
      </c>
      <c r="AA3209" t="s">
        <v>199</v>
      </c>
      <c r="AB3209" t="s">
        <v>40</v>
      </c>
      <c r="AC3209" t="s">
        <v>88</v>
      </c>
    </row>
    <row r="3210" spans="1:29" x14ac:dyDescent="0.25">
      <c r="A3210" s="4">
        <v>42593</v>
      </c>
      <c r="B3210" t="s">
        <v>30</v>
      </c>
      <c r="C3210">
        <v>703</v>
      </c>
      <c r="D3210">
        <v>1</v>
      </c>
      <c r="E3210">
        <v>2</v>
      </c>
      <c r="F3210" t="s">
        <v>320</v>
      </c>
      <c r="G3210" t="s">
        <v>32</v>
      </c>
      <c r="H3210" t="s">
        <v>33</v>
      </c>
      <c r="I3210" t="s">
        <v>58</v>
      </c>
      <c r="J3210" t="s">
        <v>42</v>
      </c>
      <c r="K3210" t="s">
        <v>36</v>
      </c>
      <c r="L3210" t="s">
        <v>37</v>
      </c>
      <c r="M3210">
        <v>0</v>
      </c>
      <c r="N3210">
        <v>1</v>
      </c>
      <c r="O3210" s="5" t="s">
        <v>700</v>
      </c>
      <c r="P3210" s="5"/>
      <c r="Q3210">
        <f>37-16</f>
        <v>21</v>
      </c>
      <c r="R3210" t="s">
        <v>38</v>
      </c>
      <c r="S3210" t="s">
        <v>39</v>
      </c>
      <c r="T3210">
        <v>18</v>
      </c>
      <c r="W3210">
        <v>12.7</v>
      </c>
      <c r="X3210">
        <v>26.8</v>
      </c>
      <c r="Z3210" t="s">
        <v>97</v>
      </c>
      <c r="AA3210" t="s">
        <v>199</v>
      </c>
      <c r="AB3210" t="s">
        <v>40</v>
      </c>
      <c r="AC3210" t="s">
        <v>88</v>
      </c>
    </row>
    <row r="3211" spans="1:29" x14ac:dyDescent="0.25">
      <c r="A3211" s="4">
        <v>42593</v>
      </c>
      <c r="B3211" t="s">
        <v>30</v>
      </c>
      <c r="C3211">
        <v>703</v>
      </c>
      <c r="D3211">
        <v>2</v>
      </c>
      <c r="E3211">
        <v>1</v>
      </c>
      <c r="F3211" t="s">
        <v>320</v>
      </c>
      <c r="G3211" t="s">
        <v>32</v>
      </c>
      <c r="H3211" t="s">
        <v>33</v>
      </c>
      <c r="I3211" t="s">
        <v>57</v>
      </c>
      <c r="O3211" s="5"/>
      <c r="P3211" s="5"/>
    </row>
    <row r="3212" spans="1:29" x14ac:dyDescent="0.25">
      <c r="A3212" s="4">
        <v>42593</v>
      </c>
      <c r="B3212" t="s">
        <v>30</v>
      </c>
      <c r="C3212">
        <v>703</v>
      </c>
      <c r="D3212">
        <v>2</v>
      </c>
      <c r="E3212">
        <v>2</v>
      </c>
      <c r="F3212" t="s">
        <v>320</v>
      </c>
      <c r="G3212" t="s">
        <v>32</v>
      </c>
      <c r="H3212" t="s">
        <v>33</v>
      </c>
      <c r="I3212" t="s">
        <v>57</v>
      </c>
      <c r="O3212" s="5"/>
      <c r="P3212" s="5"/>
    </row>
    <row r="3213" spans="1:29" x14ac:dyDescent="0.25">
      <c r="A3213" s="4">
        <v>42593</v>
      </c>
      <c r="B3213" t="s">
        <v>30</v>
      </c>
      <c r="C3213">
        <v>703</v>
      </c>
      <c r="D3213">
        <v>3</v>
      </c>
      <c r="E3213">
        <v>1</v>
      </c>
      <c r="F3213" t="s">
        <v>320</v>
      </c>
      <c r="G3213" t="s">
        <v>32</v>
      </c>
      <c r="H3213" t="s">
        <v>33</v>
      </c>
      <c r="I3213" t="s">
        <v>53</v>
      </c>
      <c r="J3213" t="s">
        <v>62</v>
      </c>
      <c r="O3213" s="5"/>
      <c r="P3213" s="5"/>
    </row>
    <row r="3214" spans="1:29" x14ac:dyDescent="0.25">
      <c r="A3214" s="4">
        <v>42593</v>
      </c>
      <c r="B3214" t="s">
        <v>30</v>
      </c>
      <c r="C3214">
        <v>703</v>
      </c>
      <c r="D3214">
        <v>4</v>
      </c>
      <c r="E3214">
        <v>1</v>
      </c>
      <c r="F3214" t="s">
        <v>320</v>
      </c>
      <c r="G3214" t="s">
        <v>32</v>
      </c>
      <c r="H3214" t="s">
        <v>33</v>
      </c>
      <c r="I3214" t="s">
        <v>34</v>
      </c>
      <c r="J3214" t="s">
        <v>35</v>
      </c>
      <c r="K3214" t="s">
        <v>89</v>
      </c>
      <c r="L3214" t="s">
        <v>37</v>
      </c>
      <c r="M3214">
        <v>0</v>
      </c>
      <c r="N3214">
        <v>0</v>
      </c>
      <c r="O3214" s="5" t="s">
        <v>581</v>
      </c>
      <c r="P3214" s="5" t="s">
        <v>582</v>
      </c>
      <c r="Q3214">
        <f>32-17</f>
        <v>15</v>
      </c>
      <c r="R3214" t="s">
        <v>38</v>
      </c>
      <c r="S3214" t="s">
        <v>39</v>
      </c>
      <c r="T3214">
        <v>19</v>
      </c>
      <c r="U3214">
        <v>76</v>
      </c>
      <c r="V3214">
        <v>16</v>
      </c>
      <c r="W3214">
        <v>12.8</v>
      </c>
      <c r="X3214">
        <v>26.9</v>
      </c>
      <c r="Z3214" t="s">
        <v>97</v>
      </c>
      <c r="AA3214" t="s">
        <v>199</v>
      </c>
      <c r="AB3214" t="s">
        <v>40</v>
      </c>
      <c r="AC3214" t="s">
        <v>88</v>
      </c>
    </row>
    <row r="3215" spans="1:29" x14ac:dyDescent="0.25">
      <c r="A3215" s="4">
        <v>42593</v>
      </c>
      <c r="B3215" t="s">
        <v>30</v>
      </c>
      <c r="C3215">
        <v>703</v>
      </c>
      <c r="D3215">
        <v>4</v>
      </c>
      <c r="E3215">
        <v>2</v>
      </c>
      <c r="F3215" t="s">
        <v>320</v>
      </c>
      <c r="G3215" t="s">
        <v>32</v>
      </c>
      <c r="H3215" t="s">
        <v>33</v>
      </c>
      <c r="I3215" t="s">
        <v>57</v>
      </c>
      <c r="O3215" s="5"/>
      <c r="P3215" s="5"/>
    </row>
    <row r="3216" spans="1:29" x14ac:dyDescent="0.25">
      <c r="A3216" s="4">
        <v>42593</v>
      </c>
      <c r="B3216" t="s">
        <v>30</v>
      </c>
      <c r="C3216">
        <v>703</v>
      </c>
      <c r="D3216">
        <v>5</v>
      </c>
      <c r="E3216">
        <v>1</v>
      </c>
      <c r="F3216" t="s">
        <v>320</v>
      </c>
      <c r="G3216" t="s">
        <v>32</v>
      </c>
      <c r="H3216" t="s">
        <v>33</v>
      </c>
      <c r="I3216" t="s">
        <v>58</v>
      </c>
      <c r="J3216" t="s">
        <v>35</v>
      </c>
      <c r="K3216" t="s">
        <v>114</v>
      </c>
      <c r="L3216" t="s">
        <v>37</v>
      </c>
      <c r="M3216">
        <v>0</v>
      </c>
      <c r="N3216">
        <v>0</v>
      </c>
      <c r="O3216" s="5" t="s">
        <v>575</v>
      </c>
      <c r="P3216" s="5"/>
      <c r="Q3216">
        <f>32-13</f>
        <v>19</v>
      </c>
      <c r="R3216" t="s">
        <v>38</v>
      </c>
      <c r="S3216" t="s">
        <v>39</v>
      </c>
      <c r="T3216">
        <v>17.5</v>
      </c>
      <c r="W3216">
        <v>12.8</v>
      </c>
      <c r="X3216">
        <v>26.6</v>
      </c>
      <c r="Z3216" t="s">
        <v>97</v>
      </c>
      <c r="AA3216" t="s">
        <v>199</v>
      </c>
      <c r="AB3216" t="s">
        <v>40</v>
      </c>
      <c r="AC3216" t="s">
        <v>88</v>
      </c>
    </row>
    <row r="3217" spans="1:30" x14ac:dyDescent="0.25">
      <c r="A3217" s="4">
        <v>42593</v>
      </c>
      <c r="B3217" t="s">
        <v>30</v>
      </c>
      <c r="C3217">
        <v>703</v>
      </c>
      <c r="D3217">
        <v>6</v>
      </c>
      <c r="E3217">
        <v>1</v>
      </c>
      <c r="F3217" t="s">
        <v>320</v>
      </c>
      <c r="G3217" t="s">
        <v>32</v>
      </c>
      <c r="H3217" t="s">
        <v>33</v>
      </c>
      <c r="I3217" t="s">
        <v>34</v>
      </c>
      <c r="J3217" t="s">
        <v>35</v>
      </c>
      <c r="K3217" t="s">
        <v>36</v>
      </c>
      <c r="L3217" t="s">
        <v>43</v>
      </c>
      <c r="M3217">
        <v>0</v>
      </c>
      <c r="N3217">
        <v>0</v>
      </c>
      <c r="O3217" s="5" t="s">
        <v>569</v>
      </c>
      <c r="P3217" s="5" t="s">
        <v>570</v>
      </c>
      <c r="Q3217">
        <f>36-14.5</f>
        <v>21.5</v>
      </c>
      <c r="R3217" t="s">
        <v>65</v>
      </c>
      <c r="T3217">
        <v>20</v>
      </c>
      <c r="U3217">
        <v>96</v>
      </c>
      <c r="V3217">
        <v>16</v>
      </c>
      <c r="W3217">
        <v>12.8</v>
      </c>
      <c r="X3217">
        <v>27.1</v>
      </c>
      <c r="Z3217" t="s">
        <v>39</v>
      </c>
      <c r="AB3217" t="s">
        <v>40</v>
      </c>
      <c r="AC3217" t="s">
        <v>88</v>
      </c>
    </row>
    <row r="3218" spans="1:30" x14ac:dyDescent="0.25">
      <c r="A3218" s="4">
        <v>42593</v>
      </c>
      <c r="B3218" t="s">
        <v>30</v>
      </c>
      <c r="C3218">
        <v>703</v>
      </c>
      <c r="D3218">
        <v>6</v>
      </c>
      <c r="E3218">
        <v>2</v>
      </c>
      <c r="F3218" t="s">
        <v>320</v>
      </c>
      <c r="G3218" t="s">
        <v>32</v>
      </c>
      <c r="H3218" t="s">
        <v>33</v>
      </c>
      <c r="I3218" t="s">
        <v>34</v>
      </c>
      <c r="J3218" t="s">
        <v>35</v>
      </c>
      <c r="K3218" t="s">
        <v>89</v>
      </c>
      <c r="L3218" t="s">
        <v>37</v>
      </c>
      <c r="M3218">
        <v>0</v>
      </c>
      <c r="N3218">
        <v>0</v>
      </c>
      <c r="O3218" s="5" t="s">
        <v>577</v>
      </c>
      <c r="P3218" s="5" t="s">
        <v>578</v>
      </c>
      <c r="Q3218">
        <f>32-17</f>
        <v>15</v>
      </c>
      <c r="R3218" t="s">
        <v>38</v>
      </c>
      <c r="S3218" t="s">
        <v>39</v>
      </c>
      <c r="T3218">
        <v>20</v>
      </c>
      <c r="U3218">
        <v>85</v>
      </c>
      <c r="V3218">
        <v>17</v>
      </c>
      <c r="W3218">
        <v>12.7</v>
      </c>
      <c r="X3218">
        <v>26.6</v>
      </c>
      <c r="Z3218" t="s">
        <v>39</v>
      </c>
      <c r="AB3218" t="s">
        <v>40</v>
      </c>
      <c r="AC3218" t="s">
        <v>88</v>
      </c>
    </row>
    <row r="3219" spans="1:30" x14ac:dyDescent="0.25">
      <c r="A3219" s="4">
        <v>42593</v>
      </c>
      <c r="B3219" t="s">
        <v>30</v>
      </c>
      <c r="C3219">
        <v>703</v>
      </c>
      <c r="D3219">
        <v>7</v>
      </c>
      <c r="E3219">
        <v>1</v>
      </c>
      <c r="F3219" t="s">
        <v>320</v>
      </c>
      <c r="G3219" t="s">
        <v>32</v>
      </c>
      <c r="H3219" t="s">
        <v>33</v>
      </c>
      <c r="I3219" t="s">
        <v>57</v>
      </c>
      <c r="O3219" s="5"/>
      <c r="P3219" s="5"/>
    </row>
    <row r="3220" spans="1:30" x14ac:dyDescent="0.25">
      <c r="A3220" s="4">
        <v>42593</v>
      </c>
      <c r="B3220" t="s">
        <v>30</v>
      </c>
      <c r="C3220">
        <v>703</v>
      </c>
      <c r="D3220">
        <v>7</v>
      </c>
      <c r="E3220">
        <v>2</v>
      </c>
      <c r="F3220" t="s">
        <v>320</v>
      </c>
      <c r="G3220" t="s">
        <v>32</v>
      </c>
      <c r="H3220" t="s">
        <v>33</v>
      </c>
      <c r="I3220" t="s">
        <v>34</v>
      </c>
      <c r="J3220" t="s">
        <v>35</v>
      </c>
      <c r="K3220" t="s">
        <v>89</v>
      </c>
      <c r="L3220" t="s">
        <v>37</v>
      </c>
      <c r="M3220">
        <v>0</v>
      </c>
      <c r="N3220">
        <v>0</v>
      </c>
      <c r="O3220" s="5" t="s">
        <v>571</v>
      </c>
      <c r="P3220" s="5" t="s">
        <v>572</v>
      </c>
      <c r="Q3220">
        <f>27-13</f>
        <v>14</v>
      </c>
      <c r="R3220" t="s">
        <v>38</v>
      </c>
      <c r="S3220" t="s">
        <v>39</v>
      </c>
      <c r="T3220">
        <v>18</v>
      </c>
      <c r="U3220">
        <v>75</v>
      </c>
      <c r="V3220">
        <v>16</v>
      </c>
      <c r="W3220">
        <v>12.6</v>
      </c>
      <c r="X3220">
        <v>25.9</v>
      </c>
      <c r="Z3220" t="s">
        <v>97</v>
      </c>
      <c r="AA3220" t="s">
        <v>199</v>
      </c>
      <c r="AB3220" t="s">
        <v>40</v>
      </c>
      <c r="AC3220" t="s">
        <v>88</v>
      </c>
    </row>
    <row r="3221" spans="1:30" x14ac:dyDescent="0.25">
      <c r="A3221" s="4">
        <v>42593</v>
      </c>
      <c r="B3221" t="s">
        <v>30</v>
      </c>
      <c r="C3221">
        <v>703</v>
      </c>
      <c r="D3221">
        <v>8</v>
      </c>
      <c r="E3221">
        <v>1</v>
      </c>
      <c r="F3221" t="s">
        <v>320</v>
      </c>
      <c r="G3221" t="s">
        <v>32</v>
      </c>
      <c r="H3221" t="s">
        <v>33</v>
      </c>
      <c r="I3221" t="s">
        <v>57</v>
      </c>
      <c r="O3221" s="5"/>
      <c r="P3221" s="5"/>
    </row>
    <row r="3222" spans="1:30" x14ac:dyDescent="0.25">
      <c r="A3222" s="4">
        <v>42593</v>
      </c>
      <c r="B3222" t="s">
        <v>30</v>
      </c>
      <c r="C3222">
        <v>703</v>
      </c>
      <c r="D3222">
        <v>8</v>
      </c>
      <c r="E3222">
        <v>2</v>
      </c>
      <c r="F3222" t="s">
        <v>320</v>
      </c>
      <c r="G3222" t="s">
        <v>32</v>
      </c>
      <c r="H3222" t="s">
        <v>33</v>
      </c>
      <c r="I3222" t="s">
        <v>58</v>
      </c>
      <c r="J3222" t="s">
        <v>42</v>
      </c>
      <c r="K3222" t="s">
        <v>36</v>
      </c>
      <c r="L3222" t="s">
        <v>37</v>
      </c>
      <c r="M3222">
        <v>0</v>
      </c>
      <c r="N3222">
        <v>1</v>
      </c>
      <c r="O3222" s="5" t="s">
        <v>701</v>
      </c>
      <c r="P3222" s="5"/>
      <c r="Q3222">
        <f>34-14.5</f>
        <v>19.5</v>
      </c>
      <c r="R3222" t="s">
        <v>136</v>
      </c>
      <c r="S3222" t="s">
        <v>97</v>
      </c>
      <c r="T3222">
        <v>17</v>
      </c>
      <c r="W3222">
        <v>12.7</v>
      </c>
      <c r="X3222">
        <v>27.4</v>
      </c>
      <c r="Z3222" t="s">
        <v>97</v>
      </c>
      <c r="AA3222" t="s">
        <v>702</v>
      </c>
      <c r="AB3222" t="s">
        <v>40</v>
      </c>
      <c r="AC3222" t="s">
        <v>88</v>
      </c>
    </row>
    <row r="3223" spans="1:30" x14ac:dyDescent="0.25">
      <c r="A3223" s="4">
        <v>42593</v>
      </c>
      <c r="B3223" t="s">
        <v>30</v>
      </c>
      <c r="C3223">
        <v>703</v>
      </c>
      <c r="D3223">
        <v>9</v>
      </c>
      <c r="E3223">
        <v>1</v>
      </c>
      <c r="F3223" t="s">
        <v>320</v>
      </c>
      <c r="G3223" t="s">
        <v>32</v>
      </c>
      <c r="H3223" t="s">
        <v>33</v>
      </c>
      <c r="I3223" t="s">
        <v>57</v>
      </c>
      <c r="O3223" s="5"/>
      <c r="P3223" s="5"/>
    </row>
    <row r="3224" spans="1:30" x14ac:dyDescent="0.25">
      <c r="A3224" s="4">
        <v>42593</v>
      </c>
      <c r="B3224" t="s">
        <v>30</v>
      </c>
      <c r="C3224">
        <v>703</v>
      </c>
      <c r="D3224">
        <v>9</v>
      </c>
      <c r="E3224">
        <v>2</v>
      </c>
      <c r="F3224" t="s">
        <v>320</v>
      </c>
      <c r="G3224" t="s">
        <v>32</v>
      </c>
      <c r="H3224" t="s">
        <v>33</v>
      </c>
      <c r="I3224" t="s">
        <v>57</v>
      </c>
      <c r="O3224" s="5"/>
      <c r="P3224" s="5"/>
    </row>
    <row r="3225" spans="1:30" x14ac:dyDescent="0.25">
      <c r="A3225" s="4">
        <v>42593</v>
      </c>
      <c r="B3225" t="s">
        <v>30</v>
      </c>
      <c r="C3225">
        <v>703</v>
      </c>
      <c r="D3225">
        <v>10</v>
      </c>
      <c r="E3225">
        <v>1</v>
      </c>
      <c r="F3225" t="s">
        <v>320</v>
      </c>
      <c r="G3225" t="s">
        <v>32</v>
      </c>
      <c r="H3225" t="s">
        <v>33</v>
      </c>
      <c r="I3225" t="s">
        <v>57</v>
      </c>
      <c r="O3225" s="5"/>
      <c r="P3225" s="5"/>
    </row>
    <row r="3226" spans="1:30" x14ac:dyDescent="0.25">
      <c r="A3226" s="4">
        <v>42593</v>
      </c>
      <c r="B3226" t="s">
        <v>30</v>
      </c>
      <c r="C3226">
        <v>703</v>
      </c>
      <c r="D3226">
        <v>10</v>
      </c>
      <c r="E3226">
        <v>2</v>
      </c>
      <c r="F3226" t="s">
        <v>320</v>
      </c>
      <c r="G3226" t="s">
        <v>32</v>
      </c>
      <c r="H3226" t="s">
        <v>33</v>
      </c>
      <c r="I3226" t="s">
        <v>73</v>
      </c>
      <c r="J3226" t="s">
        <v>35</v>
      </c>
      <c r="K3226" t="s">
        <v>36</v>
      </c>
      <c r="L3226" t="s">
        <v>37</v>
      </c>
      <c r="M3226">
        <v>0</v>
      </c>
      <c r="N3226">
        <v>0</v>
      </c>
      <c r="O3226" s="5"/>
      <c r="P3226" s="5" t="s">
        <v>94</v>
      </c>
      <c r="Q3226">
        <f>147-46</f>
        <v>101</v>
      </c>
      <c r="R3226" t="s">
        <v>136</v>
      </c>
      <c r="S3226" t="s">
        <v>97</v>
      </c>
      <c r="T3226">
        <v>30</v>
      </c>
      <c r="W3226">
        <v>21.6</v>
      </c>
      <c r="X3226">
        <v>40.799999999999997</v>
      </c>
      <c r="Z3226" t="s">
        <v>97</v>
      </c>
      <c r="AA3226" t="s">
        <v>703</v>
      </c>
      <c r="AB3226" t="s">
        <v>40</v>
      </c>
      <c r="AC3226" t="s">
        <v>88</v>
      </c>
      <c r="AD3226" t="s">
        <v>704</v>
      </c>
    </row>
    <row r="3227" spans="1:30" x14ac:dyDescent="0.25">
      <c r="A3227" s="4">
        <v>42593</v>
      </c>
      <c r="B3227" t="s">
        <v>30</v>
      </c>
      <c r="C3227">
        <v>701</v>
      </c>
      <c r="D3227">
        <v>1</v>
      </c>
      <c r="E3227">
        <v>1</v>
      </c>
      <c r="F3227" t="s">
        <v>320</v>
      </c>
      <c r="G3227" t="s">
        <v>32</v>
      </c>
      <c r="H3227" t="s">
        <v>33</v>
      </c>
      <c r="I3227" t="s">
        <v>34</v>
      </c>
      <c r="J3227" t="s">
        <v>35</v>
      </c>
      <c r="K3227" t="s">
        <v>114</v>
      </c>
      <c r="L3227" t="s">
        <v>43</v>
      </c>
      <c r="M3227">
        <v>0</v>
      </c>
      <c r="N3227">
        <v>0</v>
      </c>
      <c r="O3227" s="5" t="s">
        <v>585</v>
      </c>
      <c r="P3227" s="5" t="s">
        <v>586</v>
      </c>
      <c r="Q3227">
        <f>31.5-16</f>
        <v>15.5</v>
      </c>
      <c r="R3227" t="s">
        <v>65</v>
      </c>
      <c r="T3227">
        <v>20</v>
      </c>
      <c r="U3227">
        <v>88</v>
      </c>
      <c r="V3227">
        <v>17</v>
      </c>
      <c r="W3227">
        <v>12.7</v>
      </c>
      <c r="X3227">
        <v>26.4</v>
      </c>
      <c r="Z3227" t="s">
        <v>97</v>
      </c>
      <c r="AA3227" t="s">
        <v>199</v>
      </c>
      <c r="AB3227" t="s">
        <v>40</v>
      </c>
      <c r="AC3227" t="s">
        <v>88</v>
      </c>
    </row>
    <row r="3228" spans="1:30" x14ac:dyDescent="0.25">
      <c r="A3228" s="4">
        <v>42593</v>
      </c>
      <c r="B3228" t="s">
        <v>30</v>
      </c>
      <c r="C3228">
        <v>701</v>
      </c>
      <c r="D3228">
        <v>1</v>
      </c>
      <c r="E3228">
        <v>2</v>
      </c>
      <c r="F3228" t="s">
        <v>320</v>
      </c>
      <c r="G3228" t="s">
        <v>32</v>
      </c>
      <c r="H3228" t="s">
        <v>33</v>
      </c>
      <c r="I3228" t="s">
        <v>57</v>
      </c>
      <c r="O3228" s="5"/>
      <c r="P3228" s="5"/>
    </row>
    <row r="3229" spans="1:30" x14ac:dyDescent="0.25">
      <c r="A3229" s="4">
        <v>42593</v>
      </c>
      <c r="B3229" t="s">
        <v>30</v>
      </c>
      <c r="C3229">
        <v>701</v>
      </c>
      <c r="D3229">
        <v>2</v>
      </c>
      <c r="E3229">
        <v>1</v>
      </c>
      <c r="F3229" t="s">
        <v>320</v>
      </c>
      <c r="G3229" t="s">
        <v>32</v>
      </c>
      <c r="H3229" t="s">
        <v>33</v>
      </c>
      <c r="I3229" t="s">
        <v>34</v>
      </c>
      <c r="J3229" t="s">
        <v>35</v>
      </c>
      <c r="K3229" t="s">
        <v>114</v>
      </c>
      <c r="L3229" t="s">
        <v>43</v>
      </c>
      <c r="M3229">
        <v>0</v>
      </c>
      <c r="N3229">
        <v>0</v>
      </c>
      <c r="O3229" s="5" t="s">
        <v>588</v>
      </c>
      <c r="P3229" s="5" t="s">
        <v>589</v>
      </c>
      <c r="Q3229">
        <f>29.5-14</f>
        <v>15.5</v>
      </c>
      <c r="R3229" t="s">
        <v>65</v>
      </c>
      <c r="T3229">
        <v>19</v>
      </c>
      <c r="U3229">
        <v>90</v>
      </c>
      <c r="V3229">
        <v>16</v>
      </c>
      <c r="W3229">
        <v>12.8</v>
      </c>
      <c r="X3229">
        <v>27.4</v>
      </c>
      <c r="Z3229" t="s">
        <v>97</v>
      </c>
      <c r="AA3229" t="s">
        <v>199</v>
      </c>
      <c r="AB3229" t="s">
        <v>40</v>
      </c>
      <c r="AC3229" t="s">
        <v>88</v>
      </c>
    </row>
    <row r="3230" spans="1:30" x14ac:dyDescent="0.25">
      <c r="A3230" s="4">
        <v>42593</v>
      </c>
      <c r="B3230" t="s">
        <v>30</v>
      </c>
      <c r="C3230">
        <v>701</v>
      </c>
      <c r="D3230">
        <v>2</v>
      </c>
      <c r="E3230">
        <v>2</v>
      </c>
      <c r="F3230" t="s">
        <v>320</v>
      </c>
      <c r="G3230" t="s">
        <v>32</v>
      </c>
      <c r="H3230" t="s">
        <v>33</v>
      </c>
      <c r="I3230" t="s">
        <v>34</v>
      </c>
      <c r="J3230" t="s">
        <v>35</v>
      </c>
      <c r="K3230" t="s">
        <v>89</v>
      </c>
      <c r="L3230" t="s">
        <v>43</v>
      </c>
      <c r="M3230">
        <v>0</v>
      </c>
      <c r="N3230">
        <v>0</v>
      </c>
      <c r="O3230" s="5"/>
      <c r="P3230" s="5"/>
      <c r="Q3230">
        <f>29-16.5</f>
        <v>12.5</v>
      </c>
      <c r="R3230" t="s">
        <v>65</v>
      </c>
      <c r="T3230">
        <v>20</v>
      </c>
      <c r="U3230">
        <v>89</v>
      </c>
      <c r="V3230">
        <v>16</v>
      </c>
      <c r="W3230">
        <v>12.6</v>
      </c>
      <c r="X3230">
        <v>26.7</v>
      </c>
      <c r="Z3230" t="s">
        <v>39</v>
      </c>
      <c r="AB3230" t="s">
        <v>40</v>
      </c>
      <c r="AC3230" t="s">
        <v>88</v>
      </c>
      <c r="AD3230" t="s">
        <v>705</v>
      </c>
    </row>
    <row r="3231" spans="1:30" x14ac:dyDescent="0.25">
      <c r="A3231" s="4">
        <v>42593</v>
      </c>
      <c r="B3231" t="s">
        <v>30</v>
      </c>
      <c r="C3231">
        <v>701</v>
      </c>
      <c r="D3231">
        <v>3</v>
      </c>
      <c r="E3231">
        <v>1</v>
      </c>
      <c r="F3231" t="s">
        <v>320</v>
      </c>
      <c r="G3231" t="s">
        <v>32</v>
      </c>
      <c r="H3231" t="s">
        <v>33</v>
      </c>
      <c r="I3231" t="s">
        <v>34</v>
      </c>
      <c r="J3231" t="s">
        <v>42</v>
      </c>
      <c r="K3231" t="s">
        <v>114</v>
      </c>
      <c r="L3231" t="s">
        <v>43</v>
      </c>
      <c r="M3231">
        <v>0</v>
      </c>
      <c r="N3231">
        <v>1</v>
      </c>
      <c r="O3231" s="5" t="s">
        <v>706</v>
      </c>
      <c r="P3231" s="5" t="s">
        <v>707</v>
      </c>
      <c r="Q3231">
        <f>28-14</f>
        <v>14</v>
      </c>
      <c r="R3231" t="s">
        <v>65</v>
      </c>
      <c r="T3231">
        <v>18</v>
      </c>
      <c r="U3231">
        <v>83</v>
      </c>
      <c r="V3231">
        <v>16</v>
      </c>
      <c r="W3231">
        <v>12.9</v>
      </c>
      <c r="X3231">
        <v>27.3</v>
      </c>
      <c r="Z3231" t="s">
        <v>39</v>
      </c>
      <c r="AB3231" t="s">
        <v>40</v>
      </c>
      <c r="AC3231" t="s">
        <v>88</v>
      </c>
    </row>
    <row r="3232" spans="1:30" x14ac:dyDescent="0.25">
      <c r="A3232" s="4">
        <v>42593</v>
      </c>
      <c r="B3232" t="s">
        <v>30</v>
      </c>
      <c r="C3232">
        <v>701</v>
      </c>
      <c r="D3232">
        <v>3</v>
      </c>
      <c r="E3232">
        <v>2</v>
      </c>
      <c r="F3232" t="s">
        <v>320</v>
      </c>
      <c r="G3232" t="s">
        <v>32</v>
      </c>
      <c r="H3232" t="s">
        <v>33</v>
      </c>
      <c r="I3232" t="s">
        <v>34</v>
      </c>
      <c r="J3232" t="s">
        <v>35</v>
      </c>
      <c r="K3232" t="s">
        <v>114</v>
      </c>
      <c r="L3232" t="s">
        <v>37</v>
      </c>
      <c r="M3232">
        <v>0</v>
      </c>
      <c r="N3232">
        <v>0</v>
      </c>
      <c r="O3232" s="5" t="s">
        <v>591</v>
      </c>
      <c r="P3232" s="5" t="s">
        <v>592</v>
      </c>
      <c r="Q3232">
        <f>33-15</f>
        <v>18</v>
      </c>
      <c r="R3232" t="s">
        <v>38</v>
      </c>
      <c r="S3232" t="s">
        <v>39</v>
      </c>
      <c r="T3232">
        <v>19</v>
      </c>
      <c r="U3232">
        <v>88</v>
      </c>
      <c r="V3232">
        <v>16</v>
      </c>
      <c r="W3232">
        <v>12.7</v>
      </c>
      <c r="X3232">
        <v>27.6</v>
      </c>
      <c r="Z3232" t="s">
        <v>97</v>
      </c>
      <c r="AA3232" t="s">
        <v>199</v>
      </c>
      <c r="AB3232" t="s">
        <v>40</v>
      </c>
      <c r="AC3232" t="s">
        <v>88</v>
      </c>
    </row>
    <row r="3233" spans="1:30" x14ac:dyDescent="0.25">
      <c r="A3233" s="4">
        <v>42593</v>
      </c>
      <c r="B3233" t="s">
        <v>30</v>
      </c>
      <c r="C3233">
        <v>701</v>
      </c>
      <c r="D3233">
        <v>4</v>
      </c>
      <c r="E3233">
        <v>1</v>
      </c>
      <c r="F3233" t="s">
        <v>320</v>
      </c>
      <c r="G3233" t="s">
        <v>32</v>
      </c>
      <c r="H3233" t="s">
        <v>33</v>
      </c>
      <c r="I3233" t="s">
        <v>34</v>
      </c>
      <c r="J3233" t="s">
        <v>35</v>
      </c>
      <c r="K3233" t="s">
        <v>114</v>
      </c>
      <c r="L3233" t="s">
        <v>43</v>
      </c>
      <c r="M3233">
        <v>0</v>
      </c>
      <c r="N3233">
        <v>0</v>
      </c>
      <c r="O3233" s="5" t="s">
        <v>597</v>
      </c>
      <c r="P3233" s="5" t="s">
        <v>598</v>
      </c>
      <c r="Q3233">
        <f>35-19</f>
        <v>16</v>
      </c>
      <c r="R3233" t="s">
        <v>65</v>
      </c>
      <c r="T3233">
        <v>19.5</v>
      </c>
      <c r="U3233">
        <v>86</v>
      </c>
      <c r="V3233">
        <v>17</v>
      </c>
      <c r="W3233">
        <v>12.7</v>
      </c>
      <c r="X3233">
        <v>27.9</v>
      </c>
      <c r="Z3233" t="s">
        <v>97</v>
      </c>
      <c r="AA3233" t="s">
        <v>199</v>
      </c>
      <c r="AB3233" t="s">
        <v>40</v>
      </c>
      <c r="AC3233" t="s">
        <v>88</v>
      </c>
      <c r="AD3233" t="s">
        <v>708</v>
      </c>
    </row>
    <row r="3234" spans="1:30" x14ac:dyDescent="0.25">
      <c r="A3234" s="4">
        <v>42593</v>
      </c>
      <c r="B3234" t="s">
        <v>30</v>
      </c>
      <c r="C3234">
        <v>701</v>
      </c>
      <c r="D3234">
        <v>4</v>
      </c>
      <c r="E3234">
        <v>2</v>
      </c>
      <c r="F3234" t="s">
        <v>320</v>
      </c>
      <c r="G3234" t="s">
        <v>32</v>
      </c>
      <c r="H3234" t="s">
        <v>33</v>
      </c>
      <c r="I3234" t="s">
        <v>57</v>
      </c>
      <c r="O3234" s="5"/>
      <c r="P3234" s="5"/>
    </row>
    <row r="3235" spans="1:30" x14ac:dyDescent="0.25">
      <c r="A3235" s="4">
        <v>42593</v>
      </c>
      <c r="B3235" t="s">
        <v>30</v>
      </c>
      <c r="C3235">
        <v>701</v>
      </c>
      <c r="D3235">
        <v>5</v>
      </c>
      <c r="E3235">
        <v>1</v>
      </c>
      <c r="F3235" t="s">
        <v>320</v>
      </c>
      <c r="G3235" t="s">
        <v>32</v>
      </c>
      <c r="H3235" t="s">
        <v>33</v>
      </c>
      <c r="I3235" t="s">
        <v>34</v>
      </c>
      <c r="J3235" t="s">
        <v>35</v>
      </c>
      <c r="K3235" t="s">
        <v>89</v>
      </c>
      <c r="L3235" t="s">
        <v>43</v>
      </c>
      <c r="M3235">
        <v>0</v>
      </c>
      <c r="N3235">
        <v>0</v>
      </c>
      <c r="O3235" s="5" t="s">
        <v>593</v>
      </c>
      <c r="P3235" s="5" t="s">
        <v>594</v>
      </c>
      <c r="Q3235">
        <f>31-16</f>
        <v>15</v>
      </c>
      <c r="R3235" t="s">
        <v>65</v>
      </c>
      <c r="T3235">
        <v>20</v>
      </c>
      <c r="U3235">
        <v>85</v>
      </c>
      <c r="V3235">
        <v>15</v>
      </c>
      <c r="W3235">
        <v>12.7</v>
      </c>
      <c r="X3235">
        <v>27.8</v>
      </c>
      <c r="Z3235" t="s">
        <v>97</v>
      </c>
      <c r="AA3235" t="s">
        <v>199</v>
      </c>
      <c r="AB3235" t="s">
        <v>40</v>
      </c>
      <c r="AC3235" t="s">
        <v>88</v>
      </c>
    </row>
    <row r="3236" spans="1:30" x14ac:dyDescent="0.25">
      <c r="A3236" s="4">
        <v>42593</v>
      </c>
      <c r="B3236" t="s">
        <v>30</v>
      </c>
      <c r="C3236">
        <v>701</v>
      </c>
      <c r="D3236">
        <v>6</v>
      </c>
      <c r="E3236">
        <v>1</v>
      </c>
      <c r="F3236" t="s">
        <v>320</v>
      </c>
      <c r="G3236" t="s">
        <v>32</v>
      </c>
      <c r="H3236" t="s">
        <v>33</v>
      </c>
      <c r="I3236" t="s">
        <v>34</v>
      </c>
      <c r="J3236" t="s">
        <v>42</v>
      </c>
      <c r="K3236" t="s">
        <v>89</v>
      </c>
      <c r="L3236" t="s">
        <v>43</v>
      </c>
      <c r="M3236">
        <v>0</v>
      </c>
      <c r="N3236">
        <v>1</v>
      </c>
      <c r="O3236" s="5" t="s">
        <v>709</v>
      </c>
      <c r="P3236" s="5" t="s">
        <v>710</v>
      </c>
      <c r="Q3236">
        <f>29-14</f>
        <v>15</v>
      </c>
      <c r="R3236" t="s">
        <v>65</v>
      </c>
      <c r="T3236">
        <v>19</v>
      </c>
      <c r="U3236">
        <v>92</v>
      </c>
      <c r="V3236">
        <v>16</v>
      </c>
      <c r="W3236">
        <v>12.8</v>
      </c>
      <c r="X3236">
        <v>27.9</v>
      </c>
      <c r="Z3236" t="s">
        <v>39</v>
      </c>
      <c r="AA3236" t="s">
        <v>711</v>
      </c>
      <c r="AB3236" t="s">
        <v>40</v>
      </c>
      <c r="AC3236" t="s">
        <v>88</v>
      </c>
      <c r="AD3236" t="s">
        <v>712</v>
      </c>
    </row>
    <row r="3237" spans="1:30" x14ac:dyDescent="0.25">
      <c r="A3237" s="4">
        <v>42593</v>
      </c>
      <c r="B3237" t="s">
        <v>30</v>
      </c>
      <c r="C3237">
        <v>701</v>
      </c>
      <c r="D3237">
        <v>7</v>
      </c>
      <c r="E3237">
        <v>1</v>
      </c>
      <c r="F3237" t="s">
        <v>320</v>
      </c>
      <c r="G3237" t="s">
        <v>32</v>
      </c>
      <c r="H3237" t="s">
        <v>33</v>
      </c>
      <c r="I3237" t="s">
        <v>57</v>
      </c>
      <c r="O3237" s="5"/>
      <c r="P3237" s="5"/>
    </row>
    <row r="3238" spans="1:30" x14ac:dyDescent="0.25">
      <c r="A3238" s="4">
        <v>42593</v>
      </c>
      <c r="B3238" t="s">
        <v>30</v>
      </c>
      <c r="C3238">
        <v>701</v>
      </c>
      <c r="D3238">
        <v>8</v>
      </c>
      <c r="E3238">
        <v>1</v>
      </c>
      <c r="F3238" t="s">
        <v>320</v>
      </c>
      <c r="G3238" t="s">
        <v>32</v>
      </c>
      <c r="H3238" t="s">
        <v>33</v>
      </c>
      <c r="I3238" t="s">
        <v>57</v>
      </c>
      <c r="O3238" s="5"/>
      <c r="P3238" s="5"/>
    </row>
    <row r="3239" spans="1:30" x14ac:dyDescent="0.25">
      <c r="A3239" s="4">
        <v>42593</v>
      </c>
      <c r="B3239" t="s">
        <v>30</v>
      </c>
      <c r="C3239">
        <v>701</v>
      </c>
      <c r="D3239">
        <v>8</v>
      </c>
      <c r="E3239">
        <v>2</v>
      </c>
      <c r="F3239" t="s">
        <v>320</v>
      </c>
      <c r="G3239" t="s">
        <v>32</v>
      </c>
      <c r="H3239" t="s">
        <v>33</v>
      </c>
      <c r="I3239" t="s">
        <v>57</v>
      </c>
      <c r="O3239" s="5"/>
      <c r="P3239" s="5"/>
    </row>
    <row r="3240" spans="1:30" x14ac:dyDescent="0.25">
      <c r="A3240" s="4">
        <v>42593</v>
      </c>
      <c r="B3240" t="s">
        <v>30</v>
      </c>
      <c r="C3240">
        <v>701</v>
      </c>
      <c r="D3240">
        <v>9</v>
      </c>
      <c r="E3240">
        <v>1</v>
      </c>
      <c r="F3240" t="s">
        <v>320</v>
      </c>
      <c r="G3240" t="s">
        <v>32</v>
      </c>
      <c r="H3240" t="s">
        <v>33</v>
      </c>
      <c r="I3240" t="s">
        <v>34</v>
      </c>
      <c r="J3240" t="s">
        <v>42</v>
      </c>
      <c r="K3240" t="s">
        <v>89</v>
      </c>
      <c r="L3240" t="s">
        <v>43</v>
      </c>
      <c r="M3240">
        <v>0</v>
      </c>
      <c r="N3240">
        <v>1</v>
      </c>
      <c r="O3240" s="5" t="s">
        <v>713</v>
      </c>
      <c r="P3240" s="5" t="s">
        <v>714</v>
      </c>
      <c r="Q3240">
        <f>32-17</f>
        <v>15</v>
      </c>
      <c r="R3240" t="s">
        <v>65</v>
      </c>
      <c r="T3240">
        <v>20.5</v>
      </c>
      <c r="U3240">
        <v>85</v>
      </c>
      <c r="V3240">
        <v>16</v>
      </c>
      <c r="W3240">
        <v>13</v>
      </c>
      <c r="X3240">
        <v>27.9</v>
      </c>
      <c r="Z3240" t="s">
        <v>39</v>
      </c>
      <c r="AB3240" t="s">
        <v>40</v>
      </c>
      <c r="AC3240" t="s">
        <v>88</v>
      </c>
    </row>
    <row r="3241" spans="1:30" x14ac:dyDescent="0.25">
      <c r="A3241" s="4">
        <v>42593</v>
      </c>
      <c r="B3241" t="s">
        <v>30</v>
      </c>
      <c r="C3241">
        <v>701</v>
      </c>
      <c r="D3241">
        <v>10</v>
      </c>
      <c r="E3241">
        <v>1</v>
      </c>
      <c r="F3241" t="s">
        <v>320</v>
      </c>
      <c r="G3241" t="s">
        <v>32</v>
      </c>
      <c r="H3241" t="s">
        <v>33</v>
      </c>
      <c r="I3241" t="s">
        <v>34</v>
      </c>
      <c r="J3241" t="s">
        <v>35</v>
      </c>
      <c r="K3241" t="s">
        <v>89</v>
      </c>
      <c r="L3241" t="s">
        <v>37</v>
      </c>
      <c r="M3241">
        <v>0</v>
      </c>
      <c r="N3241">
        <v>0</v>
      </c>
      <c r="O3241" s="5" t="s">
        <v>573</v>
      </c>
      <c r="P3241" s="5" t="s">
        <v>574</v>
      </c>
      <c r="Q3241">
        <f>32-17</f>
        <v>15</v>
      </c>
      <c r="R3241" t="s">
        <v>38</v>
      </c>
      <c r="S3241" t="s">
        <v>39</v>
      </c>
      <c r="T3241">
        <v>17</v>
      </c>
      <c r="U3241">
        <v>70</v>
      </c>
      <c r="V3241">
        <v>14</v>
      </c>
      <c r="W3241">
        <v>12.7</v>
      </c>
      <c r="X3241">
        <v>26.6</v>
      </c>
      <c r="Y3241" t="s">
        <v>610</v>
      </c>
      <c r="Z3241" t="s">
        <v>97</v>
      </c>
      <c r="AA3241" t="s">
        <v>199</v>
      </c>
      <c r="AB3241" t="s">
        <v>40</v>
      </c>
      <c r="AC3241" t="s">
        <v>88</v>
      </c>
      <c r="AD3241" t="s">
        <v>715</v>
      </c>
    </row>
    <row r="3242" spans="1:30" x14ac:dyDescent="0.25">
      <c r="A3242" s="4">
        <v>42593</v>
      </c>
      <c r="B3242" t="s">
        <v>30</v>
      </c>
      <c r="C3242">
        <v>801</v>
      </c>
      <c r="D3242">
        <v>1</v>
      </c>
      <c r="E3242">
        <v>1</v>
      </c>
      <c r="F3242" t="s">
        <v>320</v>
      </c>
      <c r="G3242" t="s">
        <v>32</v>
      </c>
      <c r="H3242" t="s">
        <v>33</v>
      </c>
      <c r="I3242" t="s">
        <v>73</v>
      </c>
      <c r="J3242" t="s">
        <v>35</v>
      </c>
      <c r="K3242" t="s">
        <v>36</v>
      </c>
      <c r="L3242" t="s">
        <v>43</v>
      </c>
      <c r="M3242">
        <v>0</v>
      </c>
      <c r="N3242">
        <v>0</v>
      </c>
      <c r="O3242" s="5"/>
      <c r="P3242" s="5" t="s">
        <v>605</v>
      </c>
      <c r="Q3242">
        <f>144-46</f>
        <v>98</v>
      </c>
      <c r="R3242" t="s">
        <v>65</v>
      </c>
      <c r="T3242">
        <v>30</v>
      </c>
      <c r="Z3242" t="s">
        <v>97</v>
      </c>
      <c r="AA3242" t="s">
        <v>199</v>
      </c>
      <c r="AB3242" t="s">
        <v>40</v>
      </c>
      <c r="AC3242" t="s">
        <v>88</v>
      </c>
      <c r="AD3242" t="s">
        <v>704</v>
      </c>
    </row>
    <row r="3243" spans="1:30" x14ac:dyDescent="0.25">
      <c r="A3243" s="4">
        <v>42593</v>
      </c>
      <c r="B3243" t="s">
        <v>30</v>
      </c>
      <c r="C3243">
        <v>801</v>
      </c>
      <c r="D3243">
        <v>2</v>
      </c>
      <c r="E3243">
        <v>1</v>
      </c>
      <c r="F3243" t="s">
        <v>320</v>
      </c>
      <c r="G3243" t="s">
        <v>32</v>
      </c>
      <c r="H3243" t="s">
        <v>33</v>
      </c>
      <c r="I3243" t="s">
        <v>34</v>
      </c>
      <c r="J3243" t="s">
        <v>35</v>
      </c>
      <c r="K3243" t="s">
        <v>114</v>
      </c>
      <c r="L3243" t="s">
        <v>37</v>
      </c>
      <c r="M3243">
        <v>0</v>
      </c>
      <c r="N3243">
        <v>0</v>
      </c>
      <c r="O3243" s="5" t="s">
        <v>716</v>
      </c>
      <c r="P3243" s="5" t="s">
        <v>717</v>
      </c>
      <c r="Q3243">
        <f>31-15</f>
        <v>16</v>
      </c>
      <c r="R3243" t="s">
        <v>38</v>
      </c>
      <c r="S3243" t="s">
        <v>39</v>
      </c>
      <c r="T3243">
        <v>20</v>
      </c>
      <c r="U3243">
        <v>83</v>
      </c>
      <c r="V3243">
        <v>14</v>
      </c>
      <c r="W3243">
        <v>12.6</v>
      </c>
      <c r="X3243">
        <v>27.5</v>
      </c>
      <c r="Z3243" t="s">
        <v>97</v>
      </c>
      <c r="AA3243" t="s">
        <v>199</v>
      </c>
      <c r="AB3243" t="s">
        <v>40</v>
      </c>
      <c r="AC3243" t="s">
        <v>88</v>
      </c>
    </row>
    <row r="3244" spans="1:30" x14ac:dyDescent="0.25">
      <c r="A3244" s="4">
        <v>42593</v>
      </c>
      <c r="B3244" t="s">
        <v>30</v>
      </c>
      <c r="C3244">
        <v>801</v>
      </c>
      <c r="D3244">
        <v>2</v>
      </c>
      <c r="E3244">
        <v>2</v>
      </c>
      <c r="F3244" t="s">
        <v>320</v>
      </c>
      <c r="G3244" t="s">
        <v>32</v>
      </c>
      <c r="H3244" t="s">
        <v>33</v>
      </c>
      <c r="I3244" t="s">
        <v>73</v>
      </c>
      <c r="J3244" t="s">
        <v>35</v>
      </c>
      <c r="K3244" t="s">
        <v>114</v>
      </c>
      <c r="L3244" t="s">
        <v>43</v>
      </c>
      <c r="M3244">
        <v>0</v>
      </c>
      <c r="N3244">
        <v>0</v>
      </c>
      <c r="O3244" s="5" t="s">
        <v>642</v>
      </c>
      <c r="P3244" s="5"/>
      <c r="Q3244">
        <f>130-48</f>
        <v>82</v>
      </c>
      <c r="R3244" t="s">
        <v>65</v>
      </c>
      <c r="T3244">
        <v>32.5</v>
      </c>
      <c r="W3244">
        <v>22.2</v>
      </c>
      <c r="X3244">
        <v>41.1</v>
      </c>
      <c r="Y3244" t="s">
        <v>718</v>
      </c>
      <c r="Z3244" t="s">
        <v>97</v>
      </c>
      <c r="AA3244" t="s">
        <v>199</v>
      </c>
      <c r="AB3244" t="s">
        <v>40</v>
      </c>
      <c r="AC3244" t="s">
        <v>88</v>
      </c>
      <c r="AD3244" t="s">
        <v>719</v>
      </c>
    </row>
    <row r="3245" spans="1:30" x14ac:dyDescent="0.25">
      <c r="A3245" s="4">
        <v>42593</v>
      </c>
      <c r="B3245" t="s">
        <v>30</v>
      </c>
      <c r="C3245">
        <v>801</v>
      </c>
      <c r="D3245">
        <v>3</v>
      </c>
      <c r="E3245">
        <v>1</v>
      </c>
      <c r="F3245" t="s">
        <v>320</v>
      </c>
      <c r="G3245" t="s">
        <v>32</v>
      </c>
      <c r="H3245" t="s">
        <v>33</v>
      </c>
      <c r="I3245" t="s">
        <v>103</v>
      </c>
      <c r="J3245" t="s">
        <v>42</v>
      </c>
      <c r="K3245" t="s">
        <v>114</v>
      </c>
      <c r="L3245" t="s">
        <v>43</v>
      </c>
      <c r="M3245">
        <v>0</v>
      </c>
      <c r="N3245">
        <v>1</v>
      </c>
      <c r="O3245" s="5" t="s">
        <v>720</v>
      </c>
      <c r="P3245" s="5"/>
      <c r="Q3245">
        <f>27-12</f>
        <v>15</v>
      </c>
      <c r="R3245" t="s">
        <v>47</v>
      </c>
      <c r="T3245">
        <v>28</v>
      </c>
      <c r="W3245">
        <v>12.5</v>
      </c>
      <c r="X3245">
        <v>24.9</v>
      </c>
      <c r="Z3245" t="s">
        <v>97</v>
      </c>
      <c r="AA3245" t="s">
        <v>199</v>
      </c>
      <c r="AB3245" t="s">
        <v>40</v>
      </c>
      <c r="AC3245" t="s">
        <v>88</v>
      </c>
    </row>
    <row r="3246" spans="1:30" x14ac:dyDescent="0.25">
      <c r="A3246" s="4">
        <v>42593</v>
      </c>
      <c r="B3246" t="s">
        <v>30</v>
      </c>
      <c r="C3246">
        <v>801</v>
      </c>
      <c r="D3246">
        <v>4</v>
      </c>
      <c r="E3246">
        <v>1</v>
      </c>
      <c r="F3246" t="s">
        <v>320</v>
      </c>
      <c r="G3246" t="s">
        <v>32</v>
      </c>
      <c r="H3246" t="s">
        <v>33</v>
      </c>
      <c r="I3246" t="s">
        <v>58</v>
      </c>
      <c r="J3246" t="s">
        <v>42</v>
      </c>
      <c r="K3246" t="s">
        <v>36</v>
      </c>
      <c r="L3246" t="s">
        <v>43</v>
      </c>
      <c r="M3246">
        <v>0</v>
      </c>
      <c r="N3246">
        <v>1</v>
      </c>
      <c r="O3246" s="5" t="s">
        <v>721</v>
      </c>
      <c r="P3246" s="5"/>
      <c r="Q3246">
        <f>39-12</f>
        <v>27</v>
      </c>
      <c r="R3246" t="s">
        <v>47</v>
      </c>
      <c r="T3246">
        <v>18.5</v>
      </c>
      <c r="W3246">
        <v>12.9</v>
      </c>
      <c r="X3246">
        <v>27.6</v>
      </c>
      <c r="Z3246" t="s">
        <v>97</v>
      </c>
      <c r="AA3246" t="s">
        <v>199</v>
      </c>
      <c r="AB3246" t="s">
        <v>40</v>
      </c>
      <c r="AC3246" t="s">
        <v>88</v>
      </c>
      <c r="AD3246" t="s">
        <v>722</v>
      </c>
    </row>
    <row r="3247" spans="1:30" x14ac:dyDescent="0.25">
      <c r="A3247" s="4">
        <v>42593</v>
      </c>
      <c r="B3247" t="s">
        <v>30</v>
      </c>
      <c r="C3247">
        <v>801</v>
      </c>
      <c r="D3247">
        <v>4</v>
      </c>
      <c r="E3247">
        <v>2</v>
      </c>
      <c r="F3247" t="s">
        <v>320</v>
      </c>
      <c r="G3247" t="s">
        <v>32</v>
      </c>
      <c r="H3247" t="s">
        <v>33</v>
      </c>
      <c r="I3247" t="s">
        <v>34</v>
      </c>
      <c r="J3247" t="s">
        <v>35</v>
      </c>
      <c r="K3247" t="s">
        <v>89</v>
      </c>
      <c r="L3247" t="s">
        <v>37</v>
      </c>
      <c r="M3247">
        <v>0</v>
      </c>
      <c r="N3247">
        <v>0</v>
      </c>
      <c r="O3247" s="5" t="s">
        <v>723</v>
      </c>
      <c r="P3247" s="5" t="s">
        <v>724</v>
      </c>
      <c r="Q3247">
        <f>29-14</f>
        <v>15</v>
      </c>
      <c r="R3247" t="s">
        <v>38</v>
      </c>
      <c r="S3247" t="s">
        <v>39</v>
      </c>
      <c r="T3247">
        <v>20</v>
      </c>
      <c r="U3247">
        <v>84</v>
      </c>
      <c r="V3247">
        <v>17</v>
      </c>
      <c r="W3247">
        <v>12.7</v>
      </c>
      <c r="X3247">
        <v>26.2</v>
      </c>
      <c r="Z3247" t="s">
        <v>39</v>
      </c>
      <c r="AB3247" t="s">
        <v>40</v>
      </c>
      <c r="AC3247" t="s">
        <v>88</v>
      </c>
      <c r="AD3247" t="s">
        <v>725</v>
      </c>
    </row>
    <row r="3248" spans="1:30" x14ac:dyDescent="0.25">
      <c r="A3248" s="4">
        <v>42593</v>
      </c>
      <c r="B3248" t="s">
        <v>30</v>
      </c>
      <c r="C3248">
        <v>801</v>
      </c>
      <c r="D3248">
        <v>5</v>
      </c>
      <c r="E3248">
        <v>1</v>
      </c>
      <c r="F3248" t="s">
        <v>320</v>
      </c>
      <c r="G3248" t="s">
        <v>32</v>
      </c>
      <c r="H3248" t="s">
        <v>33</v>
      </c>
      <c r="I3248" t="s">
        <v>34</v>
      </c>
      <c r="J3248" t="s">
        <v>42</v>
      </c>
      <c r="K3248" t="s">
        <v>89</v>
      </c>
      <c r="L3248" t="s">
        <v>43</v>
      </c>
      <c r="M3248">
        <v>0</v>
      </c>
      <c r="N3248">
        <v>1</v>
      </c>
      <c r="O3248" s="5" t="s">
        <v>726</v>
      </c>
      <c r="P3248" s="5" t="s">
        <v>727</v>
      </c>
      <c r="Q3248">
        <f>37-19</f>
        <v>18</v>
      </c>
      <c r="R3248" t="s">
        <v>65</v>
      </c>
      <c r="T3248">
        <v>20</v>
      </c>
      <c r="U3248">
        <v>93</v>
      </c>
      <c r="V3248">
        <v>15.5</v>
      </c>
      <c r="W3248">
        <v>12.9</v>
      </c>
      <c r="X3248">
        <v>27.1</v>
      </c>
      <c r="Z3248" t="s">
        <v>39</v>
      </c>
      <c r="AB3248" t="s">
        <v>40</v>
      </c>
      <c r="AC3248" t="s">
        <v>88</v>
      </c>
    </row>
    <row r="3249" spans="1:34" x14ac:dyDescent="0.25">
      <c r="A3249" s="4">
        <v>42593</v>
      </c>
      <c r="B3249" t="s">
        <v>30</v>
      </c>
      <c r="C3249">
        <v>801</v>
      </c>
      <c r="D3249">
        <v>5</v>
      </c>
      <c r="E3249">
        <v>2</v>
      </c>
      <c r="F3249" t="s">
        <v>320</v>
      </c>
      <c r="G3249" t="s">
        <v>32</v>
      </c>
      <c r="H3249" t="s">
        <v>33</v>
      </c>
      <c r="I3249" t="s">
        <v>91</v>
      </c>
      <c r="J3249" t="s">
        <v>35</v>
      </c>
      <c r="K3249" t="s">
        <v>36</v>
      </c>
      <c r="L3249" t="s">
        <v>43</v>
      </c>
      <c r="M3249">
        <v>0</v>
      </c>
      <c r="N3249">
        <v>0</v>
      </c>
      <c r="O3249" s="5" t="s">
        <v>636</v>
      </c>
      <c r="P3249" s="5"/>
      <c r="Q3249">
        <f>41-18</f>
        <v>23</v>
      </c>
      <c r="R3249" t="s">
        <v>47</v>
      </c>
      <c r="T3249">
        <v>30</v>
      </c>
      <c r="W3249">
        <v>13.1</v>
      </c>
      <c r="X3249">
        <v>25.9</v>
      </c>
      <c r="Z3249" t="s">
        <v>97</v>
      </c>
      <c r="AA3249" t="s">
        <v>199</v>
      </c>
      <c r="AB3249" t="s">
        <v>40</v>
      </c>
      <c r="AC3249" t="s">
        <v>88</v>
      </c>
    </row>
    <row r="3250" spans="1:34" x14ac:dyDescent="0.25">
      <c r="A3250" s="4">
        <v>42593</v>
      </c>
      <c r="B3250" t="s">
        <v>30</v>
      </c>
      <c r="C3250">
        <v>801</v>
      </c>
      <c r="D3250">
        <v>6</v>
      </c>
      <c r="E3250">
        <v>1</v>
      </c>
      <c r="F3250" t="s">
        <v>320</v>
      </c>
      <c r="G3250" t="s">
        <v>32</v>
      </c>
      <c r="H3250" t="s">
        <v>33</v>
      </c>
      <c r="I3250" t="s">
        <v>53</v>
      </c>
      <c r="J3250" t="s">
        <v>62</v>
      </c>
      <c r="O3250" s="5"/>
      <c r="P3250" s="5"/>
    </row>
    <row r="3251" spans="1:34" x14ac:dyDescent="0.25">
      <c r="A3251" s="4">
        <v>42593</v>
      </c>
      <c r="B3251" t="s">
        <v>30</v>
      </c>
      <c r="C3251">
        <v>801</v>
      </c>
      <c r="D3251">
        <v>6</v>
      </c>
      <c r="E3251">
        <v>2</v>
      </c>
      <c r="F3251" t="s">
        <v>320</v>
      </c>
      <c r="G3251" t="s">
        <v>32</v>
      </c>
      <c r="H3251" t="s">
        <v>33</v>
      </c>
      <c r="I3251" t="s">
        <v>57</v>
      </c>
      <c r="O3251" s="5"/>
      <c r="P3251" s="5"/>
    </row>
    <row r="3252" spans="1:34" x14ac:dyDescent="0.25">
      <c r="A3252" s="4">
        <v>42593</v>
      </c>
      <c r="B3252" t="s">
        <v>30</v>
      </c>
      <c r="C3252">
        <v>801</v>
      </c>
      <c r="D3252">
        <v>7</v>
      </c>
      <c r="E3252">
        <v>1</v>
      </c>
      <c r="F3252" t="s">
        <v>320</v>
      </c>
      <c r="G3252" t="s">
        <v>32</v>
      </c>
      <c r="H3252" t="s">
        <v>33</v>
      </c>
      <c r="I3252" t="s">
        <v>73</v>
      </c>
      <c r="J3252" t="s">
        <v>35</v>
      </c>
      <c r="K3252" t="s">
        <v>36</v>
      </c>
      <c r="L3252" t="s">
        <v>43</v>
      </c>
      <c r="M3252">
        <v>0</v>
      </c>
      <c r="N3252">
        <v>0</v>
      </c>
      <c r="O3252" s="5" t="s">
        <v>728</v>
      </c>
      <c r="P3252" s="5"/>
      <c r="Q3252">
        <f>148-49</f>
        <v>99</v>
      </c>
      <c r="R3252" t="s">
        <v>65</v>
      </c>
      <c r="T3252">
        <v>29</v>
      </c>
      <c r="W3252">
        <v>22</v>
      </c>
      <c r="X3252">
        <v>41.6</v>
      </c>
      <c r="Z3252" t="s">
        <v>39</v>
      </c>
      <c r="AB3252" t="s">
        <v>40</v>
      </c>
      <c r="AC3252" t="s">
        <v>88</v>
      </c>
      <c r="AD3252" t="s">
        <v>729</v>
      </c>
    </row>
    <row r="3253" spans="1:34" x14ac:dyDescent="0.25">
      <c r="A3253" s="4">
        <v>42593</v>
      </c>
      <c r="B3253" t="s">
        <v>30</v>
      </c>
      <c r="C3253">
        <v>801</v>
      </c>
      <c r="D3253">
        <v>8</v>
      </c>
      <c r="E3253">
        <v>1</v>
      </c>
      <c r="F3253" t="s">
        <v>320</v>
      </c>
      <c r="G3253" t="s">
        <v>32</v>
      </c>
      <c r="H3253" t="s">
        <v>33</v>
      </c>
      <c r="I3253" t="s">
        <v>34</v>
      </c>
      <c r="J3253" t="s">
        <v>35</v>
      </c>
      <c r="K3253" t="s">
        <v>89</v>
      </c>
      <c r="L3253" t="s">
        <v>37</v>
      </c>
      <c r="M3253">
        <v>0</v>
      </c>
      <c r="N3253">
        <v>0</v>
      </c>
      <c r="O3253" s="5" t="s">
        <v>730</v>
      </c>
      <c r="P3253" s="5" t="s">
        <v>731</v>
      </c>
      <c r="Q3253">
        <f>31-16</f>
        <v>15</v>
      </c>
      <c r="R3253" t="s">
        <v>38</v>
      </c>
      <c r="S3253" t="s">
        <v>39</v>
      </c>
      <c r="T3253">
        <v>21</v>
      </c>
      <c r="U3253">
        <v>92</v>
      </c>
      <c r="V3253">
        <v>16</v>
      </c>
      <c r="W3253">
        <v>12.4</v>
      </c>
      <c r="X3253">
        <v>27</v>
      </c>
      <c r="Z3253" t="s">
        <v>97</v>
      </c>
      <c r="AA3253" t="s">
        <v>199</v>
      </c>
      <c r="AB3253" t="s">
        <v>40</v>
      </c>
      <c r="AC3253" t="s">
        <v>88</v>
      </c>
      <c r="AD3253" t="s">
        <v>732</v>
      </c>
    </row>
    <row r="3254" spans="1:34" x14ac:dyDescent="0.25">
      <c r="A3254" s="4">
        <v>42593</v>
      </c>
      <c r="B3254" t="s">
        <v>30</v>
      </c>
      <c r="C3254">
        <v>801</v>
      </c>
      <c r="D3254">
        <v>8</v>
      </c>
      <c r="E3254">
        <v>2</v>
      </c>
      <c r="F3254" t="s">
        <v>320</v>
      </c>
      <c r="G3254" t="s">
        <v>32</v>
      </c>
      <c r="H3254" t="s">
        <v>33</v>
      </c>
      <c r="I3254" t="s">
        <v>73</v>
      </c>
      <c r="J3254" t="s">
        <v>35</v>
      </c>
      <c r="K3254" t="s">
        <v>36</v>
      </c>
      <c r="L3254" t="s">
        <v>37</v>
      </c>
      <c r="M3254">
        <v>0</v>
      </c>
      <c r="N3254">
        <v>0</v>
      </c>
      <c r="O3254" s="5" t="s">
        <v>733</v>
      </c>
      <c r="P3254" s="5"/>
      <c r="Q3254">
        <f>146-50</f>
        <v>96</v>
      </c>
      <c r="R3254" t="s">
        <v>136</v>
      </c>
      <c r="S3254" t="s">
        <v>97</v>
      </c>
      <c r="T3254">
        <v>33</v>
      </c>
      <c r="W3254">
        <v>21.9</v>
      </c>
      <c r="X3254">
        <v>42.2</v>
      </c>
      <c r="Z3254" t="s">
        <v>97</v>
      </c>
      <c r="AA3254" t="s">
        <v>199</v>
      </c>
      <c r="AB3254" t="s">
        <v>40</v>
      </c>
      <c r="AC3254" t="s">
        <v>88</v>
      </c>
      <c r="AD3254" t="s">
        <v>734</v>
      </c>
    </row>
    <row r="3255" spans="1:34" x14ac:dyDescent="0.25">
      <c r="A3255" s="4">
        <v>42593</v>
      </c>
      <c r="B3255" t="s">
        <v>30</v>
      </c>
      <c r="C3255">
        <v>801</v>
      </c>
      <c r="D3255">
        <v>9</v>
      </c>
      <c r="E3255">
        <v>1</v>
      </c>
      <c r="F3255" t="s">
        <v>320</v>
      </c>
      <c r="G3255" t="s">
        <v>32</v>
      </c>
      <c r="H3255" t="s">
        <v>33</v>
      </c>
      <c r="I3255" t="s">
        <v>58</v>
      </c>
      <c r="J3255" t="s">
        <v>122</v>
      </c>
      <c r="O3255" s="5"/>
      <c r="P3255" s="5"/>
    </row>
    <row r="3256" spans="1:34" x14ac:dyDescent="0.25">
      <c r="A3256" s="4">
        <v>42593</v>
      </c>
      <c r="B3256" t="s">
        <v>30</v>
      </c>
      <c r="C3256">
        <v>801</v>
      </c>
      <c r="D3256">
        <v>9</v>
      </c>
      <c r="E3256">
        <v>2</v>
      </c>
      <c r="F3256" t="s">
        <v>320</v>
      </c>
      <c r="G3256" t="s">
        <v>32</v>
      </c>
      <c r="H3256" t="s">
        <v>33</v>
      </c>
      <c r="I3256" t="s">
        <v>70</v>
      </c>
      <c r="J3256" t="s">
        <v>62</v>
      </c>
      <c r="O3256" s="5"/>
      <c r="P3256" s="5"/>
    </row>
    <row r="3257" spans="1:34" x14ac:dyDescent="0.25">
      <c r="A3257" s="4">
        <v>42593</v>
      </c>
      <c r="B3257" t="s">
        <v>30</v>
      </c>
      <c r="C3257">
        <v>801</v>
      </c>
      <c r="D3257">
        <v>10</v>
      </c>
      <c r="E3257">
        <v>1</v>
      </c>
      <c r="F3257" t="s">
        <v>320</v>
      </c>
      <c r="G3257" t="s">
        <v>32</v>
      </c>
      <c r="H3257" t="s">
        <v>33</v>
      </c>
      <c r="I3257" t="s">
        <v>70</v>
      </c>
      <c r="J3257" t="s">
        <v>62</v>
      </c>
      <c r="O3257" s="5"/>
      <c r="P3257" s="5"/>
    </row>
    <row r="3258" spans="1:34" x14ac:dyDescent="0.25">
      <c r="A3258" s="4">
        <v>42593</v>
      </c>
      <c r="B3258" t="s">
        <v>30</v>
      </c>
      <c r="C3258">
        <v>801</v>
      </c>
      <c r="D3258">
        <v>10</v>
      </c>
      <c r="E3258">
        <v>2</v>
      </c>
      <c r="F3258" t="s">
        <v>320</v>
      </c>
      <c r="G3258" t="s">
        <v>32</v>
      </c>
      <c r="H3258" t="s">
        <v>33</v>
      </c>
      <c r="I3258" t="s">
        <v>34</v>
      </c>
      <c r="J3258" t="s">
        <v>35</v>
      </c>
      <c r="K3258" t="s">
        <v>36</v>
      </c>
      <c r="L3258" t="s">
        <v>37</v>
      </c>
      <c r="M3258">
        <v>0</v>
      </c>
      <c r="N3258">
        <v>0</v>
      </c>
      <c r="O3258" s="5" t="s">
        <v>603</v>
      </c>
      <c r="P3258" s="5" t="s">
        <v>604</v>
      </c>
      <c r="Q3258">
        <f>34-13</f>
        <v>21</v>
      </c>
      <c r="R3258" t="s">
        <v>136</v>
      </c>
      <c r="S3258" t="s">
        <v>97</v>
      </c>
      <c r="T3258">
        <v>19</v>
      </c>
      <c r="U3258">
        <v>99</v>
      </c>
      <c r="V3258">
        <v>16</v>
      </c>
      <c r="W3258">
        <v>12.8</v>
      </c>
      <c r="X3258">
        <v>26.7</v>
      </c>
      <c r="Z3258" t="s">
        <v>39</v>
      </c>
      <c r="AB3258" t="s">
        <v>40</v>
      </c>
      <c r="AC3258" t="s">
        <v>88</v>
      </c>
    </row>
    <row r="3259" spans="1:34" x14ac:dyDescent="0.25">
      <c r="A3259" s="4">
        <v>42593</v>
      </c>
      <c r="B3259" t="s">
        <v>30</v>
      </c>
      <c r="C3259">
        <v>803</v>
      </c>
      <c r="D3259">
        <v>10</v>
      </c>
      <c r="E3259">
        <v>1</v>
      </c>
      <c r="F3259" t="s">
        <v>320</v>
      </c>
      <c r="G3259" t="s">
        <v>32</v>
      </c>
      <c r="H3259" t="s">
        <v>33</v>
      </c>
      <c r="I3259" t="s">
        <v>57</v>
      </c>
      <c r="O3259" s="5"/>
      <c r="P3259" s="5"/>
    </row>
    <row r="3260" spans="1:34" x14ac:dyDescent="0.25">
      <c r="A3260" s="4">
        <v>42593</v>
      </c>
      <c r="B3260" t="s">
        <v>30</v>
      </c>
      <c r="C3260">
        <v>803</v>
      </c>
      <c r="D3260">
        <v>10</v>
      </c>
      <c r="E3260">
        <v>2</v>
      </c>
      <c r="F3260" t="s">
        <v>320</v>
      </c>
      <c r="G3260" t="s">
        <v>32</v>
      </c>
      <c r="H3260" t="s">
        <v>33</v>
      </c>
      <c r="I3260" t="s">
        <v>73</v>
      </c>
      <c r="J3260" t="s">
        <v>35</v>
      </c>
      <c r="K3260" t="s">
        <v>114</v>
      </c>
      <c r="L3260" t="s">
        <v>43</v>
      </c>
      <c r="M3260">
        <v>0</v>
      </c>
      <c r="N3260">
        <v>0</v>
      </c>
      <c r="O3260" s="5" t="s">
        <v>656</v>
      </c>
      <c r="P3260" s="5"/>
      <c r="Q3260">
        <f>149-49</f>
        <v>100</v>
      </c>
      <c r="R3260" t="s">
        <v>65</v>
      </c>
      <c r="T3260">
        <v>32</v>
      </c>
      <c r="W3260">
        <v>21.1</v>
      </c>
      <c r="X3260">
        <v>40.9</v>
      </c>
      <c r="Z3260" t="s">
        <v>97</v>
      </c>
      <c r="AA3260" t="s">
        <v>199</v>
      </c>
      <c r="AB3260" t="s">
        <v>40</v>
      </c>
      <c r="AC3260" t="s">
        <v>88</v>
      </c>
      <c r="AD3260" t="s">
        <v>735</v>
      </c>
    </row>
    <row r="3261" spans="1:34" x14ac:dyDescent="0.25">
      <c r="A3261" s="4">
        <v>42593</v>
      </c>
      <c r="B3261" t="s">
        <v>30</v>
      </c>
      <c r="C3261">
        <v>803</v>
      </c>
      <c r="D3261">
        <v>9</v>
      </c>
      <c r="E3261">
        <v>1</v>
      </c>
      <c r="F3261" t="s">
        <v>320</v>
      </c>
      <c r="G3261" t="s">
        <v>32</v>
      </c>
      <c r="H3261" t="s">
        <v>33</v>
      </c>
      <c r="I3261" t="s">
        <v>34</v>
      </c>
      <c r="J3261" t="s">
        <v>42</v>
      </c>
      <c r="K3261" t="s">
        <v>89</v>
      </c>
      <c r="L3261" t="s">
        <v>37</v>
      </c>
      <c r="M3261">
        <v>0</v>
      </c>
      <c r="N3261">
        <v>1</v>
      </c>
      <c r="O3261" s="5" t="s">
        <v>736</v>
      </c>
      <c r="P3261" s="5" t="s">
        <v>737</v>
      </c>
      <c r="Q3261">
        <f>25.5-15</f>
        <v>10.5</v>
      </c>
      <c r="R3261" t="s">
        <v>38</v>
      </c>
      <c r="S3261" t="s">
        <v>39</v>
      </c>
      <c r="Z3261" t="s">
        <v>39</v>
      </c>
      <c r="AB3261" t="s">
        <v>40</v>
      </c>
      <c r="AC3261" t="s">
        <v>88</v>
      </c>
      <c r="AD3261" t="s">
        <v>437</v>
      </c>
    </row>
    <row r="3262" spans="1:34" x14ac:dyDescent="0.25">
      <c r="A3262" s="4">
        <v>42593</v>
      </c>
      <c r="B3262" t="s">
        <v>30</v>
      </c>
      <c r="C3262">
        <v>803</v>
      </c>
      <c r="D3262">
        <v>9</v>
      </c>
      <c r="E3262">
        <v>2</v>
      </c>
      <c r="F3262" t="s">
        <v>320</v>
      </c>
      <c r="G3262" t="s">
        <v>32</v>
      </c>
      <c r="H3262" t="s">
        <v>33</v>
      </c>
      <c r="I3262" t="s">
        <v>57</v>
      </c>
      <c r="O3262" s="5"/>
      <c r="P3262" s="5"/>
    </row>
    <row r="3263" spans="1:34" x14ac:dyDescent="0.25">
      <c r="A3263" s="4">
        <v>42593</v>
      </c>
      <c r="B3263" t="s">
        <v>30</v>
      </c>
      <c r="C3263">
        <v>803</v>
      </c>
      <c r="D3263">
        <v>8</v>
      </c>
      <c r="E3263">
        <v>1</v>
      </c>
      <c r="F3263" t="s">
        <v>320</v>
      </c>
      <c r="G3263" t="s">
        <v>32</v>
      </c>
      <c r="H3263" t="s">
        <v>33</v>
      </c>
      <c r="I3263" t="s">
        <v>57</v>
      </c>
      <c r="O3263" s="5"/>
      <c r="P3263" s="5"/>
    </row>
    <row r="3264" spans="1:34" x14ac:dyDescent="0.25">
      <c r="A3264" s="4">
        <v>42593</v>
      </c>
      <c r="B3264" t="s">
        <v>30</v>
      </c>
      <c r="C3264">
        <v>803</v>
      </c>
      <c r="D3264">
        <v>8</v>
      </c>
      <c r="E3264">
        <v>2</v>
      </c>
      <c r="F3264" t="s">
        <v>320</v>
      </c>
      <c r="G3264" t="s">
        <v>32</v>
      </c>
      <c r="H3264" t="s">
        <v>33</v>
      </c>
      <c r="I3264" t="s">
        <v>91</v>
      </c>
      <c r="J3264" t="s">
        <v>35</v>
      </c>
      <c r="K3264" t="s">
        <v>36</v>
      </c>
      <c r="L3264" t="s">
        <v>37</v>
      </c>
      <c r="M3264">
        <v>0</v>
      </c>
      <c r="N3264">
        <v>0</v>
      </c>
      <c r="O3264" s="5"/>
      <c r="P3264" s="5" t="s">
        <v>653</v>
      </c>
      <c r="Q3264">
        <f>40-17</f>
        <v>23</v>
      </c>
      <c r="R3264" t="s">
        <v>136</v>
      </c>
      <c r="S3264" t="s">
        <v>97</v>
      </c>
      <c r="Z3264" t="s">
        <v>39</v>
      </c>
      <c r="AB3264" t="s">
        <v>40</v>
      </c>
      <c r="AC3264" t="s">
        <v>88</v>
      </c>
      <c r="AD3264" t="s">
        <v>738</v>
      </c>
      <c r="AH3264" t="s">
        <v>739</v>
      </c>
    </row>
    <row r="3265" spans="1:34" x14ac:dyDescent="0.25">
      <c r="A3265" s="4">
        <v>42593</v>
      </c>
      <c r="B3265" t="s">
        <v>30</v>
      </c>
      <c r="C3265">
        <v>803</v>
      </c>
      <c r="D3265">
        <v>7</v>
      </c>
      <c r="E3265">
        <v>1</v>
      </c>
      <c r="F3265" t="s">
        <v>320</v>
      </c>
      <c r="G3265" t="s">
        <v>32</v>
      </c>
      <c r="H3265" t="s">
        <v>33</v>
      </c>
      <c r="I3265" t="s">
        <v>91</v>
      </c>
      <c r="J3265" t="s">
        <v>35</v>
      </c>
      <c r="K3265" t="s">
        <v>114</v>
      </c>
      <c r="L3265" t="s">
        <v>43</v>
      </c>
      <c r="M3265">
        <v>0</v>
      </c>
      <c r="N3265">
        <v>0</v>
      </c>
      <c r="O3265" s="5" t="s">
        <v>655</v>
      </c>
      <c r="P3265" s="5"/>
      <c r="Q3265">
        <f>31-13</f>
        <v>18</v>
      </c>
      <c r="R3265" t="s">
        <v>47</v>
      </c>
      <c r="Z3265" t="s">
        <v>97</v>
      </c>
      <c r="AA3265" t="s">
        <v>199</v>
      </c>
      <c r="AB3265" t="s">
        <v>40</v>
      </c>
      <c r="AC3265" t="s">
        <v>88</v>
      </c>
      <c r="AD3265" t="s">
        <v>738</v>
      </c>
    </row>
    <row r="3266" spans="1:34" x14ac:dyDescent="0.25">
      <c r="A3266" s="4">
        <v>42593</v>
      </c>
      <c r="B3266" t="s">
        <v>30</v>
      </c>
      <c r="C3266">
        <v>803</v>
      </c>
      <c r="D3266">
        <v>7</v>
      </c>
      <c r="E3266">
        <v>2</v>
      </c>
      <c r="F3266" t="s">
        <v>320</v>
      </c>
      <c r="G3266" t="s">
        <v>32</v>
      </c>
      <c r="H3266" t="s">
        <v>33</v>
      </c>
      <c r="I3266" t="s">
        <v>57</v>
      </c>
      <c r="O3266" s="5"/>
      <c r="P3266" s="5"/>
    </row>
    <row r="3267" spans="1:34" x14ac:dyDescent="0.25">
      <c r="A3267" s="4">
        <v>42593</v>
      </c>
      <c r="B3267" t="s">
        <v>30</v>
      </c>
      <c r="C3267">
        <v>803</v>
      </c>
      <c r="D3267">
        <v>6</v>
      </c>
      <c r="E3267">
        <v>1</v>
      </c>
      <c r="F3267" t="s">
        <v>320</v>
      </c>
      <c r="G3267" t="s">
        <v>32</v>
      </c>
      <c r="H3267" t="s">
        <v>33</v>
      </c>
      <c r="I3267" t="s">
        <v>34</v>
      </c>
      <c r="J3267" t="s">
        <v>35</v>
      </c>
      <c r="K3267" t="s">
        <v>89</v>
      </c>
      <c r="L3267" t="s">
        <v>43</v>
      </c>
      <c r="M3267">
        <v>0</v>
      </c>
      <c r="N3267">
        <v>0</v>
      </c>
      <c r="O3267" s="5" t="s">
        <v>646</v>
      </c>
      <c r="P3267" s="5" t="s">
        <v>647</v>
      </c>
      <c r="Q3267">
        <f>29-16</f>
        <v>13</v>
      </c>
      <c r="R3267" t="s">
        <v>65</v>
      </c>
      <c r="Z3267" t="s">
        <v>39</v>
      </c>
      <c r="AB3267" t="s">
        <v>40</v>
      </c>
      <c r="AC3267" t="s">
        <v>88</v>
      </c>
      <c r="AD3267" t="s">
        <v>738</v>
      </c>
      <c r="AH3267" t="s">
        <v>648</v>
      </c>
    </row>
    <row r="3268" spans="1:34" x14ac:dyDescent="0.25">
      <c r="A3268" s="4">
        <v>42593</v>
      </c>
      <c r="B3268" t="s">
        <v>30</v>
      </c>
      <c r="C3268">
        <v>803</v>
      </c>
      <c r="D3268">
        <v>6</v>
      </c>
      <c r="E3268">
        <v>2</v>
      </c>
      <c r="F3268" t="s">
        <v>320</v>
      </c>
      <c r="G3268" t="s">
        <v>32</v>
      </c>
      <c r="H3268" t="s">
        <v>33</v>
      </c>
      <c r="I3268" t="s">
        <v>91</v>
      </c>
      <c r="J3268" t="s">
        <v>35</v>
      </c>
      <c r="K3268" t="s">
        <v>36</v>
      </c>
      <c r="L3268" t="s">
        <v>37</v>
      </c>
      <c r="M3268">
        <v>0</v>
      </c>
      <c r="N3268">
        <v>0</v>
      </c>
      <c r="O3268" s="5"/>
      <c r="P3268" s="5" t="s">
        <v>606</v>
      </c>
      <c r="Q3268">
        <f>36-15</f>
        <v>21</v>
      </c>
      <c r="R3268" t="s">
        <v>136</v>
      </c>
      <c r="S3268" t="s">
        <v>97</v>
      </c>
      <c r="Z3268" t="s">
        <v>97</v>
      </c>
      <c r="AA3268" t="s">
        <v>199</v>
      </c>
      <c r="AB3268" t="s">
        <v>40</v>
      </c>
      <c r="AC3268" t="s">
        <v>88</v>
      </c>
      <c r="AD3268" t="s">
        <v>738</v>
      </c>
    </row>
    <row r="3269" spans="1:34" x14ac:dyDescent="0.25">
      <c r="A3269" s="4">
        <v>42593</v>
      </c>
      <c r="B3269" t="s">
        <v>30</v>
      </c>
      <c r="C3269">
        <v>803</v>
      </c>
      <c r="D3269">
        <v>5</v>
      </c>
      <c r="E3269">
        <v>1</v>
      </c>
      <c r="F3269" t="s">
        <v>320</v>
      </c>
      <c r="G3269" t="s">
        <v>32</v>
      </c>
      <c r="H3269" t="s">
        <v>33</v>
      </c>
      <c r="I3269" t="s">
        <v>57</v>
      </c>
      <c r="O3269" s="5"/>
      <c r="P3269" s="5"/>
    </row>
    <row r="3270" spans="1:34" x14ac:dyDescent="0.25">
      <c r="A3270" s="4">
        <v>42593</v>
      </c>
      <c r="B3270" t="s">
        <v>30</v>
      </c>
      <c r="C3270">
        <v>803</v>
      </c>
      <c r="D3270">
        <v>5</v>
      </c>
      <c r="E3270">
        <v>2</v>
      </c>
      <c r="F3270" t="s">
        <v>320</v>
      </c>
      <c r="G3270" t="s">
        <v>32</v>
      </c>
      <c r="H3270" t="s">
        <v>33</v>
      </c>
      <c r="I3270" t="s">
        <v>57</v>
      </c>
      <c r="O3270" s="5"/>
      <c r="P3270" s="5"/>
    </row>
    <row r="3271" spans="1:34" x14ac:dyDescent="0.25">
      <c r="A3271" s="4">
        <v>42593</v>
      </c>
      <c r="B3271" t="s">
        <v>30</v>
      </c>
      <c r="C3271">
        <v>803</v>
      </c>
      <c r="D3271">
        <v>4</v>
      </c>
      <c r="E3271">
        <v>1</v>
      </c>
      <c r="F3271" t="s">
        <v>320</v>
      </c>
      <c r="G3271" t="s">
        <v>32</v>
      </c>
      <c r="H3271" t="s">
        <v>33</v>
      </c>
      <c r="I3271" t="s">
        <v>57</v>
      </c>
      <c r="O3271" s="5"/>
      <c r="P3271" s="5"/>
    </row>
    <row r="3272" spans="1:34" x14ac:dyDescent="0.25">
      <c r="A3272" s="4">
        <v>42593</v>
      </c>
      <c r="B3272" t="s">
        <v>30</v>
      </c>
      <c r="C3272">
        <v>803</v>
      </c>
      <c r="D3272">
        <v>4</v>
      </c>
      <c r="E3272">
        <v>2</v>
      </c>
      <c r="F3272" t="s">
        <v>320</v>
      </c>
      <c r="G3272" t="s">
        <v>32</v>
      </c>
      <c r="H3272" t="s">
        <v>33</v>
      </c>
      <c r="I3272" t="s">
        <v>53</v>
      </c>
      <c r="J3272" t="s">
        <v>62</v>
      </c>
      <c r="O3272" s="5"/>
      <c r="P3272" s="5"/>
    </row>
    <row r="3273" spans="1:34" x14ac:dyDescent="0.25">
      <c r="A3273" s="4">
        <v>42593</v>
      </c>
      <c r="B3273" t="s">
        <v>30</v>
      </c>
      <c r="C3273">
        <v>803</v>
      </c>
      <c r="D3273">
        <v>3</v>
      </c>
      <c r="E3273">
        <v>1</v>
      </c>
      <c r="F3273" t="s">
        <v>320</v>
      </c>
      <c r="G3273" t="s">
        <v>32</v>
      </c>
      <c r="H3273" t="s">
        <v>33</v>
      </c>
      <c r="I3273" t="s">
        <v>34</v>
      </c>
      <c r="J3273" t="s">
        <v>35</v>
      </c>
      <c r="K3273" t="s">
        <v>89</v>
      </c>
      <c r="L3273" t="s">
        <v>37</v>
      </c>
      <c r="M3273">
        <v>0</v>
      </c>
      <c r="N3273">
        <v>0</v>
      </c>
      <c r="O3273" s="5" t="s">
        <v>608</v>
      </c>
      <c r="P3273" s="5" t="s">
        <v>609</v>
      </c>
      <c r="Q3273">
        <f>27-14</f>
        <v>13</v>
      </c>
      <c r="R3273" t="s">
        <v>38</v>
      </c>
      <c r="S3273" t="s">
        <v>39</v>
      </c>
      <c r="Z3273" t="s">
        <v>39</v>
      </c>
      <c r="AB3273" t="s">
        <v>40</v>
      </c>
      <c r="AC3273" t="s">
        <v>88</v>
      </c>
      <c r="AD3273" t="s">
        <v>738</v>
      </c>
    </row>
    <row r="3274" spans="1:34" x14ac:dyDescent="0.25">
      <c r="A3274" s="4">
        <v>42593</v>
      </c>
      <c r="B3274" t="s">
        <v>30</v>
      </c>
      <c r="C3274">
        <v>803</v>
      </c>
      <c r="D3274">
        <v>2</v>
      </c>
      <c r="E3274">
        <v>1</v>
      </c>
      <c r="F3274" t="s">
        <v>320</v>
      </c>
      <c r="G3274" t="s">
        <v>32</v>
      </c>
      <c r="H3274" t="s">
        <v>33</v>
      </c>
      <c r="I3274" t="s">
        <v>57</v>
      </c>
      <c r="O3274" s="5"/>
      <c r="P3274" s="5"/>
    </row>
    <row r="3275" spans="1:34" x14ac:dyDescent="0.25">
      <c r="A3275" s="4">
        <v>42593</v>
      </c>
      <c r="B3275" t="s">
        <v>30</v>
      </c>
      <c r="C3275">
        <v>803</v>
      </c>
      <c r="D3275">
        <v>1</v>
      </c>
      <c r="E3275">
        <v>1</v>
      </c>
      <c r="F3275" t="s">
        <v>320</v>
      </c>
      <c r="G3275" t="s">
        <v>32</v>
      </c>
      <c r="H3275" t="s">
        <v>33</v>
      </c>
      <c r="I3275" t="s">
        <v>57</v>
      </c>
      <c r="O3275" s="5"/>
      <c r="P3275" s="5"/>
    </row>
    <row r="3276" spans="1:34" x14ac:dyDescent="0.25">
      <c r="A3276" s="4">
        <v>42593</v>
      </c>
      <c r="B3276" t="s">
        <v>30</v>
      </c>
      <c r="C3276">
        <v>803</v>
      </c>
      <c r="D3276">
        <v>1</v>
      </c>
      <c r="E3276">
        <v>2</v>
      </c>
      <c r="F3276" t="s">
        <v>320</v>
      </c>
      <c r="G3276" t="s">
        <v>32</v>
      </c>
      <c r="H3276" t="s">
        <v>33</v>
      </c>
      <c r="I3276" t="s">
        <v>57</v>
      </c>
      <c r="O3276" s="5"/>
      <c r="P3276" s="5"/>
    </row>
    <row r="3277" spans="1:34" x14ac:dyDescent="0.25">
      <c r="A3277" s="4">
        <v>42593</v>
      </c>
      <c r="B3277" t="s">
        <v>30</v>
      </c>
      <c r="C3277">
        <v>901</v>
      </c>
      <c r="D3277">
        <v>6</v>
      </c>
      <c r="E3277">
        <v>1</v>
      </c>
      <c r="F3277" t="s">
        <v>320</v>
      </c>
      <c r="G3277" t="s">
        <v>32</v>
      </c>
      <c r="H3277" t="s">
        <v>33</v>
      </c>
      <c r="I3277" t="s">
        <v>57</v>
      </c>
      <c r="O3277" s="5"/>
      <c r="P3277" s="5"/>
    </row>
    <row r="3278" spans="1:34" x14ac:dyDescent="0.25">
      <c r="A3278" s="4">
        <v>42593</v>
      </c>
      <c r="B3278" t="s">
        <v>30</v>
      </c>
      <c r="C3278">
        <v>901</v>
      </c>
      <c r="D3278">
        <v>7</v>
      </c>
      <c r="E3278">
        <v>1</v>
      </c>
      <c r="F3278" t="s">
        <v>320</v>
      </c>
      <c r="G3278" t="s">
        <v>32</v>
      </c>
      <c r="H3278" t="s">
        <v>33</v>
      </c>
      <c r="I3278" t="s">
        <v>58</v>
      </c>
      <c r="J3278" t="s">
        <v>62</v>
      </c>
      <c r="O3278" s="5"/>
      <c r="P3278" s="5"/>
      <c r="AH3278" t="s">
        <v>740</v>
      </c>
    </row>
    <row r="3279" spans="1:34" x14ac:dyDescent="0.25">
      <c r="A3279" s="4">
        <v>42598</v>
      </c>
      <c r="B3279" t="s">
        <v>30</v>
      </c>
      <c r="C3279">
        <v>201</v>
      </c>
      <c r="D3279">
        <v>1</v>
      </c>
      <c r="E3279">
        <v>1</v>
      </c>
      <c r="F3279" t="s">
        <v>320</v>
      </c>
      <c r="G3279" t="s">
        <v>32</v>
      </c>
      <c r="H3279" t="s">
        <v>33</v>
      </c>
      <c r="I3279" t="s">
        <v>34</v>
      </c>
      <c r="J3279" t="s">
        <v>35</v>
      </c>
      <c r="K3279" t="s">
        <v>114</v>
      </c>
      <c r="L3279" t="s">
        <v>37</v>
      </c>
      <c r="M3279">
        <v>0</v>
      </c>
      <c r="N3279">
        <v>0</v>
      </c>
      <c r="O3279" s="5" t="s">
        <v>741</v>
      </c>
      <c r="P3279" s="5" t="s">
        <v>742</v>
      </c>
      <c r="Q3279">
        <f>31-14</f>
        <v>17</v>
      </c>
      <c r="R3279" t="s">
        <v>136</v>
      </c>
      <c r="S3279" t="s">
        <v>97</v>
      </c>
      <c r="T3279">
        <v>19</v>
      </c>
      <c r="U3279">
        <v>84</v>
      </c>
      <c r="V3279">
        <v>16</v>
      </c>
      <c r="W3279">
        <v>13.1</v>
      </c>
      <c r="X3279">
        <v>28</v>
      </c>
      <c r="Z3279" t="s">
        <v>39</v>
      </c>
      <c r="AB3279" t="s">
        <v>87</v>
      </c>
      <c r="AC3279" t="s">
        <v>88</v>
      </c>
      <c r="AD3279" t="s">
        <v>743</v>
      </c>
    </row>
    <row r="3280" spans="1:34" x14ac:dyDescent="0.25">
      <c r="A3280" s="4">
        <v>42598</v>
      </c>
      <c r="B3280" t="s">
        <v>30</v>
      </c>
      <c r="C3280">
        <v>201</v>
      </c>
      <c r="D3280">
        <v>3</v>
      </c>
      <c r="E3280">
        <v>1</v>
      </c>
      <c r="F3280" t="s">
        <v>320</v>
      </c>
      <c r="G3280" t="s">
        <v>32</v>
      </c>
      <c r="H3280" t="s">
        <v>33</v>
      </c>
      <c r="I3280" t="s">
        <v>57</v>
      </c>
      <c r="O3280" s="5"/>
      <c r="P3280" s="5"/>
    </row>
    <row r="3281" spans="1:30" x14ac:dyDescent="0.25">
      <c r="A3281" s="4">
        <v>42598</v>
      </c>
      <c r="B3281" t="s">
        <v>30</v>
      </c>
      <c r="C3281">
        <v>201</v>
      </c>
      <c r="D3281">
        <v>3</v>
      </c>
      <c r="E3281">
        <v>2</v>
      </c>
      <c r="F3281" t="s">
        <v>320</v>
      </c>
      <c r="G3281" t="s">
        <v>32</v>
      </c>
      <c r="H3281" t="s">
        <v>33</v>
      </c>
      <c r="I3281" t="s">
        <v>58</v>
      </c>
      <c r="J3281" t="s">
        <v>35</v>
      </c>
      <c r="K3281" t="s">
        <v>36</v>
      </c>
      <c r="L3281" t="s">
        <v>37</v>
      </c>
      <c r="M3281">
        <v>0</v>
      </c>
      <c r="N3281">
        <v>0</v>
      </c>
      <c r="O3281" s="5" t="s">
        <v>744</v>
      </c>
      <c r="P3281" s="5"/>
      <c r="Q3281">
        <f>41-13</f>
        <v>28</v>
      </c>
      <c r="R3281" t="s">
        <v>136</v>
      </c>
      <c r="S3281" t="s">
        <v>97</v>
      </c>
      <c r="T3281">
        <v>18</v>
      </c>
      <c r="W3281">
        <v>13.2</v>
      </c>
      <c r="X3281">
        <v>26.3</v>
      </c>
      <c r="Z3281" t="s">
        <v>97</v>
      </c>
      <c r="AA3281" t="s">
        <v>199</v>
      </c>
      <c r="AB3281" t="s">
        <v>87</v>
      </c>
      <c r="AC3281" t="s">
        <v>88</v>
      </c>
    </row>
    <row r="3282" spans="1:30" x14ac:dyDescent="0.25">
      <c r="A3282" s="4">
        <v>42598</v>
      </c>
      <c r="B3282" t="s">
        <v>30</v>
      </c>
      <c r="C3282">
        <v>201</v>
      </c>
      <c r="D3282">
        <v>4</v>
      </c>
      <c r="E3282">
        <v>1</v>
      </c>
      <c r="F3282" t="s">
        <v>320</v>
      </c>
      <c r="G3282" t="s">
        <v>32</v>
      </c>
      <c r="H3282" t="s">
        <v>33</v>
      </c>
      <c r="I3282" t="s">
        <v>34</v>
      </c>
      <c r="J3282" t="s">
        <v>35</v>
      </c>
      <c r="K3282" t="s">
        <v>89</v>
      </c>
      <c r="L3282" t="s">
        <v>43</v>
      </c>
      <c r="M3282">
        <v>0</v>
      </c>
      <c r="N3282">
        <v>0</v>
      </c>
      <c r="O3282" s="5" t="s">
        <v>745</v>
      </c>
      <c r="P3282" s="5" t="s">
        <v>746</v>
      </c>
      <c r="Q3282">
        <f>28.5-14</f>
        <v>14.5</v>
      </c>
      <c r="R3282" t="s">
        <v>65</v>
      </c>
      <c r="T3282">
        <v>18</v>
      </c>
      <c r="U3282">
        <v>82</v>
      </c>
      <c r="V3282">
        <v>17</v>
      </c>
      <c r="W3282">
        <v>13</v>
      </c>
      <c r="X3282">
        <v>26</v>
      </c>
      <c r="Z3282" t="s">
        <v>97</v>
      </c>
      <c r="AA3282" t="s">
        <v>199</v>
      </c>
      <c r="AB3282" t="s">
        <v>87</v>
      </c>
      <c r="AC3282" t="s">
        <v>88</v>
      </c>
    </row>
    <row r="3283" spans="1:30" x14ac:dyDescent="0.25">
      <c r="A3283" s="4">
        <v>42598</v>
      </c>
      <c r="B3283" t="s">
        <v>30</v>
      </c>
      <c r="C3283">
        <v>201</v>
      </c>
      <c r="D3283">
        <v>4</v>
      </c>
      <c r="E3283">
        <v>2</v>
      </c>
      <c r="F3283" t="s">
        <v>320</v>
      </c>
      <c r="G3283" t="s">
        <v>32</v>
      </c>
      <c r="H3283" t="s">
        <v>33</v>
      </c>
      <c r="I3283" t="s">
        <v>34</v>
      </c>
      <c r="J3283" t="s">
        <v>35</v>
      </c>
      <c r="K3283" t="s">
        <v>114</v>
      </c>
      <c r="L3283" t="s">
        <v>43</v>
      </c>
      <c r="M3283">
        <v>0</v>
      </c>
      <c r="N3283">
        <v>0</v>
      </c>
      <c r="O3283" s="5" t="s">
        <v>747</v>
      </c>
      <c r="P3283" s="5" t="s">
        <v>748</v>
      </c>
      <c r="Q3283">
        <f>32-14</f>
        <v>18</v>
      </c>
      <c r="R3283" t="s">
        <v>47</v>
      </c>
      <c r="T3283">
        <v>18</v>
      </c>
      <c r="U3283">
        <v>81</v>
      </c>
      <c r="V3283">
        <v>14</v>
      </c>
      <c r="W3283">
        <v>13</v>
      </c>
      <c r="X3283">
        <v>27.2</v>
      </c>
      <c r="Y3283" t="s">
        <v>749</v>
      </c>
      <c r="Z3283" t="s">
        <v>97</v>
      </c>
      <c r="AA3283" t="s">
        <v>199</v>
      </c>
      <c r="AB3283" t="s">
        <v>750</v>
      </c>
      <c r="AC3283" t="s">
        <v>88</v>
      </c>
      <c r="AD3283" t="s">
        <v>751</v>
      </c>
    </row>
    <row r="3284" spans="1:30" x14ac:dyDescent="0.25">
      <c r="A3284" s="4">
        <v>42598</v>
      </c>
      <c r="B3284" t="s">
        <v>30</v>
      </c>
      <c r="C3284">
        <v>201</v>
      </c>
      <c r="D3284">
        <v>5</v>
      </c>
      <c r="E3284">
        <v>1</v>
      </c>
      <c r="F3284" t="s">
        <v>320</v>
      </c>
      <c r="G3284" t="s">
        <v>32</v>
      </c>
      <c r="H3284" t="s">
        <v>33</v>
      </c>
      <c r="I3284" t="s">
        <v>57</v>
      </c>
      <c r="O3284" s="5"/>
      <c r="P3284" s="5"/>
    </row>
    <row r="3285" spans="1:30" x14ac:dyDescent="0.25">
      <c r="A3285" s="4">
        <v>42598</v>
      </c>
      <c r="B3285" t="s">
        <v>30</v>
      </c>
      <c r="C3285">
        <v>201</v>
      </c>
      <c r="D3285">
        <v>5</v>
      </c>
      <c r="E3285">
        <v>2</v>
      </c>
      <c r="F3285" t="s">
        <v>320</v>
      </c>
      <c r="G3285" t="s">
        <v>32</v>
      </c>
      <c r="H3285" t="s">
        <v>33</v>
      </c>
      <c r="I3285" t="s">
        <v>57</v>
      </c>
      <c r="O3285" s="5"/>
      <c r="P3285" s="5"/>
    </row>
    <row r="3286" spans="1:30" x14ac:dyDescent="0.25">
      <c r="A3286" s="4">
        <v>42598</v>
      </c>
      <c r="B3286" t="s">
        <v>30</v>
      </c>
      <c r="C3286">
        <v>201</v>
      </c>
      <c r="D3286">
        <v>6</v>
      </c>
      <c r="E3286">
        <v>1</v>
      </c>
      <c r="F3286" t="s">
        <v>320</v>
      </c>
      <c r="G3286" t="s">
        <v>32</v>
      </c>
      <c r="H3286" t="s">
        <v>33</v>
      </c>
      <c r="I3286" t="s">
        <v>34</v>
      </c>
      <c r="J3286" t="s">
        <v>35</v>
      </c>
      <c r="K3286" t="s">
        <v>36</v>
      </c>
      <c r="L3286" t="s">
        <v>37</v>
      </c>
      <c r="M3286">
        <v>0</v>
      </c>
      <c r="N3286">
        <v>0</v>
      </c>
      <c r="O3286" s="5" t="s">
        <v>752</v>
      </c>
      <c r="P3286" s="5" t="s">
        <v>753</v>
      </c>
      <c r="Q3286">
        <f>33-14</f>
        <v>19</v>
      </c>
      <c r="R3286" t="s">
        <v>136</v>
      </c>
      <c r="S3286" t="s">
        <v>97</v>
      </c>
      <c r="T3286">
        <v>19</v>
      </c>
      <c r="U3286">
        <v>89</v>
      </c>
      <c r="V3286">
        <v>17</v>
      </c>
      <c r="W3286">
        <v>13.1</v>
      </c>
      <c r="X3286">
        <v>29.2</v>
      </c>
      <c r="Z3286" t="s">
        <v>97</v>
      </c>
      <c r="AA3286" t="s">
        <v>199</v>
      </c>
      <c r="AB3286" t="s">
        <v>87</v>
      </c>
      <c r="AC3286" t="s">
        <v>88</v>
      </c>
    </row>
    <row r="3287" spans="1:30" x14ac:dyDescent="0.25">
      <c r="A3287" s="4">
        <v>42598</v>
      </c>
      <c r="B3287" t="s">
        <v>30</v>
      </c>
      <c r="C3287">
        <v>201</v>
      </c>
      <c r="D3287">
        <v>6</v>
      </c>
      <c r="E3287">
        <v>2</v>
      </c>
      <c r="F3287" t="s">
        <v>320</v>
      </c>
      <c r="G3287" t="s">
        <v>32</v>
      </c>
      <c r="H3287" t="s">
        <v>33</v>
      </c>
      <c r="I3287" t="s">
        <v>34</v>
      </c>
      <c r="J3287" t="s">
        <v>35</v>
      </c>
      <c r="K3287" t="s">
        <v>36</v>
      </c>
      <c r="L3287" t="s">
        <v>43</v>
      </c>
      <c r="M3287">
        <v>0</v>
      </c>
      <c r="N3287">
        <v>0</v>
      </c>
      <c r="O3287" s="5" t="s">
        <v>754</v>
      </c>
      <c r="P3287" s="5" t="s">
        <v>755</v>
      </c>
      <c r="Q3287">
        <f>33-17.5</f>
        <v>15.5</v>
      </c>
      <c r="R3287" t="s">
        <v>47</v>
      </c>
      <c r="T3287">
        <v>19</v>
      </c>
      <c r="U3287">
        <v>86</v>
      </c>
      <c r="V3287">
        <v>14</v>
      </c>
      <c r="W3287">
        <v>13.1</v>
      </c>
      <c r="X3287">
        <v>27.8</v>
      </c>
      <c r="Z3287" t="s">
        <v>97</v>
      </c>
      <c r="AA3287" t="s">
        <v>199</v>
      </c>
      <c r="AB3287" t="s">
        <v>87</v>
      </c>
      <c r="AC3287" t="s">
        <v>88</v>
      </c>
    </row>
    <row r="3288" spans="1:30" x14ac:dyDescent="0.25">
      <c r="A3288" s="4">
        <v>42598</v>
      </c>
      <c r="B3288" t="s">
        <v>30</v>
      </c>
      <c r="C3288">
        <v>201</v>
      </c>
      <c r="D3288">
        <v>7</v>
      </c>
      <c r="E3288">
        <v>1</v>
      </c>
      <c r="F3288" t="s">
        <v>320</v>
      </c>
      <c r="G3288" t="s">
        <v>32</v>
      </c>
      <c r="H3288" t="s">
        <v>33</v>
      </c>
      <c r="I3288" t="s">
        <v>57</v>
      </c>
      <c r="O3288" s="5"/>
      <c r="P3288" s="5"/>
    </row>
    <row r="3289" spans="1:30" x14ac:dyDescent="0.25">
      <c r="A3289" s="4">
        <v>42598</v>
      </c>
      <c r="B3289" t="s">
        <v>30</v>
      </c>
      <c r="C3289">
        <v>201</v>
      </c>
      <c r="D3289">
        <v>7</v>
      </c>
      <c r="E3289">
        <v>2</v>
      </c>
      <c r="F3289" t="s">
        <v>320</v>
      </c>
      <c r="G3289" t="s">
        <v>32</v>
      </c>
      <c r="H3289" t="s">
        <v>33</v>
      </c>
      <c r="I3289" t="s">
        <v>58</v>
      </c>
      <c r="J3289" t="s">
        <v>42</v>
      </c>
      <c r="K3289" t="s">
        <v>36</v>
      </c>
      <c r="L3289" t="s">
        <v>37</v>
      </c>
      <c r="M3289">
        <v>0</v>
      </c>
      <c r="N3289">
        <v>1</v>
      </c>
      <c r="O3289" s="5" t="s">
        <v>756</v>
      </c>
      <c r="P3289" s="5"/>
      <c r="Q3289">
        <f>38-14</f>
        <v>24</v>
      </c>
      <c r="R3289" t="s">
        <v>136</v>
      </c>
      <c r="S3289" t="s">
        <v>97</v>
      </c>
      <c r="T3289">
        <v>17</v>
      </c>
      <c r="W3289">
        <v>13.2</v>
      </c>
      <c r="X3289">
        <v>28.2</v>
      </c>
      <c r="Z3289" t="s">
        <v>97</v>
      </c>
      <c r="AA3289" t="s">
        <v>199</v>
      </c>
      <c r="AB3289" t="s">
        <v>87</v>
      </c>
      <c r="AC3289" t="s">
        <v>88</v>
      </c>
      <c r="AD3289" t="s">
        <v>757</v>
      </c>
    </row>
    <row r="3290" spans="1:30" x14ac:dyDescent="0.25">
      <c r="A3290" s="4">
        <v>42598</v>
      </c>
      <c r="B3290" t="s">
        <v>30</v>
      </c>
      <c r="C3290">
        <v>201</v>
      </c>
      <c r="D3290">
        <v>8</v>
      </c>
      <c r="E3290">
        <v>1</v>
      </c>
      <c r="F3290" t="s">
        <v>320</v>
      </c>
      <c r="G3290" t="s">
        <v>32</v>
      </c>
      <c r="H3290" t="s">
        <v>33</v>
      </c>
      <c r="I3290" t="s">
        <v>57</v>
      </c>
      <c r="O3290" s="5"/>
      <c r="P3290" s="5"/>
    </row>
    <row r="3291" spans="1:30" x14ac:dyDescent="0.25">
      <c r="A3291" s="4">
        <v>42598</v>
      </c>
      <c r="B3291" t="s">
        <v>30</v>
      </c>
      <c r="C3291">
        <v>201</v>
      </c>
      <c r="D3291">
        <v>8</v>
      </c>
      <c r="E3291">
        <v>2</v>
      </c>
      <c r="F3291" t="s">
        <v>320</v>
      </c>
      <c r="G3291" t="s">
        <v>32</v>
      </c>
      <c r="H3291" t="s">
        <v>33</v>
      </c>
      <c r="I3291" t="s">
        <v>57</v>
      </c>
      <c r="O3291" s="5"/>
      <c r="P3291" s="5"/>
    </row>
    <row r="3292" spans="1:30" x14ac:dyDescent="0.25">
      <c r="A3292" s="4">
        <v>42598</v>
      </c>
      <c r="B3292" t="s">
        <v>30</v>
      </c>
      <c r="C3292">
        <v>201</v>
      </c>
      <c r="D3292">
        <v>9</v>
      </c>
      <c r="E3292">
        <v>1</v>
      </c>
      <c r="F3292" t="s">
        <v>320</v>
      </c>
      <c r="G3292" t="s">
        <v>32</v>
      </c>
      <c r="H3292" t="s">
        <v>33</v>
      </c>
      <c r="I3292" t="s">
        <v>57</v>
      </c>
      <c r="O3292" s="5"/>
      <c r="P3292" s="5"/>
    </row>
    <row r="3293" spans="1:30" x14ac:dyDescent="0.25">
      <c r="A3293" s="4">
        <v>42598</v>
      </c>
      <c r="B3293" t="s">
        <v>30</v>
      </c>
      <c r="C3293">
        <v>201</v>
      </c>
      <c r="D3293">
        <v>10</v>
      </c>
      <c r="E3293">
        <v>1</v>
      </c>
      <c r="F3293" t="s">
        <v>320</v>
      </c>
      <c r="G3293" t="s">
        <v>32</v>
      </c>
      <c r="H3293" t="s">
        <v>33</v>
      </c>
      <c r="I3293" t="s">
        <v>58</v>
      </c>
      <c r="J3293" t="s">
        <v>122</v>
      </c>
      <c r="O3293" s="5"/>
      <c r="P3293" s="5"/>
    </row>
    <row r="3294" spans="1:30" x14ac:dyDescent="0.25">
      <c r="A3294" s="4">
        <v>42598</v>
      </c>
      <c r="B3294" t="s">
        <v>30</v>
      </c>
      <c r="C3294">
        <v>201</v>
      </c>
      <c r="D3294">
        <v>10</v>
      </c>
      <c r="E3294">
        <v>2</v>
      </c>
      <c r="F3294" t="s">
        <v>320</v>
      </c>
      <c r="G3294" t="s">
        <v>32</v>
      </c>
      <c r="H3294" t="s">
        <v>33</v>
      </c>
      <c r="I3294" t="s">
        <v>34</v>
      </c>
      <c r="J3294" t="s">
        <v>51</v>
      </c>
      <c r="K3294" t="s">
        <v>89</v>
      </c>
      <c r="L3294" t="s">
        <v>37</v>
      </c>
      <c r="M3294">
        <v>1</v>
      </c>
      <c r="N3294">
        <v>0</v>
      </c>
      <c r="O3294" s="5" t="s">
        <v>758</v>
      </c>
      <c r="P3294" s="5" t="s">
        <v>759</v>
      </c>
      <c r="Q3294">
        <f>29.5-16</f>
        <v>13.5</v>
      </c>
      <c r="R3294" t="s">
        <v>38</v>
      </c>
      <c r="S3294" t="s">
        <v>39</v>
      </c>
      <c r="T3294">
        <v>17.5</v>
      </c>
      <c r="U3294">
        <v>75</v>
      </c>
      <c r="V3294">
        <v>16</v>
      </c>
      <c r="W3294">
        <v>12.9</v>
      </c>
      <c r="X3294">
        <v>26.1</v>
      </c>
      <c r="Z3294" t="s">
        <v>97</v>
      </c>
      <c r="AA3294" t="s">
        <v>199</v>
      </c>
      <c r="AB3294" t="s">
        <v>87</v>
      </c>
      <c r="AC3294" t="s">
        <v>88</v>
      </c>
      <c r="AD3294" t="s">
        <v>760</v>
      </c>
    </row>
    <row r="3295" spans="1:30" x14ac:dyDescent="0.25">
      <c r="A3295" s="4">
        <v>42598</v>
      </c>
      <c r="B3295" t="s">
        <v>30</v>
      </c>
      <c r="C3295">
        <v>203</v>
      </c>
      <c r="D3295">
        <v>1</v>
      </c>
      <c r="E3295">
        <v>1</v>
      </c>
      <c r="F3295" t="s">
        <v>320</v>
      </c>
      <c r="G3295" t="s">
        <v>32</v>
      </c>
      <c r="H3295" t="s">
        <v>33</v>
      </c>
      <c r="I3295" t="s">
        <v>57</v>
      </c>
      <c r="O3295" s="5"/>
      <c r="P3295" s="5"/>
    </row>
    <row r="3296" spans="1:30" x14ac:dyDescent="0.25">
      <c r="A3296" s="4">
        <v>42598</v>
      </c>
      <c r="B3296" t="s">
        <v>30</v>
      </c>
      <c r="C3296">
        <v>203</v>
      </c>
      <c r="D3296">
        <v>1</v>
      </c>
      <c r="E3296">
        <v>2</v>
      </c>
      <c r="F3296" t="s">
        <v>320</v>
      </c>
      <c r="G3296" t="s">
        <v>32</v>
      </c>
      <c r="H3296" t="s">
        <v>33</v>
      </c>
      <c r="I3296" t="s">
        <v>57</v>
      </c>
      <c r="O3296" s="5"/>
      <c r="P3296" s="5"/>
    </row>
    <row r="3297" spans="1:30" x14ac:dyDescent="0.25">
      <c r="A3297" s="4">
        <v>42598</v>
      </c>
      <c r="B3297" t="s">
        <v>30</v>
      </c>
      <c r="C3297">
        <v>203</v>
      </c>
      <c r="D3297">
        <v>2</v>
      </c>
      <c r="E3297">
        <v>1</v>
      </c>
      <c r="F3297" t="s">
        <v>320</v>
      </c>
      <c r="G3297" t="s">
        <v>32</v>
      </c>
      <c r="H3297" t="s">
        <v>33</v>
      </c>
      <c r="I3297" t="s">
        <v>34</v>
      </c>
      <c r="J3297" t="s">
        <v>35</v>
      </c>
      <c r="K3297" t="s">
        <v>89</v>
      </c>
      <c r="L3297" t="s">
        <v>37</v>
      </c>
      <c r="M3297">
        <v>0</v>
      </c>
      <c r="N3297">
        <v>0</v>
      </c>
      <c r="O3297" s="5" t="s">
        <v>761</v>
      </c>
      <c r="P3297" s="5" t="s">
        <v>762</v>
      </c>
      <c r="Q3297">
        <f>32-16.5</f>
        <v>15.5</v>
      </c>
      <c r="R3297" t="s">
        <v>38</v>
      </c>
      <c r="S3297" t="s">
        <v>39</v>
      </c>
      <c r="T3297">
        <v>18</v>
      </c>
      <c r="U3297">
        <v>86</v>
      </c>
      <c r="V3297">
        <v>16</v>
      </c>
      <c r="W3297">
        <v>13.3</v>
      </c>
      <c r="X3297">
        <v>27.2</v>
      </c>
      <c r="Z3297" t="s">
        <v>97</v>
      </c>
      <c r="AA3297" t="s">
        <v>199</v>
      </c>
      <c r="AB3297" t="s">
        <v>87</v>
      </c>
      <c r="AC3297" t="s">
        <v>88</v>
      </c>
    </row>
    <row r="3298" spans="1:30" x14ac:dyDescent="0.25">
      <c r="A3298" s="4">
        <v>42598</v>
      </c>
      <c r="B3298" t="s">
        <v>30</v>
      </c>
      <c r="C3298">
        <v>203</v>
      </c>
      <c r="D3298">
        <v>2</v>
      </c>
      <c r="E3298">
        <v>2</v>
      </c>
      <c r="F3298" t="s">
        <v>320</v>
      </c>
      <c r="G3298" t="s">
        <v>32</v>
      </c>
      <c r="H3298" t="s">
        <v>33</v>
      </c>
      <c r="I3298" t="s">
        <v>34</v>
      </c>
      <c r="J3298" t="s">
        <v>35</v>
      </c>
      <c r="K3298" t="s">
        <v>114</v>
      </c>
      <c r="L3298" t="s">
        <v>37</v>
      </c>
      <c r="M3298">
        <v>0</v>
      </c>
      <c r="N3298">
        <v>0</v>
      </c>
      <c r="O3298" s="5" t="s">
        <v>763</v>
      </c>
      <c r="P3298" s="5" t="s">
        <v>764</v>
      </c>
      <c r="Q3298">
        <f>31.5-15.5</f>
        <v>16</v>
      </c>
      <c r="R3298" t="s">
        <v>38</v>
      </c>
      <c r="S3298" t="s">
        <v>39</v>
      </c>
      <c r="T3298">
        <v>18</v>
      </c>
      <c r="U3298">
        <v>87</v>
      </c>
      <c r="V3298">
        <v>16</v>
      </c>
      <c r="W3298">
        <v>13.1</v>
      </c>
      <c r="X3298">
        <v>27.4</v>
      </c>
      <c r="Z3298" t="s">
        <v>97</v>
      </c>
      <c r="AA3298" t="s">
        <v>199</v>
      </c>
      <c r="AB3298" t="s">
        <v>87</v>
      </c>
      <c r="AC3298" t="s">
        <v>88</v>
      </c>
    </row>
    <row r="3299" spans="1:30" x14ac:dyDescent="0.25">
      <c r="A3299" s="4">
        <v>42598</v>
      </c>
      <c r="B3299" t="s">
        <v>30</v>
      </c>
      <c r="C3299">
        <v>203</v>
      </c>
      <c r="D3299">
        <v>3</v>
      </c>
      <c r="E3299">
        <v>1</v>
      </c>
      <c r="F3299" t="s">
        <v>320</v>
      </c>
      <c r="G3299" t="s">
        <v>32</v>
      </c>
      <c r="H3299" t="s">
        <v>33</v>
      </c>
      <c r="I3299" t="s">
        <v>91</v>
      </c>
      <c r="J3299" t="s">
        <v>35</v>
      </c>
      <c r="K3299" t="s">
        <v>36</v>
      </c>
      <c r="L3299" t="s">
        <v>37</v>
      </c>
      <c r="M3299">
        <v>0</v>
      </c>
      <c r="N3299">
        <v>0</v>
      </c>
      <c r="O3299" s="5"/>
      <c r="P3299" s="5" t="s">
        <v>765</v>
      </c>
      <c r="Q3299">
        <f>40-13.5</f>
        <v>26.5</v>
      </c>
      <c r="R3299" t="s">
        <v>136</v>
      </c>
      <c r="S3299" t="s">
        <v>97</v>
      </c>
      <c r="Z3299" t="s">
        <v>97</v>
      </c>
      <c r="AA3299" t="s">
        <v>199</v>
      </c>
      <c r="AB3299" t="s">
        <v>87</v>
      </c>
      <c r="AC3299" t="s">
        <v>88</v>
      </c>
    </row>
    <row r="3300" spans="1:30" x14ac:dyDescent="0.25">
      <c r="A3300" s="4">
        <v>42598</v>
      </c>
      <c r="B3300" t="s">
        <v>30</v>
      </c>
      <c r="C3300">
        <v>203</v>
      </c>
      <c r="D3300">
        <v>3</v>
      </c>
      <c r="E3300">
        <v>2</v>
      </c>
      <c r="F3300" t="s">
        <v>320</v>
      </c>
      <c r="G3300" t="s">
        <v>32</v>
      </c>
      <c r="H3300" t="s">
        <v>33</v>
      </c>
      <c r="I3300" t="s">
        <v>34</v>
      </c>
      <c r="J3300" t="s">
        <v>35</v>
      </c>
      <c r="K3300" t="s">
        <v>114</v>
      </c>
      <c r="L3300" t="s">
        <v>37</v>
      </c>
      <c r="M3300">
        <v>0</v>
      </c>
      <c r="N3300">
        <v>0</v>
      </c>
      <c r="O3300" s="5" t="s">
        <v>761</v>
      </c>
      <c r="P3300" s="5" t="s">
        <v>762</v>
      </c>
      <c r="Q3300">
        <f>33-17</f>
        <v>16</v>
      </c>
      <c r="R3300" t="s">
        <v>38</v>
      </c>
      <c r="S3300" t="s">
        <v>39</v>
      </c>
      <c r="T3300">
        <v>19.5</v>
      </c>
      <c r="U3300">
        <v>91</v>
      </c>
      <c r="V3300">
        <v>15</v>
      </c>
      <c r="W3300">
        <v>13</v>
      </c>
      <c r="X3300">
        <v>27.7</v>
      </c>
      <c r="Z3300" t="s">
        <v>39</v>
      </c>
      <c r="AB3300" t="s">
        <v>87</v>
      </c>
      <c r="AC3300" t="s">
        <v>88</v>
      </c>
    </row>
    <row r="3301" spans="1:30" x14ac:dyDescent="0.25">
      <c r="A3301" s="4">
        <v>42598</v>
      </c>
      <c r="B3301" t="s">
        <v>30</v>
      </c>
      <c r="C3301">
        <v>203</v>
      </c>
      <c r="D3301">
        <v>4</v>
      </c>
      <c r="E3301">
        <v>1</v>
      </c>
      <c r="F3301" t="s">
        <v>320</v>
      </c>
      <c r="G3301" t="s">
        <v>32</v>
      </c>
      <c r="H3301" t="s">
        <v>33</v>
      </c>
      <c r="I3301" t="s">
        <v>91</v>
      </c>
      <c r="J3301" t="s">
        <v>42</v>
      </c>
      <c r="K3301" t="s">
        <v>114</v>
      </c>
      <c r="L3301" t="s">
        <v>43</v>
      </c>
      <c r="M3301">
        <v>0</v>
      </c>
      <c r="N3301">
        <v>1</v>
      </c>
      <c r="O3301" s="5" t="s">
        <v>766</v>
      </c>
      <c r="P3301" s="5"/>
      <c r="Q3301">
        <f>29-13</f>
        <v>16</v>
      </c>
      <c r="R3301" t="s">
        <v>65</v>
      </c>
      <c r="T3301">
        <v>28</v>
      </c>
      <c r="W3301">
        <v>13</v>
      </c>
      <c r="X3301">
        <v>24.8</v>
      </c>
      <c r="Z3301" t="s">
        <v>97</v>
      </c>
      <c r="AA3301" t="s">
        <v>199</v>
      </c>
      <c r="AB3301" t="s">
        <v>87</v>
      </c>
      <c r="AC3301" t="s">
        <v>88</v>
      </c>
    </row>
    <row r="3302" spans="1:30" x14ac:dyDescent="0.25">
      <c r="A3302" s="4">
        <v>42598</v>
      </c>
      <c r="B3302" t="s">
        <v>30</v>
      </c>
      <c r="C3302">
        <v>203</v>
      </c>
      <c r="D3302">
        <v>5</v>
      </c>
      <c r="E3302">
        <v>1</v>
      </c>
      <c r="F3302" t="s">
        <v>320</v>
      </c>
      <c r="G3302" t="s">
        <v>32</v>
      </c>
      <c r="H3302" t="s">
        <v>33</v>
      </c>
      <c r="I3302" t="s">
        <v>58</v>
      </c>
      <c r="J3302" t="s">
        <v>42</v>
      </c>
      <c r="K3302" t="s">
        <v>89</v>
      </c>
      <c r="L3302" t="s">
        <v>37</v>
      </c>
      <c r="M3302">
        <v>0</v>
      </c>
      <c r="N3302">
        <v>1</v>
      </c>
      <c r="O3302" s="5" t="s">
        <v>767</v>
      </c>
      <c r="P3302" s="5"/>
      <c r="Q3302">
        <f>27.5-13</f>
        <v>14.5</v>
      </c>
      <c r="R3302" t="s">
        <v>38</v>
      </c>
      <c r="S3302" t="s">
        <v>39</v>
      </c>
      <c r="Z3302" t="s">
        <v>97</v>
      </c>
      <c r="AA3302" t="s">
        <v>199</v>
      </c>
      <c r="AB3302" t="s">
        <v>87</v>
      </c>
      <c r="AC3302" t="s">
        <v>88</v>
      </c>
      <c r="AD3302" t="s">
        <v>768</v>
      </c>
    </row>
    <row r="3303" spans="1:30" x14ac:dyDescent="0.25">
      <c r="A3303" s="4">
        <v>42598</v>
      </c>
      <c r="B3303" t="s">
        <v>30</v>
      </c>
      <c r="C3303">
        <v>203</v>
      </c>
      <c r="D3303">
        <v>5</v>
      </c>
      <c r="E3303">
        <v>2</v>
      </c>
      <c r="F3303" t="s">
        <v>320</v>
      </c>
      <c r="G3303" t="s">
        <v>32</v>
      </c>
      <c r="H3303" t="s">
        <v>33</v>
      </c>
      <c r="I3303" t="s">
        <v>57</v>
      </c>
      <c r="O3303" s="5"/>
      <c r="P3303" s="5"/>
    </row>
    <row r="3304" spans="1:30" x14ac:dyDescent="0.25">
      <c r="A3304" s="4">
        <v>42598</v>
      </c>
      <c r="B3304" t="s">
        <v>30</v>
      </c>
      <c r="C3304">
        <v>203</v>
      </c>
      <c r="D3304">
        <v>6</v>
      </c>
      <c r="E3304">
        <v>1</v>
      </c>
      <c r="F3304" t="s">
        <v>320</v>
      </c>
      <c r="G3304" t="s">
        <v>32</v>
      </c>
      <c r="H3304" t="s">
        <v>33</v>
      </c>
      <c r="I3304" t="s">
        <v>34</v>
      </c>
      <c r="J3304" t="s">
        <v>35</v>
      </c>
      <c r="K3304" t="s">
        <v>36</v>
      </c>
      <c r="L3304" t="s">
        <v>43</v>
      </c>
      <c r="M3304">
        <v>0</v>
      </c>
      <c r="N3304">
        <v>0</v>
      </c>
      <c r="O3304" s="5" t="s">
        <v>769</v>
      </c>
      <c r="P3304" s="5" t="s">
        <v>770</v>
      </c>
      <c r="Q3304">
        <f>34-14</f>
        <v>20</v>
      </c>
      <c r="R3304" t="s">
        <v>65</v>
      </c>
      <c r="T3304">
        <v>20</v>
      </c>
      <c r="U3304">
        <v>100</v>
      </c>
      <c r="V3304">
        <v>16</v>
      </c>
      <c r="W3304">
        <v>13.2</v>
      </c>
      <c r="X3304">
        <v>27.1</v>
      </c>
      <c r="Z3304" t="s">
        <v>97</v>
      </c>
      <c r="AA3304" t="s">
        <v>199</v>
      </c>
      <c r="AB3304" t="s">
        <v>87</v>
      </c>
      <c r="AC3304" t="s">
        <v>88</v>
      </c>
    </row>
    <row r="3305" spans="1:30" x14ac:dyDescent="0.25">
      <c r="A3305" s="4">
        <v>42598</v>
      </c>
      <c r="B3305" t="s">
        <v>30</v>
      </c>
      <c r="C3305">
        <v>203</v>
      </c>
      <c r="D3305">
        <v>6</v>
      </c>
      <c r="E3305">
        <v>2</v>
      </c>
      <c r="F3305" t="s">
        <v>320</v>
      </c>
      <c r="G3305" t="s">
        <v>32</v>
      </c>
      <c r="H3305" t="s">
        <v>33</v>
      </c>
      <c r="I3305" t="s">
        <v>58</v>
      </c>
      <c r="J3305" t="s">
        <v>35</v>
      </c>
      <c r="K3305" t="s">
        <v>36</v>
      </c>
      <c r="L3305" t="s">
        <v>43</v>
      </c>
      <c r="M3305">
        <v>0</v>
      </c>
      <c r="N3305">
        <v>0</v>
      </c>
      <c r="O3305" s="5" t="s">
        <v>771</v>
      </c>
      <c r="P3305" s="5"/>
      <c r="Q3305">
        <f>36-13</f>
        <v>23</v>
      </c>
      <c r="R3305" t="s">
        <v>65</v>
      </c>
      <c r="T3305">
        <v>17</v>
      </c>
      <c r="W3305">
        <v>12.9</v>
      </c>
      <c r="X3305">
        <v>26.4</v>
      </c>
      <c r="Z3305" t="s">
        <v>97</v>
      </c>
      <c r="AA3305" t="s">
        <v>199</v>
      </c>
      <c r="AB3305" t="s">
        <v>87</v>
      </c>
      <c r="AC3305" t="s">
        <v>88</v>
      </c>
      <c r="AD3305" t="s">
        <v>772</v>
      </c>
    </row>
    <row r="3306" spans="1:30" x14ac:dyDescent="0.25">
      <c r="A3306" s="4">
        <v>42598</v>
      </c>
      <c r="B3306" t="s">
        <v>30</v>
      </c>
      <c r="C3306">
        <v>203</v>
      </c>
      <c r="D3306">
        <v>7</v>
      </c>
      <c r="E3306">
        <v>1</v>
      </c>
      <c r="F3306" t="s">
        <v>320</v>
      </c>
      <c r="G3306" t="s">
        <v>32</v>
      </c>
      <c r="H3306" t="s">
        <v>33</v>
      </c>
      <c r="I3306" t="s">
        <v>53</v>
      </c>
      <c r="J3306" t="s">
        <v>62</v>
      </c>
      <c r="O3306" s="5"/>
      <c r="P3306" s="5"/>
    </row>
    <row r="3307" spans="1:30" x14ac:dyDescent="0.25">
      <c r="A3307" s="4">
        <v>42598</v>
      </c>
      <c r="B3307" t="s">
        <v>30</v>
      </c>
      <c r="C3307">
        <v>203</v>
      </c>
      <c r="D3307">
        <v>8</v>
      </c>
      <c r="E3307">
        <v>1</v>
      </c>
      <c r="F3307" t="s">
        <v>320</v>
      </c>
      <c r="G3307" t="s">
        <v>32</v>
      </c>
      <c r="H3307" t="s">
        <v>33</v>
      </c>
      <c r="I3307" t="s">
        <v>57</v>
      </c>
      <c r="O3307" s="5"/>
      <c r="P3307" s="5"/>
    </row>
    <row r="3308" spans="1:30" x14ac:dyDescent="0.25">
      <c r="A3308" s="4">
        <v>42598</v>
      </c>
      <c r="B3308" t="s">
        <v>30</v>
      </c>
      <c r="C3308">
        <v>203</v>
      </c>
      <c r="D3308">
        <v>8</v>
      </c>
      <c r="E3308">
        <v>2</v>
      </c>
      <c r="F3308" t="s">
        <v>320</v>
      </c>
      <c r="G3308" t="s">
        <v>32</v>
      </c>
      <c r="H3308" t="s">
        <v>33</v>
      </c>
      <c r="I3308" t="s">
        <v>34</v>
      </c>
      <c r="J3308" t="s">
        <v>35</v>
      </c>
      <c r="K3308" t="s">
        <v>114</v>
      </c>
      <c r="L3308" t="s">
        <v>43</v>
      </c>
      <c r="M3308">
        <v>0</v>
      </c>
      <c r="N3308">
        <v>0</v>
      </c>
      <c r="O3308" s="5" t="s">
        <v>773</v>
      </c>
      <c r="P3308" s="5" t="s">
        <v>774</v>
      </c>
      <c r="Q3308">
        <f>31.5-14.5</f>
        <v>17</v>
      </c>
      <c r="R3308" t="s">
        <v>65</v>
      </c>
      <c r="T3308">
        <v>19</v>
      </c>
      <c r="U3308">
        <v>96</v>
      </c>
      <c r="V3308">
        <v>15</v>
      </c>
      <c r="W3308">
        <v>13</v>
      </c>
      <c r="X3308">
        <v>27.5</v>
      </c>
      <c r="Z3308" t="s">
        <v>97</v>
      </c>
      <c r="AA3308" t="s">
        <v>199</v>
      </c>
      <c r="AB3308" t="s">
        <v>87</v>
      </c>
      <c r="AC3308" t="s">
        <v>88</v>
      </c>
    </row>
    <row r="3309" spans="1:30" x14ac:dyDescent="0.25">
      <c r="A3309" s="4">
        <v>42598</v>
      </c>
      <c r="B3309" t="s">
        <v>30</v>
      </c>
      <c r="C3309">
        <v>203</v>
      </c>
      <c r="D3309">
        <v>9</v>
      </c>
      <c r="E3309">
        <v>1</v>
      </c>
      <c r="F3309" t="s">
        <v>320</v>
      </c>
      <c r="G3309" t="s">
        <v>32</v>
      </c>
      <c r="H3309" t="s">
        <v>33</v>
      </c>
      <c r="I3309" t="s">
        <v>57</v>
      </c>
      <c r="O3309" s="5"/>
      <c r="P3309" s="5"/>
    </row>
    <row r="3310" spans="1:30" x14ac:dyDescent="0.25">
      <c r="A3310" s="4">
        <v>42598</v>
      </c>
      <c r="B3310" t="s">
        <v>30</v>
      </c>
      <c r="C3310">
        <v>203</v>
      </c>
      <c r="D3310">
        <v>9</v>
      </c>
      <c r="E3310">
        <v>2</v>
      </c>
      <c r="F3310" t="s">
        <v>320</v>
      </c>
      <c r="G3310" t="s">
        <v>32</v>
      </c>
      <c r="H3310" t="s">
        <v>33</v>
      </c>
      <c r="I3310" t="s">
        <v>34</v>
      </c>
      <c r="J3310" t="s">
        <v>42</v>
      </c>
      <c r="K3310" t="s">
        <v>89</v>
      </c>
      <c r="L3310" t="s">
        <v>37</v>
      </c>
      <c r="M3310">
        <v>0</v>
      </c>
      <c r="N3310">
        <v>1</v>
      </c>
      <c r="O3310" s="5" t="s">
        <v>775</v>
      </c>
      <c r="P3310" s="5" t="s">
        <v>776</v>
      </c>
      <c r="Q3310">
        <f>23.5-13.5</f>
        <v>10</v>
      </c>
      <c r="R3310" t="s">
        <v>38</v>
      </c>
      <c r="S3310" t="s">
        <v>39</v>
      </c>
      <c r="T3310">
        <v>18</v>
      </c>
      <c r="U3310">
        <v>70</v>
      </c>
      <c r="V3310">
        <v>14</v>
      </c>
      <c r="W3310">
        <v>12.7</v>
      </c>
      <c r="X3310">
        <v>25.1</v>
      </c>
      <c r="Z3310" t="s">
        <v>97</v>
      </c>
      <c r="AA3310" t="s">
        <v>199</v>
      </c>
      <c r="AB3310" t="s">
        <v>87</v>
      </c>
      <c r="AC3310" t="s">
        <v>88</v>
      </c>
      <c r="AD3310" t="s">
        <v>777</v>
      </c>
    </row>
    <row r="3311" spans="1:30" x14ac:dyDescent="0.25">
      <c r="A3311" s="4">
        <v>42598</v>
      </c>
      <c r="B3311" t="s">
        <v>30</v>
      </c>
      <c r="C3311">
        <v>203</v>
      </c>
      <c r="D3311">
        <v>10</v>
      </c>
      <c r="E3311">
        <v>1</v>
      </c>
      <c r="F3311" t="s">
        <v>320</v>
      </c>
      <c r="G3311" t="s">
        <v>32</v>
      </c>
      <c r="H3311" t="s">
        <v>33</v>
      </c>
      <c r="I3311" t="s">
        <v>34</v>
      </c>
      <c r="J3311" t="s">
        <v>35</v>
      </c>
      <c r="K3311" t="s">
        <v>36</v>
      </c>
      <c r="L3311" t="s">
        <v>37</v>
      </c>
      <c r="M3311">
        <v>0</v>
      </c>
      <c r="N3311">
        <v>0</v>
      </c>
      <c r="O3311" s="5" t="s">
        <v>778</v>
      </c>
      <c r="P3311" s="5" t="s">
        <v>779</v>
      </c>
      <c r="Q3311">
        <f>35-15</f>
        <v>20</v>
      </c>
      <c r="R3311" t="s">
        <v>136</v>
      </c>
      <c r="S3311" t="s">
        <v>97</v>
      </c>
      <c r="T3311">
        <v>20</v>
      </c>
      <c r="U3311">
        <v>85</v>
      </c>
      <c r="V3311">
        <v>14</v>
      </c>
      <c r="W3311">
        <v>13.1</v>
      </c>
      <c r="X3311">
        <v>27.2</v>
      </c>
      <c r="Z3311" t="s">
        <v>97</v>
      </c>
      <c r="AA3311" t="s">
        <v>199</v>
      </c>
      <c r="AB3311" t="s">
        <v>87</v>
      </c>
      <c r="AC3311" t="s">
        <v>88</v>
      </c>
    </row>
    <row r="3312" spans="1:30" x14ac:dyDescent="0.25">
      <c r="A3312" s="4">
        <v>42598</v>
      </c>
      <c r="B3312" t="s">
        <v>30</v>
      </c>
      <c r="C3312">
        <v>203</v>
      </c>
      <c r="D3312">
        <v>10</v>
      </c>
      <c r="E3312">
        <v>2</v>
      </c>
      <c r="F3312" t="s">
        <v>320</v>
      </c>
      <c r="G3312" t="s">
        <v>32</v>
      </c>
      <c r="H3312" t="s">
        <v>33</v>
      </c>
      <c r="I3312" t="s">
        <v>34</v>
      </c>
      <c r="J3312" t="s">
        <v>35</v>
      </c>
      <c r="K3312" t="s">
        <v>114</v>
      </c>
      <c r="L3312" t="s">
        <v>37</v>
      </c>
      <c r="M3312">
        <v>0</v>
      </c>
      <c r="N3312">
        <v>0</v>
      </c>
      <c r="O3312" s="5" t="s">
        <v>780</v>
      </c>
      <c r="P3312" s="5" t="s">
        <v>781</v>
      </c>
      <c r="Q3312">
        <f>33-17</f>
        <v>16</v>
      </c>
      <c r="R3312" t="s">
        <v>38</v>
      </c>
      <c r="S3312" t="s">
        <v>39</v>
      </c>
      <c r="T3312">
        <v>18.5</v>
      </c>
      <c r="U3312">
        <v>88</v>
      </c>
      <c r="V3312">
        <v>16</v>
      </c>
      <c r="W3312">
        <v>13.1</v>
      </c>
      <c r="X3312">
        <v>28.7</v>
      </c>
      <c r="Z3312" t="s">
        <v>97</v>
      </c>
      <c r="AA3312" t="s">
        <v>199</v>
      </c>
      <c r="AB3312" t="s">
        <v>87</v>
      </c>
      <c r="AC3312" t="s">
        <v>88</v>
      </c>
    </row>
    <row r="3313" spans="1:32" x14ac:dyDescent="0.25">
      <c r="A3313" s="4">
        <v>42598</v>
      </c>
      <c r="B3313" t="s">
        <v>30</v>
      </c>
      <c r="C3313">
        <v>202</v>
      </c>
      <c r="D3313">
        <v>1</v>
      </c>
      <c r="E3313">
        <v>1</v>
      </c>
      <c r="F3313" t="s">
        <v>320</v>
      </c>
      <c r="G3313" t="s">
        <v>32</v>
      </c>
      <c r="H3313" t="s">
        <v>33</v>
      </c>
      <c r="I3313" t="s">
        <v>57</v>
      </c>
      <c r="O3313" s="5"/>
      <c r="P3313" s="5"/>
    </row>
    <row r="3314" spans="1:32" x14ac:dyDescent="0.25">
      <c r="A3314" s="4">
        <v>42598</v>
      </c>
      <c r="B3314" t="s">
        <v>30</v>
      </c>
      <c r="C3314">
        <v>202</v>
      </c>
      <c r="D3314">
        <v>1</v>
      </c>
      <c r="E3314">
        <v>2</v>
      </c>
      <c r="F3314" t="s">
        <v>320</v>
      </c>
      <c r="G3314" t="s">
        <v>32</v>
      </c>
      <c r="H3314" t="s">
        <v>33</v>
      </c>
      <c r="I3314" t="s">
        <v>57</v>
      </c>
      <c r="O3314" s="5"/>
      <c r="P3314" s="5"/>
    </row>
    <row r="3315" spans="1:32" x14ac:dyDescent="0.25">
      <c r="A3315" s="4">
        <v>42598</v>
      </c>
      <c r="B3315" t="s">
        <v>30</v>
      </c>
      <c r="C3315">
        <v>202</v>
      </c>
      <c r="D3315">
        <v>2</v>
      </c>
      <c r="E3315">
        <v>1</v>
      </c>
      <c r="F3315" t="s">
        <v>320</v>
      </c>
      <c r="G3315" t="s">
        <v>32</v>
      </c>
      <c r="H3315" t="s">
        <v>33</v>
      </c>
      <c r="I3315" t="s">
        <v>34</v>
      </c>
      <c r="J3315" t="s">
        <v>35</v>
      </c>
      <c r="K3315" t="s">
        <v>114</v>
      </c>
      <c r="L3315" t="s">
        <v>43</v>
      </c>
      <c r="M3315">
        <v>0</v>
      </c>
      <c r="N3315">
        <v>0</v>
      </c>
      <c r="O3315" s="5" t="s">
        <v>782</v>
      </c>
      <c r="P3315" s="5" t="s">
        <v>783</v>
      </c>
      <c r="Q3315">
        <f>37-19</f>
        <v>18</v>
      </c>
      <c r="R3315" t="s">
        <v>65</v>
      </c>
      <c r="T3315">
        <v>19</v>
      </c>
      <c r="U3315">
        <v>87</v>
      </c>
      <c r="V3315">
        <v>16</v>
      </c>
      <c r="W3315">
        <v>12.9</v>
      </c>
      <c r="X3315">
        <v>27.5</v>
      </c>
      <c r="Z3315" t="s">
        <v>39</v>
      </c>
      <c r="AB3315" t="s">
        <v>87</v>
      </c>
      <c r="AC3315" t="s">
        <v>88</v>
      </c>
    </row>
    <row r="3316" spans="1:32" x14ac:dyDescent="0.25">
      <c r="A3316" s="4">
        <v>42598</v>
      </c>
      <c r="B3316" t="s">
        <v>30</v>
      </c>
      <c r="C3316">
        <v>202</v>
      </c>
      <c r="D3316">
        <v>3</v>
      </c>
      <c r="E3316">
        <v>1</v>
      </c>
      <c r="F3316" t="s">
        <v>320</v>
      </c>
      <c r="G3316" t="s">
        <v>32</v>
      </c>
      <c r="H3316" t="s">
        <v>33</v>
      </c>
      <c r="I3316" t="s">
        <v>57</v>
      </c>
      <c r="O3316" s="5"/>
      <c r="P3316" s="5"/>
    </row>
    <row r="3317" spans="1:32" x14ac:dyDescent="0.25">
      <c r="A3317" s="4">
        <v>42598</v>
      </c>
      <c r="B3317" t="s">
        <v>30</v>
      </c>
      <c r="C3317">
        <v>202</v>
      </c>
      <c r="D3317">
        <v>3</v>
      </c>
      <c r="E3317">
        <v>2</v>
      </c>
      <c r="F3317" t="s">
        <v>320</v>
      </c>
      <c r="G3317" t="s">
        <v>32</v>
      </c>
      <c r="H3317" t="s">
        <v>33</v>
      </c>
      <c r="I3317" t="s">
        <v>57</v>
      </c>
      <c r="O3317" s="5"/>
      <c r="P3317" s="5"/>
    </row>
    <row r="3318" spans="1:32" x14ac:dyDescent="0.25">
      <c r="A3318" s="4">
        <v>42598</v>
      </c>
      <c r="B3318" t="s">
        <v>30</v>
      </c>
      <c r="C3318">
        <v>202</v>
      </c>
      <c r="D3318">
        <v>4</v>
      </c>
      <c r="E3318">
        <v>1</v>
      </c>
      <c r="F3318" t="s">
        <v>320</v>
      </c>
      <c r="G3318" t="s">
        <v>32</v>
      </c>
      <c r="H3318" t="s">
        <v>33</v>
      </c>
      <c r="I3318" t="s">
        <v>57</v>
      </c>
      <c r="O3318" s="5"/>
      <c r="P3318" s="5"/>
    </row>
    <row r="3319" spans="1:32" x14ac:dyDescent="0.25">
      <c r="A3319" s="4">
        <v>42598</v>
      </c>
      <c r="B3319" t="s">
        <v>30</v>
      </c>
      <c r="C3319">
        <v>202</v>
      </c>
      <c r="D3319">
        <v>4</v>
      </c>
      <c r="E3319">
        <v>2</v>
      </c>
      <c r="F3319" t="s">
        <v>320</v>
      </c>
      <c r="G3319" t="s">
        <v>32</v>
      </c>
      <c r="H3319" t="s">
        <v>33</v>
      </c>
      <c r="I3319" t="s">
        <v>57</v>
      </c>
      <c r="O3319" s="5"/>
      <c r="P3319" s="5"/>
    </row>
    <row r="3320" spans="1:32" x14ac:dyDescent="0.25">
      <c r="A3320" s="4">
        <v>42598</v>
      </c>
      <c r="B3320" t="s">
        <v>30</v>
      </c>
      <c r="C3320">
        <v>202</v>
      </c>
      <c r="D3320">
        <v>5</v>
      </c>
      <c r="E3320">
        <v>1</v>
      </c>
      <c r="F3320" t="s">
        <v>320</v>
      </c>
      <c r="G3320" t="s">
        <v>32</v>
      </c>
      <c r="H3320" t="s">
        <v>33</v>
      </c>
      <c r="I3320" t="s">
        <v>34</v>
      </c>
      <c r="J3320" t="s">
        <v>35</v>
      </c>
      <c r="K3320" t="s">
        <v>114</v>
      </c>
      <c r="L3320" t="s">
        <v>43</v>
      </c>
      <c r="M3320">
        <v>0</v>
      </c>
      <c r="N3320">
        <v>0</v>
      </c>
      <c r="O3320" s="5" t="s">
        <v>784</v>
      </c>
      <c r="P3320" s="5" t="s">
        <v>785</v>
      </c>
      <c r="R3320" t="s">
        <v>65</v>
      </c>
      <c r="T3320">
        <v>18</v>
      </c>
      <c r="U3320">
        <v>81</v>
      </c>
      <c r="V3320">
        <v>17</v>
      </c>
      <c r="W3320">
        <v>12.9</v>
      </c>
      <c r="X3320">
        <v>26.7</v>
      </c>
      <c r="Z3320" t="s">
        <v>97</v>
      </c>
      <c r="AA3320" t="s">
        <v>199</v>
      </c>
      <c r="AB3320" t="s">
        <v>87</v>
      </c>
      <c r="AC3320" t="s">
        <v>88</v>
      </c>
    </row>
    <row r="3321" spans="1:32" x14ac:dyDescent="0.25">
      <c r="A3321" s="4">
        <v>42598</v>
      </c>
      <c r="B3321" t="s">
        <v>30</v>
      </c>
      <c r="C3321">
        <v>202</v>
      </c>
      <c r="D3321">
        <v>5</v>
      </c>
      <c r="E3321">
        <v>2</v>
      </c>
      <c r="F3321" t="s">
        <v>320</v>
      </c>
      <c r="G3321" t="s">
        <v>32</v>
      </c>
      <c r="H3321" t="s">
        <v>33</v>
      </c>
      <c r="I3321" t="s">
        <v>58</v>
      </c>
      <c r="J3321" t="s">
        <v>35</v>
      </c>
      <c r="K3321" t="s">
        <v>36</v>
      </c>
      <c r="L3321" t="s">
        <v>37</v>
      </c>
      <c r="M3321">
        <v>0</v>
      </c>
      <c r="N3321">
        <v>0</v>
      </c>
      <c r="O3321" s="5" t="s">
        <v>786</v>
      </c>
      <c r="P3321" s="5"/>
      <c r="Q3321">
        <f>47-17</f>
        <v>30</v>
      </c>
      <c r="R3321" t="s">
        <v>136</v>
      </c>
      <c r="S3321" t="s">
        <v>97</v>
      </c>
      <c r="T3321">
        <v>17.5</v>
      </c>
      <c r="W3321">
        <v>13.1</v>
      </c>
      <c r="X3321">
        <v>27.2</v>
      </c>
      <c r="Z3321" t="s">
        <v>97</v>
      </c>
      <c r="AA3321" t="s">
        <v>787</v>
      </c>
      <c r="AB3321" t="s">
        <v>87</v>
      </c>
      <c r="AC3321" t="s">
        <v>88</v>
      </c>
    </row>
    <row r="3322" spans="1:32" x14ac:dyDescent="0.25">
      <c r="A3322" s="4">
        <v>42598</v>
      </c>
      <c r="B3322" t="s">
        <v>30</v>
      </c>
      <c r="C3322">
        <v>202</v>
      </c>
      <c r="D3322">
        <v>6</v>
      </c>
      <c r="E3322">
        <v>1</v>
      </c>
      <c r="F3322" t="s">
        <v>320</v>
      </c>
      <c r="G3322" t="s">
        <v>32</v>
      </c>
      <c r="H3322" t="s">
        <v>33</v>
      </c>
      <c r="I3322" t="s">
        <v>53</v>
      </c>
      <c r="J3322" t="s">
        <v>62</v>
      </c>
      <c r="O3322" s="5"/>
      <c r="P3322" s="5"/>
    </row>
    <row r="3323" spans="1:32" x14ac:dyDescent="0.25">
      <c r="A3323" s="4">
        <v>42598</v>
      </c>
      <c r="B3323" t="s">
        <v>30</v>
      </c>
      <c r="C3323">
        <v>202</v>
      </c>
      <c r="D3323">
        <v>6</v>
      </c>
      <c r="E3323">
        <v>2</v>
      </c>
      <c r="F3323" t="s">
        <v>320</v>
      </c>
      <c r="G3323" t="s">
        <v>32</v>
      </c>
      <c r="H3323" t="s">
        <v>33</v>
      </c>
      <c r="I3323" t="s">
        <v>91</v>
      </c>
      <c r="J3323" t="s">
        <v>42</v>
      </c>
      <c r="K3323" t="s">
        <v>114</v>
      </c>
      <c r="L3323" t="s">
        <v>37</v>
      </c>
      <c r="M3323">
        <v>0</v>
      </c>
      <c r="N3323">
        <v>1</v>
      </c>
      <c r="O3323" s="5" t="s">
        <v>788</v>
      </c>
      <c r="P3323" s="5"/>
      <c r="Q3323">
        <f>33-16.5</f>
        <v>16.5</v>
      </c>
      <c r="R3323" t="s">
        <v>38</v>
      </c>
      <c r="S3323" t="s">
        <v>39</v>
      </c>
      <c r="T3323">
        <v>29.5</v>
      </c>
      <c r="W3323">
        <v>13</v>
      </c>
      <c r="X3323">
        <v>24.9</v>
      </c>
      <c r="Z3323" t="s">
        <v>97</v>
      </c>
      <c r="AA3323" t="s">
        <v>199</v>
      </c>
      <c r="AB3323" t="s">
        <v>87</v>
      </c>
      <c r="AC3323" t="s">
        <v>88</v>
      </c>
      <c r="AD3323" t="s">
        <v>789</v>
      </c>
    </row>
    <row r="3324" spans="1:32" x14ac:dyDescent="0.25">
      <c r="A3324" s="4">
        <v>42598</v>
      </c>
      <c r="B3324" t="s">
        <v>30</v>
      </c>
      <c r="C3324">
        <v>202</v>
      </c>
      <c r="D3324">
        <v>7</v>
      </c>
      <c r="E3324">
        <v>1</v>
      </c>
      <c r="F3324" t="s">
        <v>320</v>
      </c>
      <c r="G3324" t="s">
        <v>32</v>
      </c>
      <c r="H3324" t="s">
        <v>33</v>
      </c>
      <c r="I3324" t="s">
        <v>57</v>
      </c>
      <c r="O3324" s="5"/>
      <c r="P3324" s="5"/>
    </row>
    <row r="3325" spans="1:32" x14ac:dyDescent="0.25">
      <c r="A3325" s="4">
        <v>42598</v>
      </c>
      <c r="B3325" t="s">
        <v>30</v>
      </c>
      <c r="C3325">
        <v>202</v>
      </c>
      <c r="D3325">
        <v>8</v>
      </c>
      <c r="E3325">
        <v>1</v>
      </c>
      <c r="F3325" t="s">
        <v>320</v>
      </c>
      <c r="G3325" t="s">
        <v>32</v>
      </c>
      <c r="H3325" t="s">
        <v>33</v>
      </c>
      <c r="I3325" t="s">
        <v>57</v>
      </c>
      <c r="O3325" s="5"/>
      <c r="P3325" s="5"/>
    </row>
    <row r="3326" spans="1:32" x14ac:dyDescent="0.25">
      <c r="A3326" s="4">
        <v>42598</v>
      </c>
      <c r="B3326" t="s">
        <v>30</v>
      </c>
      <c r="C3326">
        <v>202</v>
      </c>
      <c r="D3326">
        <v>8</v>
      </c>
      <c r="E3326">
        <v>2</v>
      </c>
      <c r="F3326" t="s">
        <v>320</v>
      </c>
      <c r="G3326" t="s">
        <v>32</v>
      </c>
      <c r="H3326" t="s">
        <v>33</v>
      </c>
      <c r="I3326" t="s">
        <v>34</v>
      </c>
      <c r="J3326" t="s">
        <v>35</v>
      </c>
      <c r="K3326" t="s">
        <v>89</v>
      </c>
      <c r="L3326" t="s">
        <v>43</v>
      </c>
      <c r="M3326">
        <v>0</v>
      </c>
      <c r="N3326">
        <v>0</v>
      </c>
      <c r="O3326" s="5" t="s">
        <v>313</v>
      </c>
      <c r="P3326" s="5" t="s">
        <v>314</v>
      </c>
      <c r="Q3326">
        <f>35-20</f>
        <v>15</v>
      </c>
      <c r="R3326" t="s">
        <v>65</v>
      </c>
      <c r="T3326">
        <v>19</v>
      </c>
      <c r="U3326">
        <v>87</v>
      </c>
      <c r="V3326">
        <v>17</v>
      </c>
      <c r="W3326">
        <v>13</v>
      </c>
      <c r="X3326">
        <v>28.4</v>
      </c>
      <c r="Z3326" t="s">
        <v>97</v>
      </c>
      <c r="AA3326" t="s">
        <v>199</v>
      </c>
      <c r="AB3326" t="s">
        <v>87</v>
      </c>
      <c r="AC3326" t="s">
        <v>88</v>
      </c>
      <c r="AD3326" t="s">
        <v>790</v>
      </c>
    </row>
    <row r="3327" spans="1:32" x14ac:dyDescent="0.25">
      <c r="A3327" s="4">
        <v>42598</v>
      </c>
      <c r="B3327" t="s">
        <v>30</v>
      </c>
      <c r="C3327">
        <v>202</v>
      </c>
      <c r="D3327">
        <v>9</v>
      </c>
      <c r="E3327">
        <v>1</v>
      </c>
      <c r="F3327" t="s">
        <v>320</v>
      </c>
      <c r="G3327" t="s">
        <v>32</v>
      </c>
      <c r="H3327" t="s">
        <v>33</v>
      </c>
      <c r="I3327" t="s">
        <v>58</v>
      </c>
      <c r="J3327" t="s">
        <v>42</v>
      </c>
      <c r="K3327" t="s">
        <v>114</v>
      </c>
      <c r="L3327" t="s">
        <v>43</v>
      </c>
      <c r="M3327">
        <v>0</v>
      </c>
      <c r="N3327">
        <v>1</v>
      </c>
      <c r="O3327" s="5" t="s">
        <v>791</v>
      </c>
      <c r="P3327" s="5"/>
      <c r="Q3327">
        <f>28-13</f>
        <v>15</v>
      </c>
      <c r="R3327" t="s">
        <v>65</v>
      </c>
      <c r="T3327">
        <v>18</v>
      </c>
      <c r="W3327">
        <v>12.8</v>
      </c>
      <c r="X3327">
        <v>26.3</v>
      </c>
      <c r="Z3327" t="s">
        <v>97</v>
      </c>
      <c r="AA3327" t="s">
        <v>199</v>
      </c>
      <c r="AB3327" t="s">
        <v>87</v>
      </c>
      <c r="AC3327" t="s">
        <v>88</v>
      </c>
    </row>
    <row r="3328" spans="1:32" x14ac:dyDescent="0.25">
      <c r="A3328" s="4">
        <v>42598</v>
      </c>
      <c r="B3328" t="s">
        <v>30</v>
      </c>
      <c r="C3328">
        <v>202</v>
      </c>
      <c r="D3328">
        <v>9</v>
      </c>
      <c r="E3328">
        <v>2</v>
      </c>
      <c r="F3328" t="s">
        <v>320</v>
      </c>
      <c r="G3328" t="s">
        <v>32</v>
      </c>
      <c r="H3328" t="s">
        <v>33</v>
      </c>
      <c r="I3328" t="s">
        <v>64</v>
      </c>
      <c r="J3328" t="s">
        <v>42</v>
      </c>
      <c r="K3328" t="s">
        <v>36</v>
      </c>
      <c r="L3328" t="s">
        <v>43</v>
      </c>
      <c r="M3328">
        <v>0</v>
      </c>
      <c r="N3328">
        <v>1</v>
      </c>
      <c r="O3328" s="5" t="s">
        <v>792</v>
      </c>
      <c r="P3328" s="5"/>
      <c r="Q3328">
        <f>200-48</f>
        <v>152</v>
      </c>
      <c r="R3328" t="s">
        <v>47</v>
      </c>
      <c r="T3328">
        <v>41</v>
      </c>
      <c r="Z3328" t="s">
        <v>97</v>
      </c>
      <c r="AA3328" t="s">
        <v>199</v>
      </c>
      <c r="AB3328" t="s">
        <v>87</v>
      </c>
      <c r="AC3328" t="s">
        <v>88</v>
      </c>
      <c r="AD3328" t="s">
        <v>793</v>
      </c>
      <c r="AF3328" t="s">
        <v>789</v>
      </c>
    </row>
    <row r="3329" spans="1:33" x14ac:dyDescent="0.25">
      <c r="A3329" s="4">
        <v>42598</v>
      </c>
      <c r="B3329" t="s">
        <v>30</v>
      </c>
      <c r="C3329">
        <v>304</v>
      </c>
      <c r="D3329">
        <v>10</v>
      </c>
      <c r="E3329">
        <v>1</v>
      </c>
      <c r="F3329" t="s">
        <v>320</v>
      </c>
      <c r="G3329" t="s">
        <v>32</v>
      </c>
      <c r="H3329" t="s">
        <v>33</v>
      </c>
      <c r="I3329" t="s">
        <v>34</v>
      </c>
      <c r="J3329" t="s">
        <v>35</v>
      </c>
      <c r="K3329" t="s">
        <v>89</v>
      </c>
      <c r="L3329" t="s">
        <v>37</v>
      </c>
      <c r="M3329">
        <v>0</v>
      </c>
      <c r="N3329">
        <v>0</v>
      </c>
      <c r="O3329" s="5" t="s">
        <v>339</v>
      </c>
      <c r="P3329" s="5" t="s">
        <v>340</v>
      </c>
      <c r="Q3329">
        <f>33-21</f>
        <v>12</v>
      </c>
      <c r="R3329" t="s">
        <v>38</v>
      </c>
      <c r="S3329" t="s">
        <v>39</v>
      </c>
      <c r="T3329">
        <v>20</v>
      </c>
      <c r="U3329">
        <v>85</v>
      </c>
      <c r="V3329">
        <v>17</v>
      </c>
      <c r="W3329">
        <v>13.1</v>
      </c>
      <c r="X3329">
        <v>27.8</v>
      </c>
      <c r="Z3329" t="s">
        <v>97</v>
      </c>
      <c r="AA3329" t="s">
        <v>199</v>
      </c>
      <c r="AB3329" t="s">
        <v>87</v>
      </c>
      <c r="AC3329" t="s">
        <v>88</v>
      </c>
    </row>
    <row r="3330" spans="1:33" x14ac:dyDescent="0.25">
      <c r="A3330" s="4">
        <v>42598</v>
      </c>
      <c r="B3330" t="s">
        <v>30</v>
      </c>
      <c r="C3330">
        <v>304</v>
      </c>
      <c r="D3330">
        <v>7</v>
      </c>
      <c r="E3330">
        <v>1</v>
      </c>
      <c r="F3330" t="s">
        <v>320</v>
      </c>
      <c r="G3330" t="s">
        <v>32</v>
      </c>
      <c r="H3330" t="s">
        <v>33</v>
      </c>
      <c r="I3330" t="s">
        <v>57</v>
      </c>
      <c r="O3330" s="5"/>
      <c r="P3330" s="5"/>
    </row>
    <row r="3331" spans="1:33" x14ac:dyDescent="0.25">
      <c r="A3331" s="4">
        <v>42598</v>
      </c>
      <c r="B3331" t="s">
        <v>30</v>
      </c>
      <c r="C3331">
        <v>304</v>
      </c>
      <c r="D3331">
        <v>6</v>
      </c>
      <c r="E3331">
        <v>1</v>
      </c>
      <c r="F3331" t="s">
        <v>320</v>
      </c>
      <c r="G3331" t="s">
        <v>32</v>
      </c>
      <c r="H3331" t="s">
        <v>33</v>
      </c>
      <c r="I3331" t="s">
        <v>58</v>
      </c>
      <c r="J3331" t="s">
        <v>35</v>
      </c>
      <c r="K3331" t="s">
        <v>36</v>
      </c>
      <c r="L3331" t="s">
        <v>37</v>
      </c>
      <c r="M3331">
        <v>0</v>
      </c>
      <c r="N3331">
        <v>0</v>
      </c>
      <c r="O3331" s="5" t="s">
        <v>341</v>
      </c>
      <c r="P3331" s="5"/>
      <c r="Q3331">
        <f>46-21</f>
        <v>25</v>
      </c>
      <c r="R3331" t="s">
        <v>136</v>
      </c>
      <c r="S3331" t="s">
        <v>97</v>
      </c>
      <c r="T3331">
        <v>18</v>
      </c>
      <c r="W3331">
        <v>13</v>
      </c>
      <c r="X3331">
        <v>28.2</v>
      </c>
      <c r="Z3331" t="s">
        <v>97</v>
      </c>
      <c r="AA3331" t="s">
        <v>199</v>
      </c>
      <c r="AB3331" t="s">
        <v>87</v>
      </c>
      <c r="AC3331" t="s">
        <v>88</v>
      </c>
      <c r="AD3331" t="s">
        <v>794</v>
      </c>
    </row>
    <row r="3332" spans="1:33" x14ac:dyDescent="0.25">
      <c r="A3332" s="4">
        <v>42598</v>
      </c>
      <c r="B3332" t="s">
        <v>30</v>
      </c>
      <c r="C3332">
        <v>304</v>
      </c>
      <c r="D3332">
        <v>6</v>
      </c>
      <c r="E3332">
        <v>2</v>
      </c>
      <c r="F3332" t="s">
        <v>320</v>
      </c>
      <c r="G3332" t="s">
        <v>32</v>
      </c>
      <c r="H3332" t="s">
        <v>33</v>
      </c>
      <c r="I3332" t="s">
        <v>57</v>
      </c>
      <c r="O3332" s="5"/>
      <c r="P3332" s="5"/>
    </row>
    <row r="3333" spans="1:33" x14ac:dyDescent="0.25">
      <c r="A3333" s="4">
        <v>42598</v>
      </c>
      <c r="B3333" t="s">
        <v>30</v>
      </c>
      <c r="C3333">
        <v>304</v>
      </c>
      <c r="D3333">
        <v>5</v>
      </c>
      <c r="E3333">
        <v>1</v>
      </c>
      <c r="F3333" t="s">
        <v>320</v>
      </c>
      <c r="G3333" t="s">
        <v>32</v>
      </c>
      <c r="H3333" t="s">
        <v>33</v>
      </c>
      <c r="I3333" t="s">
        <v>58</v>
      </c>
      <c r="J3333" t="s">
        <v>35</v>
      </c>
      <c r="K3333" t="s">
        <v>36</v>
      </c>
      <c r="L3333" t="s">
        <v>43</v>
      </c>
      <c r="M3333">
        <v>0</v>
      </c>
      <c r="N3333">
        <v>0</v>
      </c>
      <c r="O3333" s="5" t="s">
        <v>795</v>
      </c>
      <c r="P3333" s="5"/>
      <c r="Q3333">
        <f>47.5</f>
        <v>47.5</v>
      </c>
      <c r="R3333" t="s">
        <v>47</v>
      </c>
      <c r="Z3333" t="s">
        <v>97</v>
      </c>
      <c r="AA3333" t="s">
        <v>199</v>
      </c>
      <c r="AB3333" t="s">
        <v>796</v>
      </c>
      <c r="AC3333" t="s">
        <v>88</v>
      </c>
      <c r="AD3333" t="s">
        <v>797</v>
      </c>
    </row>
    <row r="3334" spans="1:33" x14ac:dyDescent="0.25">
      <c r="A3334" s="4">
        <v>42598</v>
      </c>
      <c r="B3334" t="s">
        <v>30</v>
      </c>
      <c r="C3334">
        <v>304</v>
      </c>
      <c r="D3334">
        <v>5</v>
      </c>
      <c r="E3334">
        <v>2</v>
      </c>
      <c r="F3334" t="s">
        <v>320</v>
      </c>
      <c r="G3334" t="s">
        <v>32</v>
      </c>
      <c r="H3334" t="s">
        <v>33</v>
      </c>
      <c r="I3334" t="s">
        <v>58</v>
      </c>
      <c r="J3334" t="s">
        <v>42</v>
      </c>
      <c r="K3334" t="s">
        <v>36</v>
      </c>
      <c r="L3334" t="s">
        <v>43</v>
      </c>
      <c r="M3334">
        <v>0</v>
      </c>
      <c r="N3334">
        <v>1</v>
      </c>
      <c r="O3334" s="5" t="s">
        <v>798</v>
      </c>
      <c r="P3334" s="5"/>
      <c r="Q3334">
        <f>46-21</f>
        <v>25</v>
      </c>
      <c r="R3334" t="s">
        <v>47</v>
      </c>
      <c r="Z3334" t="s">
        <v>97</v>
      </c>
      <c r="AA3334" t="s">
        <v>199</v>
      </c>
      <c r="AB3334" t="s">
        <v>796</v>
      </c>
      <c r="AC3334" t="s">
        <v>88</v>
      </c>
      <c r="AD3334" t="s">
        <v>797</v>
      </c>
      <c r="AG3334" t="s">
        <v>789</v>
      </c>
    </row>
    <row r="3335" spans="1:33" x14ac:dyDescent="0.25">
      <c r="A3335" s="4">
        <v>42598</v>
      </c>
      <c r="B3335" t="s">
        <v>30</v>
      </c>
      <c r="C3335">
        <v>304</v>
      </c>
      <c r="D3335">
        <v>2</v>
      </c>
      <c r="E3335">
        <v>1</v>
      </c>
      <c r="F3335" t="s">
        <v>320</v>
      </c>
      <c r="G3335" t="s">
        <v>32</v>
      </c>
      <c r="H3335" t="s">
        <v>33</v>
      </c>
      <c r="I3335" t="s">
        <v>57</v>
      </c>
      <c r="O3335" s="5"/>
      <c r="P3335" s="5"/>
    </row>
    <row r="3336" spans="1:33" x14ac:dyDescent="0.25">
      <c r="A3336" s="4">
        <v>42598</v>
      </c>
      <c r="B3336" t="s">
        <v>30</v>
      </c>
      <c r="C3336">
        <v>304</v>
      </c>
      <c r="D3336">
        <v>2</v>
      </c>
      <c r="E3336">
        <v>2</v>
      </c>
      <c r="F3336" t="s">
        <v>320</v>
      </c>
      <c r="G3336" t="s">
        <v>32</v>
      </c>
      <c r="H3336" t="s">
        <v>33</v>
      </c>
      <c r="I3336" t="s">
        <v>58</v>
      </c>
      <c r="J3336" t="s">
        <v>35</v>
      </c>
      <c r="K3336" t="s">
        <v>36</v>
      </c>
      <c r="L3336" t="s">
        <v>37</v>
      </c>
      <c r="M3336">
        <v>0</v>
      </c>
      <c r="N3336">
        <v>0</v>
      </c>
      <c r="O3336" s="5" t="s">
        <v>799</v>
      </c>
      <c r="P3336" s="5"/>
      <c r="Q3336">
        <f>41-21.5</f>
        <v>19.5</v>
      </c>
      <c r="R3336" t="s">
        <v>38</v>
      </c>
      <c r="S3336" t="s">
        <v>39</v>
      </c>
      <c r="Z3336" t="s">
        <v>97</v>
      </c>
      <c r="AA3336" t="s">
        <v>199</v>
      </c>
      <c r="AB3336" t="s">
        <v>796</v>
      </c>
      <c r="AC3336" t="s">
        <v>88</v>
      </c>
      <c r="AD3336" t="s">
        <v>797</v>
      </c>
    </row>
    <row r="3337" spans="1:33" x14ac:dyDescent="0.25">
      <c r="A3337" s="4">
        <v>42598</v>
      </c>
      <c r="B3337" t="s">
        <v>30</v>
      </c>
      <c r="C3337">
        <v>304</v>
      </c>
      <c r="D3337">
        <v>1</v>
      </c>
      <c r="E3337">
        <v>1</v>
      </c>
      <c r="F3337" t="s">
        <v>320</v>
      </c>
      <c r="G3337" t="s">
        <v>32</v>
      </c>
      <c r="H3337" t="s">
        <v>33</v>
      </c>
      <c r="I3337" t="s">
        <v>57</v>
      </c>
      <c r="O3337" s="5"/>
      <c r="P3337" s="5"/>
    </row>
    <row r="3338" spans="1:33" x14ac:dyDescent="0.25">
      <c r="A3338" s="4">
        <v>42598</v>
      </c>
      <c r="B3338" t="s">
        <v>30</v>
      </c>
      <c r="C3338">
        <v>304</v>
      </c>
      <c r="D3338">
        <v>1</v>
      </c>
      <c r="E3338">
        <v>2</v>
      </c>
      <c r="F3338" t="s">
        <v>320</v>
      </c>
      <c r="G3338" t="s">
        <v>32</v>
      </c>
      <c r="H3338" t="s">
        <v>33</v>
      </c>
      <c r="I3338" t="s">
        <v>34</v>
      </c>
      <c r="J3338" t="s">
        <v>35</v>
      </c>
      <c r="K3338" t="s">
        <v>114</v>
      </c>
      <c r="L3338" t="s">
        <v>43</v>
      </c>
      <c r="M3338">
        <v>0</v>
      </c>
      <c r="N3338">
        <v>0</v>
      </c>
      <c r="O3338" s="5" t="s">
        <v>439</v>
      </c>
      <c r="P3338" s="5" t="s">
        <v>440</v>
      </c>
      <c r="Q3338">
        <f>41-23</f>
        <v>18</v>
      </c>
      <c r="R3338" t="s">
        <v>65</v>
      </c>
      <c r="Z3338" t="s">
        <v>97</v>
      </c>
      <c r="AA3338" t="s">
        <v>199</v>
      </c>
      <c r="AB3338" t="s">
        <v>796</v>
      </c>
      <c r="AC3338" t="s">
        <v>88</v>
      </c>
      <c r="AD3338" t="s">
        <v>797</v>
      </c>
      <c r="AG3338" t="s">
        <v>800</v>
      </c>
    </row>
    <row r="3339" spans="1:33" x14ac:dyDescent="0.25">
      <c r="A3339" s="4">
        <v>42598</v>
      </c>
      <c r="B3339" t="s">
        <v>30</v>
      </c>
      <c r="C3339">
        <v>111</v>
      </c>
      <c r="D3339">
        <v>6</v>
      </c>
      <c r="E3339">
        <v>1</v>
      </c>
      <c r="F3339" t="s">
        <v>31</v>
      </c>
      <c r="G3339" t="s">
        <v>32</v>
      </c>
      <c r="H3339" t="s">
        <v>33</v>
      </c>
      <c r="I3339" t="s">
        <v>57</v>
      </c>
      <c r="O3339" s="5"/>
      <c r="P3339" s="5"/>
    </row>
    <row r="3340" spans="1:33" x14ac:dyDescent="0.25">
      <c r="A3340" s="4">
        <v>42598</v>
      </c>
      <c r="B3340" t="s">
        <v>30</v>
      </c>
      <c r="C3340">
        <v>111</v>
      </c>
      <c r="D3340">
        <v>5</v>
      </c>
      <c r="E3340">
        <v>1</v>
      </c>
      <c r="F3340" t="s">
        <v>31</v>
      </c>
      <c r="G3340" t="s">
        <v>32</v>
      </c>
      <c r="H3340" t="s">
        <v>33</v>
      </c>
      <c r="I3340" t="s">
        <v>57</v>
      </c>
      <c r="O3340" s="5"/>
      <c r="P3340" s="5"/>
    </row>
    <row r="3341" spans="1:33" x14ac:dyDescent="0.25">
      <c r="A3341" s="4">
        <v>42598</v>
      </c>
      <c r="B3341" t="s">
        <v>30</v>
      </c>
      <c r="C3341">
        <v>111</v>
      </c>
      <c r="D3341">
        <v>5</v>
      </c>
      <c r="E3341">
        <v>2</v>
      </c>
      <c r="F3341" t="s">
        <v>31</v>
      </c>
      <c r="G3341" t="s">
        <v>32</v>
      </c>
      <c r="H3341" t="s">
        <v>33</v>
      </c>
      <c r="I3341" t="s">
        <v>57</v>
      </c>
      <c r="O3341" s="5"/>
      <c r="P3341" s="5"/>
    </row>
    <row r="3342" spans="1:33" x14ac:dyDescent="0.25">
      <c r="A3342" s="4">
        <v>42598</v>
      </c>
      <c r="B3342" t="s">
        <v>30</v>
      </c>
      <c r="C3342">
        <v>111</v>
      </c>
      <c r="D3342">
        <v>4</v>
      </c>
      <c r="E3342">
        <v>1</v>
      </c>
      <c r="F3342" t="s">
        <v>31</v>
      </c>
      <c r="G3342" t="s">
        <v>32</v>
      </c>
      <c r="H3342" t="s">
        <v>33</v>
      </c>
      <c r="I3342" t="s">
        <v>57</v>
      </c>
      <c r="O3342" s="5"/>
      <c r="P3342" s="5"/>
    </row>
    <row r="3343" spans="1:33" x14ac:dyDescent="0.25">
      <c r="A3343" s="4">
        <v>42598</v>
      </c>
      <c r="B3343" t="s">
        <v>30</v>
      </c>
      <c r="C3343">
        <v>111</v>
      </c>
      <c r="D3343">
        <v>3</v>
      </c>
      <c r="E3343">
        <v>1</v>
      </c>
      <c r="F3343" t="s">
        <v>31</v>
      </c>
      <c r="G3343" t="s">
        <v>32</v>
      </c>
      <c r="H3343" t="s">
        <v>33</v>
      </c>
      <c r="I3343" t="s">
        <v>801</v>
      </c>
      <c r="J3343" t="s">
        <v>141</v>
      </c>
      <c r="O3343" s="5"/>
      <c r="P3343" s="5"/>
    </row>
    <row r="3344" spans="1:33" x14ac:dyDescent="0.25">
      <c r="A3344" s="4">
        <v>42598</v>
      </c>
      <c r="B3344" t="s">
        <v>30</v>
      </c>
      <c r="C3344">
        <v>111</v>
      </c>
      <c r="D3344">
        <v>3</v>
      </c>
      <c r="E3344">
        <v>2</v>
      </c>
      <c r="F3344" t="s">
        <v>31</v>
      </c>
      <c r="G3344" t="s">
        <v>32</v>
      </c>
      <c r="H3344" t="s">
        <v>33</v>
      </c>
      <c r="I3344" t="s">
        <v>53</v>
      </c>
      <c r="J3344" t="s">
        <v>62</v>
      </c>
      <c r="O3344" s="5"/>
      <c r="P3344" s="5"/>
    </row>
    <row r="3345" spans="1:31" x14ac:dyDescent="0.25">
      <c r="A3345" s="4">
        <v>42598</v>
      </c>
      <c r="B3345" t="s">
        <v>30</v>
      </c>
      <c r="C3345">
        <v>111</v>
      </c>
      <c r="D3345">
        <v>2</v>
      </c>
      <c r="E3345">
        <v>1</v>
      </c>
      <c r="F3345" t="s">
        <v>31</v>
      </c>
      <c r="G3345" t="s">
        <v>32</v>
      </c>
      <c r="H3345" t="s">
        <v>33</v>
      </c>
      <c r="I3345" t="s">
        <v>84</v>
      </c>
      <c r="O3345" s="5"/>
      <c r="P3345" s="5"/>
    </row>
    <row r="3346" spans="1:31" x14ac:dyDescent="0.25">
      <c r="A3346" s="4">
        <v>42598</v>
      </c>
      <c r="B3346" t="s">
        <v>30</v>
      </c>
      <c r="C3346">
        <v>111</v>
      </c>
      <c r="D3346">
        <v>8</v>
      </c>
      <c r="E3346">
        <v>1</v>
      </c>
      <c r="F3346" t="s">
        <v>31</v>
      </c>
      <c r="G3346" t="s">
        <v>32</v>
      </c>
      <c r="H3346" t="s">
        <v>33</v>
      </c>
      <c r="I3346" t="s">
        <v>34</v>
      </c>
      <c r="J3346" t="s">
        <v>35</v>
      </c>
      <c r="K3346" t="s">
        <v>114</v>
      </c>
      <c r="L3346" t="s">
        <v>43</v>
      </c>
      <c r="M3346">
        <v>0</v>
      </c>
      <c r="N3346">
        <v>0</v>
      </c>
      <c r="O3346" s="5" t="s">
        <v>487</v>
      </c>
      <c r="P3346" s="5" t="s">
        <v>488</v>
      </c>
      <c r="Q3346">
        <f>30.5-12.5</f>
        <v>18</v>
      </c>
      <c r="R3346" t="s">
        <v>65</v>
      </c>
      <c r="T3346">
        <v>19</v>
      </c>
      <c r="U3346">
        <v>92</v>
      </c>
      <c r="V3346">
        <v>20</v>
      </c>
      <c r="W3346">
        <v>13</v>
      </c>
      <c r="X3346">
        <v>27.8</v>
      </c>
      <c r="Z3346" t="s">
        <v>39</v>
      </c>
      <c r="AA3346" t="s">
        <v>199</v>
      </c>
      <c r="AB3346" t="s">
        <v>796</v>
      </c>
      <c r="AC3346" t="s">
        <v>88</v>
      </c>
    </row>
    <row r="3347" spans="1:31" x14ac:dyDescent="0.25">
      <c r="A3347" s="4">
        <v>42598</v>
      </c>
      <c r="B3347" t="s">
        <v>30</v>
      </c>
      <c r="C3347">
        <v>111</v>
      </c>
      <c r="D3347">
        <v>9</v>
      </c>
      <c r="E3347">
        <v>1</v>
      </c>
      <c r="F3347" t="s">
        <v>31</v>
      </c>
      <c r="G3347" t="s">
        <v>32</v>
      </c>
      <c r="H3347" t="s">
        <v>33</v>
      </c>
      <c r="I3347" t="s">
        <v>34</v>
      </c>
      <c r="J3347" t="s">
        <v>35</v>
      </c>
      <c r="K3347" t="s">
        <v>114</v>
      </c>
      <c r="L3347" t="s">
        <v>43</v>
      </c>
      <c r="M3347">
        <v>0</v>
      </c>
      <c r="N3347">
        <v>0</v>
      </c>
      <c r="O3347" s="5" t="s">
        <v>442</v>
      </c>
      <c r="P3347" s="5" t="s">
        <v>443</v>
      </c>
      <c r="Q3347">
        <f>28.5-13</f>
        <v>15.5</v>
      </c>
      <c r="R3347" t="s">
        <v>65</v>
      </c>
      <c r="T3347">
        <v>20</v>
      </c>
      <c r="V3347">
        <v>16</v>
      </c>
      <c r="W3347">
        <v>13</v>
      </c>
      <c r="X3347">
        <v>28</v>
      </c>
      <c r="Z3347" t="s">
        <v>97</v>
      </c>
      <c r="AB3347" t="s">
        <v>796</v>
      </c>
      <c r="AC3347" t="s">
        <v>88</v>
      </c>
    </row>
    <row r="3348" spans="1:31" x14ac:dyDescent="0.25">
      <c r="A3348" s="4">
        <v>42598</v>
      </c>
      <c r="B3348" t="s">
        <v>30</v>
      </c>
      <c r="C3348">
        <v>111</v>
      </c>
      <c r="D3348">
        <v>10</v>
      </c>
      <c r="E3348">
        <v>1</v>
      </c>
      <c r="F3348" t="s">
        <v>31</v>
      </c>
      <c r="G3348" t="s">
        <v>32</v>
      </c>
      <c r="H3348" t="s">
        <v>33</v>
      </c>
      <c r="I3348" t="s">
        <v>84</v>
      </c>
      <c r="O3348" s="5"/>
      <c r="P3348" s="5"/>
    </row>
    <row r="3349" spans="1:31" x14ac:dyDescent="0.25">
      <c r="A3349" s="4">
        <v>42598</v>
      </c>
      <c r="B3349" t="s">
        <v>30</v>
      </c>
      <c r="C3349">
        <v>112</v>
      </c>
      <c r="D3349">
        <v>2</v>
      </c>
      <c r="E3349">
        <v>1</v>
      </c>
      <c r="F3349" t="s">
        <v>31</v>
      </c>
      <c r="G3349" t="s">
        <v>32</v>
      </c>
      <c r="H3349" t="s">
        <v>33</v>
      </c>
      <c r="I3349" t="s">
        <v>57</v>
      </c>
      <c r="O3349" s="5"/>
      <c r="P3349" s="5"/>
    </row>
    <row r="3350" spans="1:31" x14ac:dyDescent="0.25">
      <c r="A3350" s="4">
        <v>42598</v>
      </c>
      <c r="B3350" t="s">
        <v>30</v>
      </c>
      <c r="C3350">
        <v>112</v>
      </c>
      <c r="D3350">
        <v>2</v>
      </c>
      <c r="E3350">
        <v>2</v>
      </c>
      <c r="F3350" t="s">
        <v>31</v>
      </c>
      <c r="G3350" t="s">
        <v>32</v>
      </c>
      <c r="H3350" t="s">
        <v>33</v>
      </c>
      <c r="I3350" t="s">
        <v>34</v>
      </c>
      <c r="J3350" t="s">
        <v>35</v>
      </c>
      <c r="K3350" t="s">
        <v>36</v>
      </c>
      <c r="L3350" t="s">
        <v>43</v>
      </c>
      <c r="M3350">
        <v>0</v>
      </c>
      <c r="N3350">
        <v>0</v>
      </c>
      <c r="O3350" s="5" t="s">
        <v>454</v>
      </c>
      <c r="P3350" s="5" t="s">
        <v>455</v>
      </c>
      <c r="Q3350">
        <f>38.5-18.5</f>
        <v>20</v>
      </c>
      <c r="R3350" t="s">
        <v>47</v>
      </c>
      <c r="T3350">
        <v>19</v>
      </c>
      <c r="U3350">
        <v>95</v>
      </c>
      <c r="V3350">
        <v>20</v>
      </c>
      <c r="W3350">
        <v>13.2</v>
      </c>
      <c r="X3350">
        <v>26.7</v>
      </c>
      <c r="Z3350" t="s">
        <v>97</v>
      </c>
      <c r="AB3350" t="s">
        <v>796</v>
      </c>
      <c r="AC3350" t="s">
        <v>88</v>
      </c>
    </row>
    <row r="3351" spans="1:31" x14ac:dyDescent="0.25">
      <c r="A3351" s="4">
        <v>42598</v>
      </c>
      <c r="B3351" t="s">
        <v>30</v>
      </c>
      <c r="C3351">
        <v>112</v>
      </c>
      <c r="D3351">
        <v>3</v>
      </c>
      <c r="E3351">
        <v>1</v>
      </c>
      <c r="F3351" t="s">
        <v>31</v>
      </c>
      <c r="G3351" t="s">
        <v>32</v>
      </c>
      <c r="H3351" t="s">
        <v>33</v>
      </c>
      <c r="I3351" t="s">
        <v>91</v>
      </c>
      <c r="J3351" t="s">
        <v>42</v>
      </c>
      <c r="K3351" t="s">
        <v>36</v>
      </c>
      <c r="L3351" t="s">
        <v>37</v>
      </c>
      <c r="M3351">
        <v>0</v>
      </c>
      <c r="N3351">
        <v>1</v>
      </c>
      <c r="O3351" s="5" t="s">
        <v>802</v>
      </c>
      <c r="P3351" s="5"/>
      <c r="Q3351">
        <f>32-12.5</f>
        <v>19.5</v>
      </c>
      <c r="R3351" t="s">
        <v>81</v>
      </c>
      <c r="S3351" t="s">
        <v>39</v>
      </c>
      <c r="T3351">
        <v>28</v>
      </c>
      <c r="W3351">
        <v>12.75</v>
      </c>
      <c r="X3351">
        <v>24.25</v>
      </c>
      <c r="Z3351" t="s">
        <v>39</v>
      </c>
      <c r="AB3351" t="s">
        <v>796</v>
      </c>
      <c r="AC3351" t="s">
        <v>88</v>
      </c>
    </row>
    <row r="3352" spans="1:31" x14ac:dyDescent="0.25">
      <c r="A3352" s="4">
        <v>42598</v>
      </c>
      <c r="B3352" t="s">
        <v>30</v>
      </c>
      <c r="C3352">
        <v>112</v>
      </c>
      <c r="D3352">
        <v>4</v>
      </c>
      <c r="E3352">
        <v>1</v>
      </c>
      <c r="F3352" t="s">
        <v>31</v>
      </c>
      <c r="G3352" t="s">
        <v>32</v>
      </c>
      <c r="H3352" t="s">
        <v>33</v>
      </c>
      <c r="I3352" t="s">
        <v>91</v>
      </c>
      <c r="J3352" t="s">
        <v>35</v>
      </c>
      <c r="K3352" t="s">
        <v>36</v>
      </c>
      <c r="L3352" t="s">
        <v>37</v>
      </c>
      <c r="M3352">
        <v>0</v>
      </c>
      <c r="N3352">
        <v>0</v>
      </c>
      <c r="O3352" s="5" t="s">
        <v>388</v>
      </c>
      <c r="P3352" s="5"/>
      <c r="Q3352">
        <f>42-15</f>
        <v>27</v>
      </c>
      <c r="R3352" t="s">
        <v>74</v>
      </c>
      <c r="S3352" t="s">
        <v>97</v>
      </c>
      <c r="T3352">
        <v>28.5</v>
      </c>
      <c r="W3352">
        <v>12.7</v>
      </c>
      <c r="AB3352" t="s">
        <v>796</v>
      </c>
      <c r="AC3352" t="s">
        <v>88</v>
      </c>
      <c r="AD3352" t="s">
        <v>803</v>
      </c>
    </row>
    <row r="3353" spans="1:31" x14ac:dyDescent="0.25">
      <c r="A3353" s="4">
        <v>42598</v>
      </c>
      <c r="B3353" t="s">
        <v>30</v>
      </c>
      <c r="C3353">
        <v>112</v>
      </c>
      <c r="D3353">
        <v>4</v>
      </c>
      <c r="E3353">
        <v>2</v>
      </c>
      <c r="F3353" t="s">
        <v>31</v>
      </c>
      <c r="G3353" t="s">
        <v>32</v>
      </c>
      <c r="H3353" t="s">
        <v>33</v>
      </c>
      <c r="I3353" t="s">
        <v>34</v>
      </c>
      <c r="J3353" t="s">
        <v>35</v>
      </c>
      <c r="K3353" t="s">
        <v>114</v>
      </c>
      <c r="L3353" t="s">
        <v>43</v>
      </c>
      <c r="M3353">
        <v>0</v>
      </c>
      <c r="N3353">
        <v>0</v>
      </c>
      <c r="O3353" s="5" t="s">
        <v>392</v>
      </c>
      <c r="P3353" s="5" t="s">
        <v>458</v>
      </c>
      <c r="Q3353">
        <f>36-17.5</f>
        <v>18.5</v>
      </c>
      <c r="R3353" t="s">
        <v>65</v>
      </c>
      <c r="T3353">
        <v>18</v>
      </c>
      <c r="U3353">
        <v>88</v>
      </c>
      <c r="V3353">
        <v>17.5</v>
      </c>
      <c r="W3353">
        <v>13</v>
      </c>
      <c r="X3353">
        <v>26.3</v>
      </c>
      <c r="Z3353" t="s">
        <v>97</v>
      </c>
      <c r="AB3353" t="s">
        <v>796</v>
      </c>
      <c r="AC3353" t="s">
        <v>88</v>
      </c>
    </row>
    <row r="3354" spans="1:31" x14ac:dyDescent="0.25">
      <c r="A3354" s="4">
        <v>42598</v>
      </c>
      <c r="B3354" t="s">
        <v>30</v>
      </c>
      <c r="C3354">
        <v>112</v>
      </c>
      <c r="D3354">
        <v>5</v>
      </c>
      <c r="E3354">
        <v>1</v>
      </c>
      <c r="F3354" t="s">
        <v>31</v>
      </c>
      <c r="G3354" t="s">
        <v>32</v>
      </c>
      <c r="H3354" t="s">
        <v>33</v>
      </c>
      <c r="I3354" t="s">
        <v>57</v>
      </c>
      <c r="O3354" s="5"/>
      <c r="P3354" s="5"/>
    </row>
    <row r="3355" spans="1:31" x14ac:dyDescent="0.25">
      <c r="A3355" s="4">
        <v>42598</v>
      </c>
      <c r="B3355" t="s">
        <v>30</v>
      </c>
      <c r="C3355">
        <v>112</v>
      </c>
      <c r="D3355">
        <v>5</v>
      </c>
      <c r="E3355">
        <v>2</v>
      </c>
      <c r="F3355" t="s">
        <v>31</v>
      </c>
      <c r="G3355" t="s">
        <v>32</v>
      </c>
      <c r="H3355" t="s">
        <v>33</v>
      </c>
      <c r="I3355" t="s">
        <v>57</v>
      </c>
      <c r="O3355" s="5"/>
      <c r="P3355" s="5"/>
    </row>
    <row r="3356" spans="1:31" x14ac:dyDescent="0.25">
      <c r="A3356" s="4">
        <v>42598</v>
      </c>
      <c r="B3356" t="s">
        <v>30</v>
      </c>
      <c r="C3356">
        <v>112</v>
      </c>
      <c r="D3356">
        <v>6</v>
      </c>
      <c r="E3356">
        <v>1</v>
      </c>
      <c r="F3356" t="s">
        <v>31</v>
      </c>
      <c r="G3356" t="s">
        <v>32</v>
      </c>
      <c r="H3356" t="s">
        <v>33</v>
      </c>
      <c r="I3356" t="s">
        <v>34</v>
      </c>
      <c r="J3356" t="s">
        <v>42</v>
      </c>
      <c r="K3356" t="s">
        <v>36</v>
      </c>
      <c r="L3356" t="s">
        <v>37</v>
      </c>
      <c r="M3356">
        <v>0</v>
      </c>
      <c r="N3356">
        <v>1</v>
      </c>
      <c r="O3356" s="5" t="s">
        <v>804</v>
      </c>
      <c r="P3356" s="5" t="s">
        <v>805</v>
      </c>
      <c r="Q3356">
        <f>35-15</f>
        <v>20</v>
      </c>
      <c r="R3356" t="s">
        <v>143</v>
      </c>
      <c r="S3356" t="s">
        <v>97</v>
      </c>
      <c r="T3356">
        <v>18</v>
      </c>
      <c r="U3356">
        <v>78</v>
      </c>
      <c r="V3356">
        <v>16</v>
      </c>
      <c r="W3356">
        <v>12.7</v>
      </c>
      <c r="X3356">
        <v>26.6</v>
      </c>
      <c r="Y3356" t="s">
        <v>806</v>
      </c>
      <c r="Z3356" t="s">
        <v>97</v>
      </c>
      <c r="AB3356" t="s">
        <v>807</v>
      </c>
      <c r="AC3356" t="s">
        <v>88</v>
      </c>
    </row>
    <row r="3357" spans="1:31" x14ac:dyDescent="0.25">
      <c r="A3357" s="4">
        <v>42598</v>
      </c>
      <c r="B3357" t="s">
        <v>30</v>
      </c>
      <c r="C3357">
        <v>112</v>
      </c>
      <c r="D3357">
        <v>6</v>
      </c>
      <c r="E3357">
        <v>2</v>
      </c>
      <c r="F3357" t="s">
        <v>31</v>
      </c>
      <c r="G3357" t="s">
        <v>32</v>
      </c>
      <c r="H3357" t="s">
        <v>33</v>
      </c>
      <c r="I3357" t="s">
        <v>53</v>
      </c>
      <c r="J3357" t="s">
        <v>62</v>
      </c>
      <c r="O3357" s="5"/>
      <c r="P3357" s="5"/>
    </row>
    <row r="3358" spans="1:31" x14ac:dyDescent="0.25">
      <c r="A3358" s="4">
        <v>42598</v>
      </c>
      <c r="B3358" t="s">
        <v>30</v>
      </c>
      <c r="C3358">
        <v>112</v>
      </c>
      <c r="D3358">
        <v>7</v>
      </c>
      <c r="E3358">
        <v>1</v>
      </c>
      <c r="F3358" t="s">
        <v>31</v>
      </c>
      <c r="G3358" t="s">
        <v>32</v>
      </c>
      <c r="H3358" t="s">
        <v>33</v>
      </c>
      <c r="I3358" t="s">
        <v>57</v>
      </c>
      <c r="O3358" s="5"/>
      <c r="P3358" s="5"/>
    </row>
    <row r="3359" spans="1:31" x14ac:dyDescent="0.25">
      <c r="A3359" s="4">
        <v>42598</v>
      </c>
      <c r="B3359" t="s">
        <v>30</v>
      </c>
      <c r="C3359">
        <v>112</v>
      </c>
      <c r="D3359">
        <v>7</v>
      </c>
      <c r="E3359">
        <v>2</v>
      </c>
      <c r="F3359" t="s">
        <v>31</v>
      </c>
      <c r="G3359" t="s">
        <v>32</v>
      </c>
      <c r="H3359" t="s">
        <v>33</v>
      </c>
      <c r="I3359" t="s">
        <v>91</v>
      </c>
      <c r="J3359" t="s">
        <v>35</v>
      </c>
      <c r="K3359" t="s">
        <v>36</v>
      </c>
      <c r="L3359" t="s">
        <v>43</v>
      </c>
      <c r="M3359">
        <v>0</v>
      </c>
      <c r="N3359">
        <v>0</v>
      </c>
      <c r="O3359" s="5" t="s">
        <v>396</v>
      </c>
      <c r="P3359" s="5"/>
      <c r="Q3359">
        <v>20</v>
      </c>
      <c r="R3359" t="s">
        <v>47</v>
      </c>
      <c r="T3359">
        <v>28</v>
      </c>
      <c r="W3359">
        <v>12.9</v>
      </c>
      <c r="X3359">
        <v>25.3</v>
      </c>
      <c r="Z3359" t="s">
        <v>97</v>
      </c>
      <c r="AB3359" t="s">
        <v>796</v>
      </c>
      <c r="AC3359" t="s">
        <v>88</v>
      </c>
    </row>
    <row r="3360" spans="1:31" x14ac:dyDescent="0.25">
      <c r="A3360" s="4">
        <v>42598</v>
      </c>
      <c r="B3360" t="s">
        <v>30</v>
      </c>
      <c r="C3360">
        <v>112</v>
      </c>
      <c r="D3360">
        <v>8</v>
      </c>
      <c r="E3360">
        <v>1</v>
      </c>
      <c r="F3360" t="s">
        <v>31</v>
      </c>
      <c r="G3360" t="s">
        <v>32</v>
      </c>
      <c r="H3360" t="s">
        <v>33</v>
      </c>
      <c r="I3360" t="s">
        <v>91</v>
      </c>
      <c r="J3360" t="s">
        <v>35</v>
      </c>
      <c r="K3360" t="s">
        <v>36</v>
      </c>
      <c r="L3360" t="s">
        <v>43</v>
      </c>
      <c r="M3360">
        <v>0</v>
      </c>
      <c r="N3360">
        <v>0</v>
      </c>
      <c r="O3360" s="5" t="s">
        <v>398</v>
      </c>
      <c r="P3360" s="5"/>
      <c r="Q3360">
        <f>45-18</f>
        <v>27</v>
      </c>
      <c r="R3360" t="s">
        <v>47</v>
      </c>
      <c r="T3360">
        <v>29.5</v>
      </c>
      <c r="W3360">
        <v>13.3</v>
      </c>
      <c r="X3360">
        <v>26</v>
      </c>
      <c r="AB3360" t="s">
        <v>796</v>
      </c>
      <c r="AC3360" t="s">
        <v>88</v>
      </c>
      <c r="AD3360" t="s">
        <v>808</v>
      </c>
      <c r="AE3360" t="s">
        <v>809</v>
      </c>
    </row>
    <row r="3361" spans="1:30" x14ac:dyDescent="0.25">
      <c r="A3361" s="4">
        <v>42598</v>
      </c>
      <c r="B3361" t="s">
        <v>30</v>
      </c>
      <c r="C3361">
        <v>112</v>
      </c>
      <c r="D3361">
        <v>8</v>
      </c>
      <c r="E3361">
        <v>2</v>
      </c>
      <c r="F3361" t="s">
        <v>31</v>
      </c>
      <c r="G3361" t="s">
        <v>32</v>
      </c>
      <c r="H3361" t="s">
        <v>33</v>
      </c>
      <c r="I3361" t="s">
        <v>91</v>
      </c>
      <c r="J3361" t="s">
        <v>42</v>
      </c>
      <c r="K3361" t="s">
        <v>114</v>
      </c>
      <c r="L3361" t="s">
        <v>37</v>
      </c>
      <c r="M3361">
        <v>0</v>
      </c>
      <c r="N3361">
        <v>1</v>
      </c>
      <c r="O3361" s="5" t="s">
        <v>810</v>
      </c>
      <c r="P3361" s="5"/>
      <c r="Q3361">
        <f>31-13.5</f>
        <v>17.5</v>
      </c>
      <c r="R3361" t="s">
        <v>38</v>
      </c>
      <c r="S3361" t="s">
        <v>39</v>
      </c>
      <c r="T3361">
        <v>29</v>
      </c>
      <c r="W3361">
        <v>12.5</v>
      </c>
      <c r="X3361">
        <v>25</v>
      </c>
      <c r="Z3361" t="s">
        <v>97</v>
      </c>
      <c r="AB3361" t="s">
        <v>796</v>
      </c>
      <c r="AC3361" t="s">
        <v>88</v>
      </c>
    </row>
    <row r="3362" spans="1:30" x14ac:dyDescent="0.25">
      <c r="A3362" s="4">
        <v>42598</v>
      </c>
      <c r="B3362" t="s">
        <v>30</v>
      </c>
      <c r="C3362">
        <v>112</v>
      </c>
      <c r="D3362">
        <v>10</v>
      </c>
      <c r="E3362">
        <v>1</v>
      </c>
      <c r="F3362" t="s">
        <v>31</v>
      </c>
      <c r="G3362" t="s">
        <v>32</v>
      </c>
      <c r="H3362" t="s">
        <v>33</v>
      </c>
      <c r="I3362" t="s">
        <v>57</v>
      </c>
      <c r="O3362" s="5"/>
      <c r="P3362" s="5"/>
    </row>
    <row r="3363" spans="1:30" x14ac:dyDescent="0.25">
      <c r="A3363" s="4">
        <v>42598</v>
      </c>
      <c r="B3363" t="s">
        <v>30</v>
      </c>
      <c r="C3363">
        <v>112</v>
      </c>
      <c r="D3363">
        <v>10</v>
      </c>
      <c r="E3363">
        <v>2</v>
      </c>
      <c r="F3363" t="s">
        <v>31</v>
      </c>
      <c r="G3363" t="s">
        <v>32</v>
      </c>
      <c r="H3363" t="s">
        <v>33</v>
      </c>
      <c r="I3363" t="s">
        <v>34</v>
      </c>
      <c r="J3363" t="s">
        <v>35</v>
      </c>
      <c r="K3363" t="s">
        <v>36</v>
      </c>
      <c r="L3363" t="s">
        <v>43</v>
      </c>
      <c r="M3363">
        <v>0</v>
      </c>
      <c r="N3363">
        <v>0</v>
      </c>
      <c r="O3363" s="5" t="s">
        <v>401</v>
      </c>
      <c r="P3363" s="5" t="s">
        <v>402</v>
      </c>
      <c r="Q3363">
        <f>35.5-14</f>
        <v>21.5</v>
      </c>
      <c r="R3363" t="s">
        <v>65</v>
      </c>
      <c r="T3363">
        <v>20</v>
      </c>
      <c r="U3363">
        <v>88</v>
      </c>
      <c r="V3363">
        <v>18</v>
      </c>
      <c r="W3363">
        <v>13.4</v>
      </c>
      <c r="X3363">
        <v>25.9</v>
      </c>
      <c r="AB3363" t="s">
        <v>796</v>
      </c>
      <c r="AC3363" t="s">
        <v>88</v>
      </c>
    </row>
    <row r="3364" spans="1:30" x14ac:dyDescent="0.25">
      <c r="A3364" s="4">
        <v>42598</v>
      </c>
      <c r="B3364" t="s">
        <v>30</v>
      </c>
      <c r="C3364">
        <v>113</v>
      </c>
      <c r="D3364">
        <v>1</v>
      </c>
      <c r="E3364">
        <v>1</v>
      </c>
      <c r="F3364" t="s">
        <v>31</v>
      </c>
      <c r="G3364" t="s">
        <v>32</v>
      </c>
      <c r="H3364" t="s">
        <v>33</v>
      </c>
      <c r="I3364" t="s">
        <v>57</v>
      </c>
      <c r="O3364" s="5"/>
      <c r="P3364" s="5"/>
    </row>
    <row r="3365" spans="1:30" x14ac:dyDescent="0.25">
      <c r="A3365" s="4">
        <v>42598</v>
      </c>
      <c r="B3365" t="s">
        <v>30</v>
      </c>
      <c r="C3365">
        <v>113</v>
      </c>
      <c r="D3365">
        <v>1</v>
      </c>
      <c r="E3365">
        <v>2</v>
      </c>
      <c r="F3365" t="s">
        <v>31</v>
      </c>
      <c r="G3365" t="s">
        <v>32</v>
      </c>
      <c r="H3365" t="s">
        <v>33</v>
      </c>
      <c r="I3365" t="s">
        <v>57</v>
      </c>
      <c r="O3365" s="5"/>
      <c r="P3365" s="5"/>
    </row>
    <row r="3366" spans="1:30" x14ac:dyDescent="0.25">
      <c r="A3366" s="4">
        <v>42598</v>
      </c>
      <c r="B3366" t="s">
        <v>30</v>
      </c>
      <c r="C3366">
        <v>113</v>
      </c>
      <c r="D3366">
        <v>2</v>
      </c>
      <c r="E3366">
        <v>1</v>
      </c>
      <c r="F3366" t="s">
        <v>31</v>
      </c>
      <c r="G3366" t="s">
        <v>32</v>
      </c>
      <c r="H3366" t="s">
        <v>33</v>
      </c>
      <c r="I3366" t="s">
        <v>34</v>
      </c>
      <c r="J3366" t="s">
        <v>35</v>
      </c>
      <c r="K3366" t="s">
        <v>89</v>
      </c>
      <c r="L3366" t="s">
        <v>37</v>
      </c>
      <c r="M3366">
        <v>0</v>
      </c>
      <c r="N3366">
        <v>0</v>
      </c>
      <c r="O3366" s="5" t="s">
        <v>405</v>
      </c>
      <c r="P3366" s="5" t="s">
        <v>406</v>
      </c>
      <c r="Q3366">
        <f>26-14.5</f>
        <v>11.5</v>
      </c>
      <c r="R3366" t="s">
        <v>38</v>
      </c>
      <c r="S3366" t="s">
        <v>39</v>
      </c>
      <c r="T3366">
        <v>18</v>
      </c>
      <c r="V3366">
        <v>14</v>
      </c>
      <c r="W3366">
        <v>12.2</v>
      </c>
      <c r="X3366">
        <v>23.5</v>
      </c>
      <c r="Z3366" t="s">
        <v>39</v>
      </c>
      <c r="AB3366" t="s">
        <v>811</v>
      </c>
      <c r="AC3366" t="s">
        <v>88</v>
      </c>
    </row>
    <row r="3367" spans="1:30" x14ac:dyDescent="0.25">
      <c r="A3367" s="4">
        <v>42598</v>
      </c>
      <c r="B3367" t="s">
        <v>30</v>
      </c>
      <c r="C3367">
        <v>113</v>
      </c>
      <c r="D3367">
        <v>2</v>
      </c>
      <c r="E3367">
        <v>2</v>
      </c>
      <c r="F3367" t="s">
        <v>31</v>
      </c>
      <c r="G3367" t="s">
        <v>32</v>
      </c>
      <c r="H3367" t="s">
        <v>33</v>
      </c>
      <c r="I3367" t="s">
        <v>34</v>
      </c>
      <c r="J3367" t="s">
        <v>35</v>
      </c>
      <c r="K3367" t="s">
        <v>36</v>
      </c>
      <c r="L3367" t="s">
        <v>43</v>
      </c>
      <c r="M3367">
        <v>0</v>
      </c>
      <c r="N3367">
        <v>0</v>
      </c>
      <c r="O3367" s="5" t="s">
        <v>468</v>
      </c>
      <c r="P3367" s="5" t="s">
        <v>469</v>
      </c>
      <c r="Q3367">
        <f>34-16</f>
        <v>18</v>
      </c>
      <c r="R3367" t="s">
        <v>47</v>
      </c>
      <c r="T3367">
        <v>20</v>
      </c>
      <c r="V3367">
        <v>17</v>
      </c>
      <c r="W3367">
        <v>13.1</v>
      </c>
      <c r="X3367">
        <v>27.1</v>
      </c>
      <c r="Y3367" t="s">
        <v>812</v>
      </c>
      <c r="AB3367" t="s">
        <v>811</v>
      </c>
      <c r="AC3367" t="s">
        <v>88</v>
      </c>
      <c r="AD3367" t="s">
        <v>813</v>
      </c>
    </row>
    <row r="3368" spans="1:30" x14ac:dyDescent="0.25">
      <c r="A3368" s="4">
        <v>42598</v>
      </c>
      <c r="B3368" t="s">
        <v>30</v>
      </c>
      <c r="C3368">
        <v>113</v>
      </c>
      <c r="D3368">
        <v>3</v>
      </c>
      <c r="E3368">
        <v>1</v>
      </c>
      <c r="F3368" t="s">
        <v>31</v>
      </c>
      <c r="G3368" t="s">
        <v>32</v>
      </c>
      <c r="H3368" t="s">
        <v>33</v>
      </c>
      <c r="I3368" t="s">
        <v>34</v>
      </c>
      <c r="J3368" t="s">
        <v>35</v>
      </c>
      <c r="K3368" t="s">
        <v>89</v>
      </c>
      <c r="L3368" t="s">
        <v>37</v>
      </c>
      <c r="M3368">
        <v>0</v>
      </c>
      <c r="N3368">
        <v>0</v>
      </c>
      <c r="O3368" s="5" t="s">
        <v>495</v>
      </c>
      <c r="P3368" s="5" t="s">
        <v>496</v>
      </c>
      <c r="Q3368">
        <f>29-14</f>
        <v>15</v>
      </c>
      <c r="R3368" t="s">
        <v>38</v>
      </c>
      <c r="S3368" t="s">
        <v>39</v>
      </c>
      <c r="T3368">
        <v>19</v>
      </c>
      <c r="V3368">
        <v>17</v>
      </c>
      <c r="W3368">
        <v>12.8</v>
      </c>
      <c r="X3368">
        <v>26</v>
      </c>
      <c r="AB3368" t="s">
        <v>811</v>
      </c>
      <c r="AC3368" t="s">
        <v>88</v>
      </c>
    </row>
    <row r="3369" spans="1:30" x14ac:dyDescent="0.25">
      <c r="A3369" s="4">
        <v>42598</v>
      </c>
      <c r="B3369" t="s">
        <v>30</v>
      </c>
      <c r="C3369">
        <v>113</v>
      </c>
      <c r="D3369">
        <v>4</v>
      </c>
      <c r="E3369">
        <v>1</v>
      </c>
      <c r="F3369" t="s">
        <v>31</v>
      </c>
      <c r="G3369" t="s">
        <v>32</v>
      </c>
      <c r="H3369" t="s">
        <v>33</v>
      </c>
      <c r="I3369" t="s">
        <v>57</v>
      </c>
      <c r="O3369" s="5"/>
      <c r="P3369" s="5"/>
    </row>
    <row r="3370" spans="1:30" x14ac:dyDescent="0.25">
      <c r="A3370" s="4">
        <v>42598</v>
      </c>
      <c r="B3370" t="s">
        <v>30</v>
      </c>
      <c r="C3370">
        <v>113</v>
      </c>
      <c r="D3370">
        <v>4</v>
      </c>
      <c r="E3370">
        <v>2</v>
      </c>
      <c r="F3370" t="s">
        <v>31</v>
      </c>
      <c r="G3370" t="s">
        <v>32</v>
      </c>
      <c r="H3370" t="s">
        <v>33</v>
      </c>
      <c r="I3370" t="s">
        <v>57</v>
      </c>
      <c r="O3370" s="5"/>
      <c r="P3370" s="5"/>
    </row>
    <row r="3371" spans="1:30" x14ac:dyDescent="0.25">
      <c r="A3371" s="4">
        <v>42598</v>
      </c>
      <c r="B3371" t="s">
        <v>30</v>
      </c>
      <c r="C3371">
        <v>113</v>
      </c>
      <c r="D3371">
        <v>5</v>
      </c>
      <c r="E3371">
        <v>1</v>
      </c>
      <c r="F3371" t="s">
        <v>31</v>
      </c>
      <c r="G3371" t="s">
        <v>32</v>
      </c>
      <c r="H3371" t="s">
        <v>33</v>
      </c>
      <c r="I3371" t="s">
        <v>814</v>
      </c>
      <c r="J3371" t="s">
        <v>42</v>
      </c>
      <c r="K3371" t="s">
        <v>114</v>
      </c>
      <c r="L3371" t="s">
        <v>37</v>
      </c>
      <c r="M3371">
        <v>0</v>
      </c>
      <c r="N3371">
        <v>1</v>
      </c>
      <c r="O3371" s="5" t="s">
        <v>815</v>
      </c>
      <c r="P3371" s="5"/>
      <c r="Q3371">
        <f>30-13</f>
        <v>17</v>
      </c>
      <c r="R3371" t="s">
        <v>38</v>
      </c>
      <c r="S3371" t="s">
        <v>39</v>
      </c>
      <c r="T3371">
        <v>17</v>
      </c>
      <c r="W3371">
        <v>14.6</v>
      </c>
      <c r="X3371">
        <v>26.4</v>
      </c>
      <c r="Z3371" t="s">
        <v>97</v>
      </c>
      <c r="AB3371" t="s">
        <v>796</v>
      </c>
      <c r="AC3371" t="s">
        <v>88</v>
      </c>
    </row>
    <row r="3372" spans="1:30" x14ac:dyDescent="0.25">
      <c r="A3372" s="4">
        <v>42598</v>
      </c>
      <c r="B3372" t="s">
        <v>30</v>
      </c>
      <c r="C3372">
        <v>113</v>
      </c>
      <c r="D3372">
        <v>5</v>
      </c>
      <c r="E3372">
        <v>2</v>
      </c>
      <c r="F3372" t="s">
        <v>31</v>
      </c>
      <c r="G3372" t="s">
        <v>32</v>
      </c>
      <c r="H3372" t="s">
        <v>33</v>
      </c>
      <c r="I3372" t="s">
        <v>34</v>
      </c>
      <c r="J3372" t="s">
        <v>35</v>
      </c>
      <c r="K3372" t="s">
        <v>114</v>
      </c>
      <c r="L3372" t="s">
        <v>37</v>
      </c>
      <c r="M3372">
        <v>0</v>
      </c>
      <c r="N3372">
        <v>0</v>
      </c>
      <c r="O3372" s="5" t="s">
        <v>419</v>
      </c>
      <c r="P3372" s="5" t="s">
        <v>420</v>
      </c>
      <c r="Q3372">
        <f>28.5-13.5</f>
        <v>15</v>
      </c>
      <c r="R3372" t="s">
        <v>38</v>
      </c>
      <c r="S3372" t="s">
        <v>39</v>
      </c>
      <c r="T3372">
        <v>17</v>
      </c>
      <c r="U3372">
        <v>76</v>
      </c>
      <c r="V3372">
        <v>18</v>
      </c>
      <c r="W3372">
        <v>12.4</v>
      </c>
      <c r="X3372">
        <v>24.25</v>
      </c>
      <c r="AB3372" t="s">
        <v>796</v>
      </c>
      <c r="AC3372" t="s">
        <v>88</v>
      </c>
    </row>
    <row r="3373" spans="1:30" x14ac:dyDescent="0.25">
      <c r="A3373" s="4">
        <v>42598</v>
      </c>
      <c r="B3373" t="s">
        <v>30</v>
      </c>
      <c r="C3373">
        <v>113</v>
      </c>
      <c r="D3373">
        <v>6</v>
      </c>
      <c r="E3373">
        <v>1</v>
      </c>
      <c r="F3373" t="s">
        <v>31</v>
      </c>
      <c r="G3373" t="s">
        <v>32</v>
      </c>
      <c r="H3373" t="s">
        <v>33</v>
      </c>
      <c r="I3373" t="s">
        <v>57</v>
      </c>
      <c r="O3373" s="5"/>
      <c r="P3373" s="5"/>
    </row>
    <row r="3374" spans="1:30" x14ac:dyDescent="0.25">
      <c r="A3374" s="4">
        <v>42598</v>
      </c>
      <c r="B3374" t="s">
        <v>30</v>
      </c>
      <c r="C3374">
        <v>113</v>
      </c>
      <c r="D3374">
        <v>6</v>
      </c>
      <c r="E3374">
        <v>2</v>
      </c>
      <c r="F3374" t="s">
        <v>31</v>
      </c>
      <c r="G3374" t="s">
        <v>32</v>
      </c>
      <c r="H3374" t="s">
        <v>33</v>
      </c>
      <c r="I3374" t="s">
        <v>57</v>
      </c>
      <c r="O3374" s="5"/>
      <c r="P3374" s="5"/>
    </row>
    <row r="3375" spans="1:30" x14ac:dyDescent="0.25">
      <c r="A3375" s="4">
        <v>42598</v>
      </c>
      <c r="B3375" t="s">
        <v>30</v>
      </c>
      <c r="C3375">
        <v>113</v>
      </c>
      <c r="D3375">
        <v>7</v>
      </c>
      <c r="E3375">
        <v>1</v>
      </c>
      <c r="F3375" t="s">
        <v>31</v>
      </c>
      <c r="G3375" t="s">
        <v>32</v>
      </c>
      <c r="H3375" t="s">
        <v>33</v>
      </c>
      <c r="I3375" t="s">
        <v>57</v>
      </c>
      <c r="O3375" s="5"/>
      <c r="P3375" s="5"/>
    </row>
    <row r="3376" spans="1:30" x14ac:dyDescent="0.25">
      <c r="A3376" s="4">
        <v>42598</v>
      </c>
      <c r="B3376" t="s">
        <v>30</v>
      </c>
      <c r="C3376">
        <v>113</v>
      </c>
      <c r="D3376">
        <v>7</v>
      </c>
      <c r="E3376">
        <v>2</v>
      </c>
      <c r="F3376" t="s">
        <v>31</v>
      </c>
      <c r="G3376" t="s">
        <v>32</v>
      </c>
      <c r="H3376" t="s">
        <v>33</v>
      </c>
      <c r="I3376" t="s">
        <v>57</v>
      </c>
      <c r="O3376" s="5"/>
      <c r="P3376" s="5"/>
    </row>
    <row r="3377" spans="1:30" x14ac:dyDescent="0.25">
      <c r="A3377" s="4">
        <v>42598</v>
      </c>
      <c r="B3377" t="s">
        <v>30</v>
      </c>
      <c r="C3377">
        <v>113</v>
      </c>
      <c r="D3377">
        <v>8</v>
      </c>
      <c r="E3377">
        <v>1</v>
      </c>
      <c r="F3377" t="s">
        <v>31</v>
      </c>
      <c r="G3377" t="s">
        <v>32</v>
      </c>
      <c r="H3377" t="s">
        <v>33</v>
      </c>
      <c r="I3377" t="s">
        <v>57</v>
      </c>
      <c r="O3377" s="5"/>
      <c r="P3377" s="5"/>
    </row>
    <row r="3378" spans="1:30" x14ac:dyDescent="0.25">
      <c r="A3378" s="4">
        <v>42598</v>
      </c>
      <c r="B3378" t="s">
        <v>30</v>
      </c>
      <c r="C3378">
        <v>113</v>
      </c>
      <c r="D3378">
        <v>8</v>
      </c>
      <c r="E3378">
        <v>2</v>
      </c>
      <c r="F3378" t="s">
        <v>31</v>
      </c>
      <c r="G3378" t="s">
        <v>32</v>
      </c>
      <c r="H3378" t="s">
        <v>33</v>
      </c>
      <c r="I3378" t="s">
        <v>34</v>
      </c>
      <c r="J3378" t="s">
        <v>35</v>
      </c>
      <c r="K3378" t="s">
        <v>114</v>
      </c>
      <c r="L3378" t="s">
        <v>43</v>
      </c>
      <c r="M3378">
        <v>0</v>
      </c>
      <c r="N3378">
        <v>0</v>
      </c>
      <c r="O3378" s="5" t="s">
        <v>411</v>
      </c>
      <c r="P3378" s="5" t="s">
        <v>412</v>
      </c>
      <c r="Q3378">
        <f>31-15</f>
        <v>16</v>
      </c>
      <c r="R3378" t="s">
        <v>65</v>
      </c>
      <c r="T3378">
        <v>19</v>
      </c>
      <c r="U3378">
        <v>83</v>
      </c>
      <c r="V3378">
        <v>16</v>
      </c>
      <c r="W3378">
        <v>13</v>
      </c>
      <c r="X3378">
        <v>25.1</v>
      </c>
      <c r="AB3378" t="s">
        <v>796</v>
      </c>
      <c r="AC3378" t="s">
        <v>88</v>
      </c>
    </row>
    <row r="3379" spans="1:30" x14ac:dyDescent="0.25">
      <c r="A3379" s="4">
        <v>42598</v>
      </c>
      <c r="B3379" t="s">
        <v>30</v>
      </c>
      <c r="C3379">
        <v>113</v>
      </c>
      <c r="D3379">
        <v>9</v>
      </c>
      <c r="E3379">
        <v>1</v>
      </c>
      <c r="F3379" t="s">
        <v>31</v>
      </c>
      <c r="G3379" t="s">
        <v>32</v>
      </c>
      <c r="H3379" t="s">
        <v>33</v>
      </c>
      <c r="I3379" t="s">
        <v>57</v>
      </c>
      <c r="O3379" s="5"/>
      <c r="P3379" s="5"/>
    </row>
    <row r="3380" spans="1:30" x14ac:dyDescent="0.25">
      <c r="A3380" s="4">
        <v>42598</v>
      </c>
      <c r="B3380" t="s">
        <v>30</v>
      </c>
      <c r="C3380">
        <v>113</v>
      </c>
      <c r="D3380">
        <v>9</v>
      </c>
      <c r="E3380">
        <v>2</v>
      </c>
      <c r="F3380" t="s">
        <v>31</v>
      </c>
      <c r="G3380" t="s">
        <v>32</v>
      </c>
      <c r="H3380" t="s">
        <v>33</v>
      </c>
      <c r="I3380" t="s">
        <v>57</v>
      </c>
      <c r="O3380" s="5"/>
      <c r="P3380" s="5"/>
    </row>
    <row r="3381" spans="1:30" x14ac:dyDescent="0.25">
      <c r="A3381" s="4">
        <v>42598</v>
      </c>
      <c r="B3381" t="s">
        <v>30</v>
      </c>
      <c r="C3381">
        <v>113</v>
      </c>
      <c r="D3381">
        <v>10</v>
      </c>
      <c r="E3381">
        <v>1</v>
      </c>
      <c r="F3381" t="s">
        <v>31</v>
      </c>
      <c r="G3381" t="s">
        <v>32</v>
      </c>
      <c r="H3381" t="s">
        <v>33</v>
      </c>
      <c r="I3381" t="s">
        <v>57</v>
      </c>
      <c r="O3381" s="5"/>
      <c r="P3381" s="5"/>
    </row>
    <row r="3382" spans="1:30" x14ac:dyDescent="0.25">
      <c r="A3382" s="4">
        <v>42598</v>
      </c>
      <c r="B3382" t="s">
        <v>30</v>
      </c>
      <c r="C3382">
        <v>113</v>
      </c>
      <c r="D3382">
        <v>10</v>
      </c>
      <c r="E3382">
        <v>2</v>
      </c>
      <c r="F3382" t="s">
        <v>31</v>
      </c>
      <c r="G3382" t="s">
        <v>32</v>
      </c>
      <c r="H3382" t="s">
        <v>33</v>
      </c>
      <c r="I3382" t="s">
        <v>34</v>
      </c>
      <c r="J3382" t="s">
        <v>35</v>
      </c>
      <c r="K3382" t="s">
        <v>89</v>
      </c>
      <c r="L3382" t="s">
        <v>43</v>
      </c>
      <c r="M3382">
        <v>0</v>
      </c>
      <c r="N3382">
        <v>0</v>
      </c>
      <c r="O3382" s="5" t="s">
        <v>415</v>
      </c>
      <c r="P3382" s="5" t="s">
        <v>416</v>
      </c>
      <c r="Q3382">
        <f>28-13.5</f>
        <v>14.5</v>
      </c>
      <c r="R3382" t="s">
        <v>65</v>
      </c>
      <c r="T3382">
        <v>18.5</v>
      </c>
      <c r="V3382">
        <v>17</v>
      </c>
      <c r="W3382">
        <v>12.5</v>
      </c>
      <c r="X3382">
        <v>25</v>
      </c>
      <c r="AB3382" t="s">
        <v>796</v>
      </c>
      <c r="AC3382" t="s">
        <v>88</v>
      </c>
    </row>
    <row r="3383" spans="1:30" x14ac:dyDescent="0.25">
      <c r="A3383" s="4">
        <v>42598</v>
      </c>
      <c r="B3383" t="s">
        <v>30</v>
      </c>
      <c r="C3383">
        <v>402</v>
      </c>
      <c r="D3383">
        <v>1</v>
      </c>
      <c r="E3383">
        <v>1</v>
      </c>
      <c r="F3383" t="s">
        <v>31</v>
      </c>
      <c r="G3383" t="s">
        <v>32</v>
      </c>
      <c r="H3383" t="s">
        <v>33</v>
      </c>
      <c r="I3383" t="s">
        <v>58</v>
      </c>
      <c r="J3383" t="s">
        <v>42</v>
      </c>
      <c r="K3383" t="s">
        <v>89</v>
      </c>
      <c r="L3383" t="s">
        <v>43</v>
      </c>
      <c r="M3383">
        <v>0</v>
      </c>
      <c r="N3383">
        <v>1</v>
      </c>
      <c r="O3383" s="5" t="s">
        <v>816</v>
      </c>
      <c r="P3383" s="5"/>
      <c r="Q3383">
        <f>32.5-15</f>
        <v>17.5</v>
      </c>
      <c r="R3383" t="s">
        <v>65</v>
      </c>
      <c r="T3383">
        <v>17</v>
      </c>
      <c r="W3383">
        <v>13.05</v>
      </c>
      <c r="X3383">
        <v>25.4</v>
      </c>
      <c r="Y3383" t="s">
        <v>817</v>
      </c>
      <c r="Z3383" t="s">
        <v>97</v>
      </c>
      <c r="AB3383" t="s">
        <v>796</v>
      </c>
      <c r="AC3383" t="s">
        <v>88</v>
      </c>
    </row>
    <row r="3384" spans="1:30" x14ac:dyDescent="0.25">
      <c r="A3384" s="4">
        <v>42598</v>
      </c>
      <c r="B3384" t="s">
        <v>30</v>
      </c>
      <c r="C3384">
        <v>402</v>
      </c>
      <c r="D3384">
        <v>1</v>
      </c>
      <c r="E3384">
        <v>2</v>
      </c>
      <c r="F3384" t="s">
        <v>31</v>
      </c>
      <c r="G3384" t="s">
        <v>32</v>
      </c>
      <c r="H3384" t="s">
        <v>33</v>
      </c>
      <c r="I3384" t="s">
        <v>57</v>
      </c>
      <c r="O3384" s="5"/>
      <c r="P3384" s="5"/>
    </row>
    <row r="3385" spans="1:30" x14ac:dyDescent="0.25">
      <c r="A3385" s="4">
        <v>42598</v>
      </c>
      <c r="B3385" t="s">
        <v>30</v>
      </c>
      <c r="C3385">
        <v>402</v>
      </c>
      <c r="D3385">
        <v>2</v>
      </c>
      <c r="E3385">
        <v>1</v>
      </c>
      <c r="F3385" t="s">
        <v>31</v>
      </c>
      <c r="G3385" t="s">
        <v>32</v>
      </c>
      <c r="H3385" t="s">
        <v>33</v>
      </c>
      <c r="I3385" t="s">
        <v>58</v>
      </c>
      <c r="J3385" t="s">
        <v>35</v>
      </c>
      <c r="K3385" t="s">
        <v>36</v>
      </c>
      <c r="L3385" t="s">
        <v>43</v>
      </c>
      <c r="M3385">
        <v>0</v>
      </c>
      <c r="N3385">
        <v>0</v>
      </c>
      <c r="O3385" s="5" t="s">
        <v>818</v>
      </c>
      <c r="P3385" s="5"/>
      <c r="Q3385">
        <f>42-15.5</f>
        <v>26.5</v>
      </c>
      <c r="R3385" t="s">
        <v>47</v>
      </c>
      <c r="T3385">
        <v>15.5</v>
      </c>
      <c r="W3385">
        <v>13.4</v>
      </c>
      <c r="X3385">
        <v>25.8</v>
      </c>
      <c r="Z3385" t="s">
        <v>97</v>
      </c>
      <c r="AA3385" t="s">
        <v>819</v>
      </c>
      <c r="AB3385" t="s">
        <v>796</v>
      </c>
      <c r="AC3385" t="s">
        <v>88</v>
      </c>
    </row>
    <row r="3386" spans="1:30" x14ac:dyDescent="0.25">
      <c r="A3386" s="4">
        <v>42598</v>
      </c>
      <c r="B3386" t="s">
        <v>30</v>
      </c>
      <c r="C3386">
        <v>402</v>
      </c>
      <c r="D3386">
        <v>2</v>
      </c>
      <c r="E3386">
        <v>2</v>
      </c>
      <c r="F3386" t="s">
        <v>31</v>
      </c>
      <c r="G3386" t="s">
        <v>32</v>
      </c>
      <c r="H3386" t="s">
        <v>33</v>
      </c>
      <c r="I3386" t="s">
        <v>58</v>
      </c>
      <c r="J3386" t="s">
        <v>42</v>
      </c>
      <c r="K3386" t="s">
        <v>36</v>
      </c>
      <c r="L3386" t="s">
        <v>37</v>
      </c>
      <c r="M3386">
        <v>0</v>
      </c>
      <c r="N3386">
        <v>1</v>
      </c>
      <c r="O3386" s="5" t="s">
        <v>820</v>
      </c>
      <c r="P3386" s="5"/>
      <c r="Q3386">
        <f>47-21.5</f>
        <v>25.5</v>
      </c>
      <c r="R3386" t="s">
        <v>74</v>
      </c>
      <c r="S3386" t="s">
        <v>97</v>
      </c>
      <c r="T3386">
        <v>17</v>
      </c>
      <c r="W3386">
        <v>13.75</v>
      </c>
      <c r="X3386">
        <v>29</v>
      </c>
      <c r="Z3386" t="s">
        <v>97</v>
      </c>
      <c r="AB3386" t="s">
        <v>796</v>
      </c>
      <c r="AC3386" t="s">
        <v>88</v>
      </c>
    </row>
    <row r="3387" spans="1:30" x14ac:dyDescent="0.25">
      <c r="A3387" s="4">
        <v>42598</v>
      </c>
      <c r="B3387" t="s">
        <v>30</v>
      </c>
      <c r="C3387">
        <v>402</v>
      </c>
      <c r="D3387">
        <v>3</v>
      </c>
      <c r="E3387">
        <v>1</v>
      </c>
      <c r="F3387" t="s">
        <v>31</v>
      </c>
      <c r="G3387" t="s">
        <v>32</v>
      </c>
      <c r="H3387" t="s">
        <v>33</v>
      </c>
      <c r="I3387" t="s">
        <v>57</v>
      </c>
      <c r="O3387" s="5"/>
      <c r="P3387" s="5"/>
    </row>
    <row r="3388" spans="1:30" x14ac:dyDescent="0.25">
      <c r="A3388" s="4">
        <v>42598</v>
      </c>
      <c r="B3388" t="s">
        <v>30</v>
      </c>
      <c r="C3388">
        <v>402</v>
      </c>
      <c r="D3388">
        <v>3</v>
      </c>
      <c r="E3388">
        <v>2</v>
      </c>
      <c r="F3388" t="s">
        <v>31</v>
      </c>
      <c r="G3388" t="s">
        <v>32</v>
      </c>
      <c r="H3388" t="s">
        <v>33</v>
      </c>
      <c r="I3388" t="s">
        <v>57</v>
      </c>
      <c r="O3388" s="5"/>
      <c r="P3388" s="5"/>
    </row>
    <row r="3389" spans="1:30" x14ac:dyDescent="0.25">
      <c r="A3389" s="4">
        <v>42598</v>
      </c>
      <c r="B3389" t="s">
        <v>30</v>
      </c>
      <c r="C3389">
        <v>402</v>
      </c>
      <c r="D3389">
        <v>4</v>
      </c>
      <c r="E3389">
        <v>1</v>
      </c>
      <c r="F3389" t="s">
        <v>31</v>
      </c>
      <c r="G3389" t="s">
        <v>32</v>
      </c>
      <c r="H3389" t="s">
        <v>33</v>
      </c>
      <c r="I3389" t="s">
        <v>57</v>
      </c>
      <c r="O3389" s="5"/>
      <c r="P3389" s="5"/>
    </row>
    <row r="3390" spans="1:30" x14ac:dyDescent="0.25">
      <c r="A3390" s="4">
        <v>42598</v>
      </c>
      <c r="B3390" t="s">
        <v>30</v>
      </c>
      <c r="C3390">
        <v>402</v>
      </c>
      <c r="D3390">
        <v>4</v>
      </c>
      <c r="E3390">
        <v>2</v>
      </c>
      <c r="F3390" t="s">
        <v>31</v>
      </c>
      <c r="G3390" t="s">
        <v>32</v>
      </c>
      <c r="H3390" t="s">
        <v>33</v>
      </c>
      <c r="I3390" t="s">
        <v>57</v>
      </c>
      <c r="O3390" s="5"/>
      <c r="P3390" s="5"/>
    </row>
    <row r="3391" spans="1:30" x14ac:dyDescent="0.25">
      <c r="A3391" s="4">
        <v>42598</v>
      </c>
      <c r="B3391" t="s">
        <v>30</v>
      </c>
      <c r="C3391">
        <v>402</v>
      </c>
      <c r="D3391">
        <v>7</v>
      </c>
      <c r="E3391">
        <v>1</v>
      </c>
      <c r="F3391" t="s">
        <v>31</v>
      </c>
      <c r="G3391" t="s">
        <v>32</v>
      </c>
      <c r="H3391" t="s">
        <v>33</v>
      </c>
      <c r="I3391" t="s">
        <v>57</v>
      </c>
      <c r="O3391" s="5"/>
      <c r="P3391" s="5"/>
    </row>
    <row r="3392" spans="1:30" x14ac:dyDescent="0.25">
      <c r="A3392" s="4">
        <v>42598</v>
      </c>
      <c r="B3392" t="s">
        <v>30</v>
      </c>
      <c r="C3392">
        <v>402</v>
      </c>
      <c r="D3392">
        <v>7</v>
      </c>
      <c r="E3392">
        <v>2</v>
      </c>
      <c r="F3392" t="s">
        <v>31</v>
      </c>
      <c r="G3392" t="s">
        <v>32</v>
      </c>
      <c r="H3392" t="s">
        <v>33</v>
      </c>
      <c r="I3392" t="s">
        <v>58</v>
      </c>
      <c r="J3392" t="s">
        <v>42</v>
      </c>
      <c r="K3392" t="s">
        <v>89</v>
      </c>
      <c r="L3392" t="s">
        <v>43</v>
      </c>
      <c r="M3392">
        <v>0</v>
      </c>
      <c r="N3392">
        <v>1</v>
      </c>
      <c r="O3392" s="5" t="s">
        <v>821</v>
      </c>
      <c r="P3392" s="5"/>
      <c r="Q3392">
        <f>35-18</f>
        <v>17</v>
      </c>
      <c r="R3392" t="s">
        <v>65</v>
      </c>
      <c r="T3392">
        <v>17.5</v>
      </c>
      <c r="W3392">
        <v>12.5</v>
      </c>
      <c r="X3392">
        <v>25.8</v>
      </c>
      <c r="Z3392" t="s">
        <v>97</v>
      </c>
      <c r="AB3392" t="s">
        <v>796</v>
      </c>
      <c r="AC3392" t="s">
        <v>88</v>
      </c>
      <c r="AD3392" t="s">
        <v>129</v>
      </c>
    </row>
    <row r="3393" spans="1:30" x14ac:dyDescent="0.25">
      <c r="A3393" s="4">
        <v>42598</v>
      </c>
      <c r="B3393" t="s">
        <v>30</v>
      </c>
      <c r="C3393">
        <v>402</v>
      </c>
      <c r="D3393">
        <v>8</v>
      </c>
      <c r="E3393">
        <v>2</v>
      </c>
      <c r="F3393" t="s">
        <v>31</v>
      </c>
      <c r="G3393" t="s">
        <v>32</v>
      </c>
      <c r="H3393" t="s">
        <v>33</v>
      </c>
      <c r="I3393" t="s">
        <v>91</v>
      </c>
      <c r="J3393" t="s">
        <v>42</v>
      </c>
      <c r="K3393" t="s">
        <v>36</v>
      </c>
      <c r="L3393" t="s">
        <v>43</v>
      </c>
      <c r="M3393">
        <v>0</v>
      </c>
      <c r="N3393">
        <v>1</v>
      </c>
      <c r="O3393" s="5" t="s">
        <v>822</v>
      </c>
      <c r="P3393" s="5"/>
      <c r="Q3393">
        <f>38-19</f>
        <v>19</v>
      </c>
      <c r="R3393" t="s">
        <v>65</v>
      </c>
      <c r="T3393">
        <v>28</v>
      </c>
      <c r="W3393">
        <v>12.8</v>
      </c>
      <c r="X3393">
        <v>25.2</v>
      </c>
      <c r="Z3393" t="s">
        <v>97</v>
      </c>
      <c r="AB3393" t="s">
        <v>796</v>
      </c>
      <c r="AC3393" t="s">
        <v>88</v>
      </c>
    </row>
    <row r="3394" spans="1:30" x14ac:dyDescent="0.25">
      <c r="A3394" s="4">
        <v>42598</v>
      </c>
      <c r="B3394" t="s">
        <v>30</v>
      </c>
      <c r="C3394">
        <v>402</v>
      </c>
      <c r="D3394">
        <v>9</v>
      </c>
      <c r="E3394">
        <v>1</v>
      </c>
      <c r="F3394" t="s">
        <v>31</v>
      </c>
      <c r="G3394" t="s">
        <v>32</v>
      </c>
      <c r="H3394" t="s">
        <v>33</v>
      </c>
      <c r="I3394" t="s">
        <v>53</v>
      </c>
      <c r="J3394" t="s">
        <v>62</v>
      </c>
      <c r="O3394" s="5"/>
      <c r="P3394" s="5"/>
    </row>
    <row r="3395" spans="1:30" x14ac:dyDescent="0.25">
      <c r="A3395" s="4">
        <v>42598</v>
      </c>
      <c r="B3395" t="s">
        <v>30</v>
      </c>
      <c r="C3395">
        <v>402</v>
      </c>
      <c r="D3395">
        <v>9</v>
      </c>
      <c r="E3395">
        <v>2</v>
      </c>
      <c r="F3395" t="s">
        <v>31</v>
      </c>
      <c r="G3395" t="s">
        <v>32</v>
      </c>
      <c r="H3395" t="s">
        <v>33</v>
      </c>
      <c r="I3395" t="s">
        <v>58</v>
      </c>
      <c r="J3395" t="s">
        <v>35</v>
      </c>
      <c r="K3395" t="s">
        <v>36</v>
      </c>
      <c r="L3395" t="s">
        <v>37</v>
      </c>
      <c r="M3395">
        <v>0</v>
      </c>
      <c r="N3395">
        <v>0</v>
      </c>
      <c r="O3395" s="5" t="s">
        <v>337</v>
      </c>
      <c r="P3395" s="5"/>
      <c r="Q3395">
        <f>45-18</f>
        <v>27</v>
      </c>
      <c r="R3395" t="s">
        <v>143</v>
      </c>
      <c r="S3395" t="s">
        <v>97</v>
      </c>
      <c r="T3395">
        <v>16</v>
      </c>
      <c r="W3395">
        <v>13</v>
      </c>
      <c r="X3395">
        <v>29.3</v>
      </c>
      <c r="Z3395" t="s">
        <v>97</v>
      </c>
      <c r="AB3395" t="s">
        <v>796</v>
      </c>
      <c r="AC3395" t="s">
        <v>88</v>
      </c>
      <c r="AD3395" t="s">
        <v>823</v>
      </c>
    </row>
    <row r="3396" spans="1:30" x14ac:dyDescent="0.25">
      <c r="A3396" s="4">
        <v>42599</v>
      </c>
      <c r="B3396" t="s">
        <v>30</v>
      </c>
      <c r="C3396">
        <v>111</v>
      </c>
      <c r="D3396">
        <v>5</v>
      </c>
      <c r="E3396">
        <v>1</v>
      </c>
      <c r="F3396" t="s">
        <v>31</v>
      </c>
      <c r="G3396" t="s">
        <v>32</v>
      </c>
      <c r="H3396" t="s">
        <v>33</v>
      </c>
      <c r="I3396" t="s">
        <v>91</v>
      </c>
      <c r="J3396" t="s">
        <v>35</v>
      </c>
      <c r="K3396" t="s">
        <v>36</v>
      </c>
      <c r="L3396" t="s">
        <v>37</v>
      </c>
      <c r="M3396">
        <v>0</v>
      </c>
      <c r="N3396">
        <v>0</v>
      </c>
      <c r="O3396" s="5" t="s">
        <v>165</v>
      </c>
      <c r="P3396" s="5" t="s">
        <v>824</v>
      </c>
      <c r="Q3396">
        <f>35-12.5</f>
        <v>22.5</v>
      </c>
      <c r="R3396" t="s">
        <v>74</v>
      </c>
      <c r="S3396" t="s">
        <v>97</v>
      </c>
      <c r="T3396">
        <v>29</v>
      </c>
      <c r="W3396">
        <v>12.9</v>
      </c>
      <c r="X3396">
        <v>24.7</v>
      </c>
      <c r="AB3396" t="s">
        <v>87</v>
      </c>
      <c r="AC3396" t="s">
        <v>56</v>
      </c>
    </row>
    <row r="3397" spans="1:30" x14ac:dyDescent="0.25">
      <c r="A3397" s="4">
        <v>42599</v>
      </c>
      <c r="B3397" t="s">
        <v>30</v>
      </c>
      <c r="C3397">
        <v>111</v>
      </c>
      <c r="D3397">
        <v>3</v>
      </c>
      <c r="E3397">
        <v>1</v>
      </c>
      <c r="F3397" t="s">
        <v>31</v>
      </c>
      <c r="G3397" t="s">
        <v>32</v>
      </c>
      <c r="H3397" t="s">
        <v>33</v>
      </c>
      <c r="I3397" t="s">
        <v>57</v>
      </c>
      <c r="O3397" s="5"/>
      <c r="P3397" s="5"/>
    </row>
    <row r="3398" spans="1:30" x14ac:dyDescent="0.25">
      <c r="A3398" s="4">
        <v>42599</v>
      </c>
      <c r="B3398" t="s">
        <v>30</v>
      </c>
      <c r="C3398">
        <v>111</v>
      </c>
      <c r="D3398">
        <v>3</v>
      </c>
      <c r="E3398">
        <v>2</v>
      </c>
      <c r="F3398" t="s">
        <v>31</v>
      </c>
      <c r="G3398" t="s">
        <v>32</v>
      </c>
      <c r="H3398" t="s">
        <v>33</v>
      </c>
      <c r="I3398" t="s">
        <v>34</v>
      </c>
      <c r="J3398" t="s">
        <v>42</v>
      </c>
      <c r="K3398" t="s">
        <v>36</v>
      </c>
      <c r="L3398" t="s">
        <v>43</v>
      </c>
      <c r="M3398">
        <v>0</v>
      </c>
      <c r="N3398">
        <v>1</v>
      </c>
      <c r="O3398" s="5" t="s">
        <v>825</v>
      </c>
      <c r="P3398" s="5" t="s">
        <v>826</v>
      </c>
      <c r="Q3398">
        <f>33-13</f>
        <v>20</v>
      </c>
      <c r="R3398" t="s">
        <v>65</v>
      </c>
      <c r="T3398">
        <v>20.5</v>
      </c>
      <c r="U3398">
        <v>94</v>
      </c>
      <c r="V3398">
        <v>16</v>
      </c>
      <c r="W3398">
        <v>13.5</v>
      </c>
      <c r="X3398">
        <v>28</v>
      </c>
      <c r="AB3398" t="s">
        <v>87</v>
      </c>
      <c r="AC3398" t="s">
        <v>56</v>
      </c>
    </row>
    <row r="3399" spans="1:30" x14ac:dyDescent="0.25">
      <c r="A3399" s="4">
        <v>42599</v>
      </c>
      <c r="B3399" t="s">
        <v>30</v>
      </c>
      <c r="C3399">
        <v>111</v>
      </c>
      <c r="D3399">
        <v>2</v>
      </c>
      <c r="E3399">
        <v>1</v>
      </c>
      <c r="F3399" t="s">
        <v>31</v>
      </c>
      <c r="G3399" t="s">
        <v>32</v>
      </c>
      <c r="H3399" t="s">
        <v>33</v>
      </c>
      <c r="I3399" t="s">
        <v>57</v>
      </c>
      <c r="O3399" s="5"/>
      <c r="P3399" s="5"/>
    </row>
    <row r="3400" spans="1:30" x14ac:dyDescent="0.25">
      <c r="A3400" s="4">
        <v>42599</v>
      </c>
      <c r="B3400" t="s">
        <v>30</v>
      </c>
      <c r="C3400">
        <v>111</v>
      </c>
      <c r="D3400">
        <v>1</v>
      </c>
      <c r="E3400">
        <v>1</v>
      </c>
      <c r="F3400" t="s">
        <v>31</v>
      </c>
      <c r="G3400" t="s">
        <v>32</v>
      </c>
      <c r="H3400" t="s">
        <v>33</v>
      </c>
      <c r="I3400" t="s">
        <v>57</v>
      </c>
      <c r="O3400" s="5"/>
      <c r="P3400" s="5"/>
    </row>
    <row r="3401" spans="1:30" x14ac:dyDescent="0.25">
      <c r="A3401" s="4">
        <v>42599</v>
      </c>
      <c r="B3401" t="s">
        <v>30</v>
      </c>
      <c r="C3401">
        <v>111</v>
      </c>
      <c r="D3401">
        <v>1</v>
      </c>
      <c r="E3401">
        <v>2</v>
      </c>
      <c r="F3401" t="s">
        <v>31</v>
      </c>
      <c r="G3401" t="s">
        <v>32</v>
      </c>
      <c r="H3401" t="s">
        <v>33</v>
      </c>
      <c r="I3401" t="s">
        <v>91</v>
      </c>
      <c r="J3401" t="s">
        <v>42</v>
      </c>
      <c r="K3401" t="s">
        <v>36</v>
      </c>
      <c r="L3401" t="s">
        <v>43</v>
      </c>
      <c r="M3401">
        <v>0</v>
      </c>
      <c r="N3401">
        <v>1</v>
      </c>
      <c r="O3401" s="5" t="s">
        <v>827</v>
      </c>
      <c r="P3401" s="5"/>
      <c r="Q3401">
        <f>36-12.5</f>
        <v>23.5</v>
      </c>
      <c r="R3401" t="s">
        <v>65</v>
      </c>
      <c r="T3401">
        <v>29</v>
      </c>
      <c r="W3401">
        <v>13.1</v>
      </c>
      <c r="X3401">
        <v>25.6</v>
      </c>
      <c r="AB3401" t="s">
        <v>87</v>
      </c>
      <c r="AC3401" t="s">
        <v>56</v>
      </c>
    </row>
    <row r="3402" spans="1:30" x14ac:dyDescent="0.25">
      <c r="A3402" s="4">
        <v>42599</v>
      </c>
      <c r="B3402" t="s">
        <v>30</v>
      </c>
      <c r="C3402">
        <v>111</v>
      </c>
      <c r="D3402">
        <v>1</v>
      </c>
      <c r="E3402">
        <v>1</v>
      </c>
      <c r="F3402" t="s">
        <v>31</v>
      </c>
      <c r="G3402" t="s">
        <v>32</v>
      </c>
      <c r="H3402" t="s">
        <v>33</v>
      </c>
      <c r="I3402" t="s">
        <v>57</v>
      </c>
      <c r="O3402" s="5"/>
      <c r="P3402" s="5"/>
    </row>
    <row r="3403" spans="1:30" x14ac:dyDescent="0.25">
      <c r="A3403" s="4">
        <v>42599</v>
      </c>
      <c r="B3403" t="s">
        <v>30</v>
      </c>
      <c r="C3403">
        <v>111</v>
      </c>
      <c r="D3403">
        <v>7</v>
      </c>
      <c r="E3403">
        <v>1</v>
      </c>
      <c r="F3403" t="s">
        <v>31</v>
      </c>
      <c r="G3403" t="s">
        <v>32</v>
      </c>
      <c r="H3403" t="s">
        <v>33</v>
      </c>
      <c r="I3403" t="s">
        <v>34</v>
      </c>
      <c r="J3403" t="s">
        <v>35</v>
      </c>
      <c r="K3403" t="s">
        <v>36</v>
      </c>
      <c r="L3403" t="s">
        <v>43</v>
      </c>
      <c r="M3403">
        <v>0</v>
      </c>
      <c r="N3403">
        <v>0</v>
      </c>
      <c r="O3403" s="5" t="s">
        <v>382</v>
      </c>
      <c r="P3403" s="5" t="s">
        <v>383</v>
      </c>
      <c r="Q3403">
        <f>38.5-13</f>
        <v>25.5</v>
      </c>
      <c r="R3403" t="s">
        <v>47</v>
      </c>
      <c r="T3403">
        <v>20</v>
      </c>
      <c r="U3403">
        <v>92</v>
      </c>
      <c r="V3403">
        <v>19</v>
      </c>
      <c r="W3403">
        <v>13.3</v>
      </c>
      <c r="X3403">
        <v>27</v>
      </c>
      <c r="AB3403" t="s">
        <v>87</v>
      </c>
      <c r="AC3403" t="s">
        <v>56</v>
      </c>
    </row>
    <row r="3404" spans="1:30" x14ac:dyDescent="0.25">
      <c r="A3404" s="4">
        <v>42599</v>
      </c>
      <c r="B3404" t="s">
        <v>30</v>
      </c>
      <c r="C3404">
        <v>111</v>
      </c>
      <c r="D3404">
        <v>8</v>
      </c>
      <c r="E3404">
        <v>1</v>
      </c>
      <c r="F3404" t="s">
        <v>31</v>
      </c>
      <c r="G3404" t="s">
        <v>32</v>
      </c>
      <c r="H3404" t="s">
        <v>33</v>
      </c>
      <c r="I3404" t="s">
        <v>57</v>
      </c>
      <c r="O3404" s="5"/>
      <c r="P3404" s="5"/>
    </row>
    <row r="3405" spans="1:30" x14ac:dyDescent="0.25">
      <c r="A3405" s="4">
        <v>42599</v>
      </c>
      <c r="B3405" t="s">
        <v>30</v>
      </c>
      <c r="C3405">
        <v>111</v>
      </c>
      <c r="D3405">
        <v>9</v>
      </c>
      <c r="E3405">
        <v>1</v>
      </c>
      <c r="F3405" t="s">
        <v>31</v>
      </c>
      <c r="G3405" t="s">
        <v>32</v>
      </c>
      <c r="H3405" t="s">
        <v>33</v>
      </c>
      <c r="I3405" t="s">
        <v>34</v>
      </c>
      <c r="J3405" t="s">
        <v>35</v>
      </c>
      <c r="K3405" t="s">
        <v>89</v>
      </c>
      <c r="L3405" t="s">
        <v>43</v>
      </c>
      <c r="M3405">
        <v>0</v>
      </c>
      <c r="N3405">
        <v>0</v>
      </c>
      <c r="O3405" s="5" t="s">
        <v>442</v>
      </c>
      <c r="P3405" s="5" t="s">
        <v>443</v>
      </c>
      <c r="Q3405">
        <f>27.3-13</f>
        <v>14.3</v>
      </c>
      <c r="R3405" t="s">
        <v>65</v>
      </c>
      <c r="T3405">
        <v>19</v>
      </c>
      <c r="V3405">
        <v>16</v>
      </c>
      <c r="W3405">
        <v>13</v>
      </c>
      <c r="X3405">
        <v>25.4</v>
      </c>
      <c r="AB3405" t="s">
        <v>87</v>
      </c>
      <c r="AC3405" t="s">
        <v>56</v>
      </c>
    </row>
    <row r="3406" spans="1:30" x14ac:dyDescent="0.25">
      <c r="A3406" s="4">
        <v>42599</v>
      </c>
      <c r="B3406" t="s">
        <v>30</v>
      </c>
      <c r="C3406">
        <v>111</v>
      </c>
      <c r="D3406">
        <v>9</v>
      </c>
      <c r="E3406">
        <v>2</v>
      </c>
      <c r="F3406" t="s">
        <v>31</v>
      </c>
      <c r="G3406" t="s">
        <v>32</v>
      </c>
      <c r="H3406" t="s">
        <v>33</v>
      </c>
      <c r="I3406" t="s">
        <v>828</v>
      </c>
      <c r="J3406" t="s">
        <v>35</v>
      </c>
      <c r="K3406" t="s">
        <v>89</v>
      </c>
      <c r="L3406" t="s">
        <v>43</v>
      </c>
      <c r="M3406">
        <v>0</v>
      </c>
      <c r="N3406">
        <v>0</v>
      </c>
      <c r="O3406" s="5" t="s">
        <v>450</v>
      </c>
      <c r="P3406" s="5" t="s">
        <v>451</v>
      </c>
      <c r="R3406" t="s">
        <v>65</v>
      </c>
      <c r="T3406">
        <v>18</v>
      </c>
      <c r="V3406">
        <v>16</v>
      </c>
      <c r="W3406">
        <v>13</v>
      </c>
      <c r="X3406">
        <v>25.6</v>
      </c>
      <c r="AB3406" t="s">
        <v>87</v>
      </c>
      <c r="AC3406" t="s">
        <v>56</v>
      </c>
    </row>
    <row r="3407" spans="1:30" x14ac:dyDescent="0.25">
      <c r="A3407" s="4">
        <v>42599</v>
      </c>
      <c r="B3407" t="s">
        <v>30</v>
      </c>
      <c r="C3407">
        <v>111</v>
      </c>
      <c r="D3407">
        <v>10</v>
      </c>
      <c r="E3407">
        <v>1</v>
      </c>
      <c r="F3407" t="s">
        <v>31</v>
      </c>
      <c r="G3407" t="s">
        <v>32</v>
      </c>
      <c r="H3407" t="s">
        <v>33</v>
      </c>
      <c r="I3407" t="s">
        <v>57</v>
      </c>
      <c r="O3407" s="5"/>
      <c r="P3407" s="5"/>
    </row>
    <row r="3408" spans="1:30" x14ac:dyDescent="0.25">
      <c r="A3408" s="4">
        <v>42599</v>
      </c>
      <c r="B3408" t="s">
        <v>30</v>
      </c>
      <c r="C3408">
        <v>111</v>
      </c>
      <c r="D3408">
        <v>10</v>
      </c>
      <c r="E3408">
        <v>2</v>
      </c>
      <c r="F3408" t="s">
        <v>31</v>
      </c>
      <c r="G3408" t="s">
        <v>32</v>
      </c>
      <c r="H3408" t="s">
        <v>33</v>
      </c>
      <c r="I3408" t="s">
        <v>34</v>
      </c>
      <c r="J3408" t="s">
        <v>35</v>
      </c>
      <c r="K3408" t="s">
        <v>114</v>
      </c>
      <c r="L3408" t="s">
        <v>43</v>
      </c>
      <c r="M3408">
        <v>0</v>
      </c>
      <c r="N3408">
        <v>0</v>
      </c>
      <c r="O3408" s="5" t="s">
        <v>487</v>
      </c>
      <c r="P3408" s="5" t="s">
        <v>488</v>
      </c>
      <c r="Q3408">
        <f>31.5-14</f>
        <v>17.5</v>
      </c>
      <c r="R3408" t="s">
        <v>65</v>
      </c>
      <c r="T3408">
        <v>19</v>
      </c>
      <c r="U3408">
        <v>92</v>
      </c>
      <c r="V3408">
        <v>19</v>
      </c>
      <c r="W3408">
        <v>13.2</v>
      </c>
      <c r="X3408">
        <v>27.4</v>
      </c>
      <c r="AB3408" t="s">
        <v>87</v>
      </c>
      <c r="AC3408" t="s">
        <v>56</v>
      </c>
    </row>
    <row r="3409" spans="1:30" x14ac:dyDescent="0.25">
      <c r="A3409" s="4">
        <v>42599</v>
      </c>
      <c r="B3409" t="s">
        <v>30</v>
      </c>
      <c r="C3409">
        <v>112</v>
      </c>
      <c r="D3409">
        <v>1</v>
      </c>
      <c r="E3409">
        <v>1</v>
      </c>
      <c r="F3409" t="s">
        <v>31</v>
      </c>
      <c r="G3409" t="s">
        <v>32</v>
      </c>
      <c r="H3409" t="s">
        <v>33</v>
      </c>
      <c r="I3409" t="s">
        <v>91</v>
      </c>
      <c r="J3409" t="s">
        <v>42</v>
      </c>
      <c r="K3409" t="s">
        <v>36</v>
      </c>
      <c r="L3409" t="s">
        <v>37</v>
      </c>
      <c r="M3409">
        <v>0</v>
      </c>
      <c r="N3409">
        <v>1</v>
      </c>
      <c r="O3409" s="5" t="s">
        <v>829</v>
      </c>
      <c r="P3409" s="5"/>
      <c r="Q3409">
        <f>33-13</f>
        <v>20</v>
      </c>
      <c r="R3409" t="s">
        <v>38</v>
      </c>
      <c r="S3409" t="s">
        <v>39</v>
      </c>
      <c r="T3409">
        <v>28</v>
      </c>
      <c r="W3409">
        <v>12.7</v>
      </c>
      <c r="X3409">
        <v>25.8</v>
      </c>
      <c r="Z3409" t="s">
        <v>97</v>
      </c>
      <c r="AB3409" t="s">
        <v>87</v>
      </c>
      <c r="AC3409" t="s">
        <v>56</v>
      </c>
      <c r="AD3409" t="s">
        <v>129</v>
      </c>
    </row>
    <row r="3410" spans="1:30" x14ac:dyDescent="0.25">
      <c r="A3410" s="4">
        <v>42599</v>
      </c>
      <c r="B3410" t="s">
        <v>30</v>
      </c>
      <c r="C3410">
        <v>112</v>
      </c>
      <c r="D3410">
        <v>2</v>
      </c>
      <c r="E3410">
        <v>1</v>
      </c>
      <c r="F3410" t="s">
        <v>31</v>
      </c>
      <c r="G3410" t="s">
        <v>32</v>
      </c>
      <c r="H3410" t="s">
        <v>33</v>
      </c>
      <c r="I3410" t="s">
        <v>34</v>
      </c>
      <c r="J3410" t="s">
        <v>35</v>
      </c>
      <c r="K3410" t="s">
        <v>36</v>
      </c>
      <c r="L3410" t="s">
        <v>43</v>
      </c>
      <c r="M3410">
        <v>0</v>
      </c>
      <c r="N3410">
        <v>0</v>
      </c>
      <c r="O3410" s="5" t="s">
        <v>454</v>
      </c>
      <c r="P3410" s="5" t="s">
        <v>455</v>
      </c>
      <c r="Q3410">
        <f>32-13.5</f>
        <v>18.5</v>
      </c>
      <c r="R3410" t="s">
        <v>47</v>
      </c>
      <c r="T3410">
        <v>18</v>
      </c>
      <c r="U3410">
        <v>95</v>
      </c>
      <c r="V3410">
        <v>18</v>
      </c>
      <c r="W3410">
        <v>13.1</v>
      </c>
      <c r="X3410">
        <v>25.8</v>
      </c>
      <c r="Z3410" t="s">
        <v>97</v>
      </c>
      <c r="AB3410" t="s">
        <v>87</v>
      </c>
      <c r="AC3410" t="s">
        <v>56</v>
      </c>
    </row>
    <row r="3411" spans="1:30" x14ac:dyDescent="0.25">
      <c r="A3411" s="4">
        <v>42599</v>
      </c>
      <c r="B3411" t="s">
        <v>30</v>
      </c>
      <c r="C3411">
        <v>112</v>
      </c>
      <c r="D3411">
        <v>2</v>
      </c>
      <c r="E3411">
        <v>2</v>
      </c>
      <c r="F3411" t="s">
        <v>31</v>
      </c>
      <c r="G3411" t="s">
        <v>32</v>
      </c>
      <c r="H3411" t="s">
        <v>33</v>
      </c>
      <c r="I3411" t="s">
        <v>73</v>
      </c>
      <c r="J3411" t="s">
        <v>42</v>
      </c>
      <c r="K3411" t="s">
        <v>36</v>
      </c>
      <c r="L3411" t="s">
        <v>43</v>
      </c>
      <c r="M3411">
        <v>0</v>
      </c>
      <c r="N3411">
        <v>1</v>
      </c>
      <c r="O3411" s="5" t="s">
        <v>830</v>
      </c>
      <c r="P3411" s="5"/>
      <c r="Q3411">
        <f>185-94</f>
        <v>91</v>
      </c>
      <c r="R3411" t="s">
        <v>65</v>
      </c>
      <c r="T3411">
        <v>30</v>
      </c>
      <c r="W3411">
        <v>21.3</v>
      </c>
      <c r="X3411">
        <v>41.4</v>
      </c>
      <c r="AB3411" t="s">
        <v>87</v>
      </c>
      <c r="AC3411" t="s">
        <v>56</v>
      </c>
      <c r="AD3411" t="s">
        <v>831</v>
      </c>
    </row>
    <row r="3412" spans="1:30" x14ac:dyDescent="0.25">
      <c r="A3412" s="4">
        <v>42599</v>
      </c>
      <c r="B3412" t="s">
        <v>30</v>
      </c>
      <c r="C3412">
        <v>112</v>
      </c>
      <c r="D3412">
        <v>3</v>
      </c>
      <c r="E3412">
        <v>1</v>
      </c>
      <c r="F3412" t="s">
        <v>31</v>
      </c>
      <c r="G3412" t="s">
        <v>32</v>
      </c>
      <c r="H3412" t="s">
        <v>33</v>
      </c>
      <c r="I3412" t="s">
        <v>91</v>
      </c>
      <c r="J3412" t="s">
        <v>35</v>
      </c>
      <c r="K3412" t="s">
        <v>36</v>
      </c>
      <c r="L3412" t="s">
        <v>43</v>
      </c>
      <c r="M3412">
        <v>0</v>
      </c>
      <c r="N3412">
        <v>0</v>
      </c>
      <c r="O3412" s="5" t="s">
        <v>389</v>
      </c>
      <c r="P3412" s="5"/>
      <c r="Q3412">
        <f>34-13.5</f>
        <v>20.5</v>
      </c>
      <c r="R3412" t="s">
        <v>65</v>
      </c>
      <c r="T3412">
        <v>29</v>
      </c>
      <c r="W3412">
        <v>12.55</v>
      </c>
      <c r="X3412">
        <v>25.1</v>
      </c>
      <c r="AB3412" t="s">
        <v>87</v>
      </c>
      <c r="AC3412" t="s">
        <v>56</v>
      </c>
    </row>
    <row r="3413" spans="1:30" x14ac:dyDescent="0.25">
      <c r="A3413" s="4">
        <v>42599</v>
      </c>
      <c r="B3413" t="s">
        <v>30</v>
      </c>
      <c r="C3413">
        <v>112</v>
      </c>
      <c r="D3413">
        <v>3</v>
      </c>
      <c r="E3413">
        <v>2</v>
      </c>
      <c r="F3413" t="s">
        <v>31</v>
      </c>
      <c r="G3413" t="s">
        <v>32</v>
      </c>
      <c r="H3413" t="s">
        <v>33</v>
      </c>
      <c r="I3413" t="s">
        <v>34</v>
      </c>
      <c r="J3413" t="s">
        <v>35</v>
      </c>
      <c r="K3413" t="s">
        <v>36</v>
      </c>
      <c r="L3413" t="s">
        <v>37</v>
      </c>
      <c r="M3413">
        <v>0</v>
      </c>
      <c r="N3413">
        <v>0</v>
      </c>
      <c r="O3413" s="5" t="s">
        <v>804</v>
      </c>
      <c r="P3413" s="5" t="s">
        <v>805</v>
      </c>
      <c r="Q3413">
        <f>32-13</f>
        <v>19</v>
      </c>
      <c r="R3413" t="s">
        <v>65</v>
      </c>
      <c r="S3413" t="s">
        <v>97</v>
      </c>
      <c r="T3413">
        <v>17</v>
      </c>
      <c r="U3413">
        <v>79.5</v>
      </c>
      <c r="V3413">
        <v>18</v>
      </c>
      <c r="W3413">
        <v>12.6</v>
      </c>
      <c r="X3413">
        <v>26.25</v>
      </c>
      <c r="Y3413" t="s">
        <v>832</v>
      </c>
      <c r="AB3413" t="s">
        <v>87</v>
      </c>
      <c r="AC3413" t="s">
        <v>56</v>
      </c>
    </row>
    <row r="3414" spans="1:30" x14ac:dyDescent="0.25">
      <c r="A3414" s="4">
        <v>42599</v>
      </c>
      <c r="B3414" t="s">
        <v>30</v>
      </c>
      <c r="C3414">
        <v>112</v>
      </c>
      <c r="D3414">
        <v>4</v>
      </c>
      <c r="E3414">
        <v>1</v>
      </c>
      <c r="F3414" t="s">
        <v>31</v>
      </c>
      <c r="G3414" t="s">
        <v>32</v>
      </c>
      <c r="H3414" t="s">
        <v>33</v>
      </c>
      <c r="I3414" t="s">
        <v>34</v>
      </c>
      <c r="J3414" t="s">
        <v>35</v>
      </c>
      <c r="K3414" t="s">
        <v>114</v>
      </c>
      <c r="L3414" t="s">
        <v>43</v>
      </c>
      <c r="M3414">
        <v>0</v>
      </c>
      <c r="N3414">
        <v>0</v>
      </c>
      <c r="O3414" s="5" t="s">
        <v>392</v>
      </c>
      <c r="P3414" s="5" t="s">
        <v>458</v>
      </c>
      <c r="Q3414">
        <f>32-14</f>
        <v>18</v>
      </c>
      <c r="R3414" t="s">
        <v>47</v>
      </c>
      <c r="T3414">
        <v>17</v>
      </c>
      <c r="U3414">
        <v>84</v>
      </c>
      <c r="V3414">
        <v>17</v>
      </c>
      <c r="W3414">
        <v>13</v>
      </c>
      <c r="X3414">
        <v>26.7</v>
      </c>
      <c r="Z3414" t="s">
        <v>97</v>
      </c>
      <c r="AB3414" t="s">
        <v>87</v>
      </c>
      <c r="AC3414" t="s">
        <v>56</v>
      </c>
    </row>
    <row r="3415" spans="1:30" x14ac:dyDescent="0.25">
      <c r="A3415" s="4">
        <v>42599</v>
      </c>
      <c r="B3415" t="s">
        <v>30</v>
      </c>
      <c r="C3415">
        <v>112</v>
      </c>
      <c r="D3415">
        <v>4</v>
      </c>
      <c r="E3415">
        <v>2</v>
      </c>
      <c r="F3415" t="s">
        <v>31</v>
      </c>
      <c r="G3415" t="s">
        <v>32</v>
      </c>
      <c r="H3415" t="s">
        <v>33</v>
      </c>
      <c r="I3415" t="s">
        <v>91</v>
      </c>
      <c r="J3415" t="s">
        <v>35</v>
      </c>
      <c r="K3415" t="s">
        <v>36</v>
      </c>
      <c r="L3415" t="s">
        <v>43</v>
      </c>
      <c r="M3415">
        <v>0</v>
      </c>
      <c r="N3415">
        <v>0</v>
      </c>
      <c r="O3415" s="5" t="s">
        <v>810</v>
      </c>
      <c r="P3415" s="5"/>
      <c r="Q3415">
        <f>31-13</f>
        <v>18</v>
      </c>
      <c r="R3415" t="s">
        <v>65</v>
      </c>
      <c r="T3415">
        <v>29</v>
      </c>
      <c r="W3415">
        <v>12.4</v>
      </c>
      <c r="X3415">
        <v>25</v>
      </c>
      <c r="Z3415" t="s">
        <v>97</v>
      </c>
      <c r="AB3415" t="s">
        <v>87</v>
      </c>
      <c r="AC3415" t="s">
        <v>56</v>
      </c>
    </row>
    <row r="3416" spans="1:30" x14ac:dyDescent="0.25">
      <c r="A3416" s="4">
        <v>42599</v>
      </c>
      <c r="B3416" t="s">
        <v>30</v>
      </c>
      <c r="C3416">
        <v>112</v>
      </c>
      <c r="D3416">
        <v>5</v>
      </c>
      <c r="E3416">
        <v>1</v>
      </c>
      <c r="F3416" t="s">
        <v>31</v>
      </c>
      <c r="G3416" t="s">
        <v>32</v>
      </c>
      <c r="H3416" t="s">
        <v>33</v>
      </c>
      <c r="I3416" t="s">
        <v>57</v>
      </c>
      <c r="O3416" s="5"/>
      <c r="P3416" s="5"/>
    </row>
    <row r="3417" spans="1:30" x14ac:dyDescent="0.25">
      <c r="A3417" s="4">
        <v>42599</v>
      </c>
      <c r="B3417" t="s">
        <v>30</v>
      </c>
      <c r="C3417">
        <v>112</v>
      </c>
      <c r="D3417">
        <v>5</v>
      </c>
      <c r="E3417">
        <v>2</v>
      </c>
      <c r="F3417" t="s">
        <v>31</v>
      </c>
      <c r="G3417" t="s">
        <v>32</v>
      </c>
      <c r="H3417" t="s">
        <v>33</v>
      </c>
      <c r="I3417" t="s">
        <v>91</v>
      </c>
      <c r="J3417" t="s">
        <v>35</v>
      </c>
      <c r="K3417" t="s">
        <v>36</v>
      </c>
      <c r="L3417" t="s">
        <v>43</v>
      </c>
      <c r="M3417">
        <v>0</v>
      </c>
      <c r="N3417">
        <v>0</v>
      </c>
      <c r="O3417" s="5" t="s">
        <v>398</v>
      </c>
      <c r="P3417" s="5" t="s">
        <v>165</v>
      </c>
      <c r="Q3417">
        <f>37.5-13</f>
        <v>24.5</v>
      </c>
      <c r="R3417" t="s">
        <v>65</v>
      </c>
      <c r="T3417">
        <v>30</v>
      </c>
      <c r="W3417">
        <v>13.2</v>
      </c>
      <c r="X3417">
        <v>25.3</v>
      </c>
      <c r="AB3417" t="s">
        <v>87</v>
      </c>
      <c r="AC3417" t="s">
        <v>56</v>
      </c>
    </row>
    <row r="3418" spans="1:30" x14ac:dyDescent="0.25">
      <c r="A3418" s="4">
        <v>42599</v>
      </c>
      <c r="B3418" t="s">
        <v>30</v>
      </c>
      <c r="C3418">
        <v>112</v>
      </c>
      <c r="D3418">
        <v>6</v>
      </c>
      <c r="E3418">
        <v>1</v>
      </c>
      <c r="F3418" t="s">
        <v>31</v>
      </c>
      <c r="G3418" t="s">
        <v>32</v>
      </c>
      <c r="H3418" t="s">
        <v>33</v>
      </c>
      <c r="I3418" t="s">
        <v>57</v>
      </c>
      <c r="O3418" s="5"/>
      <c r="P3418" s="5"/>
    </row>
    <row r="3419" spans="1:30" x14ac:dyDescent="0.25">
      <c r="A3419" s="4">
        <v>42599</v>
      </c>
      <c r="B3419" t="s">
        <v>30</v>
      </c>
      <c r="C3419">
        <v>112</v>
      </c>
      <c r="D3419">
        <v>6</v>
      </c>
      <c r="E3419">
        <v>2</v>
      </c>
      <c r="F3419" t="s">
        <v>31</v>
      </c>
      <c r="G3419" t="s">
        <v>32</v>
      </c>
      <c r="H3419" t="s">
        <v>33</v>
      </c>
      <c r="I3419" t="s">
        <v>91</v>
      </c>
      <c r="J3419" t="s">
        <v>42</v>
      </c>
      <c r="K3419" t="s">
        <v>36</v>
      </c>
      <c r="L3419" t="s">
        <v>43</v>
      </c>
      <c r="M3419">
        <v>0</v>
      </c>
      <c r="N3419">
        <v>1</v>
      </c>
      <c r="O3419" s="5" t="s">
        <v>833</v>
      </c>
      <c r="P3419" s="5"/>
      <c r="Q3419">
        <f>33.5-14</f>
        <v>19.5</v>
      </c>
      <c r="R3419" t="s">
        <v>65</v>
      </c>
      <c r="T3419">
        <v>30</v>
      </c>
      <c r="W3419">
        <v>16</v>
      </c>
      <c r="X3419">
        <v>25.85</v>
      </c>
      <c r="Z3419" t="s">
        <v>97</v>
      </c>
      <c r="AB3419" t="s">
        <v>87</v>
      </c>
      <c r="AC3419" t="s">
        <v>56</v>
      </c>
      <c r="AD3419" t="s">
        <v>129</v>
      </c>
    </row>
    <row r="3420" spans="1:30" x14ac:dyDescent="0.25">
      <c r="A3420" s="4">
        <v>42599</v>
      </c>
      <c r="B3420" t="s">
        <v>30</v>
      </c>
      <c r="C3420">
        <v>112</v>
      </c>
      <c r="D3420">
        <v>7</v>
      </c>
      <c r="E3420">
        <v>1</v>
      </c>
      <c r="F3420" t="s">
        <v>31</v>
      </c>
      <c r="G3420" t="s">
        <v>32</v>
      </c>
      <c r="H3420" t="s">
        <v>33</v>
      </c>
      <c r="I3420" t="s">
        <v>34</v>
      </c>
      <c r="J3420" t="s">
        <v>35</v>
      </c>
      <c r="K3420" t="s">
        <v>114</v>
      </c>
      <c r="L3420" t="s">
        <v>37</v>
      </c>
      <c r="M3420">
        <v>0</v>
      </c>
      <c r="N3420">
        <v>0</v>
      </c>
      <c r="O3420" s="5" t="s">
        <v>460</v>
      </c>
      <c r="P3420" s="5" t="s">
        <v>461</v>
      </c>
      <c r="Q3420">
        <f>35-15.5</f>
        <v>19.5</v>
      </c>
      <c r="R3420" t="s">
        <v>74</v>
      </c>
      <c r="S3420" t="s">
        <v>97</v>
      </c>
      <c r="T3420">
        <v>18</v>
      </c>
      <c r="U3420">
        <v>96</v>
      </c>
      <c r="V3420">
        <v>16</v>
      </c>
      <c r="W3420">
        <v>13.1</v>
      </c>
      <c r="X3420">
        <v>27.1</v>
      </c>
      <c r="Y3420" t="s">
        <v>834</v>
      </c>
      <c r="AB3420" t="s">
        <v>87</v>
      </c>
      <c r="AC3420" t="s">
        <v>56</v>
      </c>
    </row>
    <row r="3421" spans="1:30" x14ac:dyDescent="0.25">
      <c r="A3421" s="4">
        <v>42599</v>
      </c>
      <c r="B3421" t="s">
        <v>30</v>
      </c>
      <c r="C3421">
        <v>112</v>
      </c>
      <c r="D3421">
        <v>7</v>
      </c>
      <c r="E3421">
        <v>2</v>
      </c>
      <c r="F3421" t="s">
        <v>31</v>
      </c>
      <c r="G3421" t="s">
        <v>32</v>
      </c>
      <c r="H3421" t="s">
        <v>33</v>
      </c>
      <c r="I3421" t="s">
        <v>91</v>
      </c>
      <c r="J3421" t="s">
        <v>35</v>
      </c>
      <c r="K3421" t="s">
        <v>114</v>
      </c>
      <c r="L3421" t="s">
        <v>37</v>
      </c>
      <c r="M3421">
        <v>0</v>
      </c>
      <c r="N3421">
        <v>0</v>
      </c>
      <c r="O3421" s="5" t="s">
        <v>325</v>
      </c>
      <c r="P3421" s="5"/>
      <c r="Q3421">
        <f>31-14</f>
        <v>17</v>
      </c>
      <c r="R3421" t="s">
        <v>38</v>
      </c>
      <c r="S3421" t="s">
        <v>39</v>
      </c>
      <c r="T3421">
        <v>28</v>
      </c>
      <c r="W3421">
        <v>12.3</v>
      </c>
      <c r="X3421">
        <v>25</v>
      </c>
      <c r="AB3421" t="s">
        <v>87</v>
      </c>
      <c r="AC3421" t="s">
        <v>56</v>
      </c>
    </row>
    <row r="3422" spans="1:30" x14ac:dyDescent="0.25">
      <c r="A3422" s="4">
        <v>42599</v>
      </c>
      <c r="B3422" t="s">
        <v>30</v>
      </c>
      <c r="C3422">
        <v>112</v>
      </c>
      <c r="D3422">
        <v>8</v>
      </c>
      <c r="E3422">
        <v>1</v>
      </c>
      <c r="F3422" t="s">
        <v>31</v>
      </c>
      <c r="G3422" t="s">
        <v>32</v>
      </c>
      <c r="H3422" t="s">
        <v>33</v>
      </c>
      <c r="I3422" t="s">
        <v>57</v>
      </c>
      <c r="O3422" s="5"/>
      <c r="P3422" s="5"/>
    </row>
    <row r="3423" spans="1:30" x14ac:dyDescent="0.25">
      <c r="A3423" s="4">
        <v>42599</v>
      </c>
      <c r="B3423" t="s">
        <v>30</v>
      </c>
      <c r="C3423">
        <v>112</v>
      </c>
      <c r="D3423">
        <v>8</v>
      </c>
      <c r="E3423">
        <v>2</v>
      </c>
      <c r="F3423" t="s">
        <v>31</v>
      </c>
      <c r="G3423" t="s">
        <v>32</v>
      </c>
      <c r="H3423" t="s">
        <v>33</v>
      </c>
      <c r="I3423" t="s">
        <v>57</v>
      </c>
      <c r="O3423" s="5"/>
      <c r="P3423" s="5"/>
    </row>
    <row r="3424" spans="1:30" x14ac:dyDescent="0.25">
      <c r="A3424" s="4">
        <v>42599</v>
      </c>
      <c r="B3424" t="s">
        <v>30</v>
      </c>
      <c r="C3424">
        <v>112</v>
      </c>
      <c r="D3424">
        <v>9</v>
      </c>
      <c r="E3424">
        <v>1</v>
      </c>
      <c r="F3424" t="s">
        <v>31</v>
      </c>
      <c r="G3424" t="s">
        <v>32</v>
      </c>
      <c r="H3424" t="s">
        <v>33</v>
      </c>
      <c r="I3424" t="s">
        <v>57</v>
      </c>
      <c r="O3424" s="5"/>
      <c r="P3424" s="5"/>
    </row>
    <row r="3425" spans="1:30" x14ac:dyDescent="0.25">
      <c r="A3425" s="4">
        <v>42599</v>
      </c>
      <c r="B3425" t="s">
        <v>30</v>
      </c>
      <c r="C3425">
        <v>112</v>
      </c>
      <c r="D3425">
        <v>9</v>
      </c>
      <c r="E3425">
        <v>2</v>
      </c>
      <c r="F3425" t="s">
        <v>31</v>
      </c>
      <c r="G3425" t="s">
        <v>32</v>
      </c>
      <c r="H3425" t="s">
        <v>33</v>
      </c>
      <c r="I3425" t="s">
        <v>34</v>
      </c>
      <c r="J3425" t="s">
        <v>35</v>
      </c>
      <c r="K3425" t="s">
        <v>36</v>
      </c>
      <c r="L3425" t="s">
        <v>37</v>
      </c>
      <c r="M3425">
        <v>0</v>
      </c>
      <c r="N3425">
        <v>0</v>
      </c>
      <c r="O3425" s="5" t="s">
        <v>835</v>
      </c>
      <c r="P3425" s="5" t="s">
        <v>836</v>
      </c>
      <c r="Q3425">
        <f>35-14.5</f>
        <v>20.5</v>
      </c>
      <c r="R3425" t="s">
        <v>38</v>
      </c>
      <c r="S3425" t="s">
        <v>39</v>
      </c>
      <c r="T3425">
        <v>19</v>
      </c>
      <c r="U3425">
        <v>90</v>
      </c>
      <c r="V3425">
        <v>17</v>
      </c>
      <c r="W3425">
        <v>13.2</v>
      </c>
      <c r="X3425">
        <v>26.9</v>
      </c>
      <c r="AB3425" t="s">
        <v>87</v>
      </c>
      <c r="AC3425" t="s">
        <v>56</v>
      </c>
    </row>
    <row r="3426" spans="1:30" x14ac:dyDescent="0.25">
      <c r="A3426" s="4">
        <v>42599</v>
      </c>
      <c r="B3426" t="s">
        <v>30</v>
      </c>
      <c r="C3426">
        <v>112</v>
      </c>
      <c r="D3426">
        <v>10</v>
      </c>
      <c r="E3426">
        <v>1</v>
      </c>
      <c r="F3426" t="s">
        <v>31</v>
      </c>
      <c r="G3426" t="s">
        <v>32</v>
      </c>
      <c r="H3426" t="s">
        <v>33</v>
      </c>
      <c r="I3426" t="s">
        <v>91</v>
      </c>
      <c r="J3426" t="s">
        <v>35</v>
      </c>
      <c r="K3426" t="s">
        <v>36</v>
      </c>
      <c r="L3426" t="s">
        <v>37</v>
      </c>
      <c r="M3426">
        <v>0</v>
      </c>
      <c r="N3426">
        <v>0</v>
      </c>
      <c r="O3426" s="5" t="s">
        <v>802</v>
      </c>
      <c r="P3426" s="5"/>
      <c r="Q3426">
        <f>33.5-14</f>
        <v>19.5</v>
      </c>
      <c r="R3426" t="s">
        <v>38</v>
      </c>
      <c r="S3426" t="s">
        <v>39</v>
      </c>
      <c r="T3426">
        <v>29</v>
      </c>
      <c r="W3426">
        <v>12.7</v>
      </c>
      <c r="X3426">
        <v>22.3</v>
      </c>
      <c r="AB3426" t="s">
        <v>87</v>
      </c>
      <c r="AC3426" t="s">
        <v>56</v>
      </c>
    </row>
    <row r="3427" spans="1:30" x14ac:dyDescent="0.25">
      <c r="A3427" s="4">
        <v>42599</v>
      </c>
      <c r="B3427" t="s">
        <v>30</v>
      </c>
      <c r="C3427">
        <v>112</v>
      </c>
      <c r="D3427">
        <v>10</v>
      </c>
      <c r="E3427">
        <v>2</v>
      </c>
      <c r="F3427" t="s">
        <v>31</v>
      </c>
      <c r="G3427" t="s">
        <v>32</v>
      </c>
      <c r="H3427" t="s">
        <v>33</v>
      </c>
      <c r="I3427" t="s">
        <v>34</v>
      </c>
      <c r="J3427" t="s">
        <v>35</v>
      </c>
      <c r="K3427" t="s">
        <v>114</v>
      </c>
      <c r="L3427" t="s">
        <v>43</v>
      </c>
      <c r="M3427">
        <v>0</v>
      </c>
      <c r="N3427">
        <v>0</v>
      </c>
      <c r="O3427" s="5" t="s">
        <v>401</v>
      </c>
      <c r="P3427" s="5" t="s">
        <v>402</v>
      </c>
      <c r="Q3427">
        <f>32.5-14</f>
        <v>18.5</v>
      </c>
      <c r="R3427" t="s">
        <v>47</v>
      </c>
      <c r="T3427">
        <v>20</v>
      </c>
      <c r="U3427">
        <v>86</v>
      </c>
      <c r="V3427">
        <v>16</v>
      </c>
      <c r="W3427">
        <v>13.1</v>
      </c>
      <c r="X3427">
        <v>25.6</v>
      </c>
      <c r="AB3427" t="s">
        <v>87</v>
      </c>
      <c r="AC3427" t="s">
        <v>56</v>
      </c>
    </row>
    <row r="3428" spans="1:30" x14ac:dyDescent="0.25">
      <c r="A3428" s="4">
        <v>42599</v>
      </c>
      <c r="B3428" t="s">
        <v>30</v>
      </c>
      <c r="C3428">
        <v>113</v>
      </c>
      <c r="D3428">
        <v>1</v>
      </c>
      <c r="E3428">
        <v>1</v>
      </c>
      <c r="F3428" t="s">
        <v>31</v>
      </c>
      <c r="G3428" t="s">
        <v>32</v>
      </c>
      <c r="H3428" t="s">
        <v>33</v>
      </c>
      <c r="I3428" t="s">
        <v>57</v>
      </c>
      <c r="O3428" s="5"/>
      <c r="P3428" s="5"/>
    </row>
    <row r="3429" spans="1:30" x14ac:dyDescent="0.25">
      <c r="A3429" s="4">
        <v>42599</v>
      </c>
      <c r="B3429" t="s">
        <v>30</v>
      </c>
      <c r="C3429">
        <v>113</v>
      </c>
      <c r="D3429">
        <v>1</v>
      </c>
      <c r="E3429">
        <v>2</v>
      </c>
      <c r="F3429" t="s">
        <v>31</v>
      </c>
      <c r="G3429" t="s">
        <v>32</v>
      </c>
      <c r="H3429" t="s">
        <v>33</v>
      </c>
      <c r="I3429" t="s">
        <v>91</v>
      </c>
      <c r="J3429" t="s">
        <v>122</v>
      </c>
      <c r="K3429" t="s">
        <v>36</v>
      </c>
      <c r="M3429">
        <v>0</v>
      </c>
      <c r="N3429">
        <v>1</v>
      </c>
      <c r="O3429" s="5" t="s">
        <v>837</v>
      </c>
      <c r="P3429" s="5"/>
      <c r="AB3429" t="s">
        <v>87</v>
      </c>
      <c r="AC3429" t="s">
        <v>56</v>
      </c>
    </row>
    <row r="3430" spans="1:30" x14ac:dyDescent="0.25">
      <c r="A3430" s="4">
        <v>42599</v>
      </c>
      <c r="B3430" t="s">
        <v>30</v>
      </c>
      <c r="C3430">
        <v>113</v>
      </c>
      <c r="D3430">
        <v>2</v>
      </c>
      <c r="E3430">
        <v>1</v>
      </c>
      <c r="F3430" t="s">
        <v>31</v>
      </c>
      <c r="G3430" t="s">
        <v>32</v>
      </c>
      <c r="H3430" t="s">
        <v>33</v>
      </c>
      <c r="I3430" t="s">
        <v>91</v>
      </c>
      <c r="J3430" t="s">
        <v>42</v>
      </c>
      <c r="K3430" t="s">
        <v>36</v>
      </c>
      <c r="L3430" t="s">
        <v>43</v>
      </c>
      <c r="M3430">
        <v>0</v>
      </c>
      <c r="N3430">
        <v>1</v>
      </c>
      <c r="O3430" s="5" t="s">
        <v>838</v>
      </c>
      <c r="P3430" s="5"/>
      <c r="Q3430">
        <f>35-14</f>
        <v>21</v>
      </c>
      <c r="R3430" t="s">
        <v>65</v>
      </c>
      <c r="T3430">
        <v>30</v>
      </c>
      <c r="W3430">
        <v>13.1</v>
      </c>
      <c r="X3430">
        <v>25.2</v>
      </c>
      <c r="AB3430" t="s">
        <v>87</v>
      </c>
      <c r="AC3430" t="s">
        <v>56</v>
      </c>
    </row>
    <row r="3431" spans="1:30" x14ac:dyDescent="0.25">
      <c r="A3431" s="4">
        <v>42599</v>
      </c>
      <c r="B3431" t="s">
        <v>30</v>
      </c>
      <c r="C3431">
        <v>113</v>
      </c>
      <c r="D3431">
        <v>2</v>
      </c>
      <c r="E3431">
        <v>2</v>
      </c>
      <c r="F3431" t="s">
        <v>31</v>
      </c>
      <c r="G3431" t="s">
        <v>32</v>
      </c>
      <c r="H3431" t="s">
        <v>33</v>
      </c>
      <c r="I3431" t="s">
        <v>57</v>
      </c>
      <c r="O3431" s="5"/>
      <c r="P3431" s="5"/>
    </row>
    <row r="3432" spans="1:30" x14ac:dyDescent="0.25">
      <c r="A3432" s="4">
        <v>42599</v>
      </c>
      <c r="B3432" t="s">
        <v>30</v>
      </c>
      <c r="C3432">
        <v>113</v>
      </c>
      <c r="D3432">
        <v>3</v>
      </c>
      <c r="E3432">
        <v>2</v>
      </c>
      <c r="F3432" t="s">
        <v>31</v>
      </c>
      <c r="G3432" t="s">
        <v>32</v>
      </c>
      <c r="H3432" t="s">
        <v>33</v>
      </c>
      <c r="I3432" t="s">
        <v>34</v>
      </c>
      <c r="J3432" t="s">
        <v>42</v>
      </c>
      <c r="K3432" t="s">
        <v>114</v>
      </c>
      <c r="L3432" t="s">
        <v>43</v>
      </c>
      <c r="M3432">
        <v>0</v>
      </c>
      <c r="N3432">
        <v>1</v>
      </c>
      <c r="O3432" s="5" t="s">
        <v>839</v>
      </c>
      <c r="P3432" s="5" t="s">
        <v>840</v>
      </c>
      <c r="Q3432">
        <f>30.5-14</f>
        <v>16.5</v>
      </c>
      <c r="R3432" t="s">
        <v>65</v>
      </c>
      <c r="T3432">
        <v>20</v>
      </c>
      <c r="U3432">
        <v>90.5</v>
      </c>
      <c r="V3432">
        <v>17.5</v>
      </c>
      <c r="W3432">
        <v>13</v>
      </c>
      <c r="X3432">
        <v>26.4</v>
      </c>
      <c r="AB3432" t="s">
        <v>87</v>
      </c>
      <c r="AC3432" t="s">
        <v>56</v>
      </c>
    </row>
    <row r="3433" spans="1:30" x14ac:dyDescent="0.25">
      <c r="A3433" s="4">
        <v>42599</v>
      </c>
      <c r="B3433" t="s">
        <v>30</v>
      </c>
      <c r="C3433">
        <v>113</v>
      </c>
      <c r="D3433">
        <v>4</v>
      </c>
      <c r="E3433">
        <v>1</v>
      </c>
      <c r="F3433" t="s">
        <v>31</v>
      </c>
      <c r="G3433" t="s">
        <v>32</v>
      </c>
      <c r="H3433" t="s">
        <v>33</v>
      </c>
      <c r="I3433" t="s">
        <v>34</v>
      </c>
      <c r="J3433" t="s">
        <v>35</v>
      </c>
      <c r="K3433" t="s">
        <v>36</v>
      </c>
      <c r="L3433" t="s">
        <v>43</v>
      </c>
      <c r="M3433">
        <v>0</v>
      </c>
      <c r="N3433">
        <v>0</v>
      </c>
      <c r="O3433" s="5" t="s">
        <v>468</v>
      </c>
      <c r="P3433" s="5" t="s">
        <v>469</v>
      </c>
      <c r="Q3433">
        <f>33-14</f>
        <v>19</v>
      </c>
      <c r="R3433" t="s">
        <v>47</v>
      </c>
      <c r="T3433">
        <v>18</v>
      </c>
      <c r="U3433">
        <v>27</v>
      </c>
      <c r="V3433">
        <v>16</v>
      </c>
      <c r="W3433">
        <v>13.15</v>
      </c>
      <c r="X3433">
        <v>27.95</v>
      </c>
      <c r="AB3433" t="s">
        <v>87</v>
      </c>
      <c r="AC3433" t="s">
        <v>56</v>
      </c>
      <c r="AD3433" t="s">
        <v>841</v>
      </c>
    </row>
    <row r="3434" spans="1:30" x14ac:dyDescent="0.25">
      <c r="A3434" s="4">
        <v>42599</v>
      </c>
      <c r="B3434" t="s">
        <v>30</v>
      </c>
      <c r="C3434">
        <v>113</v>
      </c>
      <c r="D3434">
        <v>4</v>
      </c>
      <c r="E3434">
        <v>2</v>
      </c>
      <c r="F3434" t="s">
        <v>31</v>
      </c>
      <c r="G3434" t="s">
        <v>32</v>
      </c>
      <c r="H3434" t="s">
        <v>33</v>
      </c>
      <c r="I3434" t="s">
        <v>91</v>
      </c>
      <c r="J3434" t="s">
        <v>42</v>
      </c>
      <c r="K3434" t="s">
        <v>114</v>
      </c>
      <c r="L3434" t="s">
        <v>37</v>
      </c>
      <c r="M3434">
        <v>0</v>
      </c>
      <c r="N3434">
        <v>1</v>
      </c>
      <c r="O3434" s="5" t="s">
        <v>842</v>
      </c>
      <c r="P3434" s="5"/>
      <c r="Q3434">
        <f>30.5-14</f>
        <v>16.5</v>
      </c>
      <c r="R3434" t="s">
        <v>38</v>
      </c>
      <c r="S3434" t="s">
        <v>39</v>
      </c>
      <c r="T3434">
        <v>29</v>
      </c>
      <c r="W3434">
        <v>12.3</v>
      </c>
      <c r="X3434">
        <v>24.7</v>
      </c>
      <c r="AB3434" t="s">
        <v>87</v>
      </c>
      <c r="AC3434" t="s">
        <v>56</v>
      </c>
      <c r="AD3434" t="s">
        <v>497</v>
      </c>
    </row>
    <row r="3435" spans="1:30" x14ac:dyDescent="0.25">
      <c r="A3435" s="4">
        <v>42599</v>
      </c>
      <c r="B3435" t="s">
        <v>30</v>
      </c>
      <c r="C3435">
        <v>113</v>
      </c>
      <c r="D3435">
        <v>5</v>
      </c>
      <c r="E3435">
        <v>1</v>
      </c>
      <c r="F3435" t="s">
        <v>31</v>
      </c>
      <c r="G3435" t="s">
        <v>32</v>
      </c>
      <c r="H3435" t="s">
        <v>33</v>
      </c>
      <c r="I3435" t="s">
        <v>91</v>
      </c>
      <c r="J3435" t="s">
        <v>42</v>
      </c>
      <c r="K3435" t="s">
        <v>89</v>
      </c>
      <c r="L3435" t="s">
        <v>37</v>
      </c>
      <c r="M3435">
        <v>0</v>
      </c>
      <c r="N3435">
        <v>1</v>
      </c>
      <c r="O3435" s="5" t="s">
        <v>843</v>
      </c>
      <c r="P3435" s="5"/>
      <c r="Q3435">
        <f>28-14</f>
        <v>14</v>
      </c>
      <c r="R3435" t="s">
        <v>38</v>
      </c>
      <c r="S3435" t="s">
        <v>39</v>
      </c>
      <c r="T3435">
        <v>27</v>
      </c>
      <c r="W3435">
        <v>12.2</v>
      </c>
      <c r="X3435">
        <v>24.15</v>
      </c>
      <c r="Z3435" t="s">
        <v>97</v>
      </c>
      <c r="AB3435" t="s">
        <v>87</v>
      </c>
      <c r="AC3435" t="s">
        <v>56</v>
      </c>
    </row>
    <row r="3436" spans="1:30" x14ac:dyDescent="0.25">
      <c r="A3436" s="4">
        <v>42599</v>
      </c>
      <c r="B3436" t="s">
        <v>30</v>
      </c>
      <c r="C3436">
        <v>113</v>
      </c>
      <c r="D3436">
        <v>5</v>
      </c>
      <c r="E3436">
        <v>2</v>
      </c>
      <c r="F3436" t="s">
        <v>31</v>
      </c>
      <c r="G3436" t="s">
        <v>32</v>
      </c>
      <c r="H3436" t="s">
        <v>33</v>
      </c>
      <c r="I3436" t="s">
        <v>57</v>
      </c>
      <c r="O3436" s="5"/>
      <c r="P3436" s="5"/>
    </row>
    <row r="3437" spans="1:30" x14ac:dyDescent="0.25">
      <c r="A3437" s="4">
        <v>42599</v>
      </c>
      <c r="B3437" t="s">
        <v>30</v>
      </c>
      <c r="C3437">
        <v>113</v>
      </c>
      <c r="D3437">
        <v>6</v>
      </c>
      <c r="E3437">
        <v>1</v>
      </c>
      <c r="F3437" t="s">
        <v>31</v>
      </c>
      <c r="G3437" t="s">
        <v>32</v>
      </c>
      <c r="H3437" t="s">
        <v>33</v>
      </c>
      <c r="I3437" t="s">
        <v>57</v>
      </c>
      <c r="O3437" s="5"/>
      <c r="P3437" s="5"/>
    </row>
    <row r="3438" spans="1:30" x14ac:dyDescent="0.25">
      <c r="A3438" s="4">
        <v>42599</v>
      </c>
      <c r="B3438" t="s">
        <v>30</v>
      </c>
      <c r="C3438">
        <v>113</v>
      </c>
      <c r="D3438">
        <v>6</v>
      </c>
      <c r="E3438">
        <v>2</v>
      </c>
      <c r="F3438" t="s">
        <v>31</v>
      </c>
      <c r="G3438" t="s">
        <v>32</v>
      </c>
      <c r="H3438" t="s">
        <v>33</v>
      </c>
      <c r="I3438" t="s">
        <v>57</v>
      </c>
      <c r="O3438" s="5"/>
      <c r="P3438" s="5"/>
    </row>
    <row r="3439" spans="1:30" x14ac:dyDescent="0.25">
      <c r="A3439" s="4">
        <v>42599</v>
      </c>
      <c r="B3439" t="s">
        <v>30</v>
      </c>
      <c r="C3439">
        <v>113</v>
      </c>
      <c r="D3439">
        <v>7</v>
      </c>
      <c r="E3439">
        <v>1</v>
      </c>
      <c r="F3439" t="s">
        <v>31</v>
      </c>
      <c r="G3439" t="s">
        <v>32</v>
      </c>
      <c r="H3439" t="s">
        <v>33</v>
      </c>
      <c r="I3439" t="s">
        <v>57</v>
      </c>
      <c r="O3439" s="5"/>
      <c r="P3439" s="5"/>
    </row>
    <row r="3440" spans="1:30" x14ac:dyDescent="0.25">
      <c r="A3440" s="4">
        <v>42599</v>
      </c>
      <c r="B3440" t="s">
        <v>30</v>
      </c>
      <c r="C3440">
        <v>113</v>
      </c>
      <c r="D3440">
        <v>7</v>
      </c>
      <c r="E3440">
        <v>2</v>
      </c>
      <c r="F3440" t="s">
        <v>31</v>
      </c>
      <c r="G3440" t="s">
        <v>32</v>
      </c>
      <c r="H3440" t="s">
        <v>33</v>
      </c>
      <c r="I3440" t="s">
        <v>91</v>
      </c>
      <c r="J3440" t="s">
        <v>42</v>
      </c>
      <c r="K3440" t="s">
        <v>89</v>
      </c>
      <c r="L3440" t="s">
        <v>37</v>
      </c>
      <c r="M3440">
        <v>0</v>
      </c>
      <c r="N3440">
        <v>1</v>
      </c>
      <c r="O3440" s="5" t="s">
        <v>844</v>
      </c>
      <c r="P3440" s="5"/>
      <c r="Q3440">
        <f>30.5-14</f>
        <v>16.5</v>
      </c>
      <c r="R3440" t="s">
        <v>38</v>
      </c>
      <c r="S3440" t="s">
        <v>39</v>
      </c>
      <c r="T3440">
        <v>29</v>
      </c>
      <c r="W3440">
        <v>12.5</v>
      </c>
      <c r="X3440">
        <v>24.9</v>
      </c>
      <c r="AB3440" t="s">
        <v>87</v>
      </c>
      <c r="AC3440" t="s">
        <v>56</v>
      </c>
    </row>
    <row r="3441" spans="1:29" x14ac:dyDescent="0.25">
      <c r="A3441" s="4">
        <v>42599</v>
      </c>
      <c r="B3441" t="s">
        <v>30</v>
      </c>
      <c r="C3441">
        <v>113</v>
      </c>
      <c r="D3441">
        <v>8</v>
      </c>
      <c r="E3441">
        <v>1</v>
      </c>
      <c r="F3441" t="s">
        <v>31</v>
      </c>
      <c r="G3441" t="s">
        <v>32</v>
      </c>
      <c r="H3441" t="s">
        <v>33</v>
      </c>
      <c r="I3441" t="s">
        <v>34</v>
      </c>
      <c r="J3441" t="s">
        <v>35</v>
      </c>
      <c r="K3441" t="s">
        <v>89</v>
      </c>
      <c r="L3441" t="s">
        <v>37</v>
      </c>
      <c r="M3441">
        <v>0</v>
      </c>
      <c r="N3441">
        <v>0</v>
      </c>
      <c r="O3441" s="5" t="s">
        <v>419</v>
      </c>
      <c r="P3441" s="5" t="s">
        <v>420</v>
      </c>
      <c r="Q3441">
        <f>29-14.5</f>
        <v>14.5</v>
      </c>
      <c r="R3441" t="s">
        <v>38</v>
      </c>
      <c r="S3441" t="s">
        <v>39</v>
      </c>
      <c r="T3441">
        <v>18</v>
      </c>
      <c r="U3441">
        <v>75</v>
      </c>
      <c r="V3441">
        <v>19</v>
      </c>
      <c r="W3441">
        <v>12.3</v>
      </c>
      <c r="X3441">
        <v>25.3</v>
      </c>
      <c r="AB3441" t="s">
        <v>87</v>
      </c>
      <c r="AC3441" t="s">
        <v>56</v>
      </c>
    </row>
    <row r="3442" spans="1:29" x14ac:dyDescent="0.25">
      <c r="A3442" s="4">
        <v>42599</v>
      </c>
      <c r="B3442" t="s">
        <v>30</v>
      </c>
      <c r="C3442">
        <v>113</v>
      </c>
      <c r="D3442">
        <v>8</v>
      </c>
      <c r="E3442">
        <v>2</v>
      </c>
      <c r="F3442" t="s">
        <v>31</v>
      </c>
      <c r="G3442" t="s">
        <v>32</v>
      </c>
      <c r="H3442" t="s">
        <v>33</v>
      </c>
      <c r="I3442" t="s">
        <v>34</v>
      </c>
      <c r="J3442" t="s">
        <v>35</v>
      </c>
      <c r="K3442" t="s">
        <v>114</v>
      </c>
      <c r="L3442" t="s">
        <v>43</v>
      </c>
      <c r="M3442">
        <v>0</v>
      </c>
      <c r="N3442">
        <v>0</v>
      </c>
      <c r="O3442" s="5" t="s">
        <v>475</v>
      </c>
      <c r="P3442" s="5" t="s">
        <v>476</v>
      </c>
      <c r="Q3442">
        <f>37-19</f>
        <v>18</v>
      </c>
      <c r="R3442" t="s">
        <v>47</v>
      </c>
      <c r="T3442">
        <v>19</v>
      </c>
      <c r="U3442">
        <v>83</v>
      </c>
      <c r="V3442">
        <v>15</v>
      </c>
      <c r="W3442">
        <v>13.25</v>
      </c>
      <c r="X3442">
        <v>29.3</v>
      </c>
      <c r="AB3442" t="s">
        <v>87</v>
      </c>
      <c r="AC3442" t="s">
        <v>56</v>
      </c>
    </row>
    <row r="3443" spans="1:29" x14ac:dyDescent="0.25">
      <c r="A3443" s="4">
        <v>42599</v>
      </c>
      <c r="B3443" t="s">
        <v>30</v>
      </c>
      <c r="C3443">
        <v>113</v>
      </c>
      <c r="D3443">
        <v>9</v>
      </c>
      <c r="E3443">
        <v>1</v>
      </c>
      <c r="F3443" t="s">
        <v>31</v>
      </c>
      <c r="G3443" t="s">
        <v>32</v>
      </c>
      <c r="H3443" t="s">
        <v>33</v>
      </c>
      <c r="I3443" t="s">
        <v>57</v>
      </c>
      <c r="O3443" s="5"/>
      <c r="P3443" s="5"/>
    </row>
    <row r="3444" spans="1:29" x14ac:dyDescent="0.25">
      <c r="A3444" s="4">
        <v>42599</v>
      </c>
      <c r="B3444" t="s">
        <v>30</v>
      </c>
      <c r="C3444">
        <v>113</v>
      </c>
      <c r="D3444">
        <v>9</v>
      </c>
      <c r="E3444">
        <v>2</v>
      </c>
      <c r="F3444" t="s">
        <v>31</v>
      </c>
      <c r="G3444" t="s">
        <v>32</v>
      </c>
      <c r="H3444" t="s">
        <v>33</v>
      </c>
      <c r="I3444" t="s">
        <v>53</v>
      </c>
      <c r="J3444" t="s">
        <v>62</v>
      </c>
      <c r="O3444" s="5"/>
      <c r="P3444" s="5"/>
    </row>
    <row r="3445" spans="1:29" x14ac:dyDescent="0.25">
      <c r="A3445" s="4">
        <v>42599</v>
      </c>
      <c r="B3445" t="s">
        <v>30</v>
      </c>
      <c r="C3445">
        <v>113</v>
      </c>
      <c r="D3445">
        <v>10</v>
      </c>
      <c r="E3445">
        <v>1</v>
      </c>
      <c r="F3445" t="s">
        <v>31</v>
      </c>
      <c r="G3445" t="s">
        <v>32</v>
      </c>
      <c r="H3445" t="s">
        <v>33</v>
      </c>
      <c r="I3445" t="s">
        <v>34</v>
      </c>
      <c r="J3445" t="s">
        <v>35</v>
      </c>
      <c r="K3445" t="s">
        <v>114</v>
      </c>
      <c r="L3445" t="s">
        <v>37</v>
      </c>
      <c r="M3445">
        <v>0</v>
      </c>
      <c r="N3445">
        <v>0</v>
      </c>
      <c r="O3445" s="5" t="s">
        <v>845</v>
      </c>
      <c r="P3445" s="5" t="s">
        <v>846</v>
      </c>
      <c r="R3445" t="s">
        <v>38</v>
      </c>
      <c r="S3445" t="s">
        <v>39</v>
      </c>
      <c r="T3445">
        <v>16</v>
      </c>
      <c r="V3445">
        <v>17</v>
      </c>
      <c r="W3445">
        <v>12.9</v>
      </c>
      <c r="X3445">
        <v>24.3</v>
      </c>
      <c r="AB3445" t="s">
        <v>87</v>
      </c>
      <c r="AC3445" t="s">
        <v>56</v>
      </c>
    </row>
    <row r="3446" spans="1:29" x14ac:dyDescent="0.25">
      <c r="A3446" s="4">
        <v>42599</v>
      </c>
      <c r="B3446" t="s">
        <v>30</v>
      </c>
      <c r="C3446">
        <v>113</v>
      </c>
      <c r="D3446">
        <v>10</v>
      </c>
      <c r="E3446">
        <v>2</v>
      </c>
      <c r="F3446" t="s">
        <v>31</v>
      </c>
      <c r="G3446" t="s">
        <v>32</v>
      </c>
      <c r="H3446" t="s">
        <v>33</v>
      </c>
      <c r="I3446" t="s">
        <v>34</v>
      </c>
      <c r="J3446" t="s">
        <v>35</v>
      </c>
      <c r="K3446" t="s">
        <v>89</v>
      </c>
      <c r="L3446" t="s">
        <v>43</v>
      </c>
      <c r="M3446">
        <v>0</v>
      </c>
      <c r="N3446">
        <v>0</v>
      </c>
      <c r="O3446" s="5" t="s">
        <v>516</v>
      </c>
      <c r="P3446" s="5" t="s">
        <v>517</v>
      </c>
      <c r="Q3446">
        <f>35.5-20.5</f>
        <v>15</v>
      </c>
      <c r="R3446" t="s">
        <v>65</v>
      </c>
      <c r="T3446">
        <v>17</v>
      </c>
      <c r="V3446">
        <v>16</v>
      </c>
      <c r="W3446">
        <v>12.5</v>
      </c>
      <c r="X3446">
        <v>22.6</v>
      </c>
      <c r="AB3446" t="s">
        <v>87</v>
      </c>
      <c r="AC3446" t="s">
        <v>56</v>
      </c>
    </row>
    <row r="3447" spans="1:29" x14ac:dyDescent="0.25">
      <c r="A3447" s="4">
        <v>42599</v>
      </c>
      <c r="B3447" t="s">
        <v>30</v>
      </c>
      <c r="C3447">
        <v>402</v>
      </c>
      <c r="D3447">
        <v>1</v>
      </c>
      <c r="E3447">
        <v>1</v>
      </c>
      <c r="F3447" t="s">
        <v>31</v>
      </c>
      <c r="G3447" t="s">
        <v>32</v>
      </c>
      <c r="H3447" t="s">
        <v>33</v>
      </c>
      <c r="I3447" t="s">
        <v>58</v>
      </c>
      <c r="J3447" t="s">
        <v>35</v>
      </c>
      <c r="K3447" t="s">
        <v>36</v>
      </c>
      <c r="L3447" t="s">
        <v>43</v>
      </c>
      <c r="M3447">
        <v>0</v>
      </c>
      <c r="N3447">
        <v>0</v>
      </c>
      <c r="O3447" s="5" t="s">
        <v>478</v>
      </c>
      <c r="P3447" s="5"/>
      <c r="Q3447">
        <f>34-13.5</f>
        <v>20.5</v>
      </c>
      <c r="R3447" t="s">
        <v>65</v>
      </c>
      <c r="T3447">
        <v>17</v>
      </c>
      <c r="W3447">
        <v>12.4</v>
      </c>
      <c r="X3447">
        <v>26.2</v>
      </c>
      <c r="Z3447" t="s">
        <v>97</v>
      </c>
      <c r="AB3447" t="s">
        <v>87</v>
      </c>
      <c r="AC3447" t="s">
        <v>56</v>
      </c>
    </row>
    <row r="3448" spans="1:29" x14ac:dyDescent="0.25">
      <c r="A3448" s="4">
        <v>42599</v>
      </c>
      <c r="B3448" t="s">
        <v>30</v>
      </c>
      <c r="C3448">
        <v>402</v>
      </c>
      <c r="D3448">
        <v>1</v>
      </c>
      <c r="E3448">
        <v>2</v>
      </c>
      <c r="F3448" t="s">
        <v>31</v>
      </c>
      <c r="G3448" t="s">
        <v>32</v>
      </c>
      <c r="H3448" t="s">
        <v>33</v>
      </c>
      <c r="I3448" t="s">
        <v>53</v>
      </c>
      <c r="J3448" t="s">
        <v>62</v>
      </c>
      <c r="O3448" s="5"/>
      <c r="P3448" s="5"/>
    </row>
    <row r="3449" spans="1:29" x14ac:dyDescent="0.25">
      <c r="A3449" s="4">
        <v>42599</v>
      </c>
      <c r="B3449" t="s">
        <v>30</v>
      </c>
      <c r="C3449">
        <v>402</v>
      </c>
      <c r="D3449">
        <v>2</v>
      </c>
      <c r="E3449">
        <v>1</v>
      </c>
      <c r="F3449" t="s">
        <v>31</v>
      </c>
      <c r="G3449" t="s">
        <v>32</v>
      </c>
      <c r="H3449" t="s">
        <v>33</v>
      </c>
      <c r="I3449" t="s">
        <v>57</v>
      </c>
      <c r="O3449" s="5"/>
      <c r="P3449" s="5"/>
    </row>
    <row r="3450" spans="1:29" x14ac:dyDescent="0.25">
      <c r="A3450" s="4">
        <v>42599</v>
      </c>
      <c r="B3450" t="s">
        <v>30</v>
      </c>
      <c r="C3450">
        <v>402</v>
      </c>
      <c r="D3450">
        <v>2</v>
      </c>
      <c r="E3450">
        <v>2</v>
      </c>
      <c r="F3450" t="s">
        <v>31</v>
      </c>
      <c r="G3450" t="s">
        <v>32</v>
      </c>
      <c r="H3450" t="s">
        <v>33</v>
      </c>
      <c r="I3450" t="s">
        <v>57</v>
      </c>
      <c r="O3450" s="5"/>
      <c r="P3450" s="5"/>
    </row>
    <row r="3451" spans="1:29" x14ac:dyDescent="0.25">
      <c r="A3451" s="4">
        <v>42599</v>
      </c>
      <c r="B3451" t="s">
        <v>30</v>
      </c>
      <c r="C3451">
        <v>402</v>
      </c>
      <c r="D3451">
        <v>4</v>
      </c>
      <c r="E3451">
        <v>1</v>
      </c>
      <c r="F3451" t="s">
        <v>31</v>
      </c>
      <c r="G3451" t="s">
        <v>32</v>
      </c>
      <c r="H3451" t="s">
        <v>33</v>
      </c>
      <c r="I3451" t="s">
        <v>70</v>
      </c>
      <c r="J3451" t="s">
        <v>123</v>
      </c>
      <c r="O3451" s="5"/>
      <c r="P3451" s="5"/>
    </row>
    <row r="3452" spans="1:29" x14ac:dyDescent="0.25">
      <c r="A3452" s="4">
        <v>42599</v>
      </c>
      <c r="B3452" t="s">
        <v>30</v>
      </c>
      <c r="C3452">
        <v>402</v>
      </c>
      <c r="D3452">
        <v>5</v>
      </c>
      <c r="E3452">
        <v>1</v>
      </c>
      <c r="F3452" t="s">
        <v>31</v>
      </c>
      <c r="G3452" t="s">
        <v>32</v>
      </c>
      <c r="H3452" t="s">
        <v>33</v>
      </c>
      <c r="I3452" t="s">
        <v>58</v>
      </c>
      <c r="J3452" t="s">
        <v>35</v>
      </c>
      <c r="K3452" t="s">
        <v>36</v>
      </c>
      <c r="L3452" t="s">
        <v>43</v>
      </c>
      <c r="M3452">
        <v>0</v>
      </c>
      <c r="N3452">
        <v>0</v>
      </c>
      <c r="O3452" s="5" t="s">
        <v>482</v>
      </c>
      <c r="P3452" s="5"/>
      <c r="Q3452">
        <f>40-14</f>
        <v>26</v>
      </c>
      <c r="R3452" t="s">
        <v>47</v>
      </c>
      <c r="T3452">
        <v>17</v>
      </c>
      <c r="W3452">
        <v>13.5</v>
      </c>
      <c r="X3452">
        <v>27</v>
      </c>
      <c r="Z3452" t="s">
        <v>97</v>
      </c>
      <c r="AB3452" t="s">
        <v>87</v>
      </c>
      <c r="AC3452" t="s">
        <v>56</v>
      </c>
    </row>
    <row r="3453" spans="1:29" x14ac:dyDescent="0.25">
      <c r="A3453" s="4">
        <v>42599</v>
      </c>
      <c r="B3453" t="s">
        <v>30</v>
      </c>
      <c r="C3453">
        <v>402</v>
      </c>
      <c r="D3453">
        <v>7</v>
      </c>
      <c r="E3453">
        <v>1</v>
      </c>
      <c r="F3453" t="s">
        <v>31</v>
      </c>
      <c r="G3453" t="s">
        <v>32</v>
      </c>
      <c r="H3453" t="s">
        <v>33</v>
      </c>
      <c r="I3453" t="s">
        <v>57</v>
      </c>
      <c r="O3453" s="5"/>
      <c r="P3453" s="5"/>
    </row>
    <row r="3454" spans="1:29" x14ac:dyDescent="0.25">
      <c r="A3454" s="4">
        <v>42599</v>
      </c>
      <c r="B3454" t="s">
        <v>30</v>
      </c>
      <c r="C3454">
        <v>402</v>
      </c>
      <c r="D3454">
        <v>7</v>
      </c>
      <c r="E3454">
        <v>2</v>
      </c>
      <c r="F3454" t="s">
        <v>31</v>
      </c>
      <c r="G3454" t="s">
        <v>32</v>
      </c>
      <c r="H3454" t="s">
        <v>33</v>
      </c>
      <c r="I3454" t="s">
        <v>57</v>
      </c>
      <c r="O3454" s="5"/>
      <c r="P3454" s="5"/>
    </row>
    <row r="3455" spans="1:29" x14ac:dyDescent="0.25">
      <c r="A3455" s="4">
        <v>42599</v>
      </c>
      <c r="B3455" t="s">
        <v>30</v>
      </c>
      <c r="C3455">
        <v>402</v>
      </c>
      <c r="D3455">
        <v>8</v>
      </c>
      <c r="E3455">
        <v>1</v>
      </c>
      <c r="F3455" t="s">
        <v>31</v>
      </c>
      <c r="G3455" t="s">
        <v>32</v>
      </c>
      <c r="H3455" t="s">
        <v>33</v>
      </c>
      <c r="I3455" t="s">
        <v>57</v>
      </c>
      <c r="O3455" s="5"/>
      <c r="P3455" s="5"/>
    </row>
    <row r="3456" spans="1:29" x14ac:dyDescent="0.25">
      <c r="A3456" s="4">
        <v>42599</v>
      </c>
      <c r="B3456" t="s">
        <v>30</v>
      </c>
      <c r="C3456">
        <v>402</v>
      </c>
      <c r="D3456">
        <v>9</v>
      </c>
      <c r="E3456">
        <v>1</v>
      </c>
      <c r="F3456" t="s">
        <v>31</v>
      </c>
      <c r="G3456" t="s">
        <v>32</v>
      </c>
      <c r="H3456" t="s">
        <v>33</v>
      </c>
      <c r="I3456" t="s">
        <v>57</v>
      </c>
      <c r="O3456" s="5"/>
      <c r="P3456" s="5"/>
    </row>
    <row r="3457" spans="1:32" x14ac:dyDescent="0.25">
      <c r="A3457" s="4">
        <v>42599</v>
      </c>
      <c r="B3457" t="s">
        <v>30</v>
      </c>
      <c r="C3457">
        <v>402</v>
      </c>
      <c r="D3457">
        <v>9</v>
      </c>
      <c r="E3457">
        <v>2</v>
      </c>
      <c r="F3457" t="s">
        <v>31</v>
      </c>
      <c r="G3457" t="s">
        <v>32</v>
      </c>
      <c r="H3457" t="s">
        <v>33</v>
      </c>
      <c r="I3457" t="s">
        <v>73</v>
      </c>
      <c r="J3457" t="s">
        <v>35</v>
      </c>
      <c r="K3457" t="s">
        <v>89</v>
      </c>
      <c r="L3457" t="s">
        <v>43</v>
      </c>
      <c r="M3457">
        <v>0</v>
      </c>
      <c r="N3457">
        <v>0</v>
      </c>
      <c r="O3457" s="5" t="s">
        <v>430</v>
      </c>
      <c r="P3457" s="5"/>
      <c r="Q3457">
        <f>177-94</f>
        <v>83</v>
      </c>
      <c r="R3457" t="s">
        <v>65</v>
      </c>
      <c r="T3457">
        <v>31.5</v>
      </c>
      <c r="W3457">
        <v>21.4</v>
      </c>
      <c r="X3457">
        <v>43</v>
      </c>
      <c r="Z3457" t="s">
        <v>97</v>
      </c>
      <c r="AB3457" t="s">
        <v>87</v>
      </c>
      <c r="AC3457" t="s">
        <v>56</v>
      </c>
    </row>
    <row r="3458" spans="1:32" x14ac:dyDescent="0.25">
      <c r="A3458" s="4">
        <v>42599</v>
      </c>
      <c r="B3458" t="s">
        <v>30</v>
      </c>
      <c r="C3458">
        <v>402</v>
      </c>
      <c r="D3458">
        <v>10</v>
      </c>
      <c r="E3458">
        <v>1</v>
      </c>
      <c r="F3458" t="s">
        <v>31</v>
      </c>
      <c r="G3458" t="s">
        <v>32</v>
      </c>
      <c r="H3458" t="s">
        <v>33</v>
      </c>
      <c r="I3458" t="s">
        <v>58</v>
      </c>
      <c r="J3458" t="s">
        <v>35</v>
      </c>
      <c r="K3458" t="s">
        <v>36</v>
      </c>
      <c r="L3458" t="s">
        <v>37</v>
      </c>
      <c r="M3458">
        <v>0</v>
      </c>
      <c r="N3458">
        <v>0</v>
      </c>
      <c r="O3458" s="5" t="s">
        <v>337</v>
      </c>
      <c r="P3458" s="5"/>
      <c r="Q3458">
        <f>38.5-14</f>
        <v>24.5</v>
      </c>
      <c r="R3458" t="s">
        <v>74</v>
      </c>
      <c r="S3458" t="s">
        <v>97</v>
      </c>
      <c r="AB3458" t="s">
        <v>87</v>
      </c>
      <c r="AC3458" t="s">
        <v>56</v>
      </c>
      <c r="AD3458" t="s">
        <v>847</v>
      </c>
    </row>
    <row r="3459" spans="1:32" x14ac:dyDescent="0.25">
      <c r="A3459" s="4">
        <v>42599</v>
      </c>
      <c r="B3459" t="s">
        <v>30</v>
      </c>
      <c r="C3459">
        <v>201</v>
      </c>
      <c r="D3459">
        <v>1</v>
      </c>
      <c r="E3459">
        <v>1</v>
      </c>
      <c r="F3459" t="s">
        <v>320</v>
      </c>
      <c r="G3459" t="s">
        <v>32</v>
      </c>
      <c r="H3459" t="s">
        <v>33</v>
      </c>
      <c r="I3459" t="s">
        <v>34</v>
      </c>
      <c r="J3459" t="s">
        <v>35</v>
      </c>
      <c r="K3459" t="s">
        <v>114</v>
      </c>
      <c r="L3459" t="s">
        <v>37</v>
      </c>
      <c r="M3459">
        <v>0</v>
      </c>
      <c r="N3459">
        <v>0</v>
      </c>
      <c r="O3459" s="5" t="s">
        <v>741</v>
      </c>
      <c r="P3459" s="5" t="s">
        <v>742</v>
      </c>
      <c r="Q3459">
        <f>32.5-15</f>
        <v>17.5</v>
      </c>
      <c r="R3459" t="s">
        <v>38</v>
      </c>
      <c r="S3459" t="s">
        <v>39</v>
      </c>
      <c r="T3459">
        <v>19</v>
      </c>
      <c r="U3459">
        <v>85</v>
      </c>
      <c r="V3459">
        <v>15</v>
      </c>
      <c r="W3459">
        <v>13.3</v>
      </c>
      <c r="X3459">
        <v>28.7</v>
      </c>
      <c r="Z3459" t="s">
        <v>97</v>
      </c>
      <c r="AA3459" t="s">
        <v>199</v>
      </c>
      <c r="AB3459" t="s">
        <v>87</v>
      </c>
      <c r="AC3459" t="s">
        <v>56</v>
      </c>
    </row>
    <row r="3460" spans="1:32" x14ac:dyDescent="0.25">
      <c r="A3460" s="4">
        <v>42599</v>
      </c>
      <c r="B3460" t="s">
        <v>30</v>
      </c>
      <c r="C3460">
        <v>201</v>
      </c>
      <c r="D3460">
        <v>3</v>
      </c>
      <c r="E3460">
        <v>1</v>
      </c>
      <c r="F3460" t="s">
        <v>320</v>
      </c>
      <c r="G3460" t="s">
        <v>32</v>
      </c>
      <c r="H3460" t="s">
        <v>33</v>
      </c>
      <c r="I3460" t="s">
        <v>58</v>
      </c>
      <c r="J3460" t="s">
        <v>42</v>
      </c>
      <c r="K3460" t="s">
        <v>114</v>
      </c>
      <c r="L3460" t="s">
        <v>43</v>
      </c>
      <c r="M3460">
        <v>0</v>
      </c>
      <c r="N3460">
        <v>1</v>
      </c>
      <c r="O3460" s="5" t="s">
        <v>848</v>
      </c>
      <c r="P3460" s="5"/>
      <c r="Q3460">
        <f>35-15</f>
        <v>20</v>
      </c>
      <c r="R3460" t="s">
        <v>47</v>
      </c>
      <c r="T3460">
        <v>18</v>
      </c>
      <c r="W3460">
        <v>13</v>
      </c>
      <c r="X3460">
        <v>26.4</v>
      </c>
      <c r="Z3460" t="s">
        <v>97</v>
      </c>
      <c r="AA3460" t="s">
        <v>199</v>
      </c>
      <c r="AB3460" t="s">
        <v>87</v>
      </c>
      <c r="AC3460" t="s">
        <v>56</v>
      </c>
      <c r="AD3460" t="s">
        <v>849</v>
      </c>
      <c r="AF3460" t="s">
        <v>789</v>
      </c>
    </row>
    <row r="3461" spans="1:32" x14ac:dyDescent="0.25">
      <c r="A3461" s="4">
        <v>42599</v>
      </c>
      <c r="B3461" t="s">
        <v>30</v>
      </c>
      <c r="C3461">
        <v>201</v>
      </c>
      <c r="D3461">
        <v>3</v>
      </c>
      <c r="E3461">
        <v>2</v>
      </c>
      <c r="F3461" t="s">
        <v>320</v>
      </c>
      <c r="G3461" t="s">
        <v>32</v>
      </c>
      <c r="H3461" t="s">
        <v>33</v>
      </c>
      <c r="I3461" t="s">
        <v>57</v>
      </c>
      <c r="O3461" s="5"/>
      <c r="P3461" s="5"/>
    </row>
    <row r="3462" spans="1:32" x14ac:dyDescent="0.25">
      <c r="A3462" s="4">
        <v>42599</v>
      </c>
      <c r="B3462" t="s">
        <v>30</v>
      </c>
      <c r="C3462">
        <v>201</v>
      </c>
      <c r="D3462">
        <v>4</v>
      </c>
      <c r="E3462">
        <v>1</v>
      </c>
      <c r="F3462" t="s">
        <v>320</v>
      </c>
      <c r="G3462" t="s">
        <v>32</v>
      </c>
      <c r="H3462" t="s">
        <v>33</v>
      </c>
      <c r="I3462" t="s">
        <v>34</v>
      </c>
      <c r="J3462" t="s">
        <v>35</v>
      </c>
      <c r="K3462" t="s">
        <v>36</v>
      </c>
      <c r="L3462" t="s">
        <v>43</v>
      </c>
      <c r="M3462">
        <v>0</v>
      </c>
      <c r="N3462">
        <v>0</v>
      </c>
      <c r="O3462" s="5" t="s">
        <v>850</v>
      </c>
      <c r="P3462" s="5" t="s">
        <v>851</v>
      </c>
      <c r="Q3462">
        <f>34-14.5</f>
        <v>19.5</v>
      </c>
      <c r="R3462" t="s">
        <v>47</v>
      </c>
      <c r="T3462">
        <v>19.5</v>
      </c>
      <c r="U3462">
        <v>89</v>
      </c>
      <c r="V3462">
        <v>15</v>
      </c>
      <c r="W3462">
        <v>13.2</v>
      </c>
      <c r="X3462">
        <v>27.9</v>
      </c>
      <c r="Z3462" t="s">
        <v>97</v>
      </c>
      <c r="AA3462" t="s">
        <v>199</v>
      </c>
      <c r="AB3462" t="s">
        <v>87</v>
      </c>
      <c r="AC3462" t="s">
        <v>56</v>
      </c>
    </row>
    <row r="3463" spans="1:32" x14ac:dyDescent="0.25">
      <c r="A3463" s="4">
        <v>42599</v>
      </c>
      <c r="B3463" t="s">
        <v>30</v>
      </c>
      <c r="C3463">
        <v>201</v>
      </c>
      <c r="D3463">
        <v>4</v>
      </c>
      <c r="E3463">
        <v>2</v>
      </c>
      <c r="F3463" t="s">
        <v>320</v>
      </c>
      <c r="G3463" t="s">
        <v>32</v>
      </c>
      <c r="H3463" t="s">
        <v>33</v>
      </c>
      <c r="I3463" t="s">
        <v>53</v>
      </c>
      <c r="J3463" t="s">
        <v>62</v>
      </c>
      <c r="O3463" s="5"/>
      <c r="P3463" s="5"/>
    </row>
    <row r="3464" spans="1:32" x14ac:dyDescent="0.25">
      <c r="A3464" s="4">
        <v>42599</v>
      </c>
      <c r="B3464" t="s">
        <v>30</v>
      </c>
      <c r="C3464">
        <v>201</v>
      </c>
      <c r="D3464">
        <v>5</v>
      </c>
      <c r="E3464">
        <v>1</v>
      </c>
      <c r="F3464" t="s">
        <v>320</v>
      </c>
      <c r="G3464" t="s">
        <v>32</v>
      </c>
      <c r="H3464" t="s">
        <v>33</v>
      </c>
      <c r="I3464" t="s">
        <v>34</v>
      </c>
      <c r="J3464" t="s">
        <v>35</v>
      </c>
      <c r="K3464" t="s">
        <v>114</v>
      </c>
      <c r="L3464" t="s">
        <v>37</v>
      </c>
      <c r="M3464">
        <v>0</v>
      </c>
      <c r="N3464">
        <v>0</v>
      </c>
      <c r="O3464" s="5" t="s">
        <v>852</v>
      </c>
      <c r="P3464" s="5" t="s">
        <v>853</v>
      </c>
      <c r="Q3464">
        <f>31-14</f>
        <v>17</v>
      </c>
      <c r="R3464" t="s">
        <v>38</v>
      </c>
      <c r="S3464" t="s">
        <v>39</v>
      </c>
      <c r="T3464">
        <v>19</v>
      </c>
      <c r="U3464">
        <v>79</v>
      </c>
      <c r="V3464">
        <v>15</v>
      </c>
      <c r="W3464">
        <v>13.1</v>
      </c>
      <c r="X3464">
        <v>27.5</v>
      </c>
      <c r="Z3464" t="s">
        <v>97</v>
      </c>
      <c r="AA3464" t="s">
        <v>199</v>
      </c>
      <c r="AB3464" t="s">
        <v>87</v>
      </c>
      <c r="AC3464" t="s">
        <v>56</v>
      </c>
    </row>
    <row r="3465" spans="1:32" x14ac:dyDescent="0.25">
      <c r="A3465" s="4">
        <v>42599</v>
      </c>
      <c r="B3465" t="s">
        <v>30</v>
      </c>
      <c r="C3465">
        <v>201</v>
      </c>
      <c r="D3465">
        <v>5</v>
      </c>
      <c r="E3465">
        <v>2</v>
      </c>
      <c r="F3465" t="s">
        <v>320</v>
      </c>
      <c r="G3465" t="s">
        <v>32</v>
      </c>
      <c r="H3465" t="s">
        <v>33</v>
      </c>
      <c r="I3465" t="s">
        <v>53</v>
      </c>
      <c r="J3465" t="s">
        <v>62</v>
      </c>
      <c r="O3465" s="5"/>
      <c r="P3465" s="5"/>
    </row>
    <row r="3466" spans="1:32" x14ac:dyDescent="0.25">
      <c r="A3466" s="4">
        <v>42599</v>
      </c>
      <c r="B3466" t="s">
        <v>30</v>
      </c>
      <c r="C3466">
        <v>201</v>
      </c>
      <c r="D3466">
        <v>6</v>
      </c>
      <c r="E3466">
        <v>1</v>
      </c>
      <c r="F3466" t="s">
        <v>320</v>
      </c>
      <c r="G3466" t="s">
        <v>32</v>
      </c>
      <c r="H3466" t="s">
        <v>33</v>
      </c>
      <c r="I3466" t="s">
        <v>57</v>
      </c>
      <c r="O3466" s="5"/>
      <c r="P3466" s="5"/>
    </row>
    <row r="3467" spans="1:32" x14ac:dyDescent="0.25">
      <c r="A3467" s="4">
        <v>42599</v>
      </c>
      <c r="B3467" t="s">
        <v>30</v>
      </c>
      <c r="C3467">
        <v>201</v>
      </c>
      <c r="D3467">
        <v>6</v>
      </c>
      <c r="E3467">
        <v>2</v>
      </c>
      <c r="F3467" t="s">
        <v>320</v>
      </c>
      <c r="G3467" t="s">
        <v>32</v>
      </c>
      <c r="H3467" t="s">
        <v>33</v>
      </c>
      <c r="I3467" t="s">
        <v>58</v>
      </c>
      <c r="J3467" t="s">
        <v>35</v>
      </c>
      <c r="K3467" t="s">
        <v>36</v>
      </c>
      <c r="L3467" t="s">
        <v>37</v>
      </c>
      <c r="M3467">
        <v>0</v>
      </c>
      <c r="N3467">
        <v>0</v>
      </c>
      <c r="O3467" s="5" t="s">
        <v>756</v>
      </c>
      <c r="P3467" s="5"/>
      <c r="Q3467">
        <f>39-16</f>
        <v>23</v>
      </c>
      <c r="R3467" t="s">
        <v>38</v>
      </c>
      <c r="S3467" t="s">
        <v>39</v>
      </c>
      <c r="Z3467" t="s">
        <v>97</v>
      </c>
      <c r="AA3467" t="s">
        <v>199</v>
      </c>
      <c r="AB3467" t="s">
        <v>87</v>
      </c>
      <c r="AC3467" t="s">
        <v>56</v>
      </c>
    </row>
    <row r="3468" spans="1:32" x14ac:dyDescent="0.25">
      <c r="A3468" s="4">
        <v>42599</v>
      </c>
      <c r="B3468" t="s">
        <v>30</v>
      </c>
      <c r="C3468">
        <v>201</v>
      </c>
      <c r="D3468">
        <v>7</v>
      </c>
      <c r="E3468">
        <v>1</v>
      </c>
      <c r="F3468" t="s">
        <v>320</v>
      </c>
      <c r="G3468" t="s">
        <v>32</v>
      </c>
      <c r="H3468" t="s">
        <v>33</v>
      </c>
      <c r="I3468" t="s">
        <v>34</v>
      </c>
      <c r="J3468" t="s">
        <v>35</v>
      </c>
      <c r="K3468" t="s">
        <v>114</v>
      </c>
      <c r="L3468" t="s">
        <v>43</v>
      </c>
      <c r="M3468">
        <v>0</v>
      </c>
      <c r="N3468">
        <v>0</v>
      </c>
      <c r="O3468" s="5" t="s">
        <v>747</v>
      </c>
      <c r="P3468" s="5" t="s">
        <v>748</v>
      </c>
      <c r="Q3468">
        <f>32-16</f>
        <v>16</v>
      </c>
      <c r="R3468" t="s">
        <v>47</v>
      </c>
      <c r="T3468">
        <v>19</v>
      </c>
      <c r="U3468">
        <v>83</v>
      </c>
      <c r="V3468">
        <v>16</v>
      </c>
      <c r="W3468">
        <v>13.1</v>
      </c>
      <c r="X3468">
        <v>27.3</v>
      </c>
      <c r="Z3468" t="s">
        <v>97</v>
      </c>
      <c r="AA3468" t="s">
        <v>199</v>
      </c>
      <c r="AB3468" t="s">
        <v>87</v>
      </c>
      <c r="AC3468" t="s">
        <v>56</v>
      </c>
      <c r="AD3468" t="s">
        <v>854</v>
      </c>
    </row>
    <row r="3469" spans="1:32" x14ac:dyDescent="0.25">
      <c r="A3469" s="4">
        <v>42599</v>
      </c>
      <c r="B3469" t="s">
        <v>30</v>
      </c>
      <c r="C3469">
        <v>201</v>
      </c>
      <c r="D3469">
        <v>7</v>
      </c>
      <c r="E3469">
        <v>2</v>
      </c>
      <c r="F3469" t="s">
        <v>320</v>
      </c>
      <c r="G3469" t="s">
        <v>32</v>
      </c>
      <c r="H3469" t="s">
        <v>33</v>
      </c>
      <c r="I3469" t="s">
        <v>34</v>
      </c>
      <c r="J3469" t="s">
        <v>35</v>
      </c>
      <c r="K3469" t="s">
        <v>89</v>
      </c>
      <c r="L3469" t="s">
        <v>37</v>
      </c>
      <c r="M3469">
        <v>0</v>
      </c>
      <c r="N3469">
        <v>0</v>
      </c>
      <c r="O3469" s="5" t="s">
        <v>855</v>
      </c>
      <c r="P3469" s="5" t="s">
        <v>856</v>
      </c>
      <c r="Q3469">
        <f>30-17</f>
        <v>13</v>
      </c>
      <c r="R3469" t="s">
        <v>38</v>
      </c>
      <c r="S3469" t="s">
        <v>39</v>
      </c>
      <c r="T3469">
        <v>19</v>
      </c>
      <c r="U3469">
        <v>72</v>
      </c>
      <c r="V3469">
        <v>16</v>
      </c>
      <c r="W3469">
        <v>13</v>
      </c>
      <c r="X3469">
        <v>27</v>
      </c>
      <c r="Z3469" t="s">
        <v>97</v>
      </c>
      <c r="AA3469" t="s">
        <v>199</v>
      </c>
      <c r="AB3469" t="s">
        <v>87</v>
      </c>
      <c r="AC3469" t="s">
        <v>56</v>
      </c>
    </row>
    <row r="3470" spans="1:32" x14ac:dyDescent="0.25">
      <c r="A3470" s="4">
        <v>42599</v>
      </c>
      <c r="B3470" t="s">
        <v>30</v>
      </c>
      <c r="C3470">
        <v>201</v>
      </c>
      <c r="D3470">
        <v>8</v>
      </c>
      <c r="E3470">
        <v>1</v>
      </c>
      <c r="F3470" t="s">
        <v>320</v>
      </c>
      <c r="G3470" t="s">
        <v>32</v>
      </c>
      <c r="H3470" t="s">
        <v>33</v>
      </c>
      <c r="I3470" t="s">
        <v>58</v>
      </c>
      <c r="J3470" t="s">
        <v>42</v>
      </c>
      <c r="K3470" t="s">
        <v>36</v>
      </c>
      <c r="L3470" t="s">
        <v>43</v>
      </c>
      <c r="M3470">
        <v>0</v>
      </c>
      <c r="N3470">
        <v>1</v>
      </c>
      <c r="O3470" s="5" t="s">
        <v>857</v>
      </c>
      <c r="P3470" s="5"/>
      <c r="Q3470">
        <f>36-16</f>
        <v>20</v>
      </c>
      <c r="R3470" t="s">
        <v>47</v>
      </c>
      <c r="T3470">
        <v>16</v>
      </c>
      <c r="W3470">
        <v>13.2</v>
      </c>
      <c r="X3470">
        <v>27.6</v>
      </c>
      <c r="Z3470" t="s">
        <v>97</v>
      </c>
      <c r="AA3470" t="s">
        <v>199</v>
      </c>
      <c r="AB3470" t="s">
        <v>87</v>
      </c>
      <c r="AC3470" t="s">
        <v>56</v>
      </c>
      <c r="AD3470" t="s">
        <v>789</v>
      </c>
    </row>
    <row r="3471" spans="1:32" x14ac:dyDescent="0.25">
      <c r="A3471" s="4">
        <v>42599</v>
      </c>
      <c r="B3471" t="s">
        <v>30</v>
      </c>
      <c r="C3471">
        <v>201</v>
      </c>
      <c r="D3471">
        <v>9</v>
      </c>
      <c r="E3471">
        <v>1</v>
      </c>
      <c r="F3471" t="s">
        <v>320</v>
      </c>
      <c r="G3471" t="s">
        <v>32</v>
      </c>
      <c r="H3471" t="s">
        <v>33</v>
      </c>
      <c r="I3471" t="s">
        <v>57</v>
      </c>
      <c r="O3471" s="5"/>
      <c r="P3471" s="5"/>
    </row>
    <row r="3472" spans="1:32" x14ac:dyDescent="0.25">
      <c r="A3472" s="4">
        <v>42599</v>
      </c>
      <c r="B3472" t="s">
        <v>30</v>
      </c>
      <c r="C3472">
        <v>201</v>
      </c>
      <c r="D3472">
        <v>9</v>
      </c>
      <c r="E3472">
        <v>2</v>
      </c>
      <c r="F3472" t="s">
        <v>320</v>
      </c>
      <c r="G3472" t="s">
        <v>32</v>
      </c>
      <c r="H3472" t="s">
        <v>33</v>
      </c>
      <c r="I3472" t="s">
        <v>57</v>
      </c>
      <c r="O3472" s="5"/>
      <c r="P3472" s="5"/>
    </row>
    <row r="3473" spans="1:34" x14ac:dyDescent="0.25">
      <c r="A3473" s="4">
        <v>42599</v>
      </c>
      <c r="B3473" t="s">
        <v>30</v>
      </c>
      <c r="C3473">
        <v>201</v>
      </c>
      <c r="D3473">
        <v>10</v>
      </c>
      <c r="E3473">
        <v>1</v>
      </c>
      <c r="F3473" t="s">
        <v>320</v>
      </c>
      <c r="G3473" t="s">
        <v>32</v>
      </c>
      <c r="H3473" t="s">
        <v>33</v>
      </c>
      <c r="I3473" t="s">
        <v>57</v>
      </c>
      <c r="O3473" s="5"/>
      <c r="P3473" s="5"/>
    </row>
    <row r="3474" spans="1:34" x14ac:dyDescent="0.25">
      <c r="A3474" s="4">
        <v>42599</v>
      </c>
      <c r="B3474" t="s">
        <v>30</v>
      </c>
      <c r="C3474">
        <v>201</v>
      </c>
      <c r="D3474">
        <v>10</v>
      </c>
      <c r="E3474">
        <v>2</v>
      </c>
      <c r="F3474" t="s">
        <v>320</v>
      </c>
      <c r="G3474" t="s">
        <v>32</v>
      </c>
      <c r="H3474" t="s">
        <v>33</v>
      </c>
      <c r="I3474" t="s">
        <v>34</v>
      </c>
      <c r="J3474" t="s">
        <v>35</v>
      </c>
      <c r="K3474" t="s">
        <v>114</v>
      </c>
      <c r="L3474" t="s">
        <v>43</v>
      </c>
      <c r="M3474">
        <v>0</v>
      </c>
      <c r="N3474">
        <v>0</v>
      </c>
      <c r="O3474" s="5" t="s">
        <v>754</v>
      </c>
      <c r="P3474" s="5" t="s">
        <v>755</v>
      </c>
      <c r="Q3474">
        <f>32-16</f>
        <v>16</v>
      </c>
      <c r="R3474" t="s">
        <v>47</v>
      </c>
      <c r="T3474">
        <v>19</v>
      </c>
      <c r="U3474">
        <v>87</v>
      </c>
      <c r="V3474">
        <v>17</v>
      </c>
      <c r="W3474">
        <v>13.1</v>
      </c>
      <c r="X3474">
        <v>27.7</v>
      </c>
      <c r="Z3474" t="s">
        <v>97</v>
      </c>
      <c r="AA3474" t="s">
        <v>199</v>
      </c>
      <c r="AB3474" t="s">
        <v>87</v>
      </c>
      <c r="AC3474" t="s">
        <v>56</v>
      </c>
    </row>
    <row r="3475" spans="1:34" x14ac:dyDescent="0.25">
      <c r="A3475" s="4">
        <v>42599</v>
      </c>
      <c r="B3475" t="s">
        <v>30</v>
      </c>
      <c r="C3475">
        <v>203</v>
      </c>
      <c r="D3475">
        <v>1</v>
      </c>
      <c r="E3475">
        <v>1</v>
      </c>
      <c r="F3475" t="s">
        <v>320</v>
      </c>
      <c r="G3475" t="s">
        <v>32</v>
      </c>
      <c r="H3475" t="s">
        <v>33</v>
      </c>
      <c r="I3475" t="s">
        <v>91</v>
      </c>
      <c r="J3475" t="s">
        <v>35</v>
      </c>
      <c r="K3475" t="s">
        <v>36</v>
      </c>
      <c r="L3475" t="s">
        <v>37</v>
      </c>
      <c r="M3475">
        <v>0</v>
      </c>
      <c r="N3475">
        <v>0</v>
      </c>
      <c r="O3475" s="5" t="s">
        <v>765</v>
      </c>
      <c r="P3475" s="5"/>
      <c r="Q3475">
        <f>40.5-14</f>
        <v>26.5</v>
      </c>
      <c r="R3475" t="s">
        <v>136</v>
      </c>
      <c r="S3475" t="s">
        <v>97</v>
      </c>
      <c r="T3475">
        <v>29</v>
      </c>
      <c r="W3475">
        <v>13</v>
      </c>
      <c r="X3475">
        <v>26</v>
      </c>
      <c r="Z3475" t="s">
        <v>97</v>
      </c>
      <c r="AA3475" t="s">
        <v>199</v>
      </c>
      <c r="AB3475" t="s">
        <v>87</v>
      </c>
      <c r="AC3475" t="s">
        <v>56</v>
      </c>
    </row>
    <row r="3476" spans="1:34" x14ac:dyDescent="0.25">
      <c r="A3476" s="4">
        <v>42599</v>
      </c>
      <c r="B3476" t="s">
        <v>30</v>
      </c>
      <c r="C3476">
        <v>203</v>
      </c>
      <c r="D3476">
        <v>1</v>
      </c>
      <c r="E3476">
        <v>2</v>
      </c>
      <c r="F3476" t="s">
        <v>320</v>
      </c>
      <c r="G3476" t="s">
        <v>32</v>
      </c>
      <c r="H3476" t="s">
        <v>33</v>
      </c>
      <c r="I3476" t="s">
        <v>91</v>
      </c>
      <c r="J3476" t="s">
        <v>42</v>
      </c>
      <c r="K3476" t="s">
        <v>36</v>
      </c>
      <c r="L3476" t="s">
        <v>43</v>
      </c>
      <c r="M3476">
        <v>0</v>
      </c>
      <c r="N3476">
        <v>1</v>
      </c>
      <c r="O3476" s="5"/>
      <c r="P3476" s="5" t="s">
        <v>858</v>
      </c>
      <c r="Q3476">
        <f>52-14</f>
        <v>38</v>
      </c>
      <c r="R3476" t="s">
        <v>136</v>
      </c>
      <c r="S3476" t="s">
        <v>97</v>
      </c>
      <c r="T3476">
        <v>30.5</v>
      </c>
      <c r="W3476">
        <v>13.4</v>
      </c>
      <c r="X3476">
        <v>25.4</v>
      </c>
      <c r="Y3476" t="s">
        <v>859</v>
      </c>
      <c r="Z3476" t="s">
        <v>97</v>
      </c>
      <c r="AA3476" t="s">
        <v>199</v>
      </c>
      <c r="AB3476" t="s">
        <v>87</v>
      </c>
      <c r="AC3476" t="s">
        <v>56</v>
      </c>
      <c r="AD3476" t="s">
        <v>654</v>
      </c>
      <c r="AE3476" t="s">
        <v>860</v>
      </c>
      <c r="AH3476" t="s">
        <v>789</v>
      </c>
    </row>
    <row r="3477" spans="1:34" x14ac:dyDescent="0.25">
      <c r="A3477" s="4">
        <v>42599</v>
      </c>
      <c r="B3477" t="s">
        <v>30</v>
      </c>
      <c r="C3477">
        <v>203</v>
      </c>
      <c r="D3477">
        <v>2</v>
      </c>
      <c r="E3477">
        <v>1</v>
      </c>
      <c r="F3477" t="s">
        <v>320</v>
      </c>
      <c r="G3477" t="s">
        <v>32</v>
      </c>
      <c r="H3477" t="s">
        <v>33</v>
      </c>
      <c r="I3477" t="s">
        <v>34</v>
      </c>
      <c r="J3477" t="s">
        <v>42</v>
      </c>
      <c r="K3477" t="s">
        <v>89</v>
      </c>
      <c r="L3477" t="s">
        <v>37</v>
      </c>
      <c r="M3477">
        <v>0</v>
      </c>
      <c r="N3477">
        <v>1</v>
      </c>
      <c r="O3477" s="5" t="s">
        <v>861</v>
      </c>
      <c r="P3477" s="5" t="s">
        <v>862</v>
      </c>
      <c r="Q3477">
        <f>27.5-14</f>
        <v>13.5</v>
      </c>
      <c r="R3477" t="s">
        <v>38</v>
      </c>
      <c r="S3477" t="s">
        <v>97</v>
      </c>
      <c r="T3477">
        <v>18.5</v>
      </c>
      <c r="U3477">
        <v>88</v>
      </c>
      <c r="V3477">
        <v>15</v>
      </c>
      <c r="W3477">
        <v>12.9</v>
      </c>
      <c r="X3477">
        <v>27</v>
      </c>
      <c r="Z3477" t="s">
        <v>39</v>
      </c>
      <c r="AB3477" t="s">
        <v>87</v>
      </c>
      <c r="AC3477" t="s">
        <v>56</v>
      </c>
      <c r="AD3477" t="s">
        <v>777</v>
      </c>
    </row>
    <row r="3478" spans="1:34" x14ac:dyDescent="0.25">
      <c r="A3478" s="4">
        <v>42599</v>
      </c>
      <c r="B3478" t="s">
        <v>30</v>
      </c>
      <c r="C3478">
        <v>203</v>
      </c>
      <c r="D3478">
        <v>3</v>
      </c>
      <c r="E3478">
        <v>1</v>
      </c>
      <c r="F3478" t="s">
        <v>320</v>
      </c>
      <c r="G3478" t="s">
        <v>32</v>
      </c>
      <c r="H3478" t="s">
        <v>33</v>
      </c>
      <c r="I3478" t="s">
        <v>57</v>
      </c>
      <c r="O3478" s="5"/>
      <c r="P3478" s="5"/>
    </row>
    <row r="3479" spans="1:34" x14ac:dyDescent="0.25">
      <c r="A3479" s="4">
        <v>42599</v>
      </c>
      <c r="B3479" t="s">
        <v>30</v>
      </c>
      <c r="C3479">
        <v>203</v>
      </c>
      <c r="D3479">
        <v>3</v>
      </c>
      <c r="E3479">
        <v>2</v>
      </c>
      <c r="F3479" t="s">
        <v>320</v>
      </c>
      <c r="G3479" t="s">
        <v>32</v>
      </c>
      <c r="H3479" t="s">
        <v>33</v>
      </c>
      <c r="I3479" t="s">
        <v>91</v>
      </c>
      <c r="J3479" t="s">
        <v>35</v>
      </c>
      <c r="K3479" t="s">
        <v>36</v>
      </c>
      <c r="L3479" t="s">
        <v>37</v>
      </c>
      <c r="M3479">
        <v>0</v>
      </c>
      <c r="N3479">
        <v>0</v>
      </c>
      <c r="O3479" s="5"/>
      <c r="P3479" s="5" t="s">
        <v>863</v>
      </c>
      <c r="Q3479">
        <f>49-13</f>
        <v>36</v>
      </c>
      <c r="R3479" t="s">
        <v>143</v>
      </c>
      <c r="S3479" t="s">
        <v>97</v>
      </c>
      <c r="T3479">
        <v>28</v>
      </c>
      <c r="W3479">
        <v>13.3</v>
      </c>
      <c r="X3479">
        <v>26.1</v>
      </c>
      <c r="Z3479" t="s">
        <v>97</v>
      </c>
      <c r="AA3479" t="s">
        <v>199</v>
      </c>
      <c r="AB3479" t="s">
        <v>87</v>
      </c>
      <c r="AC3479" t="s">
        <v>56</v>
      </c>
    </row>
    <row r="3480" spans="1:34" x14ac:dyDescent="0.25">
      <c r="A3480" s="4">
        <v>42599</v>
      </c>
      <c r="B3480" t="s">
        <v>30</v>
      </c>
      <c r="C3480">
        <v>203</v>
      </c>
      <c r="D3480">
        <v>4</v>
      </c>
      <c r="E3480">
        <v>1</v>
      </c>
      <c r="F3480" t="s">
        <v>320</v>
      </c>
      <c r="G3480" t="s">
        <v>32</v>
      </c>
      <c r="H3480" t="s">
        <v>33</v>
      </c>
      <c r="I3480" t="s">
        <v>91</v>
      </c>
      <c r="J3480" t="s">
        <v>42</v>
      </c>
      <c r="K3480" t="s">
        <v>114</v>
      </c>
      <c r="L3480" t="s">
        <v>43</v>
      </c>
      <c r="M3480">
        <v>0</v>
      </c>
      <c r="N3480">
        <v>1</v>
      </c>
      <c r="O3480" s="5" t="s">
        <v>864</v>
      </c>
      <c r="P3480" s="5"/>
      <c r="Q3480">
        <f>30-13.5</f>
        <v>16.5</v>
      </c>
      <c r="R3480" t="s">
        <v>47</v>
      </c>
      <c r="T3480">
        <v>29</v>
      </c>
      <c r="W3480">
        <v>13.2</v>
      </c>
      <c r="X3480">
        <v>24.7</v>
      </c>
      <c r="Z3480" t="s">
        <v>39</v>
      </c>
      <c r="AB3480" t="s">
        <v>87</v>
      </c>
      <c r="AC3480" t="s">
        <v>56</v>
      </c>
      <c r="AD3480" t="s">
        <v>789</v>
      </c>
    </row>
    <row r="3481" spans="1:34" x14ac:dyDescent="0.25">
      <c r="A3481" s="4">
        <v>42599</v>
      </c>
      <c r="B3481" t="s">
        <v>30</v>
      </c>
      <c r="C3481">
        <v>203</v>
      </c>
      <c r="D3481">
        <v>5</v>
      </c>
      <c r="E3481">
        <v>1</v>
      </c>
      <c r="F3481" t="s">
        <v>320</v>
      </c>
      <c r="G3481" t="s">
        <v>32</v>
      </c>
      <c r="H3481" t="s">
        <v>33</v>
      </c>
      <c r="I3481" t="s">
        <v>58</v>
      </c>
      <c r="J3481" t="s">
        <v>42</v>
      </c>
      <c r="K3481" t="s">
        <v>36</v>
      </c>
      <c r="L3481" t="s">
        <v>37</v>
      </c>
      <c r="M3481">
        <v>0</v>
      </c>
      <c r="N3481">
        <v>1</v>
      </c>
      <c r="O3481" s="5" t="s">
        <v>865</v>
      </c>
      <c r="P3481" s="5"/>
      <c r="Q3481">
        <f>35-14</f>
        <v>21</v>
      </c>
      <c r="R3481" t="s">
        <v>38</v>
      </c>
      <c r="S3481" t="s">
        <v>39</v>
      </c>
      <c r="Z3481" t="s">
        <v>97</v>
      </c>
      <c r="AA3481" t="s">
        <v>199</v>
      </c>
      <c r="AB3481" t="s">
        <v>87</v>
      </c>
      <c r="AC3481" t="s">
        <v>56</v>
      </c>
      <c r="AD3481" t="s">
        <v>789</v>
      </c>
      <c r="AE3481" t="s">
        <v>866</v>
      </c>
    </row>
    <row r="3482" spans="1:34" x14ac:dyDescent="0.25">
      <c r="A3482" s="4">
        <v>42599</v>
      </c>
      <c r="B3482" t="s">
        <v>30</v>
      </c>
      <c r="C3482">
        <v>203</v>
      </c>
      <c r="D3482">
        <v>6</v>
      </c>
      <c r="E3482">
        <v>1</v>
      </c>
      <c r="F3482" t="s">
        <v>320</v>
      </c>
      <c r="G3482" t="s">
        <v>32</v>
      </c>
      <c r="H3482" t="s">
        <v>33</v>
      </c>
      <c r="I3482" t="s">
        <v>58</v>
      </c>
      <c r="J3482" t="s">
        <v>42</v>
      </c>
      <c r="K3482" t="s">
        <v>36</v>
      </c>
      <c r="L3482" t="s">
        <v>37</v>
      </c>
      <c r="M3482">
        <v>0</v>
      </c>
      <c r="N3482">
        <v>1</v>
      </c>
      <c r="O3482" s="5" t="s">
        <v>867</v>
      </c>
      <c r="P3482" s="5"/>
      <c r="Q3482">
        <f>42.5-14.5</f>
        <v>28</v>
      </c>
      <c r="R3482" t="s">
        <v>136</v>
      </c>
      <c r="S3482" t="s">
        <v>97</v>
      </c>
      <c r="T3482">
        <v>17</v>
      </c>
      <c r="W3482">
        <v>13.1</v>
      </c>
      <c r="X3482">
        <v>26.2</v>
      </c>
      <c r="Z3482" t="s">
        <v>97</v>
      </c>
      <c r="AA3482" t="s">
        <v>199</v>
      </c>
      <c r="AB3482" t="s">
        <v>87</v>
      </c>
      <c r="AC3482" t="s">
        <v>56</v>
      </c>
      <c r="AD3482" t="s">
        <v>789</v>
      </c>
    </row>
    <row r="3483" spans="1:34" x14ac:dyDescent="0.25">
      <c r="A3483" s="4">
        <v>42599</v>
      </c>
      <c r="B3483" t="s">
        <v>30</v>
      </c>
      <c r="C3483">
        <v>203</v>
      </c>
      <c r="D3483">
        <v>6</v>
      </c>
      <c r="E3483">
        <v>2</v>
      </c>
      <c r="F3483" t="s">
        <v>320</v>
      </c>
      <c r="G3483" t="s">
        <v>32</v>
      </c>
      <c r="H3483" t="s">
        <v>33</v>
      </c>
      <c r="I3483" t="s">
        <v>58</v>
      </c>
      <c r="J3483" t="s">
        <v>42</v>
      </c>
      <c r="K3483" t="s">
        <v>89</v>
      </c>
      <c r="L3483" t="s">
        <v>43</v>
      </c>
      <c r="M3483">
        <v>0</v>
      </c>
      <c r="N3483">
        <v>1</v>
      </c>
      <c r="O3483" s="5" t="s">
        <v>868</v>
      </c>
      <c r="P3483" s="5"/>
      <c r="Q3483">
        <f>29-14</f>
        <v>15</v>
      </c>
      <c r="R3483" t="s">
        <v>65</v>
      </c>
      <c r="T3483">
        <v>17</v>
      </c>
      <c r="W3483">
        <v>12.7</v>
      </c>
      <c r="X3483">
        <v>25.2</v>
      </c>
      <c r="Z3483" t="s">
        <v>97</v>
      </c>
      <c r="AA3483" t="s">
        <v>199</v>
      </c>
      <c r="AB3483" t="s">
        <v>87</v>
      </c>
      <c r="AC3483" t="s">
        <v>56</v>
      </c>
      <c r="AD3483" t="s">
        <v>789</v>
      </c>
    </row>
    <row r="3484" spans="1:34" x14ac:dyDescent="0.25">
      <c r="A3484" s="4">
        <v>42599</v>
      </c>
      <c r="B3484" t="s">
        <v>30</v>
      </c>
      <c r="C3484">
        <v>203</v>
      </c>
      <c r="D3484">
        <v>7</v>
      </c>
      <c r="E3484">
        <v>1</v>
      </c>
      <c r="F3484" t="s">
        <v>320</v>
      </c>
      <c r="G3484" t="s">
        <v>32</v>
      </c>
      <c r="H3484" t="s">
        <v>33</v>
      </c>
      <c r="I3484" t="s">
        <v>58</v>
      </c>
      <c r="J3484" t="s">
        <v>35</v>
      </c>
      <c r="K3484" t="s">
        <v>36</v>
      </c>
      <c r="L3484" t="s">
        <v>43</v>
      </c>
      <c r="M3484">
        <v>0</v>
      </c>
      <c r="N3484">
        <v>0</v>
      </c>
      <c r="O3484" s="5" t="s">
        <v>771</v>
      </c>
      <c r="P3484" s="5"/>
      <c r="Q3484">
        <f>33-14</f>
        <v>19</v>
      </c>
      <c r="R3484" t="s">
        <v>65</v>
      </c>
      <c r="T3484">
        <v>18</v>
      </c>
      <c r="W3484">
        <v>12.9</v>
      </c>
      <c r="X3484">
        <v>25.8</v>
      </c>
      <c r="Z3484" t="s">
        <v>97</v>
      </c>
      <c r="AA3484" t="s">
        <v>869</v>
      </c>
      <c r="AB3484" t="s">
        <v>87</v>
      </c>
      <c r="AC3484" t="s">
        <v>56</v>
      </c>
      <c r="AD3484" t="s">
        <v>870</v>
      </c>
    </row>
    <row r="3485" spans="1:34" x14ac:dyDescent="0.25">
      <c r="A3485" s="4">
        <v>42599</v>
      </c>
      <c r="B3485" t="s">
        <v>30</v>
      </c>
      <c r="C3485">
        <v>203</v>
      </c>
      <c r="D3485">
        <v>8</v>
      </c>
      <c r="E3485">
        <v>1</v>
      </c>
      <c r="F3485" t="s">
        <v>320</v>
      </c>
      <c r="G3485" t="s">
        <v>32</v>
      </c>
      <c r="H3485" t="s">
        <v>33</v>
      </c>
      <c r="I3485" t="s">
        <v>34</v>
      </c>
      <c r="J3485" t="s">
        <v>35</v>
      </c>
      <c r="K3485" t="s">
        <v>36</v>
      </c>
      <c r="L3485" t="s">
        <v>37</v>
      </c>
      <c r="M3485">
        <v>0</v>
      </c>
      <c r="N3485">
        <v>0</v>
      </c>
      <c r="O3485" s="5" t="s">
        <v>778</v>
      </c>
      <c r="P3485" s="5" t="s">
        <v>779</v>
      </c>
      <c r="Q3485">
        <f>38-17</f>
        <v>21</v>
      </c>
      <c r="R3485" t="s">
        <v>38</v>
      </c>
      <c r="S3485" t="s">
        <v>39</v>
      </c>
      <c r="T3485">
        <v>19</v>
      </c>
      <c r="U3485">
        <v>82</v>
      </c>
      <c r="V3485">
        <v>15</v>
      </c>
      <c r="W3485">
        <v>13.2</v>
      </c>
      <c r="X3485">
        <v>28.9</v>
      </c>
      <c r="Y3485" t="s">
        <v>871</v>
      </c>
      <c r="Z3485" t="s">
        <v>39</v>
      </c>
      <c r="AB3485" t="s">
        <v>87</v>
      </c>
      <c r="AC3485" t="s">
        <v>56</v>
      </c>
    </row>
    <row r="3486" spans="1:34" x14ac:dyDescent="0.25">
      <c r="A3486" s="4">
        <v>42599</v>
      </c>
      <c r="B3486" t="s">
        <v>30</v>
      </c>
      <c r="C3486">
        <v>203</v>
      </c>
      <c r="D3486">
        <v>9</v>
      </c>
      <c r="E3486">
        <v>1</v>
      </c>
      <c r="F3486" t="s">
        <v>320</v>
      </c>
      <c r="G3486" t="s">
        <v>32</v>
      </c>
      <c r="H3486" t="s">
        <v>33</v>
      </c>
      <c r="I3486" t="s">
        <v>57</v>
      </c>
      <c r="O3486" s="5"/>
      <c r="P3486" s="5"/>
    </row>
    <row r="3487" spans="1:34" x14ac:dyDescent="0.25">
      <c r="A3487" s="4">
        <v>42599</v>
      </c>
      <c r="B3487" t="s">
        <v>30</v>
      </c>
      <c r="C3487">
        <v>203</v>
      </c>
      <c r="D3487">
        <v>9</v>
      </c>
      <c r="E3487">
        <v>2</v>
      </c>
      <c r="F3487" t="s">
        <v>320</v>
      </c>
      <c r="G3487" t="s">
        <v>32</v>
      </c>
      <c r="H3487" t="s">
        <v>33</v>
      </c>
      <c r="I3487" t="s">
        <v>57</v>
      </c>
      <c r="O3487" s="5"/>
      <c r="P3487" s="5"/>
    </row>
    <row r="3488" spans="1:34" x14ac:dyDescent="0.25">
      <c r="A3488" s="4">
        <v>42599</v>
      </c>
      <c r="B3488" t="s">
        <v>30</v>
      </c>
      <c r="C3488">
        <v>203</v>
      </c>
      <c r="D3488">
        <v>10</v>
      </c>
      <c r="E3488">
        <v>1</v>
      </c>
      <c r="F3488" t="s">
        <v>320</v>
      </c>
      <c r="G3488" t="s">
        <v>32</v>
      </c>
      <c r="H3488" t="s">
        <v>33</v>
      </c>
      <c r="I3488" t="s">
        <v>53</v>
      </c>
      <c r="J3488" t="s">
        <v>62</v>
      </c>
      <c r="O3488" s="5"/>
      <c r="P3488" s="5"/>
    </row>
    <row r="3489" spans="1:31" x14ac:dyDescent="0.25">
      <c r="A3489" s="4">
        <v>42599</v>
      </c>
      <c r="B3489" t="s">
        <v>30</v>
      </c>
      <c r="C3489">
        <v>203</v>
      </c>
      <c r="D3489">
        <v>10</v>
      </c>
      <c r="E3489">
        <v>2</v>
      </c>
      <c r="F3489" t="s">
        <v>320</v>
      </c>
      <c r="G3489" t="s">
        <v>32</v>
      </c>
      <c r="H3489" t="s">
        <v>33</v>
      </c>
      <c r="I3489" t="s">
        <v>34</v>
      </c>
      <c r="J3489" t="s">
        <v>35</v>
      </c>
      <c r="K3489" t="s">
        <v>89</v>
      </c>
      <c r="L3489" t="s">
        <v>872</v>
      </c>
      <c r="M3489">
        <v>0</v>
      </c>
      <c r="N3489">
        <v>0</v>
      </c>
      <c r="O3489" s="5" t="s">
        <v>775</v>
      </c>
      <c r="P3489" s="5" t="s">
        <v>776</v>
      </c>
      <c r="Q3489">
        <f>32-21.5</f>
        <v>10.5</v>
      </c>
      <c r="R3489" t="s">
        <v>38</v>
      </c>
      <c r="S3489" t="s">
        <v>39</v>
      </c>
      <c r="T3489">
        <v>17.5</v>
      </c>
      <c r="U3489">
        <v>72</v>
      </c>
      <c r="V3489">
        <v>15</v>
      </c>
      <c r="W3489">
        <v>12.8</v>
      </c>
      <c r="X3489">
        <v>24.8</v>
      </c>
      <c r="Z3489" t="s">
        <v>97</v>
      </c>
      <c r="AA3489" t="s">
        <v>199</v>
      </c>
      <c r="AB3489" t="s">
        <v>87</v>
      </c>
      <c r="AC3489" t="s">
        <v>56</v>
      </c>
    </row>
    <row r="3490" spans="1:31" x14ac:dyDescent="0.25">
      <c r="A3490" s="4">
        <v>42599</v>
      </c>
      <c r="B3490" t="s">
        <v>30</v>
      </c>
      <c r="C3490">
        <v>202</v>
      </c>
      <c r="D3490">
        <v>2</v>
      </c>
      <c r="E3490">
        <v>1</v>
      </c>
      <c r="F3490" t="s">
        <v>320</v>
      </c>
      <c r="G3490" t="s">
        <v>32</v>
      </c>
      <c r="H3490" t="s">
        <v>33</v>
      </c>
      <c r="I3490" t="s">
        <v>34</v>
      </c>
      <c r="J3490" t="s">
        <v>35</v>
      </c>
      <c r="K3490" t="s">
        <v>114</v>
      </c>
      <c r="L3490" t="s">
        <v>43</v>
      </c>
      <c r="M3490">
        <v>0</v>
      </c>
      <c r="N3490">
        <v>0</v>
      </c>
      <c r="O3490" s="5" t="s">
        <v>782</v>
      </c>
      <c r="P3490" s="5" t="s">
        <v>783</v>
      </c>
      <c r="Q3490">
        <f>30-14</f>
        <v>16</v>
      </c>
      <c r="R3490" t="s">
        <v>65</v>
      </c>
      <c r="T3490">
        <v>19</v>
      </c>
      <c r="U3490">
        <v>88</v>
      </c>
      <c r="V3490">
        <v>16</v>
      </c>
      <c r="W3490">
        <v>13.1</v>
      </c>
      <c r="X3490">
        <v>27</v>
      </c>
      <c r="Z3490" t="s">
        <v>39</v>
      </c>
      <c r="AB3490" t="s">
        <v>87</v>
      </c>
      <c r="AC3490" t="s">
        <v>56</v>
      </c>
    </row>
    <row r="3491" spans="1:31" x14ac:dyDescent="0.25">
      <c r="A3491" s="4">
        <v>42599</v>
      </c>
      <c r="B3491" t="s">
        <v>30</v>
      </c>
      <c r="C3491">
        <v>202</v>
      </c>
      <c r="D3491">
        <v>3</v>
      </c>
      <c r="E3491">
        <v>1</v>
      </c>
      <c r="F3491" t="s">
        <v>320</v>
      </c>
      <c r="G3491" t="s">
        <v>32</v>
      </c>
      <c r="H3491" t="s">
        <v>33</v>
      </c>
      <c r="I3491" t="s">
        <v>58</v>
      </c>
      <c r="J3491" t="s">
        <v>42</v>
      </c>
      <c r="M3491">
        <v>0</v>
      </c>
      <c r="N3491">
        <v>1</v>
      </c>
      <c r="O3491" s="5" t="s">
        <v>873</v>
      </c>
      <c r="P3491" s="5"/>
      <c r="AB3491" t="s">
        <v>87</v>
      </c>
      <c r="AC3491" t="s">
        <v>56</v>
      </c>
      <c r="AD3491" t="s">
        <v>874</v>
      </c>
      <c r="AE3491" t="s">
        <v>789</v>
      </c>
    </row>
    <row r="3492" spans="1:31" x14ac:dyDescent="0.25">
      <c r="A3492" s="4">
        <v>42599</v>
      </c>
      <c r="B3492" t="s">
        <v>30</v>
      </c>
      <c r="C3492">
        <v>202</v>
      </c>
      <c r="D3492">
        <v>3</v>
      </c>
      <c r="E3492">
        <v>2</v>
      </c>
      <c r="F3492" t="s">
        <v>320</v>
      </c>
      <c r="G3492" t="s">
        <v>32</v>
      </c>
      <c r="H3492" t="s">
        <v>33</v>
      </c>
      <c r="I3492" t="s">
        <v>57</v>
      </c>
      <c r="O3492" s="5"/>
      <c r="P3492" s="5"/>
    </row>
    <row r="3493" spans="1:31" x14ac:dyDescent="0.25">
      <c r="A3493" s="4">
        <v>42599</v>
      </c>
      <c r="B3493" t="s">
        <v>30</v>
      </c>
      <c r="C3493">
        <v>202</v>
      </c>
      <c r="D3493">
        <v>4</v>
      </c>
      <c r="E3493">
        <v>1</v>
      </c>
      <c r="F3493" t="s">
        <v>320</v>
      </c>
      <c r="G3493" t="s">
        <v>32</v>
      </c>
      <c r="H3493" t="s">
        <v>33</v>
      </c>
      <c r="I3493" t="s">
        <v>57</v>
      </c>
      <c r="O3493" s="5"/>
      <c r="P3493" s="5"/>
    </row>
    <row r="3494" spans="1:31" x14ac:dyDescent="0.25">
      <c r="A3494" s="4">
        <v>42599</v>
      </c>
      <c r="B3494" t="s">
        <v>30</v>
      </c>
      <c r="C3494">
        <v>202</v>
      </c>
      <c r="D3494">
        <v>4</v>
      </c>
      <c r="E3494">
        <v>2</v>
      </c>
      <c r="F3494" t="s">
        <v>320</v>
      </c>
      <c r="G3494" t="s">
        <v>32</v>
      </c>
      <c r="H3494" t="s">
        <v>33</v>
      </c>
      <c r="I3494" t="s">
        <v>57</v>
      </c>
      <c r="O3494" s="5"/>
      <c r="P3494" s="5"/>
    </row>
    <row r="3495" spans="1:31" x14ac:dyDescent="0.25">
      <c r="A3495" s="4">
        <v>42599</v>
      </c>
      <c r="B3495" t="s">
        <v>30</v>
      </c>
      <c r="C3495">
        <v>202</v>
      </c>
      <c r="D3495">
        <v>5</v>
      </c>
      <c r="E3495">
        <v>1</v>
      </c>
      <c r="F3495" t="s">
        <v>320</v>
      </c>
      <c r="G3495" t="s">
        <v>32</v>
      </c>
      <c r="H3495" t="s">
        <v>33</v>
      </c>
      <c r="I3495" t="s">
        <v>57</v>
      </c>
      <c r="O3495" s="5"/>
      <c r="P3495" s="5"/>
    </row>
    <row r="3496" spans="1:31" x14ac:dyDescent="0.25">
      <c r="A3496" s="4">
        <v>42599</v>
      </c>
      <c r="B3496" t="s">
        <v>30</v>
      </c>
      <c r="C3496">
        <v>202</v>
      </c>
      <c r="D3496">
        <v>5</v>
      </c>
      <c r="E3496">
        <v>2</v>
      </c>
      <c r="F3496" t="s">
        <v>320</v>
      </c>
      <c r="G3496" t="s">
        <v>32</v>
      </c>
      <c r="H3496" t="s">
        <v>33</v>
      </c>
      <c r="I3496" t="s">
        <v>53</v>
      </c>
      <c r="J3496" t="s">
        <v>62</v>
      </c>
      <c r="O3496" s="5"/>
      <c r="P3496" s="5"/>
    </row>
    <row r="3497" spans="1:31" x14ac:dyDescent="0.25">
      <c r="A3497" s="4">
        <v>42599</v>
      </c>
      <c r="B3497" t="s">
        <v>30</v>
      </c>
      <c r="C3497">
        <v>202</v>
      </c>
      <c r="D3497">
        <v>6</v>
      </c>
      <c r="E3497">
        <v>1</v>
      </c>
      <c r="F3497" t="s">
        <v>320</v>
      </c>
      <c r="G3497" t="s">
        <v>32</v>
      </c>
      <c r="H3497" t="s">
        <v>33</v>
      </c>
      <c r="I3497" t="s">
        <v>57</v>
      </c>
      <c r="O3497" s="5"/>
      <c r="P3497" s="5"/>
    </row>
    <row r="3498" spans="1:31" x14ac:dyDescent="0.25">
      <c r="A3498" s="4">
        <v>42599</v>
      </c>
      <c r="B3498" t="s">
        <v>30</v>
      </c>
      <c r="C3498">
        <v>202</v>
      </c>
      <c r="D3498">
        <v>6</v>
      </c>
      <c r="E3498">
        <v>2</v>
      </c>
      <c r="F3498" t="s">
        <v>320</v>
      </c>
      <c r="G3498" t="s">
        <v>32</v>
      </c>
      <c r="H3498" t="s">
        <v>33</v>
      </c>
      <c r="I3498" t="s">
        <v>58</v>
      </c>
      <c r="J3498" t="s">
        <v>62</v>
      </c>
      <c r="O3498" s="5"/>
      <c r="P3498" s="5"/>
    </row>
    <row r="3499" spans="1:31" x14ac:dyDescent="0.25">
      <c r="A3499" s="4">
        <v>42599</v>
      </c>
      <c r="B3499" t="s">
        <v>30</v>
      </c>
      <c r="C3499">
        <v>202</v>
      </c>
      <c r="D3499">
        <v>7</v>
      </c>
      <c r="E3499">
        <v>1</v>
      </c>
      <c r="F3499" t="s">
        <v>320</v>
      </c>
      <c r="G3499" t="s">
        <v>32</v>
      </c>
      <c r="H3499" t="s">
        <v>33</v>
      </c>
      <c r="I3499" t="s">
        <v>57</v>
      </c>
      <c r="O3499" s="5"/>
      <c r="P3499" s="5"/>
    </row>
    <row r="3500" spans="1:31" x14ac:dyDescent="0.25">
      <c r="A3500" s="4">
        <v>42599</v>
      </c>
      <c r="B3500" t="s">
        <v>30</v>
      </c>
      <c r="C3500">
        <v>202</v>
      </c>
      <c r="D3500">
        <v>7</v>
      </c>
      <c r="E3500">
        <v>2</v>
      </c>
      <c r="F3500" t="s">
        <v>320</v>
      </c>
      <c r="G3500" t="s">
        <v>32</v>
      </c>
      <c r="H3500" t="s">
        <v>33</v>
      </c>
      <c r="I3500" t="s">
        <v>57</v>
      </c>
      <c r="O3500" s="5"/>
      <c r="P3500" s="5"/>
    </row>
    <row r="3501" spans="1:31" x14ac:dyDescent="0.25">
      <c r="A3501" s="4">
        <v>42599</v>
      </c>
      <c r="B3501" t="s">
        <v>30</v>
      </c>
      <c r="C3501">
        <v>202</v>
      </c>
      <c r="D3501">
        <v>8</v>
      </c>
      <c r="E3501">
        <v>1</v>
      </c>
      <c r="F3501" t="s">
        <v>320</v>
      </c>
      <c r="G3501" t="s">
        <v>32</v>
      </c>
      <c r="H3501" t="s">
        <v>33</v>
      </c>
      <c r="I3501" t="s">
        <v>57</v>
      </c>
      <c r="O3501" s="5"/>
      <c r="P3501" s="5"/>
    </row>
    <row r="3502" spans="1:31" x14ac:dyDescent="0.25">
      <c r="A3502" s="4">
        <v>42599</v>
      </c>
      <c r="B3502" t="s">
        <v>30</v>
      </c>
      <c r="C3502">
        <v>202</v>
      </c>
      <c r="D3502">
        <v>8</v>
      </c>
      <c r="E3502">
        <v>2</v>
      </c>
      <c r="F3502" t="s">
        <v>320</v>
      </c>
      <c r="G3502" t="s">
        <v>32</v>
      </c>
      <c r="H3502" t="s">
        <v>33</v>
      </c>
      <c r="I3502" t="s">
        <v>91</v>
      </c>
      <c r="J3502" t="s">
        <v>35</v>
      </c>
      <c r="K3502" t="s">
        <v>36</v>
      </c>
      <c r="L3502" t="s">
        <v>37</v>
      </c>
      <c r="M3502">
        <v>0</v>
      </c>
      <c r="N3502">
        <v>0</v>
      </c>
      <c r="O3502" s="5" t="s">
        <v>788</v>
      </c>
      <c r="P3502" s="5"/>
      <c r="Q3502">
        <f>34-15</f>
        <v>19</v>
      </c>
      <c r="R3502" t="s">
        <v>38</v>
      </c>
      <c r="S3502" t="s">
        <v>39</v>
      </c>
      <c r="Z3502" t="s">
        <v>97</v>
      </c>
      <c r="AA3502" t="s">
        <v>199</v>
      </c>
      <c r="AB3502" t="s">
        <v>87</v>
      </c>
      <c r="AC3502" t="s">
        <v>56</v>
      </c>
    </row>
    <row r="3503" spans="1:31" x14ac:dyDescent="0.25">
      <c r="A3503" s="4">
        <v>42599</v>
      </c>
      <c r="B3503" t="s">
        <v>30</v>
      </c>
      <c r="C3503">
        <v>202</v>
      </c>
      <c r="D3503">
        <v>9</v>
      </c>
      <c r="E3503">
        <v>1</v>
      </c>
      <c r="F3503" t="s">
        <v>320</v>
      </c>
      <c r="G3503" t="s">
        <v>32</v>
      </c>
      <c r="H3503" t="s">
        <v>33</v>
      </c>
      <c r="I3503" t="s">
        <v>57</v>
      </c>
      <c r="O3503" s="5"/>
      <c r="P3503" s="5"/>
    </row>
    <row r="3504" spans="1:31" x14ac:dyDescent="0.25">
      <c r="A3504" s="4">
        <v>42599</v>
      </c>
      <c r="B3504" t="s">
        <v>30</v>
      </c>
      <c r="C3504">
        <v>202</v>
      </c>
      <c r="D3504">
        <v>9</v>
      </c>
      <c r="E3504">
        <v>2</v>
      </c>
      <c r="F3504" t="s">
        <v>320</v>
      </c>
      <c r="G3504" t="s">
        <v>32</v>
      </c>
      <c r="H3504" t="s">
        <v>33</v>
      </c>
      <c r="I3504" t="s">
        <v>57</v>
      </c>
      <c r="O3504" s="5"/>
      <c r="P3504" s="5"/>
    </row>
    <row r="3505" spans="1:30" x14ac:dyDescent="0.25">
      <c r="A3505" s="4">
        <v>42599</v>
      </c>
      <c r="B3505" t="s">
        <v>30</v>
      </c>
      <c r="C3505">
        <v>202</v>
      </c>
      <c r="D3505">
        <v>10</v>
      </c>
      <c r="E3505">
        <v>1</v>
      </c>
      <c r="F3505" t="s">
        <v>320</v>
      </c>
      <c r="G3505" t="s">
        <v>32</v>
      </c>
      <c r="H3505" t="s">
        <v>33</v>
      </c>
      <c r="I3505" t="s">
        <v>57</v>
      </c>
      <c r="O3505" s="5"/>
      <c r="P3505" s="5"/>
    </row>
    <row r="3506" spans="1:30" x14ac:dyDescent="0.25">
      <c r="A3506" s="4">
        <v>42599</v>
      </c>
      <c r="B3506" t="s">
        <v>30</v>
      </c>
      <c r="C3506">
        <v>202</v>
      </c>
      <c r="D3506">
        <v>10</v>
      </c>
      <c r="E3506">
        <v>2</v>
      </c>
      <c r="F3506" t="s">
        <v>320</v>
      </c>
      <c r="G3506" t="s">
        <v>32</v>
      </c>
      <c r="H3506" t="s">
        <v>33</v>
      </c>
      <c r="I3506" t="s">
        <v>58</v>
      </c>
      <c r="J3506" t="s">
        <v>35</v>
      </c>
      <c r="K3506" t="s">
        <v>36</v>
      </c>
      <c r="L3506" t="s">
        <v>37</v>
      </c>
      <c r="M3506">
        <v>0</v>
      </c>
      <c r="N3506">
        <v>0</v>
      </c>
      <c r="O3506" s="5" t="s">
        <v>786</v>
      </c>
      <c r="P3506" s="5"/>
      <c r="Q3506">
        <f>44-16</f>
        <v>28</v>
      </c>
      <c r="R3506" t="s">
        <v>136</v>
      </c>
      <c r="S3506" t="s">
        <v>97</v>
      </c>
      <c r="T3506">
        <v>17.5</v>
      </c>
      <c r="W3506">
        <v>13.1</v>
      </c>
      <c r="X3506">
        <v>28.5</v>
      </c>
      <c r="Z3506" t="s">
        <v>97</v>
      </c>
      <c r="AA3506" t="s">
        <v>199</v>
      </c>
      <c r="AB3506" t="s">
        <v>87</v>
      </c>
      <c r="AC3506" t="s">
        <v>56</v>
      </c>
    </row>
    <row r="3507" spans="1:30" x14ac:dyDescent="0.25">
      <c r="A3507" s="4">
        <v>42599</v>
      </c>
      <c r="B3507" t="s">
        <v>30</v>
      </c>
      <c r="C3507">
        <v>304</v>
      </c>
      <c r="D3507">
        <v>10</v>
      </c>
      <c r="E3507">
        <v>1</v>
      </c>
      <c r="F3507" t="s">
        <v>320</v>
      </c>
      <c r="G3507" t="s">
        <v>32</v>
      </c>
      <c r="H3507" t="s">
        <v>33</v>
      </c>
      <c r="I3507" t="s">
        <v>57</v>
      </c>
      <c r="O3507" s="5"/>
      <c r="P3507" s="5"/>
    </row>
    <row r="3508" spans="1:30" x14ac:dyDescent="0.25">
      <c r="A3508" s="4">
        <v>42599</v>
      </c>
      <c r="B3508" t="s">
        <v>30</v>
      </c>
      <c r="C3508">
        <v>304</v>
      </c>
      <c r="D3508">
        <v>10</v>
      </c>
      <c r="E3508">
        <v>2</v>
      </c>
      <c r="F3508" t="s">
        <v>320</v>
      </c>
      <c r="G3508" t="s">
        <v>32</v>
      </c>
      <c r="H3508" t="s">
        <v>33</v>
      </c>
      <c r="I3508" t="s">
        <v>34</v>
      </c>
      <c r="J3508" s="5" t="s">
        <v>35</v>
      </c>
      <c r="K3508" s="5" t="s">
        <v>89</v>
      </c>
      <c r="L3508" t="s">
        <v>37</v>
      </c>
      <c r="M3508">
        <v>0</v>
      </c>
      <c r="N3508">
        <v>0</v>
      </c>
      <c r="O3508" s="5" t="s">
        <v>339</v>
      </c>
      <c r="P3508" s="5" t="s">
        <v>340</v>
      </c>
      <c r="Q3508">
        <f>43-27</f>
        <v>16</v>
      </c>
      <c r="R3508" t="s">
        <v>38</v>
      </c>
      <c r="S3508" t="s">
        <v>39</v>
      </c>
      <c r="T3508">
        <v>20</v>
      </c>
      <c r="U3508">
        <v>79</v>
      </c>
      <c r="V3508">
        <v>15</v>
      </c>
      <c r="W3508">
        <v>13.4</v>
      </c>
      <c r="X3508">
        <v>27.4</v>
      </c>
      <c r="Z3508" t="s">
        <v>39</v>
      </c>
      <c r="AB3508" t="s">
        <v>87</v>
      </c>
      <c r="AC3508" t="s">
        <v>56</v>
      </c>
    </row>
    <row r="3509" spans="1:30" x14ac:dyDescent="0.25">
      <c r="A3509" s="4">
        <v>42599</v>
      </c>
      <c r="B3509" t="s">
        <v>30</v>
      </c>
      <c r="C3509">
        <v>304</v>
      </c>
      <c r="D3509">
        <v>9</v>
      </c>
      <c r="E3509">
        <v>1</v>
      </c>
      <c r="F3509" t="s">
        <v>320</v>
      </c>
      <c r="G3509" t="s">
        <v>32</v>
      </c>
      <c r="H3509" t="s">
        <v>33</v>
      </c>
      <c r="I3509" t="s">
        <v>58</v>
      </c>
      <c r="J3509" t="s">
        <v>35</v>
      </c>
      <c r="K3509" t="s">
        <v>36</v>
      </c>
      <c r="L3509" t="s">
        <v>37</v>
      </c>
      <c r="M3509">
        <v>0</v>
      </c>
      <c r="N3509">
        <v>0</v>
      </c>
      <c r="O3509" s="5" t="s">
        <v>875</v>
      </c>
      <c r="P3509" s="5"/>
      <c r="Q3509">
        <f>45.5-15</f>
        <v>30.5</v>
      </c>
      <c r="R3509" t="s">
        <v>136</v>
      </c>
      <c r="S3509" t="s">
        <v>39</v>
      </c>
      <c r="T3509">
        <v>19</v>
      </c>
      <c r="W3509">
        <v>13.1</v>
      </c>
      <c r="X3509">
        <v>28</v>
      </c>
      <c r="Z3509" t="s">
        <v>97</v>
      </c>
      <c r="AA3509" t="s">
        <v>199</v>
      </c>
      <c r="AB3509" t="s">
        <v>87</v>
      </c>
      <c r="AC3509" t="s">
        <v>56</v>
      </c>
    </row>
    <row r="3510" spans="1:30" x14ac:dyDescent="0.25">
      <c r="A3510" s="4">
        <v>42599</v>
      </c>
      <c r="B3510" t="s">
        <v>30</v>
      </c>
      <c r="C3510">
        <v>304</v>
      </c>
      <c r="D3510">
        <v>9</v>
      </c>
      <c r="E3510">
        <v>2</v>
      </c>
      <c r="F3510" t="s">
        <v>320</v>
      </c>
      <c r="G3510" t="s">
        <v>32</v>
      </c>
      <c r="H3510" t="s">
        <v>33</v>
      </c>
      <c r="I3510" t="s">
        <v>58</v>
      </c>
      <c r="J3510" t="s">
        <v>35</v>
      </c>
      <c r="K3510" t="s">
        <v>36</v>
      </c>
      <c r="L3510" t="s">
        <v>37</v>
      </c>
      <c r="M3510">
        <v>0</v>
      </c>
      <c r="N3510">
        <v>0</v>
      </c>
      <c r="O3510" s="5" t="s">
        <v>876</v>
      </c>
      <c r="P3510" s="5"/>
      <c r="Q3510">
        <f>44-15</f>
        <v>29</v>
      </c>
      <c r="R3510" t="s">
        <v>136</v>
      </c>
      <c r="S3510" t="s">
        <v>97</v>
      </c>
      <c r="T3510">
        <v>19</v>
      </c>
      <c r="W3510">
        <v>13.1</v>
      </c>
      <c r="X3510">
        <v>29.1</v>
      </c>
      <c r="Z3510" t="s">
        <v>97</v>
      </c>
      <c r="AA3510" t="s">
        <v>199</v>
      </c>
      <c r="AB3510" t="s">
        <v>87</v>
      </c>
      <c r="AC3510" t="s">
        <v>56</v>
      </c>
    </row>
    <row r="3511" spans="1:30" x14ac:dyDescent="0.25">
      <c r="A3511" s="4">
        <v>42599</v>
      </c>
      <c r="B3511" t="s">
        <v>30</v>
      </c>
      <c r="C3511">
        <v>304</v>
      </c>
      <c r="D3511">
        <v>8</v>
      </c>
      <c r="E3511">
        <v>1</v>
      </c>
      <c r="F3511" t="s">
        <v>320</v>
      </c>
      <c r="G3511" t="s">
        <v>32</v>
      </c>
      <c r="H3511" t="s">
        <v>33</v>
      </c>
      <c r="I3511" t="s">
        <v>58</v>
      </c>
      <c r="J3511" t="s">
        <v>35</v>
      </c>
      <c r="K3511" t="s">
        <v>114</v>
      </c>
      <c r="L3511" t="s">
        <v>43</v>
      </c>
      <c r="M3511">
        <v>0</v>
      </c>
      <c r="N3511">
        <v>0</v>
      </c>
      <c r="O3511" s="5" t="s">
        <v>798</v>
      </c>
      <c r="P3511" s="5"/>
      <c r="Q3511">
        <f>34-15.5</f>
        <v>18.5</v>
      </c>
      <c r="R3511" t="s">
        <v>47</v>
      </c>
      <c r="T3511">
        <v>16.5</v>
      </c>
      <c r="W3511">
        <v>13.1</v>
      </c>
      <c r="X3511">
        <v>27.1</v>
      </c>
      <c r="Z3511" t="s">
        <v>97</v>
      </c>
      <c r="AA3511" t="s">
        <v>199</v>
      </c>
      <c r="AB3511" t="s">
        <v>87</v>
      </c>
      <c r="AC3511" t="s">
        <v>56</v>
      </c>
    </row>
    <row r="3512" spans="1:30" x14ac:dyDescent="0.25">
      <c r="A3512" s="4">
        <v>42599</v>
      </c>
      <c r="B3512" t="s">
        <v>30</v>
      </c>
      <c r="C3512">
        <v>304</v>
      </c>
      <c r="D3512">
        <v>7</v>
      </c>
      <c r="E3512">
        <v>1</v>
      </c>
      <c r="F3512" t="s">
        <v>320</v>
      </c>
      <c r="G3512" t="s">
        <v>32</v>
      </c>
      <c r="H3512" t="s">
        <v>33</v>
      </c>
      <c r="I3512" t="s">
        <v>57</v>
      </c>
      <c r="O3512" s="5"/>
      <c r="P3512" s="5"/>
    </row>
    <row r="3513" spans="1:30" x14ac:dyDescent="0.25">
      <c r="A3513" s="4">
        <v>42599</v>
      </c>
      <c r="B3513" t="s">
        <v>30</v>
      </c>
      <c r="C3513">
        <v>304</v>
      </c>
      <c r="D3513">
        <v>6</v>
      </c>
      <c r="E3513">
        <v>1</v>
      </c>
      <c r="F3513" t="s">
        <v>320</v>
      </c>
      <c r="G3513" t="s">
        <v>32</v>
      </c>
      <c r="H3513" t="s">
        <v>33</v>
      </c>
      <c r="I3513" t="s">
        <v>57</v>
      </c>
      <c r="O3513" s="5"/>
      <c r="P3513" s="5"/>
    </row>
    <row r="3514" spans="1:30" x14ac:dyDescent="0.25">
      <c r="A3514" s="4">
        <v>42599</v>
      </c>
      <c r="B3514" t="s">
        <v>30</v>
      </c>
      <c r="C3514">
        <v>304</v>
      </c>
      <c r="D3514">
        <v>6</v>
      </c>
      <c r="E3514">
        <v>2</v>
      </c>
      <c r="F3514" t="s">
        <v>320</v>
      </c>
      <c r="G3514" t="s">
        <v>32</v>
      </c>
      <c r="H3514" t="s">
        <v>33</v>
      </c>
      <c r="I3514" t="s">
        <v>58</v>
      </c>
      <c r="J3514" t="s">
        <v>35</v>
      </c>
      <c r="K3514" t="s">
        <v>36</v>
      </c>
      <c r="L3514" t="s">
        <v>37</v>
      </c>
      <c r="M3514">
        <v>0</v>
      </c>
      <c r="N3514">
        <v>0</v>
      </c>
      <c r="O3514" s="5" t="s">
        <v>341</v>
      </c>
      <c r="P3514" s="5"/>
      <c r="Q3514">
        <f>39-15</f>
        <v>24</v>
      </c>
      <c r="R3514" t="s">
        <v>136</v>
      </c>
      <c r="S3514" t="s">
        <v>97</v>
      </c>
      <c r="T3514">
        <v>17</v>
      </c>
      <c r="W3514">
        <v>13.1</v>
      </c>
      <c r="X3514">
        <v>27.2</v>
      </c>
      <c r="Z3514" t="s">
        <v>97</v>
      </c>
      <c r="AA3514" t="s">
        <v>199</v>
      </c>
      <c r="AB3514" t="s">
        <v>87</v>
      </c>
      <c r="AC3514" t="s">
        <v>56</v>
      </c>
      <c r="AD3514" t="s">
        <v>877</v>
      </c>
    </row>
    <row r="3515" spans="1:30" x14ac:dyDescent="0.25">
      <c r="A3515" s="4">
        <v>42599</v>
      </c>
      <c r="B3515" t="s">
        <v>30</v>
      </c>
      <c r="C3515">
        <v>304</v>
      </c>
      <c r="D3515">
        <v>5</v>
      </c>
      <c r="E3515">
        <v>1</v>
      </c>
      <c r="F3515" t="s">
        <v>320</v>
      </c>
      <c r="G3515" t="s">
        <v>32</v>
      </c>
      <c r="H3515" t="s">
        <v>33</v>
      </c>
      <c r="I3515" t="s">
        <v>57</v>
      </c>
      <c r="O3515" s="5"/>
      <c r="P3515" s="5"/>
    </row>
    <row r="3516" spans="1:30" x14ac:dyDescent="0.25">
      <c r="A3516" s="4">
        <v>42599</v>
      </c>
      <c r="B3516" t="s">
        <v>30</v>
      </c>
      <c r="C3516">
        <v>304</v>
      </c>
      <c r="D3516">
        <v>5</v>
      </c>
      <c r="E3516">
        <v>2</v>
      </c>
      <c r="F3516" t="s">
        <v>320</v>
      </c>
      <c r="G3516" t="s">
        <v>32</v>
      </c>
      <c r="H3516" t="s">
        <v>33</v>
      </c>
      <c r="I3516" t="s">
        <v>57</v>
      </c>
      <c r="O3516" s="5"/>
      <c r="P3516" s="5"/>
    </row>
    <row r="3517" spans="1:30" x14ac:dyDescent="0.25">
      <c r="A3517" s="4">
        <v>42599</v>
      </c>
      <c r="B3517" t="s">
        <v>30</v>
      </c>
      <c r="C3517">
        <v>304</v>
      </c>
      <c r="D3517">
        <v>4</v>
      </c>
      <c r="E3517">
        <v>1</v>
      </c>
      <c r="F3517" t="s">
        <v>320</v>
      </c>
      <c r="G3517" t="s">
        <v>32</v>
      </c>
      <c r="H3517" t="s">
        <v>33</v>
      </c>
      <c r="I3517" t="s">
        <v>57</v>
      </c>
      <c r="O3517" s="5"/>
      <c r="P3517" s="5"/>
    </row>
    <row r="3518" spans="1:30" x14ac:dyDescent="0.25">
      <c r="A3518" s="4">
        <v>42599</v>
      </c>
      <c r="B3518" t="s">
        <v>30</v>
      </c>
      <c r="C3518">
        <v>304</v>
      </c>
      <c r="D3518">
        <v>4</v>
      </c>
      <c r="E3518">
        <v>2</v>
      </c>
      <c r="F3518" t="s">
        <v>320</v>
      </c>
      <c r="G3518" t="s">
        <v>32</v>
      </c>
      <c r="H3518" t="s">
        <v>33</v>
      </c>
      <c r="I3518" t="s">
        <v>58</v>
      </c>
      <c r="J3518" t="s">
        <v>35</v>
      </c>
      <c r="K3518" t="s">
        <v>36</v>
      </c>
      <c r="L3518" t="s">
        <v>43</v>
      </c>
      <c r="M3518">
        <v>0</v>
      </c>
      <c r="N3518">
        <v>0</v>
      </c>
      <c r="O3518" s="5" t="s">
        <v>795</v>
      </c>
      <c r="P3518" s="5"/>
      <c r="Q3518">
        <f>42-14</f>
        <v>28</v>
      </c>
      <c r="R3518" t="s">
        <v>47</v>
      </c>
      <c r="T3518">
        <v>18</v>
      </c>
      <c r="W3518">
        <v>13.1</v>
      </c>
      <c r="X3518">
        <v>27.3</v>
      </c>
      <c r="Z3518" t="s">
        <v>97</v>
      </c>
      <c r="AA3518" t="s">
        <v>199</v>
      </c>
      <c r="AB3518" t="s">
        <v>87</v>
      </c>
      <c r="AC3518" t="s">
        <v>56</v>
      </c>
    </row>
    <row r="3519" spans="1:30" x14ac:dyDescent="0.25">
      <c r="A3519" s="4">
        <v>42599</v>
      </c>
      <c r="B3519" t="s">
        <v>30</v>
      </c>
      <c r="C3519">
        <v>304</v>
      </c>
      <c r="D3519">
        <v>3</v>
      </c>
      <c r="E3519">
        <v>1</v>
      </c>
      <c r="F3519" t="s">
        <v>320</v>
      </c>
      <c r="G3519" t="s">
        <v>32</v>
      </c>
      <c r="H3519" t="s">
        <v>33</v>
      </c>
      <c r="I3519" t="s">
        <v>58</v>
      </c>
      <c r="J3519" t="s">
        <v>35</v>
      </c>
      <c r="K3519" t="s">
        <v>36</v>
      </c>
      <c r="L3519" t="s">
        <v>37</v>
      </c>
      <c r="M3519">
        <v>0</v>
      </c>
      <c r="N3519">
        <v>0</v>
      </c>
      <c r="O3519" s="5" t="s">
        <v>799</v>
      </c>
      <c r="P3519" s="5"/>
      <c r="Q3519">
        <f>35-14</f>
        <v>21</v>
      </c>
      <c r="R3519" t="s">
        <v>38</v>
      </c>
      <c r="S3519" t="s">
        <v>39</v>
      </c>
      <c r="T3519">
        <v>16</v>
      </c>
      <c r="W3519">
        <v>13</v>
      </c>
      <c r="X3519">
        <v>27.2</v>
      </c>
      <c r="Z3519" t="s">
        <v>97</v>
      </c>
      <c r="AA3519" t="s">
        <v>199</v>
      </c>
      <c r="AB3519" t="s">
        <v>87</v>
      </c>
      <c r="AC3519" t="s">
        <v>56</v>
      </c>
    </row>
    <row r="3520" spans="1:30" x14ac:dyDescent="0.25">
      <c r="A3520" s="4">
        <v>42599</v>
      </c>
      <c r="B3520" t="s">
        <v>30</v>
      </c>
      <c r="C3520">
        <v>304</v>
      </c>
      <c r="D3520">
        <v>3</v>
      </c>
      <c r="E3520">
        <v>2</v>
      </c>
      <c r="F3520" t="s">
        <v>320</v>
      </c>
      <c r="G3520" t="s">
        <v>32</v>
      </c>
      <c r="H3520" t="s">
        <v>33</v>
      </c>
      <c r="I3520" t="s">
        <v>57</v>
      </c>
      <c r="O3520" s="5"/>
      <c r="P3520" s="5"/>
    </row>
    <row r="3521" spans="1:29" x14ac:dyDescent="0.25">
      <c r="A3521" s="4">
        <v>42599</v>
      </c>
      <c r="B3521" t="s">
        <v>30</v>
      </c>
      <c r="C3521">
        <v>304</v>
      </c>
      <c r="D3521">
        <v>2</v>
      </c>
      <c r="E3521">
        <v>1</v>
      </c>
      <c r="F3521" t="s">
        <v>320</v>
      </c>
      <c r="G3521" t="s">
        <v>32</v>
      </c>
      <c r="H3521" t="s">
        <v>33</v>
      </c>
      <c r="I3521" t="s">
        <v>57</v>
      </c>
      <c r="O3521" s="5"/>
      <c r="P3521" s="5"/>
    </row>
    <row r="3522" spans="1:29" x14ac:dyDescent="0.25">
      <c r="A3522" s="4">
        <v>42599</v>
      </c>
      <c r="B3522" t="s">
        <v>30</v>
      </c>
      <c r="C3522">
        <v>304</v>
      </c>
      <c r="D3522">
        <v>2</v>
      </c>
      <c r="E3522">
        <v>2</v>
      </c>
      <c r="F3522" t="s">
        <v>320</v>
      </c>
      <c r="G3522" t="s">
        <v>32</v>
      </c>
      <c r="H3522" t="s">
        <v>33</v>
      </c>
      <c r="I3522" t="s">
        <v>58</v>
      </c>
      <c r="J3522" t="s">
        <v>42</v>
      </c>
      <c r="K3522" t="s">
        <v>114</v>
      </c>
      <c r="L3522" t="s">
        <v>43</v>
      </c>
      <c r="M3522">
        <v>0</v>
      </c>
      <c r="N3522">
        <v>1</v>
      </c>
      <c r="O3522" s="5" t="s">
        <v>878</v>
      </c>
      <c r="P3522" s="5"/>
      <c r="Q3522">
        <f>34-14</f>
        <v>20</v>
      </c>
      <c r="R3522" t="s">
        <v>47</v>
      </c>
      <c r="T3522">
        <v>18.5</v>
      </c>
      <c r="W3522">
        <v>13.1</v>
      </c>
      <c r="X3522">
        <v>26.8</v>
      </c>
      <c r="Z3522" t="s">
        <v>97</v>
      </c>
      <c r="AA3522" t="s">
        <v>879</v>
      </c>
      <c r="AB3522" t="s">
        <v>87</v>
      </c>
      <c r="AC3522" t="s">
        <v>56</v>
      </c>
    </row>
    <row r="3523" spans="1:29" x14ac:dyDescent="0.25">
      <c r="A3523" s="4">
        <v>42599</v>
      </c>
      <c r="B3523" t="s">
        <v>30</v>
      </c>
      <c r="C3523">
        <v>304</v>
      </c>
      <c r="D3523">
        <v>1</v>
      </c>
      <c r="E3523">
        <v>1</v>
      </c>
      <c r="F3523" t="s">
        <v>320</v>
      </c>
      <c r="G3523" t="s">
        <v>32</v>
      </c>
      <c r="H3523" t="s">
        <v>33</v>
      </c>
      <c r="I3523" t="s">
        <v>57</v>
      </c>
      <c r="O3523" s="5"/>
      <c r="P3523" s="5"/>
    </row>
    <row r="3524" spans="1:29" x14ac:dyDescent="0.25">
      <c r="A3524" s="4">
        <v>42599</v>
      </c>
      <c r="B3524" t="s">
        <v>30</v>
      </c>
      <c r="C3524">
        <v>304</v>
      </c>
      <c r="D3524">
        <v>1</v>
      </c>
      <c r="E3524">
        <v>2</v>
      </c>
      <c r="F3524" t="s">
        <v>320</v>
      </c>
      <c r="G3524" t="s">
        <v>32</v>
      </c>
      <c r="H3524" t="s">
        <v>33</v>
      </c>
      <c r="I3524" t="s">
        <v>58</v>
      </c>
      <c r="J3524" t="s">
        <v>42</v>
      </c>
      <c r="K3524" t="s">
        <v>36</v>
      </c>
      <c r="L3524" t="s">
        <v>37</v>
      </c>
      <c r="M3524">
        <v>0</v>
      </c>
      <c r="N3524">
        <v>1</v>
      </c>
      <c r="O3524" s="5" t="s">
        <v>880</v>
      </c>
      <c r="P3524" s="5"/>
      <c r="Q3524">
        <f>42-14</f>
        <v>28</v>
      </c>
      <c r="R3524" t="s">
        <v>136</v>
      </c>
      <c r="S3524" t="s">
        <v>97</v>
      </c>
      <c r="T3524">
        <v>17</v>
      </c>
      <c r="W3524">
        <v>13.2</v>
      </c>
      <c r="X3524">
        <v>27</v>
      </c>
      <c r="Z3524" t="s">
        <v>97</v>
      </c>
      <c r="AA3524" t="s">
        <v>199</v>
      </c>
      <c r="AB3524" t="s">
        <v>87</v>
      </c>
      <c r="AC3524" t="s">
        <v>56</v>
      </c>
    </row>
    <row r="3525" spans="1:29" x14ac:dyDescent="0.25">
      <c r="A3525" s="4">
        <v>42600</v>
      </c>
      <c r="B3525" t="s">
        <v>30</v>
      </c>
      <c r="C3525">
        <v>111</v>
      </c>
      <c r="D3525">
        <v>1</v>
      </c>
      <c r="E3525">
        <v>1</v>
      </c>
      <c r="F3525" t="s">
        <v>31</v>
      </c>
      <c r="G3525" t="s">
        <v>32</v>
      </c>
      <c r="H3525" t="s">
        <v>33</v>
      </c>
      <c r="I3525" t="s">
        <v>57</v>
      </c>
      <c r="O3525" s="5"/>
      <c r="P3525" s="5"/>
    </row>
    <row r="3526" spans="1:29" x14ac:dyDescent="0.25">
      <c r="A3526" s="4">
        <v>42600</v>
      </c>
      <c r="B3526" t="s">
        <v>30</v>
      </c>
      <c r="C3526">
        <v>111</v>
      </c>
      <c r="D3526">
        <v>1</v>
      </c>
      <c r="E3526">
        <v>2</v>
      </c>
      <c r="F3526" t="s">
        <v>31</v>
      </c>
      <c r="G3526" t="s">
        <v>32</v>
      </c>
      <c r="H3526" t="s">
        <v>33</v>
      </c>
      <c r="I3526" t="s">
        <v>57</v>
      </c>
      <c r="O3526" s="5"/>
      <c r="P3526" s="5"/>
    </row>
    <row r="3527" spans="1:29" x14ac:dyDescent="0.25">
      <c r="A3527" s="4">
        <v>42600</v>
      </c>
      <c r="B3527" t="s">
        <v>30</v>
      </c>
      <c r="C3527">
        <v>111</v>
      </c>
      <c r="D3527">
        <v>3</v>
      </c>
      <c r="E3527">
        <v>1</v>
      </c>
      <c r="F3527" t="s">
        <v>31</v>
      </c>
      <c r="G3527" t="s">
        <v>32</v>
      </c>
      <c r="H3527" t="s">
        <v>33</v>
      </c>
      <c r="I3527" t="s">
        <v>57</v>
      </c>
      <c r="O3527" s="5"/>
      <c r="P3527" s="5"/>
    </row>
    <row r="3528" spans="1:29" x14ac:dyDescent="0.25">
      <c r="A3528" s="4">
        <v>42600</v>
      </c>
      <c r="B3528" t="s">
        <v>30</v>
      </c>
      <c r="C3528">
        <v>111</v>
      </c>
      <c r="D3528">
        <v>3</v>
      </c>
      <c r="E3528">
        <v>2</v>
      </c>
      <c r="F3528" t="s">
        <v>31</v>
      </c>
      <c r="G3528" t="s">
        <v>32</v>
      </c>
      <c r="H3528" t="s">
        <v>33</v>
      </c>
      <c r="I3528" t="s">
        <v>34</v>
      </c>
      <c r="J3528" t="s">
        <v>42</v>
      </c>
      <c r="K3528" t="s">
        <v>114</v>
      </c>
      <c r="L3528" t="s">
        <v>37</v>
      </c>
      <c r="M3528">
        <v>0</v>
      </c>
      <c r="N3528">
        <v>1</v>
      </c>
      <c r="O3528" s="5" t="s">
        <v>881</v>
      </c>
      <c r="P3528" s="5" t="s">
        <v>837</v>
      </c>
      <c r="Q3528">
        <f>29.5-13</f>
        <v>16.5</v>
      </c>
      <c r="R3528" t="s">
        <v>38</v>
      </c>
      <c r="S3528" t="s">
        <v>39</v>
      </c>
      <c r="T3528">
        <v>19.5</v>
      </c>
      <c r="U3528">
        <v>87</v>
      </c>
      <c r="V3528">
        <v>16</v>
      </c>
      <c r="W3528">
        <v>13.1</v>
      </c>
      <c r="X3528">
        <v>28.8</v>
      </c>
      <c r="AB3528" t="s">
        <v>87</v>
      </c>
      <c r="AC3528" t="s">
        <v>56</v>
      </c>
    </row>
    <row r="3529" spans="1:29" x14ac:dyDescent="0.25">
      <c r="A3529" s="4">
        <v>42600</v>
      </c>
      <c r="B3529" t="s">
        <v>30</v>
      </c>
      <c r="C3529">
        <v>111</v>
      </c>
      <c r="D3529">
        <v>4</v>
      </c>
      <c r="E3529">
        <v>1</v>
      </c>
      <c r="F3529" t="s">
        <v>31</v>
      </c>
      <c r="G3529" t="s">
        <v>32</v>
      </c>
      <c r="H3529" t="s">
        <v>33</v>
      </c>
      <c r="I3529" t="s">
        <v>34</v>
      </c>
      <c r="J3529" t="s">
        <v>35</v>
      </c>
      <c r="K3529" t="s">
        <v>89</v>
      </c>
      <c r="L3529" t="s">
        <v>43</v>
      </c>
      <c r="M3529">
        <v>0</v>
      </c>
      <c r="N3529">
        <v>0</v>
      </c>
      <c r="O3529" s="5" t="s">
        <v>485</v>
      </c>
      <c r="P3529" s="5" t="s">
        <v>486</v>
      </c>
      <c r="Q3529">
        <f>28-16</f>
        <v>12</v>
      </c>
      <c r="R3529" t="s">
        <v>65</v>
      </c>
      <c r="T3529">
        <v>19</v>
      </c>
      <c r="V3529">
        <v>15</v>
      </c>
      <c r="W3529">
        <v>12.2</v>
      </c>
      <c r="X3529">
        <v>24</v>
      </c>
      <c r="AB3529" t="s">
        <v>87</v>
      </c>
      <c r="AC3529" t="s">
        <v>56</v>
      </c>
    </row>
    <row r="3530" spans="1:29" x14ac:dyDescent="0.25">
      <c r="A3530" s="4">
        <v>42600</v>
      </c>
      <c r="B3530" t="s">
        <v>30</v>
      </c>
      <c r="C3530">
        <v>111</v>
      </c>
      <c r="D3530">
        <v>5</v>
      </c>
      <c r="E3530">
        <v>1</v>
      </c>
      <c r="F3530" t="s">
        <v>31</v>
      </c>
      <c r="G3530" t="s">
        <v>32</v>
      </c>
      <c r="H3530" t="s">
        <v>33</v>
      </c>
      <c r="I3530" t="s">
        <v>34</v>
      </c>
      <c r="J3530" t="s">
        <v>42</v>
      </c>
      <c r="K3530" t="s">
        <v>114</v>
      </c>
      <c r="L3530" t="s">
        <v>43</v>
      </c>
      <c r="M3530">
        <v>0</v>
      </c>
      <c r="N3530">
        <v>1</v>
      </c>
      <c r="O3530" s="5" t="s">
        <v>882</v>
      </c>
      <c r="P3530" s="5" t="s">
        <v>883</v>
      </c>
      <c r="Q3530">
        <f>29.5-12</f>
        <v>17.5</v>
      </c>
      <c r="R3530" t="s">
        <v>65</v>
      </c>
      <c r="T3530">
        <v>19</v>
      </c>
      <c r="U3530">
        <v>91</v>
      </c>
      <c r="V3530">
        <v>16</v>
      </c>
      <c r="W3530">
        <v>13.3</v>
      </c>
      <c r="X3530">
        <v>27.8</v>
      </c>
      <c r="AB3530" t="s">
        <v>87</v>
      </c>
      <c r="AC3530" t="s">
        <v>56</v>
      </c>
    </row>
    <row r="3531" spans="1:29" x14ac:dyDescent="0.25">
      <c r="A3531" s="4">
        <v>42600</v>
      </c>
      <c r="B3531" t="s">
        <v>30</v>
      </c>
      <c r="C3531">
        <v>111</v>
      </c>
      <c r="D3531">
        <v>10</v>
      </c>
      <c r="E3531">
        <v>1</v>
      </c>
      <c r="F3531" t="s">
        <v>31</v>
      </c>
      <c r="G3531" t="s">
        <v>32</v>
      </c>
      <c r="H3531" t="s">
        <v>33</v>
      </c>
      <c r="I3531" t="s">
        <v>57</v>
      </c>
      <c r="O3531" s="5"/>
      <c r="P3531" s="5"/>
    </row>
    <row r="3532" spans="1:29" x14ac:dyDescent="0.25">
      <c r="A3532" s="4">
        <v>42600</v>
      </c>
      <c r="B3532" t="s">
        <v>30</v>
      </c>
      <c r="C3532">
        <v>111</v>
      </c>
      <c r="D3532">
        <v>10</v>
      </c>
      <c r="E3532">
        <v>2</v>
      </c>
      <c r="F3532" t="s">
        <v>31</v>
      </c>
      <c r="G3532" t="s">
        <v>32</v>
      </c>
      <c r="H3532" t="s">
        <v>33</v>
      </c>
      <c r="I3532" t="s">
        <v>57</v>
      </c>
      <c r="O3532" s="5"/>
      <c r="P3532" s="5"/>
    </row>
    <row r="3533" spans="1:29" x14ac:dyDescent="0.25">
      <c r="A3533" s="4">
        <v>42600</v>
      </c>
      <c r="B3533" t="s">
        <v>30</v>
      </c>
      <c r="C3533">
        <v>112</v>
      </c>
      <c r="D3533">
        <v>10</v>
      </c>
      <c r="E3533">
        <v>1</v>
      </c>
      <c r="F3533" t="s">
        <v>31</v>
      </c>
      <c r="G3533" t="s">
        <v>32</v>
      </c>
      <c r="H3533" t="s">
        <v>33</v>
      </c>
      <c r="I3533" t="s">
        <v>91</v>
      </c>
      <c r="J3533" t="s">
        <v>35</v>
      </c>
      <c r="K3533" t="s">
        <v>36</v>
      </c>
      <c r="L3533" t="s">
        <v>37</v>
      </c>
      <c r="M3533">
        <v>0</v>
      </c>
      <c r="N3533">
        <v>0</v>
      </c>
      <c r="O3533" s="5" t="s">
        <v>325</v>
      </c>
      <c r="P3533" s="5"/>
      <c r="Q3533">
        <f>31-12.5</f>
        <v>18.5</v>
      </c>
      <c r="R3533" t="s">
        <v>38</v>
      </c>
      <c r="S3533" t="s">
        <v>39</v>
      </c>
      <c r="T3533">
        <v>28</v>
      </c>
      <c r="W3533">
        <v>12.7</v>
      </c>
      <c r="X3533">
        <v>24.3</v>
      </c>
      <c r="AB3533" t="s">
        <v>87</v>
      </c>
      <c r="AC3533" t="s">
        <v>56</v>
      </c>
    </row>
    <row r="3534" spans="1:29" x14ac:dyDescent="0.25">
      <c r="A3534" s="4">
        <v>42600</v>
      </c>
      <c r="B3534" t="s">
        <v>30</v>
      </c>
      <c r="C3534">
        <v>112</v>
      </c>
      <c r="D3534">
        <v>8</v>
      </c>
      <c r="E3534">
        <v>1</v>
      </c>
      <c r="F3534" t="s">
        <v>31</v>
      </c>
      <c r="G3534" t="s">
        <v>32</v>
      </c>
      <c r="H3534" t="s">
        <v>33</v>
      </c>
      <c r="I3534" t="s">
        <v>34</v>
      </c>
      <c r="J3534" t="s">
        <v>35</v>
      </c>
      <c r="K3534" t="s">
        <v>36</v>
      </c>
      <c r="L3534" t="s">
        <v>43</v>
      </c>
      <c r="M3534">
        <v>0</v>
      </c>
      <c r="N3534">
        <v>0</v>
      </c>
      <c r="O3534" s="5" t="s">
        <v>401</v>
      </c>
      <c r="P3534" s="5" t="s">
        <v>402</v>
      </c>
      <c r="Q3534">
        <f>34.5-14</f>
        <v>20.5</v>
      </c>
      <c r="R3534" t="s">
        <v>47</v>
      </c>
      <c r="T3534">
        <v>19</v>
      </c>
      <c r="U3534">
        <v>86</v>
      </c>
      <c r="V3534">
        <v>17</v>
      </c>
      <c r="W3534">
        <v>13.4</v>
      </c>
      <c r="X3534">
        <v>25</v>
      </c>
      <c r="AB3534" t="s">
        <v>87</v>
      </c>
      <c r="AC3534" t="s">
        <v>56</v>
      </c>
    </row>
    <row r="3535" spans="1:29" x14ac:dyDescent="0.25">
      <c r="A3535" s="4">
        <v>42600</v>
      </c>
      <c r="B3535" t="s">
        <v>30</v>
      </c>
      <c r="C3535">
        <v>112</v>
      </c>
      <c r="D3535">
        <v>6</v>
      </c>
      <c r="E3535">
        <v>1</v>
      </c>
      <c r="F3535" t="s">
        <v>31</v>
      </c>
      <c r="G3535" t="s">
        <v>32</v>
      </c>
      <c r="H3535" t="s">
        <v>33</v>
      </c>
      <c r="I3535" t="s">
        <v>57</v>
      </c>
      <c r="O3535" s="5"/>
      <c r="P3535" s="5"/>
    </row>
    <row r="3536" spans="1:29" x14ac:dyDescent="0.25">
      <c r="A3536" s="4">
        <v>42600</v>
      </c>
      <c r="B3536" t="s">
        <v>30</v>
      </c>
      <c r="C3536">
        <v>112</v>
      </c>
      <c r="D3536">
        <v>6</v>
      </c>
      <c r="E3536">
        <v>2</v>
      </c>
      <c r="F3536" t="s">
        <v>31</v>
      </c>
      <c r="G3536" t="s">
        <v>32</v>
      </c>
      <c r="H3536" t="s">
        <v>33</v>
      </c>
      <c r="I3536" t="s">
        <v>34</v>
      </c>
      <c r="J3536" t="s">
        <v>35</v>
      </c>
      <c r="K3536" t="s">
        <v>114</v>
      </c>
      <c r="L3536" t="s">
        <v>43</v>
      </c>
      <c r="M3536">
        <v>0</v>
      </c>
      <c r="N3536">
        <v>0</v>
      </c>
      <c r="O3536" s="5" t="s">
        <v>392</v>
      </c>
      <c r="P3536" s="5" t="s">
        <v>458</v>
      </c>
      <c r="Q3536">
        <f>30.5-12.5</f>
        <v>18</v>
      </c>
      <c r="R3536" t="s">
        <v>47</v>
      </c>
      <c r="T3536">
        <v>18</v>
      </c>
      <c r="U3536">
        <v>84</v>
      </c>
      <c r="V3536">
        <v>16</v>
      </c>
      <c r="W3536">
        <v>13</v>
      </c>
      <c r="X3536">
        <v>26.5</v>
      </c>
      <c r="AB3536" t="s">
        <v>87</v>
      </c>
      <c r="AC3536" t="s">
        <v>56</v>
      </c>
    </row>
    <row r="3537" spans="1:30" x14ac:dyDescent="0.25">
      <c r="A3537" s="4">
        <v>42600</v>
      </c>
      <c r="B3537" t="s">
        <v>30</v>
      </c>
      <c r="C3537">
        <v>112</v>
      </c>
      <c r="D3537">
        <v>5</v>
      </c>
      <c r="E3537">
        <v>1</v>
      </c>
      <c r="F3537" t="s">
        <v>31</v>
      </c>
      <c r="G3537" t="s">
        <v>32</v>
      </c>
      <c r="H3537" t="s">
        <v>33</v>
      </c>
      <c r="I3537" t="s">
        <v>57</v>
      </c>
      <c r="O3537" s="5"/>
      <c r="P3537" s="5"/>
    </row>
    <row r="3538" spans="1:30" x14ac:dyDescent="0.25">
      <c r="A3538" s="4">
        <v>42600</v>
      </c>
      <c r="B3538" t="s">
        <v>30</v>
      </c>
      <c r="C3538">
        <v>112</v>
      </c>
      <c r="D3538">
        <v>3</v>
      </c>
      <c r="E3538">
        <v>1</v>
      </c>
      <c r="F3538" t="s">
        <v>31</v>
      </c>
      <c r="G3538" t="s">
        <v>32</v>
      </c>
      <c r="H3538" t="s">
        <v>33</v>
      </c>
      <c r="I3538" t="s">
        <v>34</v>
      </c>
      <c r="J3538" t="s">
        <v>35</v>
      </c>
      <c r="K3538" t="s">
        <v>36</v>
      </c>
      <c r="L3538" t="s">
        <v>37</v>
      </c>
      <c r="M3538">
        <v>0</v>
      </c>
      <c r="N3538">
        <v>0</v>
      </c>
      <c r="O3538" s="5" t="s">
        <v>804</v>
      </c>
      <c r="P3538" s="5" t="s">
        <v>805</v>
      </c>
      <c r="Q3538">
        <f>32-12.5</f>
        <v>19.5</v>
      </c>
      <c r="R3538" t="s">
        <v>143</v>
      </c>
      <c r="S3538" t="s">
        <v>97</v>
      </c>
      <c r="T3538">
        <v>17</v>
      </c>
      <c r="U3538">
        <v>78</v>
      </c>
      <c r="V3538">
        <v>17</v>
      </c>
      <c r="W3538">
        <v>13</v>
      </c>
      <c r="X3538">
        <v>26.4</v>
      </c>
      <c r="AB3538" t="s">
        <v>87</v>
      </c>
      <c r="AC3538" t="s">
        <v>56</v>
      </c>
    </row>
    <row r="3539" spans="1:30" x14ac:dyDescent="0.25">
      <c r="A3539" s="4">
        <v>42600</v>
      </c>
      <c r="B3539" t="s">
        <v>30</v>
      </c>
      <c r="C3539">
        <v>112</v>
      </c>
      <c r="D3539">
        <v>3</v>
      </c>
      <c r="E3539">
        <v>2</v>
      </c>
      <c r="F3539" t="s">
        <v>31</v>
      </c>
      <c r="G3539" t="s">
        <v>32</v>
      </c>
      <c r="H3539" t="s">
        <v>33</v>
      </c>
      <c r="I3539" t="s">
        <v>57</v>
      </c>
      <c r="O3539" s="5"/>
      <c r="P3539" s="5"/>
    </row>
    <row r="3540" spans="1:30" x14ac:dyDescent="0.25">
      <c r="A3540" s="4">
        <v>42600</v>
      </c>
      <c r="B3540" t="s">
        <v>30</v>
      </c>
      <c r="C3540">
        <v>112</v>
      </c>
      <c r="D3540">
        <v>1</v>
      </c>
      <c r="E3540">
        <v>1</v>
      </c>
      <c r="F3540" t="s">
        <v>31</v>
      </c>
      <c r="G3540" t="s">
        <v>32</v>
      </c>
      <c r="H3540" t="s">
        <v>33</v>
      </c>
      <c r="I3540" t="s">
        <v>91</v>
      </c>
      <c r="J3540" t="s">
        <v>35</v>
      </c>
      <c r="K3540" t="s">
        <v>114</v>
      </c>
      <c r="L3540" t="s">
        <v>43</v>
      </c>
      <c r="M3540">
        <v>0</v>
      </c>
      <c r="N3540">
        <v>0</v>
      </c>
      <c r="O3540" s="5" t="s">
        <v>389</v>
      </c>
      <c r="P3540" s="5"/>
      <c r="Q3540">
        <f>31.5-13</f>
        <v>18.5</v>
      </c>
      <c r="R3540" t="s">
        <v>47</v>
      </c>
      <c r="T3540">
        <v>29.5</v>
      </c>
      <c r="W3540">
        <v>12.5</v>
      </c>
      <c r="X3540">
        <v>25</v>
      </c>
      <c r="AB3540" t="s">
        <v>87</v>
      </c>
      <c r="AC3540" t="s">
        <v>56</v>
      </c>
    </row>
    <row r="3541" spans="1:30" x14ac:dyDescent="0.25">
      <c r="A3541" s="4">
        <v>42600</v>
      </c>
      <c r="B3541" t="s">
        <v>30</v>
      </c>
      <c r="C3541">
        <v>113</v>
      </c>
      <c r="D3541">
        <v>10</v>
      </c>
      <c r="E3541">
        <v>1</v>
      </c>
      <c r="F3541" t="s">
        <v>31</v>
      </c>
      <c r="G3541" t="s">
        <v>32</v>
      </c>
      <c r="H3541" t="s">
        <v>33</v>
      </c>
      <c r="I3541" t="s">
        <v>34</v>
      </c>
      <c r="J3541" t="s">
        <v>35</v>
      </c>
      <c r="K3541" t="s">
        <v>89</v>
      </c>
      <c r="L3541" t="s">
        <v>43</v>
      </c>
      <c r="M3541">
        <v>0</v>
      </c>
      <c r="N3541">
        <v>0</v>
      </c>
      <c r="O3541" s="5" t="s">
        <v>516</v>
      </c>
      <c r="P3541" s="5" t="s">
        <v>517</v>
      </c>
      <c r="Q3541">
        <f>28.5-14</f>
        <v>14.5</v>
      </c>
      <c r="R3541" t="s">
        <v>65</v>
      </c>
      <c r="T3541">
        <v>19</v>
      </c>
      <c r="V3541">
        <v>16</v>
      </c>
      <c r="W3541">
        <v>12.7</v>
      </c>
      <c r="X3541">
        <v>26.4</v>
      </c>
      <c r="Y3541" t="s">
        <v>884</v>
      </c>
      <c r="AB3541" t="s">
        <v>87</v>
      </c>
      <c r="AC3541" t="s">
        <v>56</v>
      </c>
    </row>
    <row r="3542" spans="1:30" x14ac:dyDescent="0.25">
      <c r="A3542" s="4">
        <v>42600</v>
      </c>
      <c r="B3542" t="s">
        <v>30</v>
      </c>
      <c r="C3542">
        <v>113</v>
      </c>
      <c r="D3542">
        <v>9</v>
      </c>
      <c r="E3542">
        <v>1</v>
      </c>
      <c r="F3542" t="s">
        <v>31</v>
      </c>
      <c r="G3542" t="s">
        <v>32</v>
      </c>
      <c r="H3542" t="s">
        <v>33</v>
      </c>
      <c r="I3542" t="s">
        <v>34</v>
      </c>
      <c r="J3542" t="s">
        <v>35</v>
      </c>
      <c r="K3542" t="s">
        <v>114</v>
      </c>
      <c r="L3542" t="s">
        <v>43</v>
      </c>
      <c r="M3542">
        <v>0</v>
      </c>
      <c r="N3542">
        <v>0</v>
      </c>
      <c r="O3542" s="5" t="s">
        <v>475</v>
      </c>
      <c r="P3542" s="5" t="s">
        <v>476</v>
      </c>
      <c r="Q3542">
        <f>31.5-13</f>
        <v>18.5</v>
      </c>
      <c r="R3542" t="s">
        <v>47</v>
      </c>
      <c r="T3542">
        <v>19</v>
      </c>
      <c r="U3542">
        <v>84</v>
      </c>
      <c r="V3542">
        <v>19.5</v>
      </c>
      <c r="W3542">
        <v>13.5</v>
      </c>
      <c r="X3542">
        <v>28</v>
      </c>
      <c r="AB3542" t="s">
        <v>87</v>
      </c>
      <c r="AC3542" t="s">
        <v>56</v>
      </c>
    </row>
    <row r="3543" spans="1:30" x14ac:dyDescent="0.25">
      <c r="A3543" s="4">
        <v>42600</v>
      </c>
      <c r="B3543" t="s">
        <v>30</v>
      </c>
      <c r="C3543">
        <v>113</v>
      </c>
      <c r="D3543">
        <v>7</v>
      </c>
      <c r="E3543">
        <v>1</v>
      </c>
      <c r="F3543" t="s">
        <v>31</v>
      </c>
      <c r="G3543" t="s">
        <v>32</v>
      </c>
      <c r="H3543" t="s">
        <v>33</v>
      </c>
      <c r="I3543" t="s">
        <v>34</v>
      </c>
      <c r="J3543" t="s">
        <v>35</v>
      </c>
      <c r="K3543" t="s">
        <v>89</v>
      </c>
      <c r="L3543" t="s">
        <v>37</v>
      </c>
      <c r="M3543">
        <v>0</v>
      </c>
      <c r="N3543">
        <v>0</v>
      </c>
      <c r="O3543" s="5" t="s">
        <v>419</v>
      </c>
      <c r="P3543" s="5" t="s">
        <v>420</v>
      </c>
      <c r="Q3543">
        <v>13</v>
      </c>
      <c r="R3543" t="s">
        <v>38</v>
      </c>
      <c r="S3543" t="s">
        <v>39</v>
      </c>
      <c r="T3543">
        <v>17</v>
      </c>
      <c r="U3543">
        <v>75</v>
      </c>
      <c r="V3543">
        <v>16</v>
      </c>
      <c r="W3543">
        <v>12.6</v>
      </c>
      <c r="X3543">
        <v>24.6</v>
      </c>
      <c r="AB3543" t="s">
        <v>87</v>
      </c>
      <c r="AC3543" t="s">
        <v>56</v>
      </c>
    </row>
    <row r="3544" spans="1:30" x14ac:dyDescent="0.25">
      <c r="A3544" s="4">
        <v>42600</v>
      </c>
      <c r="B3544" t="s">
        <v>30</v>
      </c>
      <c r="C3544">
        <v>113</v>
      </c>
      <c r="D3544">
        <v>6</v>
      </c>
      <c r="E3544">
        <v>2</v>
      </c>
      <c r="F3544" t="s">
        <v>31</v>
      </c>
      <c r="G3544" t="s">
        <v>32</v>
      </c>
      <c r="H3544" t="s">
        <v>33</v>
      </c>
      <c r="I3544" t="s">
        <v>57</v>
      </c>
      <c r="O3544" s="5"/>
      <c r="P3544" s="5"/>
    </row>
    <row r="3545" spans="1:30" x14ac:dyDescent="0.25">
      <c r="A3545" s="4">
        <v>42600</v>
      </c>
      <c r="B3545" t="s">
        <v>30</v>
      </c>
      <c r="C3545">
        <v>113</v>
      </c>
      <c r="D3545">
        <v>5</v>
      </c>
      <c r="E3545">
        <v>1</v>
      </c>
      <c r="F3545" t="s">
        <v>31</v>
      </c>
      <c r="G3545" t="s">
        <v>32</v>
      </c>
      <c r="H3545" t="s">
        <v>33</v>
      </c>
      <c r="I3545" t="s">
        <v>57</v>
      </c>
      <c r="O3545" s="5"/>
      <c r="P3545" s="5"/>
    </row>
    <row r="3546" spans="1:30" x14ac:dyDescent="0.25">
      <c r="A3546" s="4">
        <v>42600</v>
      </c>
      <c r="B3546" t="s">
        <v>30</v>
      </c>
      <c r="C3546">
        <v>113</v>
      </c>
      <c r="D3546">
        <v>4</v>
      </c>
      <c r="E3546">
        <v>1</v>
      </c>
      <c r="F3546" t="s">
        <v>31</v>
      </c>
      <c r="G3546" t="s">
        <v>32</v>
      </c>
      <c r="H3546" t="s">
        <v>33</v>
      </c>
      <c r="I3546" t="s">
        <v>91</v>
      </c>
      <c r="J3546" t="s">
        <v>35</v>
      </c>
      <c r="K3546" t="s">
        <v>36</v>
      </c>
      <c r="L3546" t="s">
        <v>37</v>
      </c>
      <c r="M3546">
        <v>0</v>
      </c>
      <c r="N3546">
        <v>0</v>
      </c>
      <c r="O3546" s="5" t="s">
        <v>844</v>
      </c>
      <c r="P3546" s="5"/>
      <c r="Q3546">
        <f>31-13</f>
        <v>18</v>
      </c>
      <c r="R3546" t="s">
        <v>38</v>
      </c>
      <c r="S3546" t="s">
        <v>39</v>
      </c>
      <c r="T3546">
        <v>28.5</v>
      </c>
      <c r="W3546">
        <v>12.8</v>
      </c>
      <c r="X3546">
        <v>24.3</v>
      </c>
      <c r="AB3546" t="s">
        <v>87</v>
      </c>
      <c r="AC3546" t="s">
        <v>56</v>
      </c>
    </row>
    <row r="3547" spans="1:30" x14ac:dyDescent="0.25">
      <c r="A3547" s="4">
        <v>42600</v>
      </c>
      <c r="B3547" t="s">
        <v>30</v>
      </c>
      <c r="C3547">
        <v>113</v>
      </c>
      <c r="D3547">
        <v>2</v>
      </c>
      <c r="E3547">
        <v>1</v>
      </c>
      <c r="F3547" t="s">
        <v>31</v>
      </c>
      <c r="G3547" t="s">
        <v>32</v>
      </c>
      <c r="H3547" t="s">
        <v>33</v>
      </c>
      <c r="I3547" t="s">
        <v>91</v>
      </c>
      <c r="J3547" t="s">
        <v>35</v>
      </c>
      <c r="K3547" t="s">
        <v>36</v>
      </c>
      <c r="L3547" t="s">
        <v>43</v>
      </c>
      <c r="M3547">
        <v>0</v>
      </c>
      <c r="N3547">
        <v>0</v>
      </c>
      <c r="O3547" s="5" t="s">
        <v>838</v>
      </c>
      <c r="P3547" s="5"/>
      <c r="Q3547">
        <f>34-13</f>
        <v>21</v>
      </c>
      <c r="R3547" t="s">
        <v>65</v>
      </c>
      <c r="T3547">
        <v>30</v>
      </c>
      <c r="W3547">
        <v>13.1</v>
      </c>
      <c r="X3547">
        <v>25.2</v>
      </c>
      <c r="AB3547" t="s">
        <v>87</v>
      </c>
      <c r="AC3547" t="s">
        <v>56</v>
      </c>
    </row>
    <row r="3548" spans="1:30" x14ac:dyDescent="0.25">
      <c r="A3548" s="4">
        <v>42600</v>
      </c>
      <c r="B3548" t="s">
        <v>30</v>
      </c>
      <c r="C3548">
        <v>113</v>
      </c>
      <c r="D3548">
        <v>2</v>
      </c>
      <c r="E3548">
        <v>2</v>
      </c>
      <c r="F3548" t="s">
        <v>31</v>
      </c>
      <c r="G3548" t="s">
        <v>32</v>
      </c>
      <c r="H3548" t="s">
        <v>33</v>
      </c>
      <c r="I3548" t="s">
        <v>91</v>
      </c>
      <c r="J3548" t="s">
        <v>42</v>
      </c>
      <c r="K3548" t="s">
        <v>114</v>
      </c>
      <c r="L3548" t="s">
        <v>43</v>
      </c>
      <c r="M3548">
        <v>0</v>
      </c>
      <c r="N3548">
        <v>0</v>
      </c>
      <c r="O3548" s="5" t="s">
        <v>885</v>
      </c>
      <c r="P3548" s="5"/>
      <c r="Q3548">
        <f>28.5-13</f>
        <v>15.5</v>
      </c>
      <c r="R3548" t="s">
        <v>47</v>
      </c>
      <c r="T3548">
        <v>27</v>
      </c>
      <c r="W3548">
        <v>12.3</v>
      </c>
      <c r="X3548">
        <v>24.9</v>
      </c>
      <c r="Z3548" t="s">
        <v>97</v>
      </c>
      <c r="AB3548" t="s">
        <v>87</v>
      </c>
      <c r="AC3548" t="s">
        <v>56</v>
      </c>
      <c r="AD3548" t="s">
        <v>886</v>
      </c>
    </row>
    <row r="3549" spans="1:30" x14ac:dyDescent="0.25">
      <c r="A3549" s="4">
        <v>42600</v>
      </c>
      <c r="B3549" t="s">
        <v>30</v>
      </c>
      <c r="C3549">
        <v>402</v>
      </c>
      <c r="D3549">
        <v>10</v>
      </c>
      <c r="E3549">
        <v>1</v>
      </c>
      <c r="F3549" t="s">
        <v>31</v>
      </c>
      <c r="G3549" t="s">
        <v>32</v>
      </c>
      <c r="H3549" t="s">
        <v>33</v>
      </c>
      <c r="I3549" t="s">
        <v>57</v>
      </c>
      <c r="O3549" s="5"/>
      <c r="P3549" s="5"/>
    </row>
    <row r="3550" spans="1:30" x14ac:dyDescent="0.25">
      <c r="A3550" s="4">
        <v>42600</v>
      </c>
      <c r="B3550" t="s">
        <v>30</v>
      </c>
      <c r="C3550">
        <v>402</v>
      </c>
      <c r="D3550">
        <v>10</v>
      </c>
      <c r="E3550">
        <v>2</v>
      </c>
      <c r="F3550" t="s">
        <v>31</v>
      </c>
      <c r="G3550" t="s">
        <v>32</v>
      </c>
      <c r="H3550" t="s">
        <v>33</v>
      </c>
      <c r="I3550" t="s">
        <v>73</v>
      </c>
      <c r="J3550" t="s">
        <v>35</v>
      </c>
      <c r="K3550" t="s">
        <v>36</v>
      </c>
      <c r="L3550" t="s">
        <v>43</v>
      </c>
      <c r="M3550">
        <v>0</v>
      </c>
      <c r="N3550">
        <v>0</v>
      </c>
      <c r="O3550" s="5" t="s">
        <v>430</v>
      </c>
      <c r="P3550" s="5"/>
      <c r="Q3550">
        <f>178-90</f>
        <v>88</v>
      </c>
      <c r="R3550" t="s">
        <v>65</v>
      </c>
      <c r="T3550">
        <v>32</v>
      </c>
      <c r="W3550">
        <v>21.8</v>
      </c>
      <c r="X3550">
        <v>42.7</v>
      </c>
      <c r="AB3550" t="s">
        <v>87</v>
      </c>
      <c r="AC3550" t="s">
        <v>56</v>
      </c>
    </row>
    <row r="3551" spans="1:30" x14ac:dyDescent="0.25">
      <c r="A3551" s="4">
        <v>42600</v>
      </c>
      <c r="B3551" t="s">
        <v>30</v>
      </c>
      <c r="C3551">
        <v>402</v>
      </c>
      <c r="D3551">
        <v>2</v>
      </c>
      <c r="E3551">
        <v>1</v>
      </c>
      <c r="F3551" t="s">
        <v>31</v>
      </c>
      <c r="G3551" t="s">
        <v>32</v>
      </c>
      <c r="H3551" t="s">
        <v>33</v>
      </c>
      <c r="I3551" t="s">
        <v>57</v>
      </c>
      <c r="O3551" s="5"/>
      <c r="P3551" s="5"/>
    </row>
    <row r="3552" spans="1:30" x14ac:dyDescent="0.25">
      <c r="A3552" s="4">
        <v>42600</v>
      </c>
      <c r="B3552" t="s">
        <v>30</v>
      </c>
      <c r="C3552">
        <v>402</v>
      </c>
      <c r="D3552">
        <v>1</v>
      </c>
      <c r="E3552">
        <v>2</v>
      </c>
      <c r="F3552" t="s">
        <v>31</v>
      </c>
      <c r="G3552" t="s">
        <v>32</v>
      </c>
      <c r="H3552" t="s">
        <v>33</v>
      </c>
      <c r="I3552" t="s">
        <v>57</v>
      </c>
      <c r="O3552" s="5"/>
      <c r="P3552" s="5"/>
    </row>
    <row r="3553" spans="1:29" x14ac:dyDescent="0.25">
      <c r="A3553" s="4">
        <v>42600</v>
      </c>
      <c r="B3553" t="s">
        <v>30</v>
      </c>
      <c r="C3553">
        <v>304</v>
      </c>
      <c r="D3553">
        <v>5</v>
      </c>
      <c r="E3553">
        <v>1</v>
      </c>
      <c r="F3553" t="s">
        <v>31</v>
      </c>
      <c r="G3553" t="s">
        <v>32</v>
      </c>
      <c r="H3553" t="s">
        <v>33</v>
      </c>
      <c r="I3553" t="s">
        <v>34</v>
      </c>
      <c r="J3553" t="s">
        <v>42</v>
      </c>
      <c r="K3553" t="s">
        <v>114</v>
      </c>
      <c r="L3553" t="s">
        <v>37</v>
      </c>
      <c r="M3553">
        <v>0</v>
      </c>
      <c r="N3553">
        <v>1</v>
      </c>
      <c r="O3553" s="5" t="s">
        <v>887</v>
      </c>
      <c r="P3553" s="5" t="s">
        <v>888</v>
      </c>
      <c r="Q3553">
        <f>29.5-14.5</f>
        <v>15</v>
      </c>
      <c r="R3553" t="s">
        <v>38</v>
      </c>
      <c r="S3553" t="s">
        <v>39</v>
      </c>
      <c r="T3553">
        <v>19</v>
      </c>
      <c r="U3553">
        <v>87</v>
      </c>
      <c r="V3553">
        <v>16</v>
      </c>
      <c r="W3553">
        <v>13</v>
      </c>
      <c r="X3553">
        <v>25</v>
      </c>
      <c r="Z3553" t="s">
        <v>97</v>
      </c>
      <c r="AB3553" t="s">
        <v>87</v>
      </c>
      <c r="AC3553" t="s">
        <v>56</v>
      </c>
    </row>
    <row r="3554" spans="1:29" x14ac:dyDescent="0.25">
      <c r="A3554" s="4">
        <v>42600</v>
      </c>
      <c r="B3554" t="s">
        <v>30</v>
      </c>
      <c r="C3554">
        <v>304</v>
      </c>
      <c r="D3554">
        <v>1</v>
      </c>
      <c r="E3554">
        <v>1</v>
      </c>
      <c r="F3554" t="s">
        <v>31</v>
      </c>
      <c r="G3554" t="s">
        <v>32</v>
      </c>
      <c r="H3554" t="s">
        <v>33</v>
      </c>
      <c r="I3554" t="s">
        <v>57</v>
      </c>
      <c r="O3554" s="5"/>
      <c r="P3554" s="5"/>
    </row>
    <row r="3555" spans="1:29" x14ac:dyDescent="0.25">
      <c r="A3555" s="4">
        <v>42600</v>
      </c>
      <c r="B3555" t="s">
        <v>30</v>
      </c>
      <c r="C3555">
        <v>304</v>
      </c>
      <c r="D3555">
        <v>1</v>
      </c>
      <c r="E3555">
        <v>2</v>
      </c>
      <c r="F3555" t="s">
        <v>31</v>
      </c>
      <c r="G3555" t="s">
        <v>32</v>
      </c>
      <c r="H3555" t="s">
        <v>33</v>
      </c>
      <c r="I3555" t="s">
        <v>34</v>
      </c>
      <c r="J3555" t="s">
        <v>35</v>
      </c>
      <c r="K3555" t="s">
        <v>114</v>
      </c>
      <c r="L3555" t="s">
        <v>43</v>
      </c>
      <c r="M3555">
        <v>0</v>
      </c>
      <c r="N3555">
        <v>0</v>
      </c>
      <c r="O3555" s="5" t="s">
        <v>346</v>
      </c>
      <c r="P3555" s="5" t="s">
        <v>347</v>
      </c>
      <c r="Q3555">
        <f>33.5-16</f>
        <v>17.5</v>
      </c>
      <c r="R3555" t="s">
        <v>65</v>
      </c>
      <c r="T3555">
        <v>19</v>
      </c>
      <c r="U3555">
        <v>86</v>
      </c>
      <c r="V3555">
        <v>15</v>
      </c>
      <c r="W3555">
        <v>13</v>
      </c>
      <c r="X3555">
        <v>26.9</v>
      </c>
      <c r="Y3555" t="s">
        <v>889</v>
      </c>
      <c r="AB3555" t="s">
        <v>87</v>
      </c>
      <c r="AC3555" t="s">
        <v>56</v>
      </c>
    </row>
    <row r="3556" spans="1:29" x14ac:dyDescent="0.25">
      <c r="A3556" s="4">
        <v>42600</v>
      </c>
      <c r="B3556" t="s">
        <v>30</v>
      </c>
      <c r="C3556">
        <v>111</v>
      </c>
      <c r="D3556">
        <v>9</v>
      </c>
      <c r="E3556">
        <v>1</v>
      </c>
      <c r="F3556" t="s">
        <v>284</v>
      </c>
      <c r="G3556" t="s">
        <v>32</v>
      </c>
      <c r="H3556" t="s">
        <v>33</v>
      </c>
      <c r="I3556" t="s">
        <v>34</v>
      </c>
      <c r="J3556" t="s">
        <v>35</v>
      </c>
      <c r="K3556" t="s">
        <v>89</v>
      </c>
      <c r="L3556" t="s">
        <v>43</v>
      </c>
      <c r="M3556">
        <v>0</v>
      </c>
      <c r="N3556">
        <v>0</v>
      </c>
      <c r="O3556" s="5" t="s">
        <v>450</v>
      </c>
      <c r="P3556" s="5" t="s">
        <v>451</v>
      </c>
      <c r="Q3556">
        <v>14</v>
      </c>
      <c r="R3556" t="s">
        <v>65</v>
      </c>
      <c r="T3556">
        <v>20</v>
      </c>
      <c r="U3556">
        <v>76</v>
      </c>
      <c r="V3556">
        <v>17</v>
      </c>
      <c r="W3556">
        <v>14.2</v>
      </c>
      <c r="X3556">
        <v>27.1</v>
      </c>
    </row>
    <row r="3557" spans="1:29" x14ac:dyDescent="0.25">
      <c r="A3557" s="4">
        <v>42600</v>
      </c>
      <c r="B3557" t="s">
        <v>30</v>
      </c>
      <c r="C3557">
        <v>111</v>
      </c>
      <c r="D3557">
        <v>8</v>
      </c>
      <c r="E3557">
        <v>1</v>
      </c>
      <c r="F3557" t="s">
        <v>284</v>
      </c>
      <c r="G3557" t="s">
        <v>32</v>
      </c>
      <c r="H3557" t="s">
        <v>33</v>
      </c>
      <c r="I3557" t="s">
        <v>34</v>
      </c>
      <c r="J3557" t="s">
        <v>35</v>
      </c>
      <c r="K3557" t="s">
        <v>36</v>
      </c>
      <c r="L3557" t="s">
        <v>43</v>
      </c>
      <c r="M3557">
        <v>0</v>
      </c>
      <c r="N3557">
        <v>0</v>
      </c>
      <c r="O3557" s="5" t="s">
        <v>535</v>
      </c>
      <c r="P3557" s="5" t="s">
        <v>536</v>
      </c>
      <c r="Q3557">
        <v>20.5</v>
      </c>
      <c r="R3557" t="s">
        <v>65</v>
      </c>
      <c r="T3557">
        <v>21</v>
      </c>
      <c r="U3557">
        <v>89</v>
      </c>
      <c r="V3557">
        <v>18</v>
      </c>
      <c r="W3557">
        <v>14.4</v>
      </c>
      <c r="X3557">
        <v>30.7</v>
      </c>
    </row>
    <row r="3558" spans="1:29" x14ac:dyDescent="0.25">
      <c r="A3558" s="4">
        <v>42600</v>
      </c>
      <c r="B3558" t="s">
        <v>30</v>
      </c>
      <c r="C3558">
        <v>111</v>
      </c>
      <c r="D3558">
        <v>7</v>
      </c>
      <c r="E3558">
        <v>1</v>
      </c>
      <c r="F3558" t="s">
        <v>284</v>
      </c>
      <c r="G3558" t="s">
        <v>32</v>
      </c>
      <c r="H3558" t="s">
        <v>33</v>
      </c>
      <c r="I3558" t="s">
        <v>34</v>
      </c>
      <c r="J3558" t="s">
        <v>122</v>
      </c>
      <c r="O3558" s="5"/>
      <c r="P3558" s="5"/>
    </row>
    <row r="3559" spans="1:29" x14ac:dyDescent="0.25">
      <c r="A3559" s="4">
        <v>42600</v>
      </c>
      <c r="B3559" t="s">
        <v>30</v>
      </c>
      <c r="C3559">
        <v>111</v>
      </c>
      <c r="D3559">
        <v>6</v>
      </c>
      <c r="E3559">
        <v>1</v>
      </c>
      <c r="F3559" t="s">
        <v>284</v>
      </c>
      <c r="G3559" t="s">
        <v>32</v>
      </c>
      <c r="H3559" t="s">
        <v>33</v>
      </c>
      <c r="I3559" t="s">
        <v>34</v>
      </c>
      <c r="J3559" t="s">
        <v>35</v>
      </c>
      <c r="K3559" t="s">
        <v>36</v>
      </c>
      <c r="L3559" t="s">
        <v>43</v>
      </c>
      <c r="M3559">
        <v>0</v>
      </c>
      <c r="N3559">
        <v>0</v>
      </c>
      <c r="O3559" s="5" t="s">
        <v>382</v>
      </c>
      <c r="P3559" s="5" t="s">
        <v>383</v>
      </c>
      <c r="Q3559">
        <v>23</v>
      </c>
      <c r="R3559" t="s">
        <v>47</v>
      </c>
      <c r="T3559">
        <v>21</v>
      </c>
      <c r="U3559">
        <v>91</v>
      </c>
      <c r="V3559">
        <v>19</v>
      </c>
      <c r="W3559">
        <v>13.7</v>
      </c>
      <c r="X3559">
        <v>30.5</v>
      </c>
    </row>
    <row r="3560" spans="1:29" x14ac:dyDescent="0.25">
      <c r="A3560" s="4">
        <v>42600</v>
      </c>
      <c r="B3560" t="s">
        <v>30</v>
      </c>
      <c r="C3560">
        <v>111</v>
      </c>
      <c r="D3560">
        <v>6</v>
      </c>
      <c r="E3560">
        <v>2</v>
      </c>
      <c r="F3560" t="s">
        <v>284</v>
      </c>
      <c r="G3560" t="s">
        <v>32</v>
      </c>
      <c r="H3560" t="s">
        <v>33</v>
      </c>
      <c r="I3560" t="s">
        <v>34</v>
      </c>
      <c r="J3560" t="s">
        <v>35</v>
      </c>
      <c r="K3560" t="s">
        <v>36</v>
      </c>
      <c r="L3560" t="s">
        <v>43</v>
      </c>
      <c r="M3560">
        <v>0</v>
      </c>
      <c r="N3560">
        <v>0</v>
      </c>
      <c r="O3560" s="5" t="s">
        <v>825</v>
      </c>
      <c r="P3560" s="5" t="s">
        <v>826</v>
      </c>
      <c r="Q3560">
        <v>20</v>
      </c>
      <c r="R3560" t="s">
        <v>47</v>
      </c>
      <c r="T3560">
        <v>21</v>
      </c>
      <c r="U3560">
        <v>93</v>
      </c>
      <c r="V3560">
        <v>18</v>
      </c>
      <c r="W3560">
        <v>14</v>
      </c>
      <c r="X3560">
        <v>31.1</v>
      </c>
    </row>
    <row r="3561" spans="1:29" x14ac:dyDescent="0.25">
      <c r="A3561" s="4">
        <v>42600</v>
      </c>
      <c r="B3561" t="s">
        <v>30</v>
      </c>
      <c r="C3561">
        <v>112</v>
      </c>
      <c r="D3561">
        <v>9</v>
      </c>
      <c r="E3561">
        <v>1</v>
      </c>
      <c r="F3561" t="s">
        <v>284</v>
      </c>
      <c r="G3561" t="s">
        <v>32</v>
      </c>
      <c r="H3561" t="s">
        <v>33</v>
      </c>
      <c r="I3561" t="s">
        <v>34</v>
      </c>
      <c r="J3561" t="s">
        <v>35</v>
      </c>
      <c r="K3561" t="s">
        <v>36</v>
      </c>
      <c r="L3561" t="s">
        <v>37</v>
      </c>
      <c r="M3561">
        <v>0</v>
      </c>
      <c r="N3561">
        <v>0</v>
      </c>
      <c r="O3561" s="5" t="s">
        <v>403</v>
      </c>
      <c r="P3561" s="5" t="s">
        <v>404</v>
      </c>
      <c r="Q3561">
        <v>19.5</v>
      </c>
      <c r="R3561" t="s">
        <v>38</v>
      </c>
      <c r="S3561" t="s">
        <v>39</v>
      </c>
      <c r="T3561">
        <v>19</v>
      </c>
      <c r="U3561">
        <v>90</v>
      </c>
      <c r="V3561">
        <v>19</v>
      </c>
      <c r="W3561">
        <v>12.9</v>
      </c>
      <c r="X3561">
        <v>27.5</v>
      </c>
    </row>
    <row r="3562" spans="1:29" x14ac:dyDescent="0.25">
      <c r="A3562" s="4">
        <v>42600</v>
      </c>
      <c r="B3562" t="s">
        <v>30</v>
      </c>
      <c r="C3562">
        <v>112</v>
      </c>
      <c r="D3562">
        <v>7</v>
      </c>
      <c r="E3562">
        <v>1</v>
      </c>
      <c r="F3562" t="s">
        <v>284</v>
      </c>
      <c r="G3562" t="s">
        <v>32</v>
      </c>
      <c r="H3562" t="s">
        <v>33</v>
      </c>
      <c r="I3562" t="s">
        <v>91</v>
      </c>
      <c r="J3562" t="s">
        <v>35</v>
      </c>
      <c r="K3562" t="s">
        <v>36</v>
      </c>
      <c r="L3562" t="s">
        <v>43</v>
      </c>
      <c r="M3562">
        <v>0</v>
      </c>
      <c r="N3562">
        <v>0</v>
      </c>
      <c r="O3562" s="5" t="s">
        <v>398</v>
      </c>
      <c r="P3562" s="5"/>
      <c r="Q3562">
        <v>23</v>
      </c>
      <c r="R3562" t="s">
        <v>47</v>
      </c>
      <c r="T3562">
        <v>30</v>
      </c>
      <c r="W3562">
        <v>13.7</v>
      </c>
      <c r="X3562">
        <v>26.7</v>
      </c>
    </row>
    <row r="3563" spans="1:29" x14ac:dyDescent="0.25">
      <c r="A3563" s="4">
        <v>42600</v>
      </c>
      <c r="B3563" t="s">
        <v>30</v>
      </c>
      <c r="C3563">
        <v>112</v>
      </c>
      <c r="D3563">
        <v>7</v>
      </c>
      <c r="E3563">
        <v>2</v>
      </c>
      <c r="F3563" t="s">
        <v>284</v>
      </c>
      <c r="G3563" t="s">
        <v>32</v>
      </c>
      <c r="H3563" t="s">
        <v>33</v>
      </c>
      <c r="I3563" t="s">
        <v>34</v>
      </c>
      <c r="J3563" t="s">
        <v>35</v>
      </c>
      <c r="K3563" t="s">
        <v>36</v>
      </c>
      <c r="L3563" t="s">
        <v>37</v>
      </c>
      <c r="M3563">
        <v>0</v>
      </c>
      <c r="N3563">
        <v>0</v>
      </c>
      <c r="O3563" s="5" t="s">
        <v>460</v>
      </c>
      <c r="P3563" s="5" t="s">
        <v>461</v>
      </c>
      <c r="Q3563">
        <v>21.5</v>
      </c>
      <c r="R3563" t="s">
        <v>81</v>
      </c>
      <c r="S3563" t="s">
        <v>39</v>
      </c>
      <c r="T3563">
        <v>18</v>
      </c>
      <c r="U3563">
        <v>90</v>
      </c>
      <c r="V3563">
        <v>16</v>
      </c>
      <c r="W3563">
        <v>14.5</v>
      </c>
      <c r="X3563">
        <v>29.5</v>
      </c>
    </row>
    <row r="3564" spans="1:29" x14ac:dyDescent="0.25">
      <c r="A3564" s="4">
        <v>42600</v>
      </c>
      <c r="B3564" t="s">
        <v>30</v>
      </c>
      <c r="C3564">
        <v>112</v>
      </c>
      <c r="D3564">
        <v>5</v>
      </c>
      <c r="E3564">
        <v>1</v>
      </c>
      <c r="F3564" t="s">
        <v>284</v>
      </c>
      <c r="G3564" t="s">
        <v>32</v>
      </c>
      <c r="H3564" t="s">
        <v>33</v>
      </c>
      <c r="I3564" t="s">
        <v>91</v>
      </c>
      <c r="J3564" t="s">
        <v>35</v>
      </c>
      <c r="K3564" t="s">
        <v>36</v>
      </c>
      <c r="L3564" t="s">
        <v>43</v>
      </c>
      <c r="M3564">
        <v>0</v>
      </c>
      <c r="N3564">
        <v>0</v>
      </c>
      <c r="O3564" s="5" t="s">
        <v>810</v>
      </c>
      <c r="P3564" s="5"/>
      <c r="Q3564">
        <v>18.5</v>
      </c>
      <c r="R3564" t="s">
        <v>47</v>
      </c>
      <c r="T3564">
        <v>30</v>
      </c>
      <c r="W3564">
        <v>12.7</v>
      </c>
      <c r="X3564">
        <v>26.5</v>
      </c>
    </row>
    <row r="3565" spans="1:29" x14ac:dyDescent="0.25">
      <c r="A3565" s="4">
        <v>42600</v>
      </c>
      <c r="B3565" t="s">
        <v>30</v>
      </c>
      <c r="C3565">
        <v>112</v>
      </c>
      <c r="D3565">
        <v>4</v>
      </c>
      <c r="E3565">
        <v>1</v>
      </c>
      <c r="F3565" t="s">
        <v>284</v>
      </c>
      <c r="G3565" t="s">
        <v>32</v>
      </c>
      <c r="H3565" t="s">
        <v>33</v>
      </c>
      <c r="I3565" t="s">
        <v>34</v>
      </c>
      <c r="J3565" t="s">
        <v>35</v>
      </c>
      <c r="K3565" t="s">
        <v>36</v>
      </c>
      <c r="L3565" t="s">
        <v>43</v>
      </c>
      <c r="M3565">
        <v>0</v>
      </c>
      <c r="N3565">
        <v>0</v>
      </c>
      <c r="O3565" s="5" t="s">
        <v>393</v>
      </c>
      <c r="P3565" s="5" t="s">
        <v>394</v>
      </c>
      <c r="Q3565">
        <v>20.5</v>
      </c>
      <c r="R3565" t="s">
        <v>47</v>
      </c>
      <c r="T3565">
        <v>19</v>
      </c>
      <c r="U3565">
        <v>80</v>
      </c>
      <c r="V3565">
        <v>15</v>
      </c>
      <c r="W3565">
        <v>13</v>
      </c>
      <c r="X3565">
        <v>28.3</v>
      </c>
    </row>
    <row r="3566" spans="1:29" x14ac:dyDescent="0.25">
      <c r="A3566" s="4">
        <v>42600</v>
      </c>
      <c r="B3566" t="s">
        <v>30</v>
      </c>
      <c r="C3566">
        <v>112</v>
      </c>
      <c r="D3566">
        <v>2</v>
      </c>
      <c r="E3566">
        <v>1</v>
      </c>
      <c r="F3566" t="s">
        <v>284</v>
      </c>
      <c r="G3566" t="s">
        <v>32</v>
      </c>
      <c r="H3566" t="s">
        <v>33</v>
      </c>
      <c r="I3566" t="s">
        <v>34</v>
      </c>
      <c r="J3566" t="s">
        <v>35</v>
      </c>
      <c r="K3566" t="s">
        <v>36</v>
      </c>
      <c r="L3566" t="s">
        <v>43</v>
      </c>
      <c r="M3566">
        <v>0</v>
      </c>
      <c r="N3566">
        <v>0</v>
      </c>
      <c r="O3566" s="5" t="s">
        <v>454</v>
      </c>
      <c r="P3566" s="5" t="s">
        <v>455</v>
      </c>
      <c r="Q3566">
        <v>20</v>
      </c>
      <c r="R3566" t="s">
        <v>47</v>
      </c>
      <c r="T3566">
        <v>21</v>
      </c>
      <c r="U3566">
        <v>98</v>
      </c>
      <c r="V3566">
        <v>17</v>
      </c>
      <c r="W3566">
        <v>12.6</v>
      </c>
      <c r="X3566">
        <v>27.5</v>
      </c>
    </row>
    <row r="3567" spans="1:29" x14ac:dyDescent="0.25">
      <c r="A3567" s="4">
        <v>42600</v>
      </c>
      <c r="B3567" t="s">
        <v>30</v>
      </c>
      <c r="C3567">
        <v>113</v>
      </c>
      <c r="D3567">
        <v>10</v>
      </c>
      <c r="E3567">
        <v>2</v>
      </c>
      <c r="F3567" t="s">
        <v>284</v>
      </c>
      <c r="G3567" t="s">
        <v>32</v>
      </c>
      <c r="H3567" t="s">
        <v>33</v>
      </c>
      <c r="I3567" t="s">
        <v>34</v>
      </c>
      <c r="J3567" t="s">
        <v>35</v>
      </c>
      <c r="K3567" t="s">
        <v>114</v>
      </c>
      <c r="L3567" t="s">
        <v>37</v>
      </c>
      <c r="M3567">
        <v>0</v>
      </c>
      <c r="N3567">
        <v>0</v>
      </c>
      <c r="O3567" s="5" t="s">
        <v>415</v>
      </c>
      <c r="P3567" s="5" t="s">
        <v>416</v>
      </c>
      <c r="Q3567">
        <v>17</v>
      </c>
      <c r="R3567" t="s">
        <v>38</v>
      </c>
      <c r="S3567" t="s">
        <v>39</v>
      </c>
      <c r="T3567">
        <v>20</v>
      </c>
      <c r="U3567">
        <v>68</v>
      </c>
      <c r="V3567">
        <v>14</v>
      </c>
      <c r="W3567">
        <v>12.6</v>
      </c>
      <c r="X3567">
        <v>27.5</v>
      </c>
    </row>
    <row r="3568" spans="1:29" x14ac:dyDescent="0.25">
      <c r="A3568" s="4">
        <v>42600</v>
      </c>
      <c r="B3568" t="s">
        <v>30</v>
      </c>
      <c r="C3568">
        <v>113</v>
      </c>
      <c r="D3568">
        <v>9</v>
      </c>
      <c r="E3568">
        <v>1</v>
      </c>
      <c r="F3568" t="s">
        <v>284</v>
      </c>
      <c r="G3568" t="s">
        <v>32</v>
      </c>
      <c r="H3568" t="s">
        <v>33</v>
      </c>
      <c r="I3568" t="s">
        <v>34</v>
      </c>
      <c r="J3568" t="s">
        <v>35</v>
      </c>
      <c r="K3568" t="s">
        <v>36</v>
      </c>
      <c r="L3568" t="s">
        <v>37</v>
      </c>
      <c r="M3568">
        <v>0</v>
      </c>
      <c r="N3568">
        <v>0</v>
      </c>
      <c r="O3568" s="5" t="s">
        <v>417</v>
      </c>
      <c r="P3568" s="5" t="s">
        <v>418</v>
      </c>
      <c r="Q3568">
        <v>23.5</v>
      </c>
      <c r="R3568" t="s">
        <v>74</v>
      </c>
      <c r="S3568" t="s">
        <v>97</v>
      </c>
      <c r="T3568">
        <v>21</v>
      </c>
      <c r="U3568">
        <v>91</v>
      </c>
      <c r="V3568">
        <v>18</v>
      </c>
      <c r="W3568">
        <v>14.1</v>
      </c>
      <c r="X3568">
        <v>29.3</v>
      </c>
    </row>
    <row r="3569" spans="1:30" x14ac:dyDescent="0.25">
      <c r="A3569" s="4">
        <v>42600</v>
      </c>
      <c r="B3569" t="s">
        <v>30</v>
      </c>
      <c r="C3569">
        <v>113</v>
      </c>
      <c r="D3569">
        <v>8</v>
      </c>
      <c r="E3569">
        <v>1</v>
      </c>
      <c r="F3569" t="s">
        <v>284</v>
      </c>
      <c r="G3569" t="s">
        <v>32</v>
      </c>
      <c r="H3569" t="s">
        <v>33</v>
      </c>
      <c r="I3569" t="s">
        <v>34</v>
      </c>
      <c r="J3569" t="s">
        <v>35</v>
      </c>
      <c r="K3569" t="s">
        <v>114</v>
      </c>
      <c r="L3569" t="s">
        <v>37</v>
      </c>
      <c r="M3569">
        <v>0</v>
      </c>
      <c r="N3569">
        <v>0</v>
      </c>
      <c r="O3569" s="5" t="s">
        <v>495</v>
      </c>
      <c r="P3569" s="5" t="s">
        <v>496</v>
      </c>
      <c r="Q3569">
        <v>17.5</v>
      </c>
      <c r="R3569" t="s">
        <v>38</v>
      </c>
      <c r="S3569" t="s">
        <v>39</v>
      </c>
      <c r="T3569">
        <v>21</v>
      </c>
      <c r="U3569">
        <v>77</v>
      </c>
      <c r="V3569">
        <v>16</v>
      </c>
      <c r="W3569">
        <v>13.5</v>
      </c>
      <c r="X3569">
        <v>27.1</v>
      </c>
    </row>
    <row r="3570" spans="1:30" x14ac:dyDescent="0.25">
      <c r="A3570" s="4">
        <v>42600</v>
      </c>
      <c r="B3570" t="s">
        <v>30</v>
      </c>
      <c r="C3570">
        <v>113</v>
      </c>
      <c r="D3570">
        <v>6</v>
      </c>
      <c r="E3570">
        <v>1</v>
      </c>
      <c r="F3570" t="s">
        <v>284</v>
      </c>
      <c r="G3570" t="s">
        <v>32</v>
      </c>
      <c r="H3570" t="s">
        <v>33</v>
      </c>
      <c r="I3570" t="s">
        <v>34</v>
      </c>
      <c r="J3570" t="s">
        <v>122</v>
      </c>
      <c r="O3570" s="5"/>
      <c r="P3570" s="5"/>
      <c r="AD3570" t="s">
        <v>890</v>
      </c>
    </row>
    <row r="3571" spans="1:30" x14ac:dyDescent="0.25">
      <c r="A3571" s="4">
        <v>42600</v>
      </c>
      <c r="B3571" t="s">
        <v>30</v>
      </c>
      <c r="C3571">
        <v>113</v>
      </c>
      <c r="D3571">
        <v>3</v>
      </c>
      <c r="E3571">
        <v>1</v>
      </c>
      <c r="F3571" t="s">
        <v>284</v>
      </c>
      <c r="G3571" t="s">
        <v>32</v>
      </c>
      <c r="H3571" t="s">
        <v>33</v>
      </c>
      <c r="I3571" t="s">
        <v>73</v>
      </c>
      <c r="J3571" t="s">
        <v>35</v>
      </c>
      <c r="K3571" t="s">
        <v>36</v>
      </c>
      <c r="M3571">
        <v>0</v>
      </c>
      <c r="N3571">
        <v>0</v>
      </c>
      <c r="O3571" s="5" t="s">
        <v>471</v>
      </c>
      <c r="P3571" s="5"/>
      <c r="Q3571">
        <v>93</v>
      </c>
      <c r="T3571">
        <v>35</v>
      </c>
      <c r="W3571">
        <v>21.8</v>
      </c>
      <c r="X3571">
        <v>41.8</v>
      </c>
      <c r="Y3571" t="s">
        <v>891</v>
      </c>
    </row>
    <row r="3572" spans="1:30" x14ac:dyDescent="0.25">
      <c r="A3572" s="4">
        <v>42600</v>
      </c>
      <c r="B3572" t="s">
        <v>30</v>
      </c>
      <c r="C3572">
        <v>113</v>
      </c>
      <c r="D3572">
        <v>1</v>
      </c>
      <c r="E3572">
        <v>2</v>
      </c>
      <c r="F3572" t="s">
        <v>284</v>
      </c>
      <c r="G3572" t="s">
        <v>32</v>
      </c>
      <c r="H3572" t="s">
        <v>33</v>
      </c>
      <c r="I3572" t="s">
        <v>91</v>
      </c>
      <c r="J3572" t="s">
        <v>42</v>
      </c>
      <c r="K3572" t="s">
        <v>36</v>
      </c>
      <c r="L3572" t="s">
        <v>37</v>
      </c>
      <c r="M3572">
        <v>0</v>
      </c>
      <c r="N3572">
        <v>1</v>
      </c>
      <c r="O3572" s="5" t="s">
        <v>892</v>
      </c>
      <c r="P3572" s="5"/>
      <c r="Q3572">
        <v>20</v>
      </c>
      <c r="R3572" t="s">
        <v>38</v>
      </c>
      <c r="S3572" t="s">
        <v>39</v>
      </c>
      <c r="T3572">
        <v>28</v>
      </c>
      <c r="W3572">
        <v>12.9</v>
      </c>
      <c r="X3572">
        <v>26.7</v>
      </c>
      <c r="AD3572" t="s">
        <v>893</v>
      </c>
    </row>
    <row r="3573" spans="1:30" x14ac:dyDescent="0.25">
      <c r="A3573" s="4">
        <v>42600</v>
      </c>
      <c r="B3573" t="s">
        <v>30</v>
      </c>
      <c r="C3573">
        <v>402</v>
      </c>
      <c r="D3573">
        <v>9</v>
      </c>
      <c r="E3573">
        <v>1</v>
      </c>
      <c r="F3573" t="s">
        <v>284</v>
      </c>
      <c r="G3573" t="s">
        <v>32</v>
      </c>
      <c r="H3573" t="s">
        <v>33</v>
      </c>
      <c r="I3573" t="s">
        <v>58</v>
      </c>
      <c r="J3573" t="s">
        <v>35</v>
      </c>
      <c r="K3573" t="s">
        <v>36</v>
      </c>
      <c r="L3573" t="s">
        <v>37</v>
      </c>
      <c r="M3573">
        <v>0</v>
      </c>
      <c r="N3573">
        <v>0</v>
      </c>
      <c r="O3573" s="5" t="s">
        <v>337</v>
      </c>
      <c r="P3573" s="5"/>
      <c r="R3573" t="s">
        <v>38</v>
      </c>
      <c r="S3573" t="s">
        <v>39</v>
      </c>
      <c r="T3573">
        <v>18</v>
      </c>
      <c r="W3573">
        <v>12.8</v>
      </c>
      <c r="X3573">
        <v>30.2</v>
      </c>
      <c r="Z3573" t="s">
        <v>894</v>
      </c>
      <c r="AA3573" t="s">
        <v>199</v>
      </c>
    </row>
    <row r="3574" spans="1:30" x14ac:dyDescent="0.25">
      <c r="A3574" s="4">
        <v>42600</v>
      </c>
      <c r="B3574" t="s">
        <v>30</v>
      </c>
      <c r="C3574">
        <v>402</v>
      </c>
      <c r="D3574">
        <v>1</v>
      </c>
      <c r="E3574">
        <v>2</v>
      </c>
      <c r="F3574" t="s">
        <v>284</v>
      </c>
      <c r="G3574" t="s">
        <v>32</v>
      </c>
      <c r="H3574" t="s">
        <v>33</v>
      </c>
      <c r="I3574" t="s">
        <v>58</v>
      </c>
      <c r="J3574" t="s">
        <v>35</v>
      </c>
      <c r="K3574" t="s">
        <v>36</v>
      </c>
      <c r="L3574" t="s">
        <v>43</v>
      </c>
      <c r="M3574">
        <v>0</v>
      </c>
      <c r="N3574">
        <v>0</v>
      </c>
      <c r="O3574" s="5" t="s">
        <v>482</v>
      </c>
      <c r="P3574" s="5"/>
      <c r="Q3574">
        <v>26.5</v>
      </c>
      <c r="R3574" t="s">
        <v>47</v>
      </c>
      <c r="T3574">
        <v>18</v>
      </c>
      <c r="W3574">
        <v>16.600000000000001</v>
      </c>
      <c r="X3574">
        <v>31.6</v>
      </c>
    </row>
    <row r="3575" spans="1:30" x14ac:dyDescent="0.25">
      <c r="A3575" s="4">
        <v>42600</v>
      </c>
      <c r="B3575" t="s">
        <v>30</v>
      </c>
      <c r="C3575">
        <v>304</v>
      </c>
      <c r="D3575">
        <v>2</v>
      </c>
      <c r="E3575">
        <v>1</v>
      </c>
      <c r="F3575" t="s">
        <v>284</v>
      </c>
      <c r="G3575" t="s">
        <v>32</v>
      </c>
      <c r="H3575" t="s">
        <v>33</v>
      </c>
      <c r="I3575" t="s">
        <v>58</v>
      </c>
      <c r="J3575" t="s">
        <v>35</v>
      </c>
      <c r="K3575" t="s">
        <v>36</v>
      </c>
      <c r="L3575" t="s">
        <v>43</v>
      </c>
      <c r="M3575">
        <v>0</v>
      </c>
      <c r="N3575">
        <v>0</v>
      </c>
      <c r="O3575" s="5" t="s">
        <v>764</v>
      </c>
      <c r="P3575" s="5"/>
      <c r="R3575" t="s">
        <v>47</v>
      </c>
      <c r="T3575">
        <v>30</v>
      </c>
      <c r="W3575">
        <v>15.9</v>
      </c>
      <c r="X3575">
        <v>30.6</v>
      </c>
      <c r="Z3575" t="s">
        <v>895</v>
      </c>
      <c r="AA3575" t="s">
        <v>199</v>
      </c>
    </row>
    <row r="3576" spans="1:30" x14ac:dyDescent="0.25">
      <c r="A3576" s="4">
        <v>42600</v>
      </c>
      <c r="B3576" t="s">
        <v>30</v>
      </c>
      <c r="C3576">
        <v>304</v>
      </c>
      <c r="D3576">
        <v>2</v>
      </c>
      <c r="E3576">
        <v>2</v>
      </c>
      <c r="F3576" t="s">
        <v>284</v>
      </c>
      <c r="G3576" t="s">
        <v>32</v>
      </c>
      <c r="H3576" t="s">
        <v>33</v>
      </c>
      <c r="I3576" t="s">
        <v>57</v>
      </c>
      <c r="O3576" s="5"/>
      <c r="P3576" s="5"/>
    </row>
    <row r="3577" spans="1:30" x14ac:dyDescent="0.25">
      <c r="A3577" s="4">
        <v>42600</v>
      </c>
      <c r="B3577" t="s">
        <v>30</v>
      </c>
      <c r="C3577">
        <v>201</v>
      </c>
      <c r="D3577">
        <v>1</v>
      </c>
      <c r="E3577">
        <v>1</v>
      </c>
      <c r="F3577" t="s">
        <v>320</v>
      </c>
      <c r="G3577" t="s">
        <v>32</v>
      </c>
      <c r="H3577" t="s">
        <v>33</v>
      </c>
      <c r="I3577" t="s">
        <v>34</v>
      </c>
      <c r="J3577" t="s">
        <v>35</v>
      </c>
      <c r="K3577" t="s">
        <v>114</v>
      </c>
      <c r="L3577" t="s">
        <v>37</v>
      </c>
      <c r="M3577">
        <v>0</v>
      </c>
      <c r="N3577">
        <v>0</v>
      </c>
      <c r="O3577" s="5" t="s">
        <v>741</v>
      </c>
      <c r="P3577" s="5" t="s">
        <v>742</v>
      </c>
      <c r="Q3577">
        <f>31-14.5</f>
        <v>16.5</v>
      </c>
      <c r="R3577" t="s">
        <v>136</v>
      </c>
      <c r="S3577" t="s">
        <v>97</v>
      </c>
      <c r="T3577">
        <v>19</v>
      </c>
      <c r="U3577">
        <v>84</v>
      </c>
      <c r="V3577">
        <v>16</v>
      </c>
      <c r="W3577">
        <v>13.2</v>
      </c>
      <c r="X3577">
        <v>27.8</v>
      </c>
      <c r="Z3577" t="s">
        <v>97</v>
      </c>
      <c r="AA3577" t="s">
        <v>199</v>
      </c>
      <c r="AB3577" t="s">
        <v>87</v>
      </c>
      <c r="AC3577" t="s">
        <v>88</v>
      </c>
    </row>
    <row r="3578" spans="1:30" x14ac:dyDescent="0.25">
      <c r="A3578" s="4">
        <v>42600</v>
      </c>
      <c r="B3578" t="s">
        <v>30</v>
      </c>
      <c r="C3578">
        <v>201</v>
      </c>
      <c r="D3578">
        <v>1</v>
      </c>
      <c r="E3578">
        <v>2</v>
      </c>
      <c r="F3578" t="s">
        <v>320</v>
      </c>
      <c r="G3578" t="s">
        <v>32</v>
      </c>
      <c r="H3578" t="s">
        <v>33</v>
      </c>
      <c r="I3578" t="s">
        <v>34</v>
      </c>
      <c r="J3578" t="s">
        <v>42</v>
      </c>
      <c r="K3578" t="s">
        <v>114</v>
      </c>
      <c r="L3578" t="s">
        <v>43</v>
      </c>
      <c r="M3578">
        <v>0</v>
      </c>
      <c r="N3578">
        <v>1</v>
      </c>
      <c r="O3578" s="5" t="s">
        <v>896</v>
      </c>
      <c r="P3578" s="5" t="s">
        <v>897</v>
      </c>
      <c r="Q3578">
        <f>30-14.5</f>
        <v>15.5</v>
      </c>
      <c r="R3578" t="s">
        <v>65</v>
      </c>
      <c r="T3578">
        <v>19</v>
      </c>
      <c r="U3578">
        <v>15</v>
      </c>
      <c r="V3578">
        <v>88</v>
      </c>
      <c r="W3578">
        <v>13.3</v>
      </c>
      <c r="X3578">
        <v>27.8</v>
      </c>
      <c r="Z3578" t="s">
        <v>39</v>
      </c>
      <c r="AB3578" t="s">
        <v>87</v>
      </c>
      <c r="AC3578" t="s">
        <v>88</v>
      </c>
      <c r="AD3578" t="s">
        <v>789</v>
      </c>
    </row>
    <row r="3579" spans="1:30" x14ac:dyDescent="0.25">
      <c r="A3579" s="4">
        <v>42600</v>
      </c>
      <c r="B3579" t="s">
        <v>30</v>
      </c>
      <c r="C3579">
        <v>201</v>
      </c>
      <c r="D3579">
        <v>2</v>
      </c>
      <c r="E3579">
        <v>1</v>
      </c>
      <c r="F3579" t="s">
        <v>320</v>
      </c>
      <c r="G3579" t="s">
        <v>32</v>
      </c>
      <c r="H3579" t="s">
        <v>33</v>
      </c>
      <c r="I3579" t="s">
        <v>34</v>
      </c>
      <c r="J3579" t="s">
        <v>35</v>
      </c>
      <c r="K3579" t="s">
        <v>36</v>
      </c>
      <c r="L3579" t="s">
        <v>43</v>
      </c>
      <c r="M3579">
        <v>0</v>
      </c>
      <c r="N3579">
        <v>0</v>
      </c>
      <c r="O3579" s="5" t="s">
        <v>850</v>
      </c>
      <c r="P3579" s="5" t="s">
        <v>851</v>
      </c>
      <c r="Q3579">
        <f>35-14</f>
        <v>21</v>
      </c>
      <c r="R3579" t="s">
        <v>47</v>
      </c>
      <c r="T3579">
        <v>20</v>
      </c>
      <c r="U3579">
        <v>84</v>
      </c>
      <c r="V3579">
        <v>17</v>
      </c>
      <c r="W3579">
        <v>23.3</v>
      </c>
      <c r="X3579">
        <v>27.8</v>
      </c>
      <c r="Z3579" t="s">
        <v>97</v>
      </c>
      <c r="AA3579" t="s">
        <v>199</v>
      </c>
      <c r="AB3579" t="s">
        <v>87</v>
      </c>
      <c r="AC3579" t="s">
        <v>88</v>
      </c>
    </row>
    <row r="3580" spans="1:30" x14ac:dyDescent="0.25">
      <c r="A3580" s="4">
        <v>42600</v>
      </c>
      <c r="B3580" t="s">
        <v>30</v>
      </c>
      <c r="C3580">
        <v>201</v>
      </c>
      <c r="D3580">
        <v>2</v>
      </c>
      <c r="E3580">
        <v>2</v>
      </c>
      <c r="F3580" t="s">
        <v>320</v>
      </c>
      <c r="G3580" t="s">
        <v>32</v>
      </c>
      <c r="H3580" t="s">
        <v>33</v>
      </c>
      <c r="I3580" t="s">
        <v>34</v>
      </c>
      <c r="J3580" t="s">
        <v>42</v>
      </c>
      <c r="K3580" t="s">
        <v>89</v>
      </c>
      <c r="L3580" t="s">
        <v>43</v>
      </c>
      <c r="M3580">
        <v>0</v>
      </c>
      <c r="N3580">
        <v>1</v>
      </c>
      <c r="O3580" s="5" t="s">
        <v>898</v>
      </c>
      <c r="P3580" s="5" t="s">
        <v>899</v>
      </c>
      <c r="Q3580">
        <f>34-19</f>
        <v>15</v>
      </c>
      <c r="R3580" t="s">
        <v>65</v>
      </c>
      <c r="T3580">
        <v>20</v>
      </c>
      <c r="U3580">
        <v>91</v>
      </c>
      <c r="V3580">
        <v>16</v>
      </c>
      <c r="W3580">
        <v>13.2</v>
      </c>
      <c r="X3580">
        <v>28.2</v>
      </c>
      <c r="Z3580" t="s">
        <v>39</v>
      </c>
      <c r="AB3580" t="s">
        <v>87</v>
      </c>
      <c r="AC3580" t="s">
        <v>88</v>
      </c>
      <c r="AD3580" t="s">
        <v>789</v>
      </c>
    </row>
    <row r="3581" spans="1:30" x14ac:dyDescent="0.25">
      <c r="A3581" s="4">
        <v>42600</v>
      </c>
      <c r="B3581" t="s">
        <v>30</v>
      </c>
      <c r="C3581">
        <v>201</v>
      </c>
      <c r="D3581">
        <v>3</v>
      </c>
      <c r="E3581">
        <v>1</v>
      </c>
      <c r="F3581" t="s">
        <v>320</v>
      </c>
      <c r="G3581" t="s">
        <v>32</v>
      </c>
      <c r="H3581" t="s">
        <v>33</v>
      </c>
      <c r="I3581" t="s">
        <v>34</v>
      </c>
      <c r="J3581" t="s">
        <v>35</v>
      </c>
      <c r="K3581" t="s">
        <v>114</v>
      </c>
      <c r="L3581" t="s">
        <v>37</v>
      </c>
      <c r="M3581">
        <v>0</v>
      </c>
      <c r="N3581">
        <v>0</v>
      </c>
      <c r="O3581" s="5" t="s">
        <v>852</v>
      </c>
      <c r="P3581" s="5" t="s">
        <v>853</v>
      </c>
      <c r="Q3581">
        <f>33-16</f>
        <v>17</v>
      </c>
      <c r="R3581" t="s">
        <v>38</v>
      </c>
      <c r="S3581" t="s">
        <v>39</v>
      </c>
      <c r="T3581">
        <v>19</v>
      </c>
      <c r="U3581">
        <v>76</v>
      </c>
      <c r="V3581">
        <v>16</v>
      </c>
      <c r="W3581">
        <v>13.1</v>
      </c>
      <c r="X3581">
        <v>27.8</v>
      </c>
      <c r="Z3581" t="s">
        <v>97</v>
      </c>
      <c r="AA3581" t="s">
        <v>199</v>
      </c>
      <c r="AB3581" t="s">
        <v>87</v>
      </c>
      <c r="AC3581" t="s">
        <v>88</v>
      </c>
    </row>
    <row r="3582" spans="1:30" x14ac:dyDescent="0.25">
      <c r="A3582" s="4">
        <v>42600</v>
      </c>
      <c r="B3582" t="s">
        <v>30</v>
      </c>
      <c r="C3582">
        <v>201</v>
      </c>
      <c r="D3582">
        <v>4</v>
      </c>
      <c r="E3582">
        <v>1</v>
      </c>
      <c r="F3582" t="s">
        <v>320</v>
      </c>
      <c r="G3582" t="s">
        <v>32</v>
      </c>
      <c r="H3582" t="s">
        <v>33</v>
      </c>
      <c r="I3582" t="s">
        <v>58</v>
      </c>
      <c r="J3582" t="s">
        <v>35</v>
      </c>
      <c r="K3582" t="s">
        <v>36</v>
      </c>
      <c r="L3582" t="s">
        <v>43</v>
      </c>
      <c r="M3582">
        <v>0</v>
      </c>
      <c r="N3582">
        <v>0</v>
      </c>
      <c r="O3582" s="5" t="s">
        <v>848</v>
      </c>
      <c r="P3582" s="5"/>
      <c r="Q3582">
        <f>36.5-14.5</f>
        <v>22</v>
      </c>
      <c r="R3582" t="s">
        <v>47</v>
      </c>
      <c r="T3582">
        <v>17.5</v>
      </c>
      <c r="W3582">
        <v>13.2</v>
      </c>
      <c r="X3582">
        <v>27.2</v>
      </c>
      <c r="Z3582" t="s">
        <v>97</v>
      </c>
      <c r="AA3582" t="s">
        <v>199</v>
      </c>
      <c r="AB3582" t="s">
        <v>87</v>
      </c>
      <c r="AC3582" t="s">
        <v>88</v>
      </c>
      <c r="AD3582" t="s">
        <v>900</v>
      </c>
    </row>
    <row r="3583" spans="1:30" x14ac:dyDescent="0.25">
      <c r="A3583" s="4">
        <v>42600</v>
      </c>
      <c r="B3583" t="s">
        <v>30</v>
      </c>
      <c r="C3583">
        <v>201</v>
      </c>
      <c r="D3583">
        <v>4</v>
      </c>
      <c r="E3583">
        <v>2</v>
      </c>
      <c r="F3583" t="s">
        <v>320</v>
      </c>
      <c r="G3583" t="s">
        <v>32</v>
      </c>
      <c r="H3583" t="s">
        <v>33</v>
      </c>
      <c r="I3583" t="s">
        <v>57</v>
      </c>
      <c r="O3583" s="5"/>
      <c r="P3583" s="5"/>
    </row>
    <row r="3584" spans="1:30" x14ac:dyDescent="0.25">
      <c r="A3584" s="4">
        <v>42600</v>
      </c>
      <c r="B3584" t="s">
        <v>30</v>
      </c>
      <c r="C3584">
        <v>201</v>
      </c>
      <c r="D3584">
        <v>5</v>
      </c>
      <c r="E3584">
        <v>1</v>
      </c>
      <c r="F3584" t="s">
        <v>320</v>
      </c>
      <c r="G3584" t="s">
        <v>32</v>
      </c>
      <c r="H3584" t="s">
        <v>33</v>
      </c>
      <c r="I3584" t="s">
        <v>58</v>
      </c>
      <c r="J3584" t="s">
        <v>35</v>
      </c>
      <c r="K3584" t="s">
        <v>36</v>
      </c>
      <c r="L3584" t="s">
        <v>37</v>
      </c>
      <c r="M3584">
        <v>0</v>
      </c>
      <c r="N3584">
        <v>0</v>
      </c>
      <c r="O3584" s="5" t="s">
        <v>756</v>
      </c>
      <c r="P3584" s="5"/>
      <c r="Q3584">
        <f>39-14.5</f>
        <v>24.5</v>
      </c>
      <c r="R3584" t="s">
        <v>136</v>
      </c>
      <c r="S3584" t="s">
        <v>97</v>
      </c>
      <c r="T3584">
        <v>17</v>
      </c>
      <c r="W3584">
        <v>13.1</v>
      </c>
      <c r="X3584">
        <v>27.5</v>
      </c>
      <c r="Z3584" t="s">
        <v>97</v>
      </c>
      <c r="AA3584" t="s">
        <v>199</v>
      </c>
      <c r="AB3584" t="s">
        <v>87</v>
      </c>
      <c r="AC3584" t="s">
        <v>88</v>
      </c>
    </row>
    <row r="3585" spans="1:30" x14ac:dyDescent="0.25">
      <c r="A3585" s="4">
        <v>42600</v>
      </c>
      <c r="B3585" t="s">
        <v>30</v>
      </c>
      <c r="C3585">
        <v>201</v>
      </c>
      <c r="D3585">
        <v>5</v>
      </c>
      <c r="E3585">
        <v>2</v>
      </c>
      <c r="F3585" t="s">
        <v>320</v>
      </c>
      <c r="G3585" t="s">
        <v>32</v>
      </c>
      <c r="H3585" t="s">
        <v>33</v>
      </c>
      <c r="I3585" t="s">
        <v>34</v>
      </c>
      <c r="J3585" t="s">
        <v>35</v>
      </c>
      <c r="K3585" t="s">
        <v>114</v>
      </c>
      <c r="L3585" t="s">
        <v>43</v>
      </c>
      <c r="M3585">
        <v>0</v>
      </c>
      <c r="N3585">
        <v>0</v>
      </c>
      <c r="O3585" s="5" t="s">
        <v>747</v>
      </c>
      <c r="P3585" s="5" t="s">
        <v>748</v>
      </c>
      <c r="Q3585">
        <f>33-16</f>
        <v>17</v>
      </c>
      <c r="R3585" t="s">
        <v>47</v>
      </c>
      <c r="T3585">
        <v>18</v>
      </c>
      <c r="U3585">
        <v>15</v>
      </c>
      <c r="V3585">
        <v>84</v>
      </c>
      <c r="W3585">
        <v>13</v>
      </c>
      <c r="X3585">
        <v>27</v>
      </c>
      <c r="Z3585" t="s">
        <v>97</v>
      </c>
      <c r="AA3585" t="s">
        <v>199</v>
      </c>
      <c r="AB3585" t="s">
        <v>87</v>
      </c>
      <c r="AC3585" t="s">
        <v>88</v>
      </c>
    </row>
    <row r="3586" spans="1:30" x14ac:dyDescent="0.25">
      <c r="A3586" s="4">
        <v>42600</v>
      </c>
      <c r="B3586" t="s">
        <v>30</v>
      </c>
      <c r="C3586">
        <v>201</v>
      </c>
      <c r="D3586">
        <v>6</v>
      </c>
      <c r="E3586">
        <v>1</v>
      </c>
      <c r="F3586" t="s">
        <v>320</v>
      </c>
      <c r="G3586" t="s">
        <v>32</v>
      </c>
      <c r="H3586" t="s">
        <v>33</v>
      </c>
      <c r="I3586" t="s">
        <v>57</v>
      </c>
      <c r="O3586" s="5"/>
      <c r="P3586" s="5"/>
    </row>
    <row r="3587" spans="1:30" x14ac:dyDescent="0.25">
      <c r="A3587" s="4">
        <v>42600</v>
      </c>
      <c r="B3587" t="s">
        <v>30</v>
      </c>
      <c r="C3587">
        <v>201</v>
      </c>
      <c r="D3587">
        <v>6</v>
      </c>
      <c r="E3587">
        <v>2</v>
      </c>
      <c r="F3587" t="s">
        <v>320</v>
      </c>
      <c r="G3587" t="s">
        <v>32</v>
      </c>
      <c r="H3587" t="s">
        <v>33</v>
      </c>
      <c r="I3587" t="s">
        <v>34</v>
      </c>
      <c r="J3587" t="s">
        <v>35</v>
      </c>
      <c r="K3587" t="s">
        <v>36</v>
      </c>
      <c r="L3587" t="s">
        <v>37</v>
      </c>
      <c r="M3587">
        <v>0</v>
      </c>
      <c r="N3587">
        <v>0</v>
      </c>
      <c r="O3587" s="5" t="s">
        <v>752</v>
      </c>
      <c r="P3587" s="5" t="s">
        <v>901</v>
      </c>
      <c r="Q3587">
        <f>34-13</f>
        <v>21</v>
      </c>
      <c r="R3587" t="s">
        <v>136</v>
      </c>
      <c r="S3587" t="s">
        <v>97</v>
      </c>
      <c r="T3587">
        <v>18.5</v>
      </c>
      <c r="U3587">
        <v>90</v>
      </c>
      <c r="V3587">
        <v>18</v>
      </c>
      <c r="W3587">
        <v>13.2</v>
      </c>
      <c r="X3587">
        <v>28</v>
      </c>
      <c r="Z3587" t="s">
        <v>97</v>
      </c>
      <c r="AA3587" t="s">
        <v>199</v>
      </c>
      <c r="AB3587" t="s">
        <v>87</v>
      </c>
      <c r="AC3587" t="s">
        <v>88</v>
      </c>
    </row>
    <row r="3588" spans="1:30" x14ac:dyDescent="0.25">
      <c r="A3588" s="4">
        <v>42600</v>
      </c>
      <c r="B3588" t="s">
        <v>30</v>
      </c>
      <c r="C3588">
        <v>201</v>
      </c>
      <c r="D3588">
        <v>7</v>
      </c>
      <c r="E3588">
        <v>1</v>
      </c>
      <c r="F3588" t="s">
        <v>320</v>
      </c>
      <c r="G3588" t="s">
        <v>32</v>
      </c>
      <c r="H3588" t="s">
        <v>33</v>
      </c>
      <c r="I3588" t="s">
        <v>57</v>
      </c>
      <c r="O3588" s="5"/>
      <c r="P3588" s="5"/>
    </row>
    <row r="3589" spans="1:30" x14ac:dyDescent="0.25">
      <c r="A3589" s="4">
        <v>42600</v>
      </c>
      <c r="B3589" t="s">
        <v>30</v>
      </c>
      <c r="C3589">
        <v>201</v>
      </c>
      <c r="D3589">
        <v>7</v>
      </c>
      <c r="E3589">
        <v>2</v>
      </c>
      <c r="F3589" t="s">
        <v>320</v>
      </c>
      <c r="G3589" t="s">
        <v>32</v>
      </c>
      <c r="H3589" t="s">
        <v>33</v>
      </c>
      <c r="I3589" t="s">
        <v>34</v>
      </c>
      <c r="J3589" t="s">
        <v>35</v>
      </c>
      <c r="K3589" t="s">
        <v>89</v>
      </c>
      <c r="L3589" t="s">
        <v>43</v>
      </c>
      <c r="M3589">
        <v>0</v>
      </c>
      <c r="N3589">
        <v>0</v>
      </c>
      <c r="O3589" s="5" t="s">
        <v>754</v>
      </c>
      <c r="P3589" s="5" t="s">
        <v>755</v>
      </c>
      <c r="Q3589">
        <f>29.5-14</f>
        <v>15.5</v>
      </c>
      <c r="R3589" t="s">
        <v>65</v>
      </c>
      <c r="T3589">
        <v>18</v>
      </c>
      <c r="U3589">
        <v>85</v>
      </c>
      <c r="V3589">
        <v>17</v>
      </c>
      <c r="W3589">
        <v>13</v>
      </c>
      <c r="X3589">
        <v>27.8</v>
      </c>
      <c r="Z3589" t="s">
        <v>97</v>
      </c>
      <c r="AA3589" t="s">
        <v>199</v>
      </c>
      <c r="AB3589" t="s">
        <v>87</v>
      </c>
      <c r="AC3589" t="s">
        <v>88</v>
      </c>
    </row>
    <row r="3590" spans="1:30" x14ac:dyDescent="0.25">
      <c r="A3590" s="4">
        <v>42600</v>
      </c>
      <c r="B3590" t="s">
        <v>30</v>
      </c>
      <c r="C3590">
        <v>201</v>
      </c>
      <c r="D3590">
        <v>8</v>
      </c>
      <c r="E3590">
        <v>1</v>
      </c>
      <c r="F3590" t="s">
        <v>320</v>
      </c>
      <c r="G3590" t="s">
        <v>32</v>
      </c>
      <c r="H3590" t="s">
        <v>33</v>
      </c>
      <c r="I3590" t="s">
        <v>34</v>
      </c>
      <c r="J3590" t="s">
        <v>35</v>
      </c>
      <c r="K3590" t="s">
        <v>89</v>
      </c>
      <c r="L3590" t="s">
        <v>37</v>
      </c>
      <c r="M3590">
        <v>0</v>
      </c>
      <c r="N3590">
        <v>0</v>
      </c>
      <c r="O3590" s="5" t="s">
        <v>855</v>
      </c>
      <c r="P3590" s="5" t="s">
        <v>856</v>
      </c>
      <c r="Q3590">
        <f>30-16.5</f>
        <v>13.5</v>
      </c>
      <c r="R3590" t="s">
        <v>38</v>
      </c>
      <c r="S3590" t="s">
        <v>39</v>
      </c>
      <c r="T3590">
        <v>19</v>
      </c>
      <c r="U3590">
        <v>76</v>
      </c>
      <c r="V3590">
        <v>13.5</v>
      </c>
      <c r="W3590">
        <v>12.9</v>
      </c>
      <c r="X3590">
        <v>26.8</v>
      </c>
      <c r="Z3590" t="s">
        <v>39</v>
      </c>
      <c r="AB3590" t="s">
        <v>87</v>
      </c>
      <c r="AC3590" t="s">
        <v>88</v>
      </c>
    </row>
    <row r="3591" spans="1:30" x14ac:dyDescent="0.25">
      <c r="A3591" s="4">
        <v>42600</v>
      </c>
      <c r="B3591" t="s">
        <v>30</v>
      </c>
      <c r="C3591">
        <v>201</v>
      </c>
      <c r="D3591">
        <v>9</v>
      </c>
      <c r="E3591">
        <v>1</v>
      </c>
      <c r="F3591" t="s">
        <v>320</v>
      </c>
      <c r="G3591" t="s">
        <v>32</v>
      </c>
      <c r="H3591" t="s">
        <v>33</v>
      </c>
      <c r="I3591" t="s">
        <v>57</v>
      </c>
      <c r="O3591" s="5"/>
      <c r="P3591" s="5"/>
    </row>
    <row r="3592" spans="1:30" x14ac:dyDescent="0.25">
      <c r="A3592" s="4">
        <v>42600</v>
      </c>
      <c r="B3592" t="s">
        <v>30</v>
      </c>
      <c r="C3592">
        <v>201</v>
      </c>
      <c r="D3592">
        <v>9</v>
      </c>
      <c r="E3592">
        <v>2</v>
      </c>
      <c r="F3592" t="s">
        <v>320</v>
      </c>
      <c r="G3592" t="s">
        <v>32</v>
      </c>
      <c r="H3592" t="s">
        <v>33</v>
      </c>
      <c r="I3592" t="s">
        <v>57</v>
      </c>
      <c r="O3592" s="5"/>
      <c r="P3592" s="5"/>
    </row>
    <row r="3593" spans="1:30" x14ac:dyDescent="0.25">
      <c r="A3593" s="4">
        <v>42600</v>
      </c>
      <c r="B3593" t="s">
        <v>30</v>
      </c>
      <c r="C3593">
        <v>201</v>
      </c>
      <c r="D3593">
        <v>10</v>
      </c>
      <c r="E3593">
        <v>1</v>
      </c>
      <c r="F3593" t="s">
        <v>320</v>
      </c>
      <c r="G3593" t="s">
        <v>32</v>
      </c>
      <c r="H3593" t="s">
        <v>33</v>
      </c>
      <c r="I3593" t="s">
        <v>57</v>
      </c>
      <c r="O3593" s="5"/>
      <c r="P3593" s="5"/>
    </row>
    <row r="3594" spans="1:30" x14ac:dyDescent="0.25">
      <c r="A3594" s="4">
        <v>42600</v>
      </c>
      <c r="B3594" t="s">
        <v>30</v>
      </c>
      <c r="C3594">
        <v>201</v>
      </c>
      <c r="D3594">
        <v>10</v>
      </c>
      <c r="E3594">
        <v>2</v>
      </c>
      <c r="F3594" t="s">
        <v>320</v>
      </c>
      <c r="G3594" t="s">
        <v>32</v>
      </c>
      <c r="H3594" t="s">
        <v>33</v>
      </c>
      <c r="I3594" t="s">
        <v>73</v>
      </c>
      <c r="J3594" t="s">
        <v>35</v>
      </c>
      <c r="K3594" t="s">
        <v>36</v>
      </c>
      <c r="L3594" t="s">
        <v>37</v>
      </c>
      <c r="M3594">
        <v>0</v>
      </c>
      <c r="N3594">
        <v>0</v>
      </c>
      <c r="O3594" s="5" t="s">
        <v>348</v>
      </c>
      <c r="P3594" s="5"/>
      <c r="Q3594">
        <f>132-48</f>
        <v>84</v>
      </c>
      <c r="R3594" t="s">
        <v>38</v>
      </c>
      <c r="S3594" t="s">
        <v>39</v>
      </c>
      <c r="T3594">
        <v>31</v>
      </c>
      <c r="Z3594" t="s">
        <v>97</v>
      </c>
      <c r="AA3594" t="s">
        <v>199</v>
      </c>
      <c r="AB3594" t="s">
        <v>87</v>
      </c>
      <c r="AC3594" t="s">
        <v>88</v>
      </c>
      <c r="AD3594" t="s">
        <v>704</v>
      </c>
    </row>
    <row r="3595" spans="1:30" x14ac:dyDescent="0.25">
      <c r="A3595" s="4">
        <v>42600</v>
      </c>
      <c r="B3595" t="s">
        <v>30</v>
      </c>
      <c r="C3595">
        <v>203</v>
      </c>
      <c r="D3595">
        <v>1</v>
      </c>
      <c r="E3595">
        <v>1</v>
      </c>
      <c r="F3595" t="s">
        <v>320</v>
      </c>
      <c r="G3595" t="s">
        <v>32</v>
      </c>
      <c r="H3595" t="s">
        <v>33</v>
      </c>
      <c r="I3595" t="s">
        <v>91</v>
      </c>
      <c r="J3595" t="s">
        <v>35</v>
      </c>
      <c r="K3595" t="s">
        <v>36</v>
      </c>
      <c r="L3595" t="s">
        <v>37</v>
      </c>
      <c r="M3595">
        <v>0</v>
      </c>
      <c r="N3595">
        <v>0</v>
      </c>
      <c r="O3595" s="5"/>
      <c r="P3595" s="5" t="s">
        <v>863</v>
      </c>
      <c r="Q3595">
        <f>47-13.5</f>
        <v>33.5</v>
      </c>
      <c r="R3595" t="s">
        <v>143</v>
      </c>
      <c r="S3595" t="s">
        <v>97</v>
      </c>
      <c r="T3595">
        <v>29</v>
      </c>
      <c r="W3595">
        <v>13.1</v>
      </c>
      <c r="X3595">
        <v>25.7</v>
      </c>
      <c r="Z3595" t="s">
        <v>97</v>
      </c>
      <c r="AA3595" t="s">
        <v>199</v>
      </c>
      <c r="AB3595" t="s">
        <v>87</v>
      </c>
      <c r="AC3595" t="s">
        <v>88</v>
      </c>
    </row>
    <row r="3596" spans="1:30" x14ac:dyDescent="0.25">
      <c r="A3596" s="4">
        <v>42600</v>
      </c>
      <c r="B3596" t="s">
        <v>30</v>
      </c>
      <c r="C3596">
        <v>203</v>
      </c>
      <c r="D3596">
        <v>2</v>
      </c>
      <c r="E3596">
        <v>1</v>
      </c>
      <c r="F3596" t="s">
        <v>320</v>
      </c>
      <c r="G3596" t="s">
        <v>32</v>
      </c>
      <c r="H3596" t="s">
        <v>33</v>
      </c>
      <c r="I3596" t="s">
        <v>57</v>
      </c>
      <c r="O3596" s="5"/>
      <c r="P3596" s="5"/>
    </row>
    <row r="3597" spans="1:30" x14ac:dyDescent="0.25">
      <c r="A3597" s="4">
        <v>42600</v>
      </c>
      <c r="B3597" t="s">
        <v>30</v>
      </c>
      <c r="C3597">
        <v>203</v>
      </c>
      <c r="D3597">
        <v>2</v>
      </c>
      <c r="E3597">
        <v>2</v>
      </c>
      <c r="F3597" t="s">
        <v>320</v>
      </c>
      <c r="G3597" t="s">
        <v>32</v>
      </c>
      <c r="H3597" t="s">
        <v>33</v>
      </c>
      <c r="I3597" t="s">
        <v>34</v>
      </c>
      <c r="J3597" t="s">
        <v>35</v>
      </c>
      <c r="K3597" t="s">
        <v>114</v>
      </c>
      <c r="L3597" t="s">
        <v>37</v>
      </c>
      <c r="M3597">
        <v>0</v>
      </c>
      <c r="N3597">
        <v>0</v>
      </c>
      <c r="O3597" s="5" t="s">
        <v>763</v>
      </c>
      <c r="P3597" s="5" t="s">
        <v>764</v>
      </c>
      <c r="Q3597">
        <f>30-14</f>
        <v>16</v>
      </c>
      <c r="R3597" t="s">
        <v>38</v>
      </c>
      <c r="S3597" t="s">
        <v>39</v>
      </c>
      <c r="T3597">
        <v>17</v>
      </c>
      <c r="U3597">
        <v>85</v>
      </c>
      <c r="V3597">
        <v>16</v>
      </c>
      <c r="W3597">
        <v>13.1</v>
      </c>
      <c r="X3597">
        <v>26.8</v>
      </c>
      <c r="Z3597" t="s">
        <v>97</v>
      </c>
      <c r="AA3597" t="s">
        <v>199</v>
      </c>
      <c r="AB3597" t="s">
        <v>87</v>
      </c>
      <c r="AC3597" t="s">
        <v>88</v>
      </c>
    </row>
    <row r="3598" spans="1:30" x14ac:dyDescent="0.25">
      <c r="A3598" s="4">
        <v>42600</v>
      </c>
      <c r="B3598" t="s">
        <v>30</v>
      </c>
      <c r="C3598">
        <v>203</v>
      </c>
      <c r="D3598">
        <v>3</v>
      </c>
      <c r="E3598">
        <v>1</v>
      </c>
      <c r="F3598" t="s">
        <v>320</v>
      </c>
      <c r="G3598" t="s">
        <v>32</v>
      </c>
      <c r="H3598" t="s">
        <v>33</v>
      </c>
      <c r="I3598" t="s">
        <v>57</v>
      </c>
      <c r="O3598" s="5"/>
      <c r="P3598" s="5"/>
    </row>
    <row r="3599" spans="1:30" x14ac:dyDescent="0.25">
      <c r="A3599" s="4">
        <v>42600</v>
      </c>
      <c r="B3599" t="s">
        <v>30</v>
      </c>
      <c r="C3599">
        <v>203</v>
      </c>
      <c r="D3599">
        <v>3</v>
      </c>
      <c r="E3599">
        <v>2</v>
      </c>
      <c r="F3599" t="s">
        <v>320</v>
      </c>
      <c r="G3599" t="s">
        <v>32</v>
      </c>
      <c r="H3599" t="s">
        <v>33</v>
      </c>
      <c r="I3599" t="s">
        <v>91</v>
      </c>
      <c r="J3599" t="s">
        <v>35</v>
      </c>
      <c r="K3599" t="s">
        <v>36</v>
      </c>
      <c r="L3599" t="s">
        <v>43</v>
      </c>
      <c r="M3599">
        <v>0</v>
      </c>
      <c r="N3599">
        <v>0</v>
      </c>
      <c r="O3599" s="5"/>
      <c r="P3599" s="5" t="s">
        <v>858</v>
      </c>
      <c r="Q3599">
        <f>47-13</f>
        <v>34</v>
      </c>
      <c r="R3599" t="s">
        <v>65</v>
      </c>
      <c r="T3599">
        <v>31</v>
      </c>
      <c r="W3599">
        <v>13.2</v>
      </c>
      <c r="X3599">
        <v>26.4</v>
      </c>
      <c r="Z3599" t="s">
        <v>97</v>
      </c>
      <c r="AA3599" t="s">
        <v>199</v>
      </c>
      <c r="AB3599" t="s">
        <v>87</v>
      </c>
      <c r="AC3599" t="s">
        <v>88</v>
      </c>
      <c r="AD3599" t="s">
        <v>704</v>
      </c>
    </row>
    <row r="3600" spans="1:30" x14ac:dyDescent="0.25">
      <c r="A3600" s="4">
        <v>42600</v>
      </c>
      <c r="B3600" t="s">
        <v>30</v>
      </c>
      <c r="C3600">
        <v>203</v>
      </c>
      <c r="D3600">
        <v>4</v>
      </c>
      <c r="E3600">
        <v>1</v>
      </c>
      <c r="F3600" t="s">
        <v>320</v>
      </c>
      <c r="G3600" t="s">
        <v>32</v>
      </c>
      <c r="H3600" t="s">
        <v>33</v>
      </c>
      <c r="I3600" t="s">
        <v>58</v>
      </c>
      <c r="J3600" t="s">
        <v>35</v>
      </c>
      <c r="K3600" t="s">
        <v>36</v>
      </c>
      <c r="L3600" t="s">
        <v>37</v>
      </c>
      <c r="M3600">
        <v>0</v>
      </c>
      <c r="N3600">
        <v>0</v>
      </c>
      <c r="O3600" s="5" t="s">
        <v>865</v>
      </c>
      <c r="P3600" s="5"/>
      <c r="Q3600">
        <f>36-14.5</f>
        <v>21.5</v>
      </c>
      <c r="R3600" t="s">
        <v>38</v>
      </c>
      <c r="S3600" t="s">
        <v>39</v>
      </c>
      <c r="T3600">
        <v>18</v>
      </c>
      <c r="W3600">
        <v>13.1</v>
      </c>
      <c r="X3600">
        <v>26.8</v>
      </c>
      <c r="Z3600" t="s">
        <v>97</v>
      </c>
      <c r="AA3600" t="s">
        <v>199</v>
      </c>
      <c r="AB3600" t="s">
        <v>87</v>
      </c>
      <c r="AC3600" t="s">
        <v>88</v>
      </c>
      <c r="AD3600" t="s">
        <v>902</v>
      </c>
    </row>
    <row r="3601" spans="1:30" x14ac:dyDescent="0.25">
      <c r="A3601" s="4">
        <v>42600</v>
      </c>
      <c r="B3601" t="s">
        <v>30</v>
      </c>
      <c r="C3601">
        <v>203</v>
      </c>
      <c r="D3601">
        <v>4</v>
      </c>
      <c r="E3601">
        <v>2</v>
      </c>
      <c r="F3601" t="s">
        <v>320</v>
      </c>
      <c r="G3601" t="s">
        <v>32</v>
      </c>
      <c r="H3601" t="s">
        <v>33</v>
      </c>
      <c r="I3601" t="s">
        <v>34</v>
      </c>
      <c r="J3601" t="s">
        <v>35</v>
      </c>
      <c r="K3601" t="s">
        <v>114</v>
      </c>
      <c r="L3601" t="s">
        <v>37</v>
      </c>
      <c r="M3601">
        <v>0</v>
      </c>
      <c r="N3601">
        <v>0</v>
      </c>
      <c r="O3601" s="5" t="s">
        <v>761</v>
      </c>
      <c r="P3601" s="5" t="s">
        <v>762</v>
      </c>
      <c r="Q3601">
        <f>30.5-13</f>
        <v>17.5</v>
      </c>
      <c r="R3601" t="s">
        <v>38</v>
      </c>
      <c r="S3601" t="s">
        <v>39</v>
      </c>
      <c r="T3601">
        <v>18</v>
      </c>
      <c r="U3601">
        <v>92</v>
      </c>
      <c r="V3601">
        <v>17</v>
      </c>
      <c r="W3601">
        <v>13.1</v>
      </c>
      <c r="X3601">
        <v>26.9</v>
      </c>
      <c r="Z3601" t="s">
        <v>39</v>
      </c>
      <c r="AB3601" t="s">
        <v>87</v>
      </c>
      <c r="AC3601" t="s">
        <v>88</v>
      </c>
    </row>
    <row r="3602" spans="1:30" x14ac:dyDescent="0.25">
      <c r="A3602" s="4">
        <v>42600</v>
      </c>
      <c r="B3602" t="s">
        <v>30</v>
      </c>
      <c r="C3602">
        <v>203</v>
      </c>
      <c r="D3602">
        <v>5</v>
      </c>
      <c r="E3602">
        <v>1</v>
      </c>
      <c r="F3602" t="s">
        <v>320</v>
      </c>
      <c r="G3602" t="s">
        <v>32</v>
      </c>
      <c r="H3602" t="s">
        <v>33</v>
      </c>
      <c r="I3602" t="s">
        <v>58</v>
      </c>
      <c r="J3602" t="s">
        <v>42</v>
      </c>
      <c r="K3602" t="s">
        <v>89</v>
      </c>
      <c r="L3602" t="s">
        <v>37</v>
      </c>
      <c r="M3602">
        <v>0</v>
      </c>
      <c r="N3602">
        <v>1</v>
      </c>
      <c r="O3602" s="5" t="s">
        <v>903</v>
      </c>
      <c r="P3602" s="5"/>
      <c r="Q3602">
        <f>27-14</f>
        <v>13</v>
      </c>
      <c r="R3602" t="s">
        <v>38</v>
      </c>
      <c r="S3602" t="s">
        <v>39</v>
      </c>
      <c r="T3602">
        <v>17</v>
      </c>
      <c r="W3602">
        <v>12.9</v>
      </c>
      <c r="X3602">
        <v>25.6</v>
      </c>
      <c r="Z3602" t="s">
        <v>97</v>
      </c>
      <c r="AA3602" t="s">
        <v>199</v>
      </c>
      <c r="AB3602" t="s">
        <v>87</v>
      </c>
      <c r="AC3602" t="s">
        <v>88</v>
      </c>
      <c r="AD3602" t="s">
        <v>789</v>
      </c>
    </row>
    <row r="3603" spans="1:30" x14ac:dyDescent="0.25">
      <c r="A3603" s="4">
        <v>42600</v>
      </c>
      <c r="B3603" t="s">
        <v>30</v>
      </c>
      <c r="C3603">
        <v>203</v>
      </c>
      <c r="D3603">
        <v>5</v>
      </c>
      <c r="E3603">
        <v>2</v>
      </c>
      <c r="F3603" t="s">
        <v>320</v>
      </c>
      <c r="G3603" t="s">
        <v>32</v>
      </c>
      <c r="H3603" t="s">
        <v>33</v>
      </c>
      <c r="I3603" t="s">
        <v>57</v>
      </c>
      <c r="O3603" s="5"/>
      <c r="P3603" s="5"/>
    </row>
    <row r="3604" spans="1:30" x14ac:dyDescent="0.25">
      <c r="A3604" s="4">
        <v>42600</v>
      </c>
      <c r="B3604" t="s">
        <v>30</v>
      </c>
      <c r="C3604">
        <v>203</v>
      </c>
      <c r="D3604">
        <v>6</v>
      </c>
      <c r="E3604">
        <v>1</v>
      </c>
      <c r="F3604" t="s">
        <v>320</v>
      </c>
      <c r="G3604" t="s">
        <v>32</v>
      </c>
      <c r="H3604" t="s">
        <v>33</v>
      </c>
      <c r="I3604" t="s">
        <v>58</v>
      </c>
      <c r="J3604" t="s">
        <v>35</v>
      </c>
      <c r="K3604" t="s">
        <v>36</v>
      </c>
      <c r="L3604" t="s">
        <v>37</v>
      </c>
      <c r="M3604">
        <v>0</v>
      </c>
      <c r="N3604">
        <v>0</v>
      </c>
      <c r="O3604" s="5" t="s">
        <v>867</v>
      </c>
      <c r="P3604" s="5"/>
      <c r="Q3604">
        <f>37-14</f>
        <v>23</v>
      </c>
      <c r="R3604" t="s">
        <v>38</v>
      </c>
      <c r="S3604" t="s">
        <v>39</v>
      </c>
      <c r="T3604">
        <v>17.5</v>
      </c>
      <c r="W3604">
        <v>12.9</v>
      </c>
      <c r="X3604">
        <v>27.2</v>
      </c>
      <c r="Z3604" t="s">
        <v>97</v>
      </c>
      <c r="AA3604" t="s">
        <v>904</v>
      </c>
      <c r="AB3604" t="s">
        <v>87</v>
      </c>
      <c r="AC3604" t="s">
        <v>88</v>
      </c>
    </row>
    <row r="3605" spans="1:30" x14ac:dyDescent="0.25">
      <c r="A3605" s="4">
        <v>42600</v>
      </c>
      <c r="B3605" t="s">
        <v>30</v>
      </c>
      <c r="C3605">
        <v>203</v>
      </c>
      <c r="D3605">
        <v>6</v>
      </c>
      <c r="E3605">
        <v>2</v>
      </c>
      <c r="F3605" t="s">
        <v>320</v>
      </c>
      <c r="G3605" t="s">
        <v>32</v>
      </c>
      <c r="H3605" t="s">
        <v>33</v>
      </c>
      <c r="I3605" t="s">
        <v>34</v>
      </c>
      <c r="J3605" t="s">
        <v>122</v>
      </c>
      <c r="O3605" s="5"/>
      <c r="P3605" s="5"/>
    </row>
    <row r="3606" spans="1:30" x14ac:dyDescent="0.25">
      <c r="A3606" s="4">
        <v>42600</v>
      </c>
      <c r="B3606" t="s">
        <v>30</v>
      </c>
      <c r="C3606">
        <v>203</v>
      </c>
      <c r="D3606">
        <v>7</v>
      </c>
      <c r="E3606">
        <v>1</v>
      </c>
      <c r="F3606" t="s">
        <v>320</v>
      </c>
      <c r="G3606" t="s">
        <v>32</v>
      </c>
      <c r="H3606" t="s">
        <v>33</v>
      </c>
      <c r="I3606" t="s">
        <v>58</v>
      </c>
      <c r="J3606" t="s">
        <v>35</v>
      </c>
      <c r="K3606" t="s">
        <v>36</v>
      </c>
      <c r="L3606" t="s">
        <v>43</v>
      </c>
      <c r="M3606">
        <v>0</v>
      </c>
      <c r="N3606">
        <v>0</v>
      </c>
      <c r="O3606" s="5" t="s">
        <v>868</v>
      </c>
      <c r="P3606" s="5"/>
      <c r="Q3606">
        <f>37-14</f>
        <v>23</v>
      </c>
      <c r="R3606" t="s">
        <v>65</v>
      </c>
      <c r="T3606">
        <v>17.5</v>
      </c>
      <c r="W3606">
        <v>12.9</v>
      </c>
      <c r="X3606">
        <v>25.6</v>
      </c>
      <c r="Z3606" t="s">
        <v>97</v>
      </c>
      <c r="AA3606" t="s">
        <v>199</v>
      </c>
      <c r="AB3606" t="s">
        <v>87</v>
      </c>
      <c r="AC3606" t="s">
        <v>88</v>
      </c>
    </row>
    <row r="3607" spans="1:30" x14ac:dyDescent="0.25">
      <c r="A3607" s="4">
        <v>42600</v>
      </c>
      <c r="B3607" t="s">
        <v>30</v>
      </c>
      <c r="C3607">
        <v>203</v>
      </c>
      <c r="D3607">
        <v>8</v>
      </c>
      <c r="E3607">
        <v>1</v>
      </c>
      <c r="F3607" t="s">
        <v>320</v>
      </c>
      <c r="G3607" t="s">
        <v>32</v>
      </c>
      <c r="H3607" t="s">
        <v>33</v>
      </c>
      <c r="I3607" t="s">
        <v>34</v>
      </c>
      <c r="J3607" t="s">
        <v>35</v>
      </c>
      <c r="K3607" t="s">
        <v>89</v>
      </c>
      <c r="L3607" t="s">
        <v>37</v>
      </c>
      <c r="M3607">
        <v>0</v>
      </c>
      <c r="N3607">
        <v>0</v>
      </c>
      <c r="O3607" s="5" t="s">
        <v>360</v>
      </c>
      <c r="P3607" s="5" t="s">
        <v>361</v>
      </c>
      <c r="Q3607">
        <f>25-15</f>
        <v>10</v>
      </c>
      <c r="R3607" t="s">
        <v>38</v>
      </c>
      <c r="S3607" t="s">
        <v>39</v>
      </c>
      <c r="T3607">
        <v>18</v>
      </c>
      <c r="U3607">
        <v>70</v>
      </c>
      <c r="V3607">
        <v>16</v>
      </c>
      <c r="W3607">
        <v>12.9</v>
      </c>
      <c r="X3607">
        <v>26</v>
      </c>
      <c r="Z3607" t="s">
        <v>97</v>
      </c>
      <c r="AA3607" t="s">
        <v>199</v>
      </c>
      <c r="AB3607" t="s">
        <v>87</v>
      </c>
      <c r="AC3607" t="s">
        <v>88</v>
      </c>
    </row>
    <row r="3608" spans="1:30" x14ac:dyDescent="0.25">
      <c r="A3608" s="4">
        <v>42600</v>
      </c>
      <c r="B3608" t="s">
        <v>30</v>
      </c>
      <c r="C3608">
        <v>203</v>
      </c>
      <c r="D3608">
        <v>8</v>
      </c>
      <c r="E3608">
        <v>2</v>
      </c>
      <c r="F3608" t="s">
        <v>320</v>
      </c>
      <c r="G3608" t="s">
        <v>32</v>
      </c>
      <c r="H3608" t="s">
        <v>33</v>
      </c>
      <c r="I3608" t="s">
        <v>34</v>
      </c>
      <c r="J3608" t="s">
        <v>35</v>
      </c>
      <c r="K3608" t="s">
        <v>89</v>
      </c>
      <c r="L3608" t="s">
        <v>37</v>
      </c>
      <c r="M3608">
        <v>0</v>
      </c>
      <c r="N3608">
        <v>0</v>
      </c>
      <c r="O3608" s="5" t="s">
        <v>775</v>
      </c>
      <c r="P3608" s="5" t="s">
        <v>776</v>
      </c>
      <c r="Q3608">
        <f>25-14.5</f>
        <v>10.5</v>
      </c>
      <c r="R3608" t="s">
        <v>38</v>
      </c>
      <c r="S3608" t="s">
        <v>39</v>
      </c>
      <c r="T3608">
        <v>17</v>
      </c>
      <c r="U3608">
        <v>75</v>
      </c>
      <c r="V3608">
        <v>15</v>
      </c>
      <c r="W3608">
        <v>12.9</v>
      </c>
      <c r="X3608">
        <v>26.1</v>
      </c>
      <c r="Z3608" t="s">
        <v>97</v>
      </c>
      <c r="AA3608" t="s">
        <v>199</v>
      </c>
      <c r="AB3608" t="s">
        <v>87</v>
      </c>
      <c r="AC3608" t="s">
        <v>88</v>
      </c>
    </row>
    <row r="3609" spans="1:30" x14ac:dyDescent="0.25">
      <c r="A3609" s="4">
        <v>42600</v>
      </c>
      <c r="B3609" t="s">
        <v>30</v>
      </c>
      <c r="C3609">
        <v>203</v>
      </c>
      <c r="D3609">
        <v>9</v>
      </c>
      <c r="E3609">
        <v>1</v>
      </c>
      <c r="F3609" t="s">
        <v>320</v>
      </c>
      <c r="G3609" t="s">
        <v>32</v>
      </c>
      <c r="H3609" t="s">
        <v>33</v>
      </c>
      <c r="I3609" t="s">
        <v>34</v>
      </c>
      <c r="J3609" t="s">
        <v>35</v>
      </c>
      <c r="K3609" t="s">
        <v>114</v>
      </c>
      <c r="L3609" t="s">
        <v>37</v>
      </c>
      <c r="M3609">
        <v>0</v>
      </c>
      <c r="N3609">
        <v>0</v>
      </c>
      <c r="O3609" s="5" t="s">
        <v>778</v>
      </c>
      <c r="P3609" s="5" t="s">
        <v>779</v>
      </c>
      <c r="Q3609">
        <f>33-14</f>
        <v>19</v>
      </c>
      <c r="R3609" t="s">
        <v>38</v>
      </c>
      <c r="S3609" t="s">
        <v>39</v>
      </c>
      <c r="T3609">
        <v>19</v>
      </c>
      <c r="U3609">
        <v>82</v>
      </c>
      <c r="V3609">
        <v>15</v>
      </c>
      <c r="W3609">
        <v>13.1</v>
      </c>
      <c r="X3609">
        <v>28.2</v>
      </c>
      <c r="Z3609" t="s">
        <v>39</v>
      </c>
      <c r="AB3609" t="s">
        <v>87</v>
      </c>
      <c r="AC3609" t="s">
        <v>88</v>
      </c>
    </row>
    <row r="3610" spans="1:30" x14ac:dyDescent="0.25">
      <c r="A3610" s="4">
        <v>42600</v>
      </c>
      <c r="B3610" t="s">
        <v>30</v>
      </c>
      <c r="C3610">
        <v>203</v>
      </c>
      <c r="D3610">
        <v>9</v>
      </c>
      <c r="E3610">
        <v>2</v>
      </c>
      <c r="F3610" t="s">
        <v>320</v>
      </c>
      <c r="G3610" t="s">
        <v>32</v>
      </c>
      <c r="H3610" t="s">
        <v>33</v>
      </c>
      <c r="I3610" t="s">
        <v>58</v>
      </c>
      <c r="J3610" t="s">
        <v>35</v>
      </c>
      <c r="K3610" t="s">
        <v>36</v>
      </c>
      <c r="L3610" t="s">
        <v>43</v>
      </c>
      <c r="M3610">
        <v>0</v>
      </c>
      <c r="N3610">
        <v>0</v>
      </c>
      <c r="O3610" s="5" t="s">
        <v>771</v>
      </c>
      <c r="P3610" s="5"/>
      <c r="Q3610">
        <f>33-14</f>
        <v>19</v>
      </c>
      <c r="R3610" t="s">
        <v>65</v>
      </c>
      <c r="T3610">
        <v>18</v>
      </c>
      <c r="W3610">
        <v>12.9</v>
      </c>
      <c r="X3610">
        <v>25.7</v>
      </c>
      <c r="Z3610" t="s">
        <v>97</v>
      </c>
      <c r="AA3610" t="s">
        <v>199</v>
      </c>
      <c r="AB3610" t="s">
        <v>87</v>
      </c>
      <c r="AC3610" t="s">
        <v>88</v>
      </c>
      <c r="AD3610" t="s">
        <v>905</v>
      </c>
    </row>
    <row r="3611" spans="1:30" x14ac:dyDescent="0.25">
      <c r="A3611" s="4">
        <v>42600</v>
      </c>
      <c r="B3611" t="s">
        <v>30</v>
      </c>
      <c r="C3611">
        <v>203</v>
      </c>
      <c r="D3611">
        <v>10</v>
      </c>
      <c r="E3611">
        <v>1</v>
      </c>
      <c r="F3611" t="s">
        <v>320</v>
      </c>
      <c r="G3611" t="s">
        <v>32</v>
      </c>
      <c r="H3611" t="s">
        <v>33</v>
      </c>
      <c r="I3611" t="s">
        <v>34</v>
      </c>
      <c r="J3611" t="s">
        <v>35</v>
      </c>
      <c r="K3611" t="s">
        <v>114</v>
      </c>
      <c r="L3611" t="s">
        <v>37</v>
      </c>
      <c r="M3611">
        <v>0</v>
      </c>
      <c r="N3611">
        <v>0</v>
      </c>
      <c r="O3611" s="5" t="s">
        <v>780</v>
      </c>
      <c r="P3611" s="5" t="s">
        <v>781</v>
      </c>
      <c r="Q3611">
        <f>31-15.5</f>
        <v>15.5</v>
      </c>
      <c r="R3611" t="s">
        <v>38</v>
      </c>
      <c r="S3611" t="s">
        <v>39</v>
      </c>
      <c r="T3611">
        <v>18</v>
      </c>
      <c r="U3611">
        <v>90</v>
      </c>
      <c r="V3611">
        <v>16</v>
      </c>
      <c r="W3611">
        <v>13.1</v>
      </c>
      <c r="X3611">
        <v>27.9</v>
      </c>
      <c r="Z3611" t="s">
        <v>97</v>
      </c>
      <c r="AA3611" t="s">
        <v>199</v>
      </c>
      <c r="AB3611" t="s">
        <v>87</v>
      </c>
      <c r="AC3611" t="s">
        <v>88</v>
      </c>
    </row>
    <row r="3612" spans="1:30" x14ac:dyDescent="0.25">
      <c r="A3612" s="4">
        <v>42600</v>
      </c>
      <c r="B3612" t="s">
        <v>30</v>
      </c>
      <c r="C3612">
        <v>202</v>
      </c>
      <c r="D3612">
        <v>1</v>
      </c>
      <c r="E3612">
        <v>1</v>
      </c>
      <c r="F3612" t="s">
        <v>320</v>
      </c>
      <c r="G3612" t="s">
        <v>32</v>
      </c>
      <c r="H3612" t="s">
        <v>33</v>
      </c>
      <c r="I3612" t="s">
        <v>91</v>
      </c>
      <c r="J3612" t="s">
        <v>42</v>
      </c>
      <c r="K3612" t="s">
        <v>36</v>
      </c>
      <c r="L3612" t="s">
        <v>37</v>
      </c>
      <c r="M3612">
        <v>0</v>
      </c>
      <c r="N3612">
        <v>1</v>
      </c>
      <c r="O3612" s="5" t="s">
        <v>906</v>
      </c>
      <c r="P3612" s="5"/>
      <c r="Q3612">
        <f>35.5-15</f>
        <v>20.5</v>
      </c>
      <c r="R3612" t="s">
        <v>38</v>
      </c>
      <c r="S3612" t="s">
        <v>39</v>
      </c>
      <c r="T3612">
        <v>30</v>
      </c>
      <c r="W3612">
        <v>13.1</v>
      </c>
      <c r="X3612">
        <v>25.5</v>
      </c>
      <c r="Z3612" t="s">
        <v>97</v>
      </c>
      <c r="AA3612" t="s">
        <v>199</v>
      </c>
      <c r="AB3612" t="s">
        <v>87</v>
      </c>
      <c r="AC3612" t="s">
        <v>88</v>
      </c>
      <c r="AD3612" t="s">
        <v>789</v>
      </c>
    </row>
    <row r="3613" spans="1:30" x14ac:dyDescent="0.25">
      <c r="A3613" s="4">
        <v>42600</v>
      </c>
      <c r="B3613" t="s">
        <v>30</v>
      </c>
      <c r="C3613">
        <v>202</v>
      </c>
      <c r="D3613">
        <v>2</v>
      </c>
      <c r="E3613">
        <v>1</v>
      </c>
      <c r="F3613" t="s">
        <v>320</v>
      </c>
      <c r="G3613" t="s">
        <v>32</v>
      </c>
      <c r="H3613" t="s">
        <v>33</v>
      </c>
      <c r="I3613" t="s">
        <v>57</v>
      </c>
      <c r="O3613" s="5"/>
      <c r="P3613" s="5"/>
    </row>
    <row r="3614" spans="1:30" x14ac:dyDescent="0.25">
      <c r="A3614" s="4">
        <v>42600</v>
      </c>
      <c r="B3614" t="s">
        <v>30</v>
      </c>
      <c r="C3614">
        <v>202</v>
      </c>
      <c r="D3614">
        <v>2</v>
      </c>
      <c r="E3614">
        <v>2</v>
      </c>
      <c r="F3614" t="s">
        <v>320</v>
      </c>
      <c r="G3614" t="s">
        <v>32</v>
      </c>
      <c r="H3614" t="s">
        <v>33</v>
      </c>
      <c r="I3614" t="s">
        <v>34</v>
      </c>
      <c r="J3614" t="s">
        <v>35</v>
      </c>
      <c r="K3614" t="s">
        <v>114</v>
      </c>
      <c r="L3614" t="s">
        <v>43</v>
      </c>
      <c r="M3614">
        <v>0</v>
      </c>
      <c r="N3614">
        <v>0</v>
      </c>
      <c r="O3614" s="5" t="s">
        <v>782</v>
      </c>
      <c r="P3614" s="5" t="s">
        <v>783</v>
      </c>
      <c r="Q3614">
        <f>29.5-15</f>
        <v>14.5</v>
      </c>
      <c r="R3614" t="s">
        <v>65</v>
      </c>
      <c r="T3614">
        <v>19.5</v>
      </c>
      <c r="U3614">
        <v>88</v>
      </c>
      <c r="V3614">
        <v>14</v>
      </c>
      <c r="W3614">
        <v>13</v>
      </c>
      <c r="X3614">
        <v>27.4</v>
      </c>
      <c r="Z3614" t="s">
        <v>97</v>
      </c>
      <c r="AA3614" t="s">
        <v>199</v>
      </c>
      <c r="AB3614" t="s">
        <v>87</v>
      </c>
      <c r="AC3614" t="s">
        <v>88</v>
      </c>
    </row>
    <row r="3615" spans="1:30" x14ac:dyDescent="0.25">
      <c r="A3615" s="4">
        <v>42600</v>
      </c>
      <c r="B3615" t="s">
        <v>30</v>
      </c>
      <c r="C3615">
        <v>202</v>
      </c>
      <c r="D3615">
        <v>3</v>
      </c>
      <c r="E3615">
        <v>1</v>
      </c>
      <c r="F3615" t="s">
        <v>320</v>
      </c>
      <c r="G3615" t="s">
        <v>32</v>
      </c>
      <c r="H3615" t="s">
        <v>33</v>
      </c>
      <c r="I3615" t="s">
        <v>58</v>
      </c>
      <c r="J3615" t="s">
        <v>42</v>
      </c>
      <c r="K3615" t="s">
        <v>89</v>
      </c>
      <c r="L3615" t="s">
        <v>37</v>
      </c>
      <c r="M3615">
        <v>0</v>
      </c>
      <c r="N3615">
        <v>1</v>
      </c>
      <c r="O3615" s="5" t="s">
        <v>907</v>
      </c>
      <c r="P3615" s="5"/>
      <c r="Q3615">
        <f>28-14</f>
        <v>14</v>
      </c>
      <c r="R3615" t="s">
        <v>38</v>
      </c>
      <c r="S3615" t="s">
        <v>39</v>
      </c>
      <c r="T3615">
        <v>16.5</v>
      </c>
      <c r="W3615">
        <v>12.7</v>
      </c>
      <c r="X3615">
        <v>24.5</v>
      </c>
      <c r="Z3615" t="s">
        <v>97</v>
      </c>
      <c r="AA3615" t="s">
        <v>199</v>
      </c>
      <c r="AB3615" t="s">
        <v>87</v>
      </c>
      <c r="AC3615" t="s">
        <v>88</v>
      </c>
      <c r="AD3615" t="s">
        <v>789</v>
      </c>
    </row>
    <row r="3616" spans="1:30" x14ac:dyDescent="0.25">
      <c r="A3616" s="4">
        <v>42600</v>
      </c>
      <c r="B3616" t="s">
        <v>30</v>
      </c>
      <c r="C3616">
        <v>202</v>
      </c>
      <c r="D3616">
        <v>4</v>
      </c>
      <c r="E3616">
        <v>1</v>
      </c>
      <c r="F3616" t="s">
        <v>320</v>
      </c>
      <c r="G3616" t="s">
        <v>32</v>
      </c>
      <c r="H3616" t="s">
        <v>33</v>
      </c>
      <c r="I3616" t="s">
        <v>57</v>
      </c>
      <c r="O3616" s="5"/>
      <c r="P3616" s="5"/>
    </row>
    <row r="3617" spans="1:30" x14ac:dyDescent="0.25">
      <c r="A3617" s="4">
        <v>42600</v>
      </c>
      <c r="B3617" t="s">
        <v>30</v>
      </c>
      <c r="C3617">
        <v>202</v>
      </c>
      <c r="D3617">
        <v>4</v>
      </c>
      <c r="E3617">
        <v>2</v>
      </c>
      <c r="F3617" t="s">
        <v>320</v>
      </c>
      <c r="G3617" t="s">
        <v>32</v>
      </c>
      <c r="H3617" t="s">
        <v>33</v>
      </c>
      <c r="I3617" t="s">
        <v>57</v>
      </c>
      <c r="O3617" s="5"/>
      <c r="P3617" s="5"/>
    </row>
    <row r="3618" spans="1:30" x14ac:dyDescent="0.25">
      <c r="A3618" s="4">
        <v>42600</v>
      </c>
      <c r="B3618" t="s">
        <v>30</v>
      </c>
      <c r="C3618">
        <v>202</v>
      </c>
      <c r="D3618">
        <v>5</v>
      </c>
      <c r="E3618">
        <v>1</v>
      </c>
      <c r="F3618" t="s">
        <v>320</v>
      </c>
      <c r="G3618" t="s">
        <v>32</v>
      </c>
      <c r="H3618" t="s">
        <v>33</v>
      </c>
      <c r="I3618" t="s">
        <v>53</v>
      </c>
      <c r="J3618" t="s">
        <v>62</v>
      </c>
      <c r="O3618" s="5"/>
      <c r="P3618" s="5"/>
    </row>
    <row r="3619" spans="1:30" x14ac:dyDescent="0.25">
      <c r="A3619" s="4">
        <v>42600</v>
      </c>
      <c r="B3619" t="s">
        <v>30</v>
      </c>
      <c r="C3619">
        <v>202</v>
      </c>
      <c r="D3619">
        <v>6</v>
      </c>
      <c r="E3619">
        <v>1</v>
      </c>
      <c r="F3619" t="s">
        <v>320</v>
      </c>
      <c r="G3619" t="s">
        <v>32</v>
      </c>
      <c r="H3619" t="s">
        <v>33</v>
      </c>
      <c r="I3619" t="s">
        <v>53</v>
      </c>
      <c r="J3619" t="s">
        <v>62</v>
      </c>
      <c r="O3619" s="5"/>
      <c r="P3619" s="5"/>
    </row>
    <row r="3620" spans="1:30" x14ac:dyDescent="0.25">
      <c r="A3620" s="4">
        <v>42600</v>
      </c>
      <c r="B3620" t="s">
        <v>30</v>
      </c>
      <c r="C3620">
        <v>202</v>
      </c>
      <c r="D3620">
        <v>7</v>
      </c>
      <c r="E3620">
        <v>1</v>
      </c>
      <c r="F3620" t="s">
        <v>320</v>
      </c>
      <c r="G3620" t="s">
        <v>32</v>
      </c>
      <c r="H3620" t="s">
        <v>33</v>
      </c>
      <c r="I3620" t="s">
        <v>57</v>
      </c>
      <c r="O3620" s="5"/>
      <c r="P3620" s="5"/>
    </row>
    <row r="3621" spans="1:30" x14ac:dyDescent="0.25">
      <c r="A3621" s="4">
        <v>42600</v>
      </c>
      <c r="B3621" t="s">
        <v>30</v>
      </c>
      <c r="C3621">
        <v>202</v>
      </c>
      <c r="D3621">
        <v>7</v>
      </c>
      <c r="E3621">
        <v>2</v>
      </c>
      <c r="F3621" t="s">
        <v>320</v>
      </c>
      <c r="G3621" t="s">
        <v>32</v>
      </c>
      <c r="H3621" t="s">
        <v>33</v>
      </c>
      <c r="I3621" t="s">
        <v>58</v>
      </c>
      <c r="J3621" t="s">
        <v>35</v>
      </c>
      <c r="K3621" t="s">
        <v>36</v>
      </c>
      <c r="L3621" t="s">
        <v>37</v>
      </c>
      <c r="M3621">
        <v>0</v>
      </c>
      <c r="N3621">
        <v>0</v>
      </c>
      <c r="O3621" s="5" t="s">
        <v>786</v>
      </c>
      <c r="P3621" s="5"/>
      <c r="Q3621">
        <f>43-14</f>
        <v>29</v>
      </c>
      <c r="R3621" t="s">
        <v>74</v>
      </c>
      <c r="S3621" t="s">
        <v>97</v>
      </c>
      <c r="T3621">
        <v>18</v>
      </c>
      <c r="W3621">
        <v>13</v>
      </c>
      <c r="X3621">
        <v>28.5</v>
      </c>
      <c r="Z3621" t="s">
        <v>97</v>
      </c>
      <c r="AA3621" t="s">
        <v>908</v>
      </c>
      <c r="AB3621" t="s">
        <v>87</v>
      </c>
      <c r="AC3621" t="s">
        <v>88</v>
      </c>
    </row>
    <row r="3622" spans="1:30" x14ac:dyDescent="0.25">
      <c r="A3622" s="4">
        <v>42600</v>
      </c>
      <c r="B3622" t="s">
        <v>30</v>
      </c>
      <c r="C3622">
        <v>202</v>
      </c>
      <c r="D3622">
        <v>8</v>
      </c>
      <c r="E3622">
        <v>1</v>
      </c>
      <c r="F3622" t="s">
        <v>320</v>
      </c>
      <c r="G3622" t="s">
        <v>32</v>
      </c>
      <c r="H3622" t="s">
        <v>33</v>
      </c>
      <c r="I3622" t="s">
        <v>57</v>
      </c>
      <c r="O3622" s="5"/>
      <c r="P3622" s="5"/>
    </row>
    <row r="3623" spans="1:30" x14ac:dyDescent="0.25">
      <c r="A3623" s="4">
        <v>42600</v>
      </c>
      <c r="B3623" t="s">
        <v>30</v>
      </c>
      <c r="C3623">
        <v>202</v>
      </c>
      <c r="D3623">
        <v>8</v>
      </c>
      <c r="E3623">
        <v>2</v>
      </c>
      <c r="F3623" t="s">
        <v>320</v>
      </c>
      <c r="G3623" t="s">
        <v>32</v>
      </c>
      <c r="H3623" t="s">
        <v>33</v>
      </c>
      <c r="I3623" t="s">
        <v>57</v>
      </c>
      <c r="O3623" s="5"/>
      <c r="P3623" s="5"/>
    </row>
    <row r="3624" spans="1:30" x14ac:dyDescent="0.25">
      <c r="A3624" s="4">
        <v>42600</v>
      </c>
      <c r="B3624" t="s">
        <v>30</v>
      </c>
      <c r="C3624">
        <v>202</v>
      </c>
      <c r="D3624">
        <v>9</v>
      </c>
      <c r="E3624">
        <v>1</v>
      </c>
      <c r="F3624" t="s">
        <v>320</v>
      </c>
      <c r="G3624" t="s">
        <v>32</v>
      </c>
      <c r="H3624" t="s">
        <v>33</v>
      </c>
      <c r="I3624" t="s">
        <v>57</v>
      </c>
      <c r="O3624" s="5"/>
      <c r="P3624" s="5"/>
    </row>
    <row r="3625" spans="1:30" x14ac:dyDescent="0.25">
      <c r="A3625" s="4">
        <v>42600</v>
      </c>
      <c r="B3625" t="s">
        <v>30</v>
      </c>
      <c r="C3625">
        <v>202</v>
      </c>
      <c r="D3625">
        <v>10</v>
      </c>
      <c r="E3625">
        <v>1</v>
      </c>
      <c r="F3625" t="s">
        <v>320</v>
      </c>
      <c r="G3625" t="s">
        <v>32</v>
      </c>
      <c r="H3625" t="s">
        <v>33</v>
      </c>
      <c r="I3625" t="s">
        <v>53</v>
      </c>
      <c r="J3625" t="s">
        <v>123</v>
      </c>
      <c r="O3625" s="5"/>
      <c r="P3625" s="5"/>
    </row>
    <row r="3626" spans="1:30" x14ac:dyDescent="0.25">
      <c r="A3626" s="4">
        <v>42600</v>
      </c>
      <c r="B3626" t="s">
        <v>30</v>
      </c>
      <c r="C3626">
        <v>304</v>
      </c>
      <c r="D3626">
        <v>10</v>
      </c>
      <c r="E3626">
        <v>1</v>
      </c>
      <c r="F3626" t="s">
        <v>320</v>
      </c>
      <c r="G3626" t="s">
        <v>32</v>
      </c>
      <c r="H3626" t="s">
        <v>33</v>
      </c>
      <c r="I3626" t="s">
        <v>34</v>
      </c>
      <c r="J3626" t="s">
        <v>42</v>
      </c>
      <c r="K3626" t="s">
        <v>89</v>
      </c>
      <c r="L3626" t="s">
        <v>37</v>
      </c>
      <c r="M3626">
        <v>0</v>
      </c>
      <c r="N3626">
        <v>1</v>
      </c>
      <c r="O3626" s="5" t="s">
        <v>909</v>
      </c>
      <c r="P3626" s="5" t="s">
        <v>910</v>
      </c>
      <c r="Q3626">
        <f>33-20.5</f>
        <v>12.5</v>
      </c>
      <c r="R3626" t="s">
        <v>38</v>
      </c>
      <c r="S3626" t="s">
        <v>39</v>
      </c>
      <c r="T3626">
        <v>16.5</v>
      </c>
      <c r="U3626">
        <v>82</v>
      </c>
      <c r="V3626">
        <v>16</v>
      </c>
      <c r="W3626">
        <v>12.9</v>
      </c>
      <c r="X3626">
        <v>27</v>
      </c>
      <c r="Z3626" t="s">
        <v>39</v>
      </c>
      <c r="AB3626" t="s">
        <v>87</v>
      </c>
      <c r="AC3626" t="s">
        <v>88</v>
      </c>
      <c r="AD3626" t="s">
        <v>789</v>
      </c>
    </row>
    <row r="3627" spans="1:30" x14ac:dyDescent="0.25">
      <c r="A3627" s="4">
        <v>42600</v>
      </c>
      <c r="B3627" t="s">
        <v>30</v>
      </c>
      <c r="C3627">
        <v>304</v>
      </c>
      <c r="D3627">
        <v>10</v>
      </c>
      <c r="E3627">
        <v>2</v>
      </c>
      <c r="F3627" t="s">
        <v>320</v>
      </c>
      <c r="G3627" t="s">
        <v>32</v>
      </c>
      <c r="H3627" t="s">
        <v>33</v>
      </c>
      <c r="I3627" t="s">
        <v>57</v>
      </c>
      <c r="O3627" s="5"/>
      <c r="P3627" s="5"/>
    </row>
    <row r="3628" spans="1:30" x14ac:dyDescent="0.25">
      <c r="A3628" s="4">
        <v>42600</v>
      </c>
      <c r="B3628" t="s">
        <v>30</v>
      </c>
      <c r="C3628">
        <v>304</v>
      </c>
      <c r="D3628">
        <v>9</v>
      </c>
      <c r="E3628">
        <v>1</v>
      </c>
      <c r="F3628" t="s">
        <v>320</v>
      </c>
      <c r="G3628" t="s">
        <v>32</v>
      </c>
      <c r="H3628" t="s">
        <v>33</v>
      </c>
      <c r="I3628" t="s">
        <v>57</v>
      </c>
      <c r="O3628" s="5"/>
      <c r="P3628" s="5"/>
    </row>
    <row r="3629" spans="1:30" x14ac:dyDescent="0.25">
      <c r="A3629" s="4">
        <v>42600</v>
      </c>
      <c r="B3629" t="s">
        <v>30</v>
      </c>
      <c r="C3629">
        <v>304</v>
      </c>
      <c r="D3629">
        <v>9</v>
      </c>
      <c r="E3629">
        <v>2</v>
      </c>
      <c r="F3629" t="s">
        <v>320</v>
      </c>
      <c r="G3629" t="s">
        <v>32</v>
      </c>
      <c r="H3629" t="s">
        <v>33</v>
      </c>
      <c r="I3629" t="s">
        <v>57</v>
      </c>
      <c r="O3629" s="5"/>
      <c r="P3629" s="5"/>
    </row>
    <row r="3630" spans="1:30" x14ac:dyDescent="0.25">
      <c r="A3630" s="4">
        <v>42600</v>
      </c>
      <c r="B3630" t="s">
        <v>30</v>
      </c>
      <c r="C3630">
        <v>304</v>
      </c>
      <c r="D3630">
        <v>8</v>
      </c>
      <c r="E3630">
        <v>1</v>
      </c>
      <c r="F3630" t="s">
        <v>320</v>
      </c>
      <c r="G3630" t="s">
        <v>32</v>
      </c>
      <c r="H3630" t="s">
        <v>33</v>
      </c>
      <c r="I3630" t="s">
        <v>58</v>
      </c>
      <c r="J3630" t="s">
        <v>35</v>
      </c>
      <c r="K3630" t="s">
        <v>36</v>
      </c>
      <c r="L3630" t="s">
        <v>37</v>
      </c>
      <c r="M3630">
        <v>0</v>
      </c>
      <c r="N3630">
        <v>0</v>
      </c>
      <c r="O3630" s="5" t="s">
        <v>876</v>
      </c>
      <c r="P3630" s="5"/>
      <c r="Q3630">
        <f>45.5-15</f>
        <v>30.5</v>
      </c>
      <c r="R3630" t="s">
        <v>136</v>
      </c>
      <c r="S3630" t="s">
        <v>97</v>
      </c>
      <c r="T3630">
        <v>18</v>
      </c>
      <c r="W3630">
        <v>13</v>
      </c>
      <c r="X3630">
        <v>26.4</v>
      </c>
      <c r="Z3630" t="s">
        <v>97</v>
      </c>
      <c r="AA3630" t="s">
        <v>199</v>
      </c>
      <c r="AB3630" t="s">
        <v>87</v>
      </c>
      <c r="AC3630" t="s">
        <v>88</v>
      </c>
    </row>
    <row r="3631" spans="1:30" x14ac:dyDescent="0.25">
      <c r="A3631" s="4">
        <v>42600</v>
      </c>
      <c r="B3631" t="s">
        <v>30</v>
      </c>
      <c r="C3631">
        <v>304</v>
      </c>
      <c r="D3631">
        <v>7</v>
      </c>
      <c r="E3631">
        <v>1</v>
      </c>
      <c r="F3631" t="s">
        <v>320</v>
      </c>
      <c r="G3631" t="s">
        <v>32</v>
      </c>
      <c r="H3631" t="s">
        <v>33</v>
      </c>
      <c r="I3631" t="s">
        <v>57</v>
      </c>
      <c r="O3631" s="5"/>
      <c r="P3631" s="5"/>
    </row>
    <row r="3632" spans="1:30" x14ac:dyDescent="0.25">
      <c r="A3632" s="4">
        <v>42600</v>
      </c>
      <c r="B3632" t="s">
        <v>30</v>
      </c>
      <c r="C3632">
        <v>304</v>
      </c>
      <c r="D3632">
        <v>7</v>
      </c>
      <c r="E3632">
        <v>2</v>
      </c>
      <c r="F3632" t="s">
        <v>320</v>
      </c>
      <c r="G3632" t="s">
        <v>32</v>
      </c>
      <c r="H3632" t="s">
        <v>33</v>
      </c>
      <c r="I3632" t="s">
        <v>58</v>
      </c>
      <c r="J3632" t="s">
        <v>42</v>
      </c>
      <c r="K3632" t="s">
        <v>89</v>
      </c>
      <c r="L3632" t="s">
        <v>43</v>
      </c>
      <c r="M3632">
        <v>0</v>
      </c>
      <c r="N3632">
        <v>1</v>
      </c>
      <c r="O3632" s="5" t="s">
        <v>911</v>
      </c>
      <c r="P3632" s="5"/>
      <c r="Q3632">
        <f>27-15</f>
        <v>12</v>
      </c>
      <c r="R3632" t="s">
        <v>65</v>
      </c>
      <c r="T3632">
        <v>17</v>
      </c>
      <c r="W3632">
        <v>12.3</v>
      </c>
      <c r="X3632">
        <v>23.9</v>
      </c>
      <c r="Z3632" t="s">
        <v>97</v>
      </c>
      <c r="AA3632" t="s">
        <v>199</v>
      </c>
      <c r="AB3632" t="s">
        <v>87</v>
      </c>
      <c r="AC3632" t="s">
        <v>88</v>
      </c>
      <c r="AD3632" t="s">
        <v>789</v>
      </c>
    </row>
    <row r="3633" spans="1:30" x14ac:dyDescent="0.25">
      <c r="A3633" s="4">
        <v>42600</v>
      </c>
      <c r="B3633" t="s">
        <v>30</v>
      </c>
      <c r="C3633">
        <v>304</v>
      </c>
      <c r="D3633">
        <v>4</v>
      </c>
      <c r="E3633">
        <v>1</v>
      </c>
      <c r="F3633" t="s">
        <v>320</v>
      </c>
      <c r="G3633" t="s">
        <v>32</v>
      </c>
      <c r="H3633" t="s">
        <v>33</v>
      </c>
      <c r="I3633" t="s">
        <v>57</v>
      </c>
      <c r="O3633" s="5"/>
      <c r="P3633" s="5"/>
    </row>
    <row r="3634" spans="1:30" x14ac:dyDescent="0.25">
      <c r="A3634" s="4">
        <v>42600</v>
      </c>
      <c r="B3634" t="s">
        <v>30</v>
      </c>
      <c r="C3634">
        <v>304</v>
      </c>
      <c r="D3634">
        <v>4</v>
      </c>
      <c r="E3634">
        <v>2</v>
      </c>
      <c r="F3634" t="s">
        <v>320</v>
      </c>
      <c r="G3634" t="s">
        <v>32</v>
      </c>
      <c r="H3634" t="s">
        <v>33</v>
      </c>
      <c r="I3634" t="s">
        <v>57</v>
      </c>
      <c r="O3634" s="5"/>
      <c r="P3634" s="5"/>
    </row>
    <row r="3635" spans="1:30" x14ac:dyDescent="0.25">
      <c r="A3635" s="4">
        <v>42600</v>
      </c>
      <c r="B3635" t="s">
        <v>30</v>
      </c>
      <c r="C3635">
        <v>304</v>
      </c>
      <c r="D3635">
        <v>3</v>
      </c>
      <c r="E3635">
        <v>1</v>
      </c>
      <c r="F3635" t="s">
        <v>320</v>
      </c>
      <c r="G3635" t="s">
        <v>32</v>
      </c>
      <c r="H3635" t="s">
        <v>33</v>
      </c>
      <c r="I3635" t="s">
        <v>34</v>
      </c>
      <c r="J3635" t="s">
        <v>42</v>
      </c>
      <c r="K3635" t="s">
        <v>114</v>
      </c>
      <c r="L3635" t="s">
        <v>43</v>
      </c>
      <c r="M3635">
        <v>0</v>
      </c>
      <c r="N3635">
        <v>1</v>
      </c>
      <c r="O3635" s="5" t="s">
        <v>912</v>
      </c>
      <c r="P3635" s="5" t="s">
        <v>913</v>
      </c>
      <c r="Q3635">
        <f>34-18</f>
        <v>16</v>
      </c>
      <c r="R3635" t="s">
        <v>65</v>
      </c>
      <c r="T3635">
        <v>18</v>
      </c>
      <c r="U3635">
        <v>74</v>
      </c>
      <c r="V3635">
        <v>16</v>
      </c>
      <c r="W3635">
        <v>13.1</v>
      </c>
      <c r="X3635">
        <v>27.7</v>
      </c>
      <c r="Z3635" t="s">
        <v>39</v>
      </c>
      <c r="AA3635" t="s">
        <v>199</v>
      </c>
      <c r="AB3635" t="s">
        <v>87</v>
      </c>
      <c r="AC3635" t="s">
        <v>88</v>
      </c>
      <c r="AD3635" t="s">
        <v>789</v>
      </c>
    </row>
    <row r="3636" spans="1:30" x14ac:dyDescent="0.25">
      <c r="A3636" s="4">
        <v>42604</v>
      </c>
      <c r="B3636" t="s">
        <v>30</v>
      </c>
      <c r="C3636">
        <v>703</v>
      </c>
      <c r="D3636">
        <v>1</v>
      </c>
      <c r="E3636">
        <v>1</v>
      </c>
      <c r="F3636" t="s">
        <v>31</v>
      </c>
      <c r="G3636" t="s">
        <v>32</v>
      </c>
      <c r="H3636" t="s">
        <v>33</v>
      </c>
      <c r="I3636" t="s">
        <v>53</v>
      </c>
      <c r="J3636" t="s">
        <v>62</v>
      </c>
      <c r="O3636" s="5"/>
      <c r="P3636" s="5"/>
    </row>
    <row r="3637" spans="1:30" x14ac:dyDescent="0.25">
      <c r="A3637" s="4">
        <v>42604</v>
      </c>
      <c r="B3637" t="s">
        <v>30</v>
      </c>
      <c r="C3637">
        <v>703</v>
      </c>
      <c r="D3637">
        <v>1</v>
      </c>
      <c r="E3637">
        <v>2</v>
      </c>
      <c r="F3637" t="s">
        <v>31</v>
      </c>
      <c r="G3637" t="s">
        <v>32</v>
      </c>
      <c r="H3637" t="s">
        <v>33</v>
      </c>
      <c r="I3637" t="s">
        <v>34</v>
      </c>
      <c r="J3637" t="s">
        <v>62</v>
      </c>
      <c r="O3637" s="5" t="s">
        <v>571</v>
      </c>
      <c r="P3637" s="5" t="s">
        <v>572</v>
      </c>
    </row>
    <row r="3638" spans="1:30" x14ac:dyDescent="0.25">
      <c r="A3638" s="4">
        <v>42604</v>
      </c>
      <c r="B3638" t="s">
        <v>30</v>
      </c>
      <c r="C3638">
        <v>703</v>
      </c>
      <c r="D3638">
        <v>2</v>
      </c>
      <c r="E3638">
        <v>1</v>
      </c>
      <c r="F3638" t="s">
        <v>31</v>
      </c>
      <c r="G3638" t="s">
        <v>32</v>
      </c>
      <c r="H3638" t="s">
        <v>33</v>
      </c>
      <c r="I3638" t="s">
        <v>57</v>
      </c>
      <c r="O3638" s="5"/>
      <c r="P3638" s="5"/>
    </row>
    <row r="3639" spans="1:30" x14ac:dyDescent="0.25">
      <c r="A3639" s="4">
        <v>42604</v>
      </c>
      <c r="B3639" t="s">
        <v>30</v>
      </c>
      <c r="C3639">
        <v>703</v>
      </c>
      <c r="D3639">
        <v>2</v>
      </c>
      <c r="E3639">
        <v>2</v>
      </c>
      <c r="F3639" t="s">
        <v>31</v>
      </c>
      <c r="G3639" t="s">
        <v>32</v>
      </c>
      <c r="H3639" t="s">
        <v>33</v>
      </c>
      <c r="I3639" t="s">
        <v>58</v>
      </c>
      <c r="J3639" t="s">
        <v>35</v>
      </c>
      <c r="K3639" t="s">
        <v>36</v>
      </c>
      <c r="L3639" t="s">
        <v>43</v>
      </c>
      <c r="M3639">
        <v>0</v>
      </c>
      <c r="N3639">
        <v>0</v>
      </c>
      <c r="O3639" s="5"/>
      <c r="P3639" s="5" t="s">
        <v>617</v>
      </c>
      <c r="Q3639">
        <f>31-13</f>
        <v>18</v>
      </c>
      <c r="R3639" t="s">
        <v>65</v>
      </c>
      <c r="T3639">
        <v>16.5</v>
      </c>
      <c r="W3639">
        <v>12.5</v>
      </c>
      <c r="X3639">
        <v>13.6</v>
      </c>
      <c r="Z3639" t="s">
        <v>97</v>
      </c>
      <c r="AB3639" t="s">
        <v>233</v>
      </c>
      <c r="AC3639" t="s">
        <v>78</v>
      </c>
    </row>
    <row r="3640" spans="1:30" x14ac:dyDescent="0.25">
      <c r="A3640" s="4">
        <v>42604</v>
      </c>
      <c r="B3640" t="s">
        <v>30</v>
      </c>
      <c r="C3640">
        <v>703</v>
      </c>
      <c r="D3640">
        <v>3</v>
      </c>
      <c r="E3640">
        <v>1</v>
      </c>
      <c r="F3640" t="s">
        <v>31</v>
      </c>
      <c r="G3640" t="s">
        <v>32</v>
      </c>
      <c r="H3640" t="s">
        <v>33</v>
      </c>
      <c r="I3640" t="s">
        <v>58</v>
      </c>
      <c r="J3640" t="s">
        <v>35</v>
      </c>
      <c r="K3640" t="s">
        <v>36</v>
      </c>
      <c r="L3640" t="s">
        <v>37</v>
      </c>
      <c r="M3640">
        <v>0</v>
      </c>
      <c r="N3640">
        <v>0</v>
      </c>
      <c r="O3640" s="5" t="s">
        <v>700</v>
      </c>
      <c r="P3640" s="5"/>
      <c r="Q3640">
        <f>33-12.5</f>
        <v>20.5</v>
      </c>
      <c r="R3640" t="s">
        <v>65</v>
      </c>
      <c r="T3640">
        <v>17</v>
      </c>
      <c r="W3640">
        <v>12.7</v>
      </c>
      <c r="X3640">
        <v>27.15</v>
      </c>
      <c r="Z3640" t="s">
        <v>97</v>
      </c>
      <c r="AB3640" t="s">
        <v>233</v>
      </c>
      <c r="AC3640" t="s">
        <v>78</v>
      </c>
    </row>
    <row r="3641" spans="1:30" x14ac:dyDescent="0.25">
      <c r="A3641" s="4">
        <v>42604</v>
      </c>
      <c r="B3641" t="s">
        <v>30</v>
      </c>
      <c r="C3641">
        <v>703</v>
      </c>
      <c r="D3641">
        <v>3</v>
      </c>
      <c r="E3641">
        <v>2</v>
      </c>
      <c r="F3641" t="s">
        <v>31</v>
      </c>
      <c r="G3641" t="s">
        <v>32</v>
      </c>
      <c r="H3641" t="s">
        <v>33</v>
      </c>
      <c r="I3641" t="s">
        <v>34</v>
      </c>
      <c r="J3641" t="s">
        <v>35</v>
      </c>
      <c r="K3641" t="s">
        <v>114</v>
      </c>
      <c r="L3641" t="s">
        <v>37</v>
      </c>
      <c r="M3641">
        <v>0</v>
      </c>
      <c r="N3641">
        <v>0</v>
      </c>
      <c r="O3641" s="5" t="s">
        <v>612</v>
      </c>
      <c r="P3641" s="5" t="s">
        <v>613</v>
      </c>
      <c r="Q3641">
        <f>27-12.5</f>
        <v>14.5</v>
      </c>
      <c r="R3641" t="s">
        <v>38</v>
      </c>
      <c r="S3641" t="s">
        <v>39</v>
      </c>
      <c r="T3641">
        <v>19</v>
      </c>
      <c r="U3641">
        <v>76</v>
      </c>
      <c r="V3641">
        <v>15</v>
      </c>
      <c r="W3641">
        <v>12.7</v>
      </c>
      <c r="X3641">
        <v>26</v>
      </c>
      <c r="Z3641" t="s">
        <v>97</v>
      </c>
      <c r="AB3641" t="s">
        <v>233</v>
      </c>
      <c r="AC3641" t="s">
        <v>78</v>
      </c>
    </row>
    <row r="3642" spans="1:30" x14ac:dyDescent="0.25">
      <c r="A3642" s="4">
        <v>42604</v>
      </c>
      <c r="B3642" t="s">
        <v>30</v>
      </c>
      <c r="C3642">
        <v>703</v>
      </c>
      <c r="D3642">
        <v>4</v>
      </c>
      <c r="E3642">
        <v>1</v>
      </c>
      <c r="F3642" t="s">
        <v>31</v>
      </c>
      <c r="G3642" t="s">
        <v>32</v>
      </c>
      <c r="H3642" t="s">
        <v>33</v>
      </c>
      <c r="I3642" t="s">
        <v>57</v>
      </c>
      <c r="O3642" s="5"/>
      <c r="P3642" s="5"/>
    </row>
    <row r="3643" spans="1:30" x14ac:dyDescent="0.25">
      <c r="A3643" s="4">
        <v>42604</v>
      </c>
      <c r="B3643" t="s">
        <v>30</v>
      </c>
      <c r="C3643">
        <v>703</v>
      </c>
      <c r="D3643">
        <v>4</v>
      </c>
      <c r="E3643">
        <v>2</v>
      </c>
      <c r="F3643" t="s">
        <v>31</v>
      </c>
      <c r="G3643" t="s">
        <v>32</v>
      </c>
      <c r="H3643" t="s">
        <v>33</v>
      </c>
      <c r="I3643" t="s">
        <v>57</v>
      </c>
      <c r="O3643" s="5"/>
      <c r="P3643" s="5"/>
    </row>
    <row r="3644" spans="1:30" x14ac:dyDescent="0.25">
      <c r="A3644" s="4">
        <v>42604</v>
      </c>
      <c r="B3644" t="s">
        <v>30</v>
      </c>
      <c r="C3644">
        <v>703</v>
      </c>
      <c r="D3644">
        <v>5</v>
      </c>
      <c r="E3644">
        <v>1</v>
      </c>
      <c r="F3644" t="s">
        <v>31</v>
      </c>
      <c r="G3644" t="s">
        <v>32</v>
      </c>
      <c r="H3644" t="s">
        <v>33</v>
      </c>
      <c r="I3644" t="s">
        <v>57</v>
      </c>
      <c r="O3644" s="5"/>
      <c r="P3644" s="5"/>
    </row>
    <row r="3645" spans="1:30" x14ac:dyDescent="0.25">
      <c r="A3645" s="4">
        <v>42604</v>
      </c>
      <c r="B3645" t="s">
        <v>30</v>
      </c>
      <c r="C3645">
        <v>703</v>
      </c>
      <c r="D3645">
        <v>5</v>
      </c>
      <c r="E3645">
        <v>2</v>
      </c>
      <c r="F3645" t="s">
        <v>31</v>
      </c>
      <c r="G3645" t="s">
        <v>32</v>
      </c>
      <c r="H3645" t="s">
        <v>33</v>
      </c>
      <c r="I3645" t="s">
        <v>91</v>
      </c>
      <c r="J3645" t="s">
        <v>35</v>
      </c>
      <c r="K3645" t="s">
        <v>36</v>
      </c>
      <c r="L3645" t="s">
        <v>37</v>
      </c>
      <c r="M3645">
        <v>0</v>
      </c>
      <c r="N3645">
        <v>0</v>
      </c>
      <c r="O3645" s="5" t="s">
        <v>914</v>
      </c>
      <c r="P3645" s="5"/>
      <c r="Q3645">
        <f>44.5-12.5</f>
        <v>32</v>
      </c>
      <c r="R3645" t="s">
        <v>81</v>
      </c>
      <c r="S3645" t="s">
        <v>39</v>
      </c>
      <c r="T3645">
        <v>29.5</v>
      </c>
      <c r="W3645">
        <v>13.3</v>
      </c>
      <c r="X3645">
        <v>26.3</v>
      </c>
      <c r="AB3645" t="s">
        <v>233</v>
      </c>
      <c r="AC3645" t="s">
        <v>78</v>
      </c>
    </row>
    <row r="3646" spans="1:30" x14ac:dyDescent="0.25">
      <c r="A3646" s="4">
        <v>42604</v>
      </c>
      <c r="B3646" t="s">
        <v>30</v>
      </c>
      <c r="C3646">
        <v>703</v>
      </c>
      <c r="D3646">
        <v>6</v>
      </c>
      <c r="E3646">
        <v>1</v>
      </c>
      <c r="F3646" t="s">
        <v>31</v>
      </c>
      <c r="G3646" t="s">
        <v>32</v>
      </c>
      <c r="H3646" t="s">
        <v>33</v>
      </c>
      <c r="I3646" t="s">
        <v>91</v>
      </c>
      <c r="J3646" t="s">
        <v>42</v>
      </c>
      <c r="K3646" t="s">
        <v>114</v>
      </c>
      <c r="L3646" t="s">
        <v>43</v>
      </c>
      <c r="M3646">
        <v>0</v>
      </c>
      <c r="N3646">
        <v>1</v>
      </c>
      <c r="O3646" s="5" t="s">
        <v>915</v>
      </c>
      <c r="P3646" s="5"/>
      <c r="Q3646">
        <f>31-12.5</f>
        <v>18.5</v>
      </c>
      <c r="R3646" t="s">
        <v>65</v>
      </c>
      <c r="T3646">
        <v>28.5</v>
      </c>
      <c r="W3646">
        <v>25.5</v>
      </c>
      <c r="X3646">
        <v>24.95</v>
      </c>
      <c r="AB3646" t="s">
        <v>233</v>
      </c>
      <c r="AC3646" t="s">
        <v>78</v>
      </c>
    </row>
    <row r="3647" spans="1:30" x14ac:dyDescent="0.25">
      <c r="A3647" s="4">
        <v>42604</v>
      </c>
      <c r="B3647" t="s">
        <v>30</v>
      </c>
      <c r="C3647">
        <v>703</v>
      </c>
      <c r="D3647">
        <v>7</v>
      </c>
      <c r="E3647">
        <v>1</v>
      </c>
      <c r="F3647" t="s">
        <v>31</v>
      </c>
      <c r="G3647" t="s">
        <v>32</v>
      </c>
      <c r="H3647" t="s">
        <v>33</v>
      </c>
      <c r="I3647" t="s">
        <v>57</v>
      </c>
      <c r="O3647" s="5"/>
      <c r="P3647" s="5"/>
    </row>
    <row r="3648" spans="1:30" x14ac:dyDescent="0.25">
      <c r="A3648" s="4">
        <v>42604</v>
      </c>
      <c r="B3648" t="s">
        <v>30</v>
      </c>
      <c r="C3648">
        <v>703</v>
      </c>
      <c r="D3648">
        <v>7</v>
      </c>
      <c r="E3648">
        <v>2</v>
      </c>
      <c r="F3648" t="s">
        <v>31</v>
      </c>
      <c r="G3648" t="s">
        <v>32</v>
      </c>
      <c r="H3648" t="s">
        <v>33</v>
      </c>
      <c r="I3648" t="s">
        <v>58</v>
      </c>
      <c r="J3648" t="s">
        <v>35</v>
      </c>
      <c r="K3648" t="s">
        <v>36</v>
      </c>
      <c r="L3648" t="s">
        <v>37</v>
      </c>
      <c r="M3648">
        <v>0</v>
      </c>
      <c r="N3648">
        <v>0</v>
      </c>
      <c r="O3648" s="5" t="s">
        <v>575</v>
      </c>
      <c r="P3648" s="5"/>
      <c r="Q3648">
        <f>32.5-13</f>
        <v>19.5</v>
      </c>
      <c r="R3648" t="s">
        <v>38</v>
      </c>
      <c r="S3648" t="s">
        <v>39</v>
      </c>
      <c r="T3648">
        <v>17</v>
      </c>
      <c r="W3648">
        <v>12.5</v>
      </c>
      <c r="X3648">
        <v>25</v>
      </c>
      <c r="Z3648" t="s">
        <v>97</v>
      </c>
      <c r="AB3648" t="s">
        <v>233</v>
      </c>
      <c r="AC3648" t="s">
        <v>78</v>
      </c>
    </row>
    <row r="3649" spans="1:29" x14ac:dyDescent="0.25">
      <c r="A3649" s="4">
        <v>42604</v>
      </c>
      <c r="B3649" t="s">
        <v>30</v>
      </c>
      <c r="C3649">
        <v>703</v>
      </c>
      <c r="D3649">
        <v>8</v>
      </c>
      <c r="E3649">
        <v>1</v>
      </c>
      <c r="F3649" t="s">
        <v>31</v>
      </c>
      <c r="G3649" t="s">
        <v>32</v>
      </c>
      <c r="H3649" t="s">
        <v>33</v>
      </c>
      <c r="I3649" t="s">
        <v>58</v>
      </c>
      <c r="J3649" t="s">
        <v>42</v>
      </c>
      <c r="K3649" t="s">
        <v>114</v>
      </c>
      <c r="L3649" t="s">
        <v>37</v>
      </c>
      <c r="M3649">
        <v>0</v>
      </c>
      <c r="N3649">
        <v>1</v>
      </c>
      <c r="O3649" s="5" t="s">
        <v>916</v>
      </c>
      <c r="P3649" s="5"/>
      <c r="Q3649">
        <f>28.5-13</f>
        <v>15.5</v>
      </c>
      <c r="R3649" t="s">
        <v>38</v>
      </c>
      <c r="S3649" t="s">
        <v>39</v>
      </c>
      <c r="T3649">
        <v>19</v>
      </c>
      <c r="W3649">
        <v>12.75</v>
      </c>
      <c r="X3649">
        <v>26.5</v>
      </c>
      <c r="Z3649" t="s">
        <v>97</v>
      </c>
      <c r="AB3649" t="s">
        <v>233</v>
      </c>
      <c r="AC3649" t="s">
        <v>78</v>
      </c>
    </row>
    <row r="3650" spans="1:29" x14ac:dyDescent="0.25">
      <c r="A3650" s="4">
        <v>42604</v>
      </c>
      <c r="B3650" t="s">
        <v>30</v>
      </c>
      <c r="C3650">
        <v>703</v>
      </c>
      <c r="D3650">
        <v>8</v>
      </c>
      <c r="E3650">
        <v>2</v>
      </c>
      <c r="F3650" t="s">
        <v>31</v>
      </c>
      <c r="G3650" t="s">
        <v>32</v>
      </c>
      <c r="H3650" t="s">
        <v>33</v>
      </c>
      <c r="I3650" t="s">
        <v>58</v>
      </c>
      <c r="J3650" t="s">
        <v>35</v>
      </c>
      <c r="K3650" t="s">
        <v>114</v>
      </c>
      <c r="L3650" t="s">
        <v>37</v>
      </c>
      <c r="M3650">
        <v>0</v>
      </c>
      <c r="N3650">
        <v>0</v>
      </c>
      <c r="O3650" s="5" t="s">
        <v>620</v>
      </c>
      <c r="P3650" s="5"/>
      <c r="Q3650">
        <f>28-13</f>
        <v>15</v>
      </c>
      <c r="R3650" t="s">
        <v>38</v>
      </c>
      <c r="S3650" t="s">
        <v>39</v>
      </c>
      <c r="T3650">
        <v>16</v>
      </c>
      <c r="W3650">
        <v>12.8</v>
      </c>
      <c r="X3650">
        <v>24.2</v>
      </c>
      <c r="Z3650" t="s">
        <v>97</v>
      </c>
      <c r="AB3650" t="s">
        <v>233</v>
      </c>
      <c r="AC3650" t="s">
        <v>78</v>
      </c>
    </row>
    <row r="3651" spans="1:29" x14ac:dyDescent="0.25">
      <c r="A3651" s="4">
        <v>42604</v>
      </c>
      <c r="B3651" t="s">
        <v>30</v>
      </c>
      <c r="C3651">
        <v>703</v>
      </c>
      <c r="D3651">
        <v>9</v>
      </c>
      <c r="E3651">
        <v>1</v>
      </c>
      <c r="F3651" t="s">
        <v>31</v>
      </c>
      <c r="G3651" t="s">
        <v>32</v>
      </c>
      <c r="H3651" t="s">
        <v>33</v>
      </c>
      <c r="I3651" t="s">
        <v>57</v>
      </c>
      <c r="O3651" s="5"/>
      <c r="P3651" s="5"/>
    </row>
    <row r="3652" spans="1:29" x14ac:dyDescent="0.25">
      <c r="A3652" s="4">
        <v>42604</v>
      </c>
      <c r="B3652" t="s">
        <v>30</v>
      </c>
      <c r="C3652">
        <v>703</v>
      </c>
      <c r="D3652">
        <v>9</v>
      </c>
      <c r="E3652">
        <v>2</v>
      </c>
      <c r="F3652" t="s">
        <v>31</v>
      </c>
      <c r="G3652" t="s">
        <v>32</v>
      </c>
      <c r="H3652" t="s">
        <v>33</v>
      </c>
      <c r="I3652" t="s">
        <v>34</v>
      </c>
      <c r="J3652" t="s">
        <v>35</v>
      </c>
      <c r="K3652" t="s">
        <v>36</v>
      </c>
      <c r="L3652" t="s">
        <v>43</v>
      </c>
      <c r="M3652">
        <v>0</v>
      </c>
      <c r="N3652">
        <v>0</v>
      </c>
      <c r="O3652" s="5" t="s">
        <v>569</v>
      </c>
      <c r="P3652" s="5" t="s">
        <v>570</v>
      </c>
      <c r="Q3652">
        <f>36.5-14</f>
        <v>22.5</v>
      </c>
      <c r="R3652" t="s">
        <v>65</v>
      </c>
      <c r="T3652">
        <v>20</v>
      </c>
      <c r="U3652">
        <v>94</v>
      </c>
      <c r="V3652">
        <v>19</v>
      </c>
      <c r="W3652">
        <v>13.8</v>
      </c>
      <c r="X3652">
        <v>27.5</v>
      </c>
      <c r="Y3652" t="s">
        <v>917</v>
      </c>
      <c r="AB3652" t="s">
        <v>233</v>
      </c>
      <c r="AC3652" t="s">
        <v>78</v>
      </c>
    </row>
    <row r="3653" spans="1:29" x14ac:dyDescent="0.25">
      <c r="A3653" s="4">
        <v>42604</v>
      </c>
      <c r="B3653" t="s">
        <v>30</v>
      </c>
      <c r="C3653">
        <v>703</v>
      </c>
      <c r="D3653">
        <v>10</v>
      </c>
      <c r="E3653">
        <v>1</v>
      </c>
      <c r="F3653" t="s">
        <v>31</v>
      </c>
      <c r="G3653" t="s">
        <v>32</v>
      </c>
      <c r="H3653" t="s">
        <v>33</v>
      </c>
      <c r="I3653" t="s">
        <v>57</v>
      </c>
      <c r="O3653" s="5"/>
      <c r="P3653" s="5"/>
    </row>
    <row r="3654" spans="1:29" x14ac:dyDescent="0.25">
      <c r="A3654" s="4">
        <v>42604</v>
      </c>
      <c r="B3654" t="s">
        <v>30</v>
      </c>
      <c r="C3654">
        <v>703</v>
      </c>
      <c r="D3654">
        <v>10</v>
      </c>
      <c r="E3654">
        <v>2</v>
      </c>
      <c r="F3654" t="s">
        <v>31</v>
      </c>
      <c r="G3654" t="s">
        <v>32</v>
      </c>
      <c r="H3654" t="s">
        <v>33</v>
      </c>
      <c r="I3654" t="s">
        <v>34</v>
      </c>
      <c r="J3654" t="s">
        <v>35</v>
      </c>
      <c r="K3654" t="s">
        <v>114</v>
      </c>
      <c r="L3654" t="s">
        <v>37</v>
      </c>
      <c r="M3654">
        <v>0</v>
      </c>
      <c r="N3654">
        <v>0</v>
      </c>
      <c r="O3654" s="5" t="s">
        <v>614</v>
      </c>
      <c r="P3654" s="5" t="s">
        <v>615</v>
      </c>
      <c r="Q3654">
        <f>27-13</f>
        <v>14</v>
      </c>
      <c r="R3654" t="s">
        <v>38</v>
      </c>
      <c r="S3654" t="s">
        <v>39</v>
      </c>
      <c r="T3654">
        <v>18</v>
      </c>
      <c r="U3654">
        <v>74.5</v>
      </c>
      <c r="V3654">
        <v>14</v>
      </c>
      <c r="W3654">
        <v>12.7</v>
      </c>
      <c r="X3654">
        <v>24.2</v>
      </c>
      <c r="AB3654" t="s">
        <v>233</v>
      </c>
      <c r="AC3654" t="s">
        <v>78</v>
      </c>
    </row>
    <row r="3655" spans="1:29" x14ac:dyDescent="0.25">
      <c r="A3655" s="4">
        <v>42604</v>
      </c>
      <c r="B3655" t="s">
        <v>30</v>
      </c>
      <c r="C3655">
        <v>701</v>
      </c>
      <c r="D3655">
        <v>1</v>
      </c>
      <c r="E3655">
        <v>1</v>
      </c>
      <c r="F3655" t="s">
        <v>31</v>
      </c>
      <c r="G3655" t="s">
        <v>32</v>
      </c>
      <c r="H3655" t="s">
        <v>33</v>
      </c>
      <c r="I3655" t="s">
        <v>53</v>
      </c>
      <c r="J3655" t="s">
        <v>62</v>
      </c>
      <c r="O3655" s="5"/>
      <c r="P3655" s="5"/>
    </row>
    <row r="3656" spans="1:29" x14ac:dyDescent="0.25">
      <c r="A3656" s="4">
        <v>42604</v>
      </c>
      <c r="B3656" t="s">
        <v>30</v>
      </c>
      <c r="C3656">
        <v>701</v>
      </c>
      <c r="D3656">
        <v>1</v>
      </c>
      <c r="E3656">
        <v>2</v>
      </c>
      <c r="F3656" t="s">
        <v>31</v>
      </c>
      <c r="G3656" t="s">
        <v>32</v>
      </c>
      <c r="H3656" t="s">
        <v>33</v>
      </c>
      <c r="I3656" t="s">
        <v>34</v>
      </c>
      <c r="J3656" t="s">
        <v>35</v>
      </c>
      <c r="K3656" t="s">
        <v>114</v>
      </c>
      <c r="L3656" t="s">
        <v>43</v>
      </c>
      <c r="M3656">
        <v>0</v>
      </c>
      <c r="N3656">
        <v>0</v>
      </c>
      <c r="O3656" s="5" t="s">
        <v>585</v>
      </c>
      <c r="P3656" s="5" t="s">
        <v>586</v>
      </c>
      <c r="Q3656">
        <f>33-17</f>
        <v>16</v>
      </c>
      <c r="R3656" t="s">
        <v>65</v>
      </c>
      <c r="T3656">
        <v>19</v>
      </c>
      <c r="U3656">
        <v>82</v>
      </c>
      <c r="V3656">
        <v>17</v>
      </c>
      <c r="W3656">
        <v>15</v>
      </c>
      <c r="X3656">
        <v>25.5</v>
      </c>
      <c r="AB3656" t="s">
        <v>233</v>
      </c>
      <c r="AC3656" t="s">
        <v>78</v>
      </c>
    </row>
    <row r="3657" spans="1:29" x14ac:dyDescent="0.25">
      <c r="A3657" s="4">
        <v>42604</v>
      </c>
      <c r="B3657" t="s">
        <v>30</v>
      </c>
      <c r="C3657">
        <v>701</v>
      </c>
      <c r="D3657">
        <v>2</v>
      </c>
      <c r="E3657">
        <v>1</v>
      </c>
      <c r="F3657" t="s">
        <v>31</v>
      </c>
      <c r="G3657" t="s">
        <v>32</v>
      </c>
      <c r="H3657" t="s">
        <v>33</v>
      </c>
      <c r="I3657" t="s">
        <v>57</v>
      </c>
      <c r="O3657" s="5"/>
      <c r="P3657" s="5"/>
    </row>
    <row r="3658" spans="1:29" x14ac:dyDescent="0.25">
      <c r="A3658" s="4">
        <v>42604</v>
      </c>
      <c r="B3658" t="s">
        <v>30</v>
      </c>
      <c r="C3658">
        <v>701</v>
      </c>
      <c r="D3658">
        <v>2</v>
      </c>
      <c r="E3658">
        <v>2</v>
      </c>
      <c r="F3658" t="s">
        <v>31</v>
      </c>
      <c r="G3658" t="s">
        <v>32</v>
      </c>
      <c r="H3658" t="s">
        <v>33</v>
      </c>
      <c r="I3658" t="s">
        <v>91</v>
      </c>
      <c r="J3658" t="s">
        <v>42</v>
      </c>
      <c r="K3658" t="s">
        <v>36</v>
      </c>
      <c r="L3658" t="s">
        <v>37</v>
      </c>
      <c r="M3658">
        <v>0</v>
      </c>
      <c r="N3658">
        <v>1</v>
      </c>
      <c r="O3658" s="5" t="s">
        <v>918</v>
      </c>
      <c r="P3658" s="5"/>
      <c r="Q3658">
        <f>41-13</f>
        <v>28</v>
      </c>
      <c r="R3658" t="s">
        <v>74</v>
      </c>
      <c r="S3658" t="s">
        <v>97</v>
      </c>
      <c r="T3658">
        <v>29</v>
      </c>
      <c r="W3658">
        <v>13.3</v>
      </c>
      <c r="X3658">
        <v>24</v>
      </c>
      <c r="AB3658" t="s">
        <v>233</v>
      </c>
      <c r="AC3658" t="s">
        <v>78</v>
      </c>
    </row>
    <row r="3659" spans="1:29" x14ac:dyDescent="0.25">
      <c r="A3659" s="4">
        <v>42604</v>
      </c>
      <c r="B3659" t="s">
        <v>30</v>
      </c>
      <c r="C3659">
        <v>701</v>
      </c>
      <c r="D3659">
        <v>3</v>
      </c>
      <c r="E3659">
        <v>1</v>
      </c>
      <c r="F3659" t="s">
        <v>31</v>
      </c>
      <c r="G3659" t="s">
        <v>32</v>
      </c>
      <c r="H3659" t="s">
        <v>33</v>
      </c>
      <c r="I3659" t="s">
        <v>57</v>
      </c>
      <c r="O3659" s="5"/>
      <c r="P3659" s="5"/>
    </row>
    <row r="3660" spans="1:29" x14ac:dyDescent="0.25">
      <c r="A3660" s="4">
        <v>42604</v>
      </c>
      <c r="B3660" t="s">
        <v>30</v>
      </c>
      <c r="C3660">
        <v>701</v>
      </c>
      <c r="D3660">
        <v>3</v>
      </c>
      <c r="E3660">
        <v>2</v>
      </c>
      <c r="F3660" t="s">
        <v>31</v>
      </c>
      <c r="G3660" t="s">
        <v>32</v>
      </c>
      <c r="H3660" t="s">
        <v>33</v>
      </c>
      <c r="I3660" t="s">
        <v>34</v>
      </c>
      <c r="J3660" t="s">
        <v>35</v>
      </c>
      <c r="K3660" t="s">
        <v>114</v>
      </c>
      <c r="L3660" t="s">
        <v>43</v>
      </c>
      <c r="M3660">
        <v>0</v>
      </c>
      <c r="N3660">
        <v>0</v>
      </c>
      <c r="O3660" s="5" t="s">
        <v>588</v>
      </c>
      <c r="P3660" s="5" t="s">
        <v>589</v>
      </c>
      <c r="Q3660">
        <f>30-13</f>
        <v>17</v>
      </c>
      <c r="R3660" t="s">
        <v>65</v>
      </c>
      <c r="T3660">
        <v>18</v>
      </c>
      <c r="U3660">
        <v>80</v>
      </c>
      <c r="V3660">
        <v>16</v>
      </c>
      <c r="W3660">
        <v>12.8</v>
      </c>
      <c r="X3660">
        <v>25.2</v>
      </c>
      <c r="Y3660" t="s">
        <v>919</v>
      </c>
      <c r="Z3660" t="s">
        <v>97</v>
      </c>
      <c r="AB3660" t="s">
        <v>233</v>
      </c>
      <c r="AC3660" t="s">
        <v>78</v>
      </c>
    </row>
    <row r="3661" spans="1:29" x14ac:dyDescent="0.25">
      <c r="A3661" s="4">
        <v>42604</v>
      </c>
      <c r="B3661" t="s">
        <v>30</v>
      </c>
      <c r="C3661">
        <v>701</v>
      </c>
      <c r="D3661">
        <v>4</v>
      </c>
      <c r="E3661">
        <v>1</v>
      </c>
      <c r="F3661" t="s">
        <v>31</v>
      </c>
      <c r="G3661" t="s">
        <v>32</v>
      </c>
      <c r="H3661" t="s">
        <v>33</v>
      </c>
      <c r="I3661" t="s">
        <v>91</v>
      </c>
      <c r="J3661" t="s">
        <v>42</v>
      </c>
      <c r="K3661" t="s">
        <v>36</v>
      </c>
      <c r="L3661" t="s">
        <v>43</v>
      </c>
      <c r="M3661">
        <v>0</v>
      </c>
      <c r="N3661">
        <v>1</v>
      </c>
      <c r="O3661" s="5" t="s">
        <v>920</v>
      </c>
      <c r="P3661" s="5"/>
      <c r="Q3661">
        <f>34.5-13</f>
        <v>21.5</v>
      </c>
      <c r="R3661" t="s">
        <v>65</v>
      </c>
      <c r="T3661">
        <v>29</v>
      </c>
      <c r="W3661">
        <v>12.5</v>
      </c>
      <c r="X3661">
        <v>24.95</v>
      </c>
      <c r="AB3661" t="s">
        <v>233</v>
      </c>
      <c r="AC3661" t="s">
        <v>78</v>
      </c>
    </row>
    <row r="3662" spans="1:29" x14ac:dyDescent="0.25">
      <c r="A3662" s="4">
        <v>42604</v>
      </c>
      <c r="B3662" t="s">
        <v>30</v>
      </c>
      <c r="C3662">
        <v>701</v>
      </c>
      <c r="D3662">
        <v>4</v>
      </c>
      <c r="E3662">
        <v>2</v>
      </c>
      <c r="F3662" t="s">
        <v>31</v>
      </c>
      <c r="G3662" t="s">
        <v>32</v>
      </c>
      <c r="H3662" t="s">
        <v>33</v>
      </c>
      <c r="I3662" t="s">
        <v>53</v>
      </c>
      <c r="J3662" t="s">
        <v>62</v>
      </c>
      <c r="O3662" s="5"/>
      <c r="P3662" s="5"/>
      <c r="AB3662" t="s">
        <v>233</v>
      </c>
      <c r="AC3662" t="s">
        <v>78</v>
      </c>
    </row>
    <row r="3663" spans="1:29" x14ac:dyDescent="0.25">
      <c r="A3663" s="4">
        <v>42604</v>
      </c>
      <c r="B3663" t="s">
        <v>30</v>
      </c>
      <c r="C3663">
        <v>701</v>
      </c>
      <c r="D3663">
        <v>5</v>
      </c>
      <c r="E3663">
        <v>1</v>
      </c>
      <c r="F3663" t="s">
        <v>31</v>
      </c>
      <c r="G3663" t="s">
        <v>32</v>
      </c>
      <c r="H3663" t="s">
        <v>33</v>
      </c>
      <c r="I3663" t="s">
        <v>57</v>
      </c>
      <c r="O3663" s="5"/>
      <c r="P3663" s="5"/>
    </row>
    <row r="3664" spans="1:29" x14ac:dyDescent="0.25">
      <c r="A3664" s="4">
        <v>42604</v>
      </c>
      <c r="B3664" t="s">
        <v>30</v>
      </c>
      <c r="C3664">
        <v>701</v>
      </c>
      <c r="D3664">
        <v>5</v>
      </c>
      <c r="E3664">
        <v>2</v>
      </c>
      <c r="F3664" t="s">
        <v>31</v>
      </c>
      <c r="G3664" t="s">
        <v>32</v>
      </c>
      <c r="H3664" t="s">
        <v>33</v>
      </c>
      <c r="I3664" t="s">
        <v>34</v>
      </c>
      <c r="J3664" t="s">
        <v>35</v>
      </c>
      <c r="K3664" t="s">
        <v>114</v>
      </c>
      <c r="L3664" t="s">
        <v>43</v>
      </c>
      <c r="M3664">
        <v>0</v>
      </c>
      <c r="N3664">
        <v>0</v>
      </c>
      <c r="O3664" s="5" t="s">
        <v>593</v>
      </c>
      <c r="P3664" s="5" t="s">
        <v>594</v>
      </c>
      <c r="Q3664">
        <f>33-15</f>
        <v>18</v>
      </c>
      <c r="R3664" t="s">
        <v>65</v>
      </c>
      <c r="T3664">
        <v>19</v>
      </c>
      <c r="U3664">
        <v>85</v>
      </c>
      <c r="V3664">
        <v>17</v>
      </c>
      <c r="W3664">
        <v>13.1</v>
      </c>
      <c r="X3664">
        <v>28.2</v>
      </c>
      <c r="Z3664" t="s">
        <v>97</v>
      </c>
      <c r="AB3664" t="s">
        <v>233</v>
      </c>
      <c r="AC3664" t="s">
        <v>78</v>
      </c>
    </row>
    <row r="3665" spans="1:30" x14ac:dyDescent="0.25">
      <c r="A3665" s="4">
        <v>42604</v>
      </c>
      <c r="B3665" t="s">
        <v>30</v>
      </c>
      <c r="C3665">
        <v>701</v>
      </c>
      <c r="D3665">
        <v>6</v>
      </c>
      <c r="E3665">
        <v>1</v>
      </c>
      <c r="F3665" t="s">
        <v>31</v>
      </c>
      <c r="G3665" t="s">
        <v>32</v>
      </c>
      <c r="H3665" t="s">
        <v>33</v>
      </c>
      <c r="I3665" t="s">
        <v>34</v>
      </c>
      <c r="J3665" t="s">
        <v>35</v>
      </c>
      <c r="K3665" t="s">
        <v>36</v>
      </c>
      <c r="L3665" t="s">
        <v>37</v>
      </c>
      <c r="M3665">
        <v>0</v>
      </c>
      <c r="N3665">
        <v>0</v>
      </c>
      <c r="O3665" s="5" t="s">
        <v>591</v>
      </c>
      <c r="P3665" s="5" t="s">
        <v>592</v>
      </c>
      <c r="Q3665">
        <f>36-15.5</f>
        <v>20.5</v>
      </c>
      <c r="R3665" t="s">
        <v>38</v>
      </c>
      <c r="S3665" t="s">
        <v>39</v>
      </c>
      <c r="T3665">
        <v>18</v>
      </c>
      <c r="U3665">
        <v>86</v>
      </c>
      <c r="V3665">
        <v>14</v>
      </c>
      <c r="W3665">
        <v>13</v>
      </c>
      <c r="X3665">
        <v>26.4</v>
      </c>
      <c r="Z3665" t="s">
        <v>97</v>
      </c>
      <c r="AB3665" t="s">
        <v>233</v>
      </c>
      <c r="AC3665" t="s">
        <v>78</v>
      </c>
      <c r="AD3665" t="s">
        <v>537</v>
      </c>
    </row>
    <row r="3666" spans="1:30" x14ac:dyDescent="0.25">
      <c r="A3666" s="4">
        <v>42604</v>
      </c>
      <c r="B3666" t="s">
        <v>30</v>
      </c>
      <c r="C3666">
        <v>701</v>
      </c>
      <c r="D3666">
        <v>6</v>
      </c>
      <c r="E3666">
        <v>2</v>
      </c>
      <c r="F3666" t="s">
        <v>31</v>
      </c>
      <c r="G3666" t="s">
        <v>32</v>
      </c>
      <c r="H3666" t="s">
        <v>33</v>
      </c>
      <c r="I3666" t="s">
        <v>34</v>
      </c>
      <c r="J3666" t="s">
        <v>35</v>
      </c>
      <c r="K3666" t="s">
        <v>36</v>
      </c>
      <c r="L3666" t="s">
        <v>37</v>
      </c>
      <c r="M3666">
        <v>0</v>
      </c>
      <c r="N3666">
        <v>0</v>
      </c>
      <c r="O3666" s="5" t="s">
        <v>629</v>
      </c>
      <c r="P3666" s="5" t="s">
        <v>630</v>
      </c>
      <c r="Q3666">
        <f>30.5-15</f>
        <v>15.5</v>
      </c>
      <c r="R3666" t="s">
        <v>65</v>
      </c>
      <c r="T3666">
        <v>19</v>
      </c>
      <c r="U3666">
        <v>85</v>
      </c>
      <c r="V3666">
        <v>16</v>
      </c>
      <c r="W3666">
        <v>12.6</v>
      </c>
      <c r="X3666">
        <v>25.3</v>
      </c>
      <c r="Y3666" t="s">
        <v>921</v>
      </c>
      <c r="Z3666" t="s">
        <v>97</v>
      </c>
      <c r="AB3666" t="s">
        <v>233</v>
      </c>
      <c r="AC3666" t="s">
        <v>78</v>
      </c>
    </row>
    <row r="3667" spans="1:30" x14ac:dyDescent="0.25">
      <c r="A3667" s="4">
        <v>42604</v>
      </c>
      <c r="B3667" t="s">
        <v>30</v>
      </c>
      <c r="C3667">
        <v>701</v>
      </c>
      <c r="D3667">
        <v>7</v>
      </c>
      <c r="E3667">
        <v>1</v>
      </c>
      <c r="F3667" t="s">
        <v>31</v>
      </c>
      <c r="G3667" t="s">
        <v>32</v>
      </c>
      <c r="H3667" t="s">
        <v>33</v>
      </c>
      <c r="I3667" t="s">
        <v>57</v>
      </c>
      <c r="O3667" s="5"/>
      <c r="P3667" s="5"/>
    </row>
    <row r="3668" spans="1:30" x14ac:dyDescent="0.25">
      <c r="A3668" s="4">
        <v>42604</v>
      </c>
      <c r="B3668" t="s">
        <v>30</v>
      </c>
      <c r="C3668">
        <v>701</v>
      </c>
      <c r="D3668">
        <v>7</v>
      </c>
      <c r="E3668">
        <v>2</v>
      </c>
      <c r="F3668" t="s">
        <v>31</v>
      </c>
      <c r="G3668" t="s">
        <v>32</v>
      </c>
      <c r="H3668" t="s">
        <v>33</v>
      </c>
      <c r="I3668" t="s">
        <v>57</v>
      </c>
      <c r="O3668" s="5"/>
      <c r="P3668" s="5"/>
    </row>
    <row r="3669" spans="1:30" x14ac:dyDescent="0.25">
      <c r="A3669" s="4">
        <v>42604</v>
      </c>
      <c r="B3669" t="s">
        <v>30</v>
      </c>
      <c r="C3669">
        <v>701</v>
      </c>
      <c r="D3669">
        <v>8</v>
      </c>
      <c r="E3669">
        <v>1</v>
      </c>
      <c r="F3669" t="s">
        <v>31</v>
      </c>
      <c r="G3669" t="s">
        <v>32</v>
      </c>
      <c r="H3669" t="s">
        <v>33</v>
      </c>
      <c r="I3669" t="s">
        <v>57</v>
      </c>
      <c r="O3669" s="5"/>
      <c r="P3669" s="5"/>
    </row>
    <row r="3670" spans="1:30" x14ac:dyDescent="0.25">
      <c r="A3670" s="4">
        <v>42604</v>
      </c>
      <c r="B3670" t="s">
        <v>30</v>
      </c>
      <c r="C3670">
        <v>701</v>
      </c>
      <c r="D3670">
        <v>8</v>
      </c>
      <c r="E3670">
        <v>2</v>
      </c>
      <c r="F3670" t="s">
        <v>31</v>
      </c>
      <c r="G3670" t="s">
        <v>32</v>
      </c>
      <c r="H3670" t="s">
        <v>33</v>
      </c>
      <c r="I3670" t="s">
        <v>91</v>
      </c>
      <c r="J3670" t="s">
        <v>42</v>
      </c>
      <c r="K3670" t="s">
        <v>36</v>
      </c>
      <c r="L3670" t="s">
        <v>37</v>
      </c>
      <c r="M3670">
        <v>0</v>
      </c>
      <c r="N3670">
        <v>1</v>
      </c>
      <c r="O3670" s="5" t="s">
        <v>922</v>
      </c>
      <c r="P3670" s="5"/>
      <c r="Q3670">
        <f>37-16.5</f>
        <v>20.5</v>
      </c>
      <c r="R3670" t="s">
        <v>38</v>
      </c>
      <c r="S3670" t="s">
        <v>39</v>
      </c>
      <c r="T3670">
        <v>28.5</v>
      </c>
      <c r="W3670">
        <v>12.4</v>
      </c>
      <c r="X3670">
        <v>24.3</v>
      </c>
      <c r="Z3670" t="s">
        <v>97</v>
      </c>
      <c r="AB3670" t="s">
        <v>233</v>
      </c>
      <c r="AC3670" t="s">
        <v>78</v>
      </c>
    </row>
    <row r="3671" spans="1:30" x14ac:dyDescent="0.25">
      <c r="A3671" s="4">
        <v>42604</v>
      </c>
      <c r="B3671" t="s">
        <v>30</v>
      </c>
      <c r="C3671">
        <v>701</v>
      </c>
      <c r="D3671">
        <v>9</v>
      </c>
      <c r="E3671">
        <v>1</v>
      </c>
      <c r="F3671" t="s">
        <v>31</v>
      </c>
      <c r="G3671" t="s">
        <v>32</v>
      </c>
      <c r="H3671" t="s">
        <v>33</v>
      </c>
      <c r="I3671" t="s">
        <v>57</v>
      </c>
      <c r="O3671" s="5"/>
      <c r="P3671" s="5"/>
    </row>
    <row r="3672" spans="1:30" x14ac:dyDescent="0.25">
      <c r="A3672" s="4">
        <v>42604</v>
      </c>
      <c r="B3672" t="s">
        <v>30</v>
      </c>
      <c r="C3672">
        <v>701</v>
      </c>
      <c r="D3672">
        <v>9</v>
      </c>
      <c r="E3672">
        <v>2</v>
      </c>
      <c r="F3672" t="s">
        <v>31</v>
      </c>
      <c r="G3672" t="s">
        <v>32</v>
      </c>
      <c r="H3672" t="s">
        <v>33</v>
      </c>
      <c r="I3672" t="s">
        <v>34</v>
      </c>
      <c r="J3672" t="s">
        <v>35</v>
      </c>
      <c r="K3672" t="s">
        <v>114</v>
      </c>
      <c r="L3672" t="s">
        <v>43</v>
      </c>
      <c r="M3672">
        <v>0</v>
      </c>
      <c r="N3672">
        <v>0</v>
      </c>
      <c r="O3672" s="5" t="s">
        <v>597</v>
      </c>
      <c r="P3672" s="5" t="s">
        <v>598</v>
      </c>
      <c r="Q3672">
        <f>34-16</f>
        <v>18</v>
      </c>
      <c r="R3672" t="s">
        <v>65</v>
      </c>
      <c r="T3672">
        <v>19</v>
      </c>
      <c r="U3672">
        <v>85</v>
      </c>
      <c r="V3672">
        <v>15.5</v>
      </c>
      <c r="W3672">
        <v>13.1</v>
      </c>
      <c r="X3672">
        <v>26.6</v>
      </c>
      <c r="Z3672" t="s">
        <v>97</v>
      </c>
      <c r="AB3672" t="s">
        <v>233</v>
      </c>
      <c r="AC3672" t="s">
        <v>78</v>
      </c>
    </row>
    <row r="3673" spans="1:30" x14ac:dyDescent="0.25">
      <c r="A3673" s="4">
        <v>42604</v>
      </c>
      <c r="B3673" t="s">
        <v>30</v>
      </c>
      <c r="C3673">
        <v>801</v>
      </c>
      <c r="D3673">
        <v>1</v>
      </c>
      <c r="E3673">
        <v>1</v>
      </c>
      <c r="F3673" t="s">
        <v>31</v>
      </c>
      <c r="G3673" t="s">
        <v>32</v>
      </c>
      <c r="H3673" t="s">
        <v>33</v>
      </c>
      <c r="I3673" t="s">
        <v>57</v>
      </c>
      <c r="O3673" s="5"/>
      <c r="P3673" s="5"/>
    </row>
    <row r="3674" spans="1:30" x14ac:dyDescent="0.25">
      <c r="A3674" s="4">
        <v>42604</v>
      </c>
      <c r="B3674" t="s">
        <v>30</v>
      </c>
      <c r="C3674">
        <v>801</v>
      </c>
      <c r="D3674">
        <v>1</v>
      </c>
      <c r="E3674">
        <v>2</v>
      </c>
      <c r="F3674" t="s">
        <v>31</v>
      </c>
      <c r="G3674" t="s">
        <v>32</v>
      </c>
      <c r="H3674" t="s">
        <v>33</v>
      </c>
      <c r="I3674" t="s">
        <v>57</v>
      </c>
      <c r="O3674" s="5"/>
      <c r="P3674" s="5"/>
    </row>
    <row r="3675" spans="1:30" x14ac:dyDescent="0.25">
      <c r="A3675" s="4">
        <v>42604</v>
      </c>
      <c r="B3675" t="s">
        <v>30</v>
      </c>
      <c r="C3675">
        <v>801</v>
      </c>
      <c r="D3675">
        <v>2</v>
      </c>
      <c r="E3675">
        <v>1</v>
      </c>
      <c r="F3675" t="s">
        <v>31</v>
      </c>
      <c r="G3675" t="s">
        <v>32</v>
      </c>
      <c r="H3675" t="s">
        <v>33</v>
      </c>
      <c r="I3675" t="s">
        <v>58</v>
      </c>
      <c r="J3675" t="s">
        <v>42</v>
      </c>
      <c r="K3675" t="s">
        <v>89</v>
      </c>
      <c r="L3675" t="s">
        <v>37</v>
      </c>
      <c r="M3675">
        <v>0</v>
      </c>
      <c r="N3675">
        <v>1</v>
      </c>
      <c r="O3675" s="5" t="s">
        <v>923</v>
      </c>
      <c r="P3675" s="5"/>
      <c r="Q3675">
        <f>31.5-14.5</f>
        <v>17</v>
      </c>
      <c r="R3675" t="s">
        <v>38</v>
      </c>
      <c r="S3675" t="s">
        <v>39</v>
      </c>
      <c r="T3675">
        <v>17</v>
      </c>
      <c r="W3675">
        <v>12.35</v>
      </c>
      <c r="X3675">
        <v>25.6</v>
      </c>
      <c r="AB3675" t="s">
        <v>233</v>
      </c>
      <c r="AC3675" t="s">
        <v>78</v>
      </c>
    </row>
    <row r="3676" spans="1:30" x14ac:dyDescent="0.25">
      <c r="A3676" s="4">
        <v>42604</v>
      </c>
      <c r="B3676" t="s">
        <v>30</v>
      </c>
      <c r="C3676">
        <v>801</v>
      </c>
      <c r="D3676">
        <v>3</v>
      </c>
      <c r="E3676">
        <v>1</v>
      </c>
      <c r="F3676" t="s">
        <v>31</v>
      </c>
      <c r="G3676" t="s">
        <v>32</v>
      </c>
      <c r="H3676" t="s">
        <v>33</v>
      </c>
      <c r="I3676" t="s">
        <v>57</v>
      </c>
      <c r="O3676" s="5"/>
      <c r="P3676" s="5"/>
    </row>
    <row r="3677" spans="1:30" x14ac:dyDescent="0.25">
      <c r="A3677" s="4">
        <v>42604</v>
      </c>
      <c r="B3677" t="s">
        <v>30</v>
      </c>
      <c r="C3677">
        <v>801</v>
      </c>
      <c r="D3677">
        <v>3</v>
      </c>
      <c r="E3677">
        <v>2</v>
      </c>
      <c r="F3677" t="s">
        <v>31</v>
      </c>
      <c r="G3677" t="s">
        <v>32</v>
      </c>
      <c r="H3677" t="s">
        <v>33</v>
      </c>
      <c r="I3677" t="s">
        <v>57</v>
      </c>
      <c r="O3677" s="5"/>
      <c r="P3677" s="5"/>
    </row>
    <row r="3678" spans="1:30" x14ac:dyDescent="0.25">
      <c r="A3678" s="4">
        <v>42604</v>
      </c>
      <c r="B3678" t="s">
        <v>30</v>
      </c>
      <c r="C3678">
        <v>801</v>
      </c>
      <c r="D3678">
        <v>4</v>
      </c>
      <c r="E3678">
        <v>1</v>
      </c>
      <c r="F3678" t="s">
        <v>31</v>
      </c>
      <c r="G3678" t="s">
        <v>32</v>
      </c>
      <c r="H3678" t="s">
        <v>33</v>
      </c>
      <c r="I3678" t="s">
        <v>57</v>
      </c>
      <c r="O3678" s="5"/>
      <c r="P3678" s="5"/>
    </row>
    <row r="3679" spans="1:30" x14ac:dyDescent="0.25">
      <c r="A3679" s="4">
        <v>42604</v>
      </c>
      <c r="B3679" t="s">
        <v>30</v>
      </c>
      <c r="C3679">
        <v>801</v>
      </c>
      <c r="D3679">
        <v>4</v>
      </c>
      <c r="E3679">
        <v>2</v>
      </c>
      <c r="F3679" t="s">
        <v>31</v>
      </c>
      <c r="G3679" t="s">
        <v>32</v>
      </c>
      <c r="H3679" t="s">
        <v>33</v>
      </c>
      <c r="I3679" t="s">
        <v>53</v>
      </c>
      <c r="J3679" t="s">
        <v>62</v>
      </c>
      <c r="O3679" s="5"/>
      <c r="P3679" s="5"/>
    </row>
    <row r="3680" spans="1:30" x14ac:dyDescent="0.25">
      <c r="A3680" s="4">
        <v>42604</v>
      </c>
      <c r="B3680" t="s">
        <v>30</v>
      </c>
      <c r="C3680">
        <v>801</v>
      </c>
      <c r="D3680">
        <v>6</v>
      </c>
      <c r="E3680">
        <v>1</v>
      </c>
      <c r="F3680" t="s">
        <v>31</v>
      </c>
      <c r="G3680" t="s">
        <v>32</v>
      </c>
      <c r="H3680" t="s">
        <v>33</v>
      </c>
      <c r="I3680" t="s">
        <v>57</v>
      </c>
      <c r="O3680" s="5"/>
      <c r="P3680" s="5"/>
    </row>
    <row r="3681" spans="1:30" x14ac:dyDescent="0.25">
      <c r="A3681" s="4">
        <v>42604</v>
      </c>
      <c r="B3681" t="s">
        <v>30</v>
      </c>
      <c r="C3681">
        <v>801</v>
      </c>
      <c r="D3681">
        <v>6</v>
      </c>
      <c r="E3681">
        <v>2</v>
      </c>
      <c r="F3681" t="s">
        <v>31</v>
      </c>
      <c r="G3681" t="s">
        <v>32</v>
      </c>
      <c r="H3681" t="s">
        <v>33</v>
      </c>
      <c r="I3681" t="s">
        <v>58</v>
      </c>
      <c r="J3681" t="s">
        <v>35</v>
      </c>
      <c r="K3681" t="s">
        <v>114</v>
      </c>
      <c r="L3681" t="s">
        <v>37</v>
      </c>
      <c r="M3681">
        <v>0</v>
      </c>
      <c r="N3681">
        <v>0</v>
      </c>
      <c r="O3681" s="5" t="s">
        <v>600</v>
      </c>
      <c r="P3681" s="5"/>
      <c r="Q3681">
        <f>36-18</f>
        <v>18</v>
      </c>
      <c r="R3681" t="s">
        <v>38</v>
      </c>
      <c r="S3681" t="s">
        <v>39</v>
      </c>
      <c r="T3681">
        <v>17</v>
      </c>
      <c r="W3681">
        <v>12.95</v>
      </c>
      <c r="X3681">
        <v>26.9</v>
      </c>
      <c r="Z3681" t="s">
        <v>97</v>
      </c>
      <c r="AB3681" t="s">
        <v>233</v>
      </c>
      <c r="AC3681" t="s">
        <v>78</v>
      </c>
      <c r="AD3681" t="s">
        <v>924</v>
      </c>
    </row>
    <row r="3682" spans="1:30" x14ac:dyDescent="0.25">
      <c r="A3682" s="4">
        <v>42604</v>
      </c>
      <c r="B3682" t="s">
        <v>30</v>
      </c>
      <c r="C3682">
        <v>801</v>
      </c>
      <c r="D3682">
        <v>7</v>
      </c>
      <c r="E3682">
        <v>1</v>
      </c>
      <c r="F3682" t="s">
        <v>31</v>
      </c>
      <c r="G3682" t="s">
        <v>32</v>
      </c>
      <c r="H3682" t="s">
        <v>33</v>
      </c>
      <c r="I3682" t="s">
        <v>34</v>
      </c>
      <c r="J3682" t="s">
        <v>42</v>
      </c>
      <c r="K3682" t="s">
        <v>114</v>
      </c>
      <c r="L3682" t="s">
        <v>43</v>
      </c>
      <c r="M3682">
        <v>0</v>
      </c>
      <c r="N3682">
        <v>1</v>
      </c>
      <c r="O3682" s="5" t="s">
        <v>925</v>
      </c>
      <c r="P3682" s="5" t="s">
        <v>926</v>
      </c>
      <c r="Q3682">
        <f>27.5-13</f>
        <v>14.5</v>
      </c>
      <c r="R3682" t="s">
        <v>65</v>
      </c>
      <c r="T3682">
        <v>19</v>
      </c>
      <c r="U3682">
        <v>85</v>
      </c>
      <c r="V3682">
        <v>16.5</v>
      </c>
      <c r="W3682">
        <v>13.2</v>
      </c>
      <c r="X3682">
        <v>26.1</v>
      </c>
      <c r="AB3682" t="s">
        <v>233</v>
      </c>
      <c r="AC3682" t="s">
        <v>78</v>
      </c>
    </row>
    <row r="3683" spans="1:30" x14ac:dyDescent="0.25">
      <c r="A3683" s="4">
        <v>42604</v>
      </c>
      <c r="B3683" t="s">
        <v>30</v>
      </c>
      <c r="C3683">
        <v>801</v>
      </c>
      <c r="D3683">
        <v>8</v>
      </c>
      <c r="E3683">
        <v>1</v>
      </c>
      <c r="F3683" t="s">
        <v>31</v>
      </c>
      <c r="G3683" t="s">
        <v>32</v>
      </c>
      <c r="H3683" t="s">
        <v>33</v>
      </c>
      <c r="I3683" t="s">
        <v>57</v>
      </c>
      <c r="O3683" s="5"/>
      <c r="P3683" s="5"/>
    </row>
    <row r="3684" spans="1:30" x14ac:dyDescent="0.25">
      <c r="A3684" s="4">
        <v>42604</v>
      </c>
      <c r="B3684" t="s">
        <v>30</v>
      </c>
      <c r="C3684">
        <v>801</v>
      </c>
      <c r="D3684">
        <v>8</v>
      </c>
      <c r="E3684">
        <v>2</v>
      </c>
      <c r="F3684" t="s">
        <v>31</v>
      </c>
      <c r="G3684" t="s">
        <v>32</v>
      </c>
      <c r="H3684" t="s">
        <v>33</v>
      </c>
      <c r="I3684" t="s">
        <v>34</v>
      </c>
      <c r="J3684" t="s">
        <v>42</v>
      </c>
      <c r="K3684" t="s">
        <v>89</v>
      </c>
      <c r="L3684" t="s">
        <v>37</v>
      </c>
      <c r="M3684">
        <v>0</v>
      </c>
      <c r="N3684">
        <v>1</v>
      </c>
      <c r="O3684" s="5" t="s">
        <v>927</v>
      </c>
      <c r="P3684" s="5" t="s">
        <v>928</v>
      </c>
      <c r="Q3684">
        <f>25-13</f>
        <v>12</v>
      </c>
      <c r="R3684" t="s">
        <v>38</v>
      </c>
      <c r="S3684" t="s">
        <v>39</v>
      </c>
      <c r="T3684">
        <v>18</v>
      </c>
      <c r="U3684">
        <v>81</v>
      </c>
      <c r="V3684">
        <v>16</v>
      </c>
      <c r="W3684">
        <v>12.9</v>
      </c>
      <c r="X3684">
        <v>25.7</v>
      </c>
      <c r="Y3684" t="s">
        <v>929</v>
      </c>
      <c r="AB3684" t="s">
        <v>233</v>
      </c>
      <c r="AC3684" t="s">
        <v>78</v>
      </c>
    </row>
    <row r="3685" spans="1:30" x14ac:dyDescent="0.25">
      <c r="A3685" s="4">
        <v>42604</v>
      </c>
      <c r="B3685" t="s">
        <v>30</v>
      </c>
      <c r="C3685">
        <v>801</v>
      </c>
      <c r="D3685">
        <v>9</v>
      </c>
      <c r="E3685">
        <v>1</v>
      </c>
      <c r="F3685" t="s">
        <v>31</v>
      </c>
      <c r="G3685" t="s">
        <v>32</v>
      </c>
      <c r="H3685" t="s">
        <v>33</v>
      </c>
      <c r="I3685" t="s">
        <v>34</v>
      </c>
      <c r="J3685" t="s">
        <v>35</v>
      </c>
      <c r="K3685" t="s">
        <v>114</v>
      </c>
      <c r="L3685" t="s">
        <v>37</v>
      </c>
      <c r="M3685">
        <v>0</v>
      </c>
      <c r="N3685">
        <v>0</v>
      </c>
      <c r="O3685" s="5" t="s">
        <v>716</v>
      </c>
      <c r="P3685" s="5" t="s">
        <v>717</v>
      </c>
      <c r="Q3685">
        <f>33.5-15.5</f>
        <v>18</v>
      </c>
      <c r="R3685" t="s">
        <v>38</v>
      </c>
      <c r="S3685" t="s">
        <v>39</v>
      </c>
      <c r="T3685">
        <v>19</v>
      </c>
      <c r="U3685">
        <v>84</v>
      </c>
      <c r="V3685">
        <v>16</v>
      </c>
      <c r="W3685">
        <v>12.85</v>
      </c>
      <c r="X3685">
        <v>27.3</v>
      </c>
      <c r="AB3685" t="s">
        <v>233</v>
      </c>
      <c r="AC3685" t="s">
        <v>78</v>
      </c>
    </row>
    <row r="3686" spans="1:30" x14ac:dyDescent="0.25">
      <c r="A3686" s="4">
        <v>42604</v>
      </c>
      <c r="B3686" t="s">
        <v>30</v>
      </c>
      <c r="C3686">
        <v>801</v>
      </c>
      <c r="D3686">
        <v>9</v>
      </c>
      <c r="E3686">
        <v>2</v>
      </c>
      <c r="F3686" t="s">
        <v>31</v>
      </c>
      <c r="G3686" t="s">
        <v>32</v>
      </c>
      <c r="H3686" t="s">
        <v>33</v>
      </c>
      <c r="I3686" t="s">
        <v>58</v>
      </c>
      <c r="J3686" t="s">
        <v>35</v>
      </c>
      <c r="K3686" t="s">
        <v>36</v>
      </c>
      <c r="L3686" t="s">
        <v>37</v>
      </c>
      <c r="M3686">
        <v>0</v>
      </c>
      <c r="N3686">
        <v>0</v>
      </c>
      <c r="O3686" s="5" t="s">
        <v>601</v>
      </c>
      <c r="P3686" s="5"/>
      <c r="R3686" t="s">
        <v>74</v>
      </c>
      <c r="S3686" t="s">
        <v>97</v>
      </c>
      <c r="T3686">
        <v>17</v>
      </c>
      <c r="W3686">
        <v>13.5</v>
      </c>
      <c r="X3686">
        <v>25.5</v>
      </c>
      <c r="AB3686" t="s">
        <v>233</v>
      </c>
      <c r="AC3686" t="s">
        <v>78</v>
      </c>
    </row>
    <row r="3687" spans="1:30" x14ac:dyDescent="0.25">
      <c r="A3687" s="4">
        <v>42604</v>
      </c>
      <c r="B3687" t="s">
        <v>30</v>
      </c>
      <c r="C3687">
        <v>803</v>
      </c>
      <c r="D3687">
        <v>9</v>
      </c>
      <c r="E3687">
        <v>1</v>
      </c>
      <c r="F3687" t="s">
        <v>31</v>
      </c>
      <c r="G3687" t="s">
        <v>32</v>
      </c>
      <c r="H3687" t="s">
        <v>33</v>
      </c>
      <c r="I3687" t="s">
        <v>57</v>
      </c>
      <c r="O3687" s="5"/>
      <c r="P3687" s="5"/>
    </row>
    <row r="3688" spans="1:30" x14ac:dyDescent="0.25">
      <c r="A3688" s="4">
        <v>42604</v>
      </c>
      <c r="B3688" t="s">
        <v>30</v>
      </c>
      <c r="C3688">
        <v>803</v>
      </c>
      <c r="D3688">
        <v>9</v>
      </c>
      <c r="E3688">
        <v>2</v>
      </c>
      <c r="F3688" t="s">
        <v>31</v>
      </c>
      <c r="G3688" t="s">
        <v>32</v>
      </c>
      <c r="H3688" t="s">
        <v>33</v>
      </c>
      <c r="I3688" t="s">
        <v>91</v>
      </c>
      <c r="J3688" t="s">
        <v>35</v>
      </c>
      <c r="K3688" t="s">
        <v>36</v>
      </c>
      <c r="L3688" t="s">
        <v>37</v>
      </c>
      <c r="M3688">
        <v>0</v>
      </c>
      <c r="N3688">
        <v>0</v>
      </c>
      <c r="O3688" s="5" t="s">
        <v>606</v>
      </c>
      <c r="P3688" s="5"/>
      <c r="Q3688">
        <f>38-14</f>
        <v>24</v>
      </c>
      <c r="R3688" t="s">
        <v>38</v>
      </c>
      <c r="S3688" t="s">
        <v>39</v>
      </c>
      <c r="T3688">
        <v>29</v>
      </c>
      <c r="W3688">
        <v>13.1</v>
      </c>
      <c r="X3688">
        <v>25.8</v>
      </c>
      <c r="Z3688" t="s">
        <v>97</v>
      </c>
      <c r="AB3688" t="s">
        <v>233</v>
      </c>
      <c r="AC3688" t="s">
        <v>78</v>
      </c>
      <c r="AD3688" t="s">
        <v>930</v>
      </c>
    </row>
    <row r="3689" spans="1:30" x14ac:dyDescent="0.25">
      <c r="A3689" s="4">
        <v>42604</v>
      </c>
      <c r="B3689" t="s">
        <v>30</v>
      </c>
      <c r="C3689">
        <v>803</v>
      </c>
      <c r="D3689">
        <v>8</v>
      </c>
      <c r="E3689">
        <v>1</v>
      </c>
      <c r="F3689" t="s">
        <v>31</v>
      </c>
      <c r="G3689" t="s">
        <v>32</v>
      </c>
      <c r="H3689" t="s">
        <v>33</v>
      </c>
      <c r="I3689" t="s">
        <v>57</v>
      </c>
      <c r="O3689" s="5"/>
      <c r="P3689" s="5"/>
    </row>
    <row r="3690" spans="1:30" x14ac:dyDescent="0.25">
      <c r="A3690" s="4">
        <v>42604</v>
      </c>
      <c r="B3690" t="s">
        <v>30</v>
      </c>
      <c r="C3690">
        <v>803</v>
      </c>
      <c r="D3690">
        <v>8</v>
      </c>
      <c r="E3690">
        <v>2</v>
      </c>
      <c r="F3690" t="s">
        <v>31</v>
      </c>
      <c r="G3690" t="s">
        <v>32</v>
      </c>
      <c r="H3690" t="s">
        <v>33</v>
      </c>
      <c r="I3690" t="s">
        <v>57</v>
      </c>
      <c r="O3690" s="5"/>
      <c r="P3690" s="5"/>
    </row>
    <row r="3691" spans="1:30" x14ac:dyDescent="0.25">
      <c r="A3691" s="4">
        <v>42604</v>
      </c>
      <c r="B3691" t="s">
        <v>30</v>
      </c>
      <c r="C3691">
        <v>803</v>
      </c>
      <c r="D3691">
        <v>7</v>
      </c>
      <c r="E3691">
        <v>1</v>
      </c>
      <c r="F3691" t="s">
        <v>31</v>
      </c>
      <c r="G3691" t="s">
        <v>32</v>
      </c>
      <c r="H3691" t="s">
        <v>33</v>
      </c>
      <c r="I3691" t="s">
        <v>57</v>
      </c>
      <c r="O3691" s="5"/>
      <c r="P3691" s="5"/>
    </row>
    <row r="3692" spans="1:30" x14ac:dyDescent="0.25">
      <c r="A3692" s="4">
        <v>42604</v>
      </c>
      <c r="B3692" t="s">
        <v>30</v>
      </c>
      <c r="C3692">
        <v>803</v>
      </c>
      <c r="D3692">
        <v>7</v>
      </c>
      <c r="E3692">
        <v>2</v>
      </c>
      <c r="F3692" t="s">
        <v>31</v>
      </c>
      <c r="G3692" t="s">
        <v>32</v>
      </c>
      <c r="H3692" t="s">
        <v>33</v>
      </c>
      <c r="I3692" t="s">
        <v>57</v>
      </c>
      <c r="O3692" s="5"/>
      <c r="P3692" s="5"/>
    </row>
    <row r="3693" spans="1:30" x14ac:dyDescent="0.25">
      <c r="A3693" s="4">
        <v>42604</v>
      </c>
      <c r="B3693" t="s">
        <v>30</v>
      </c>
      <c r="C3693">
        <v>803</v>
      </c>
      <c r="D3693">
        <v>6</v>
      </c>
      <c r="E3693">
        <v>1</v>
      </c>
      <c r="F3693" t="s">
        <v>31</v>
      </c>
      <c r="G3693" t="s">
        <v>32</v>
      </c>
      <c r="H3693" t="s">
        <v>33</v>
      </c>
      <c r="I3693" t="s">
        <v>53</v>
      </c>
      <c r="J3693" t="s">
        <v>62</v>
      </c>
      <c r="O3693" s="5"/>
      <c r="P3693" s="5"/>
    </row>
    <row r="3694" spans="1:30" x14ac:dyDescent="0.25">
      <c r="A3694" s="4">
        <v>42604</v>
      </c>
      <c r="B3694" t="s">
        <v>30</v>
      </c>
      <c r="C3694">
        <v>803</v>
      </c>
      <c r="D3694">
        <v>6</v>
      </c>
      <c r="E3694">
        <v>2</v>
      </c>
      <c r="F3694" t="s">
        <v>31</v>
      </c>
      <c r="G3694" t="s">
        <v>32</v>
      </c>
      <c r="H3694" t="s">
        <v>33</v>
      </c>
      <c r="I3694" t="s">
        <v>58</v>
      </c>
      <c r="J3694" t="s">
        <v>931</v>
      </c>
      <c r="M3694">
        <v>0</v>
      </c>
      <c r="N3694">
        <v>1</v>
      </c>
      <c r="O3694" s="5" t="s">
        <v>932</v>
      </c>
      <c r="P3694" s="5"/>
      <c r="AD3694" t="s">
        <v>933</v>
      </c>
    </row>
    <row r="3695" spans="1:30" x14ac:dyDescent="0.25">
      <c r="A3695" s="4">
        <v>42604</v>
      </c>
      <c r="B3695" t="s">
        <v>30</v>
      </c>
      <c r="C3695">
        <v>803</v>
      </c>
      <c r="D3695">
        <v>4</v>
      </c>
      <c r="E3695">
        <v>1</v>
      </c>
      <c r="F3695" t="s">
        <v>31</v>
      </c>
      <c r="G3695" t="s">
        <v>32</v>
      </c>
      <c r="H3695" t="s">
        <v>33</v>
      </c>
      <c r="I3695" t="s">
        <v>58</v>
      </c>
      <c r="J3695" t="s">
        <v>35</v>
      </c>
      <c r="K3695" t="s">
        <v>36</v>
      </c>
      <c r="L3695" t="s">
        <v>43</v>
      </c>
      <c r="M3695">
        <v>0</v>
      </c>
      <c r="N3695">
        <v>0</v>
      </c>
      <c r="O3695" s="5" t="s">
        <v>652</v>
      </c>
      <c r="P3695" s="5"/>
      <c r="Q3695">
        <f>35-14.5</f>
        <v>20.5</v>
      </c>
      <c r="R3695" t="s">
        <v>65</v>
      </c>
      <c r="T3695">
        <v>17</v>
      </c>
      <c r="W3695">
        <v>13</v>
      </c>
      <c r="X3695">
        <v>26</v>
      </c>
      <c r="AB3695" t="s">
        <v>233</v>
      </c>
      <c r="AC3695" t="s">
        <v>78</v>
      </c>
      <c r="AD3695" t="s">
        <v>934</v>
      </c>
    </row>
    <row r="3696" spans="1:30" x14ac:dyDescent="0.25">
      <c r="A3696" s="4">
        <v>42604</v>
      </c>
      <c r="B3696" t="s">
        <v>30</v>
      </c>
      <c r="C3696">
        <v>803</v>
      </c>
      <c r="D3696">
        <v>3</v>
      </c>
      <c r="E3696">
        <v>1</v>
      </c>
      <c r="F3696" t="s">
        <v>31</v>
      </c>
      <c r="G3696" t="s">
        <v>32</v>
      </c>
      <c r="H3696" t="s">
        <v>33</v>
      </c>
      <c r="I3696" t="s">
        <v>57</v>
      </c>
      <c r="O3696" s="5"/>
      <c r="P3696" s="5"/>
    </row>
    <row r="3697" spans="1:30" x14ac:dyDescent="0.25">
      <c r="A3697" s="4">
        <v>42604</v>
      </c>
      <c r="B3697" t="s">
        <v>30</v>
      </c>
      <c r="C3697">
        <v>803</v>
      </c>
      <c r="D3697">
        <v>3</v>
      </c>
      <c r="E3697">
        <v>2</v>
      </c>
      <c r="F3697" t="s">
        <v>31</v>
      </c>
      <c r="G3697" t="s">
        <v>32</v>
      </c>
      <c r="H3697" t="s">
        <v>33</v>
      </c>
      <c r="I3697" t="s">
        <v>57</v>
      </c>
      <c r="O3697" s="5"/>
      <c r="P3697" s="5"/>
    </row>
    <row r="3698" spans="1:30" x14ac:dyDescent="0.25">
      <c r="A3698" s="4">
        <v>42604</v>
      </c>
      <c r="B3698" t="s">
        <v>30</v>
      </c>
      <c r="C3698">
        <v>803</v>
      </c>
      <c r="D3698">
        <v>2</v>
      </c>
      <c r="E3698">
        <v>1</v>
      </c>
      <c r="F3698" t="s">
        <v>31</v>
      </c>
      <c r="G3698" t="s">
        <v>32</v>
      </c>
      <c r="H3698" t="s">
        <v>33</v>
      </c>
      <c r="I3698" t="s">
        <v>57</v>
      </c>
      <c r="O3698" s="5"/>
      <c r="P3698" s="5"/>
    </row>
    <row r="3699" spans="1:30" x14ac:dyDescent="0.25">
      <c r="A3699" s="4">
        <v>42604</v>
      </c>
      <c r="B3699" t="s">
        <v>30</v>
      </c>
      <c r="C3699">
        <v>803</v>
      </c>
      <c r="D3699">
        <v>1</v>
      </c>
      <c r="E3699">
        <v>1</v>
      </c>
      <c r="F3699" t="s">
        <v>31</v>
      </c>
      <c r="G3699" t="s">
        <v>32</v>
      </c>
      <c r="H3699" t="s">
        <v>33</v>
      </c>
      <c r="I3699" t="s">
        <v>57</v>
      </c>
      <c r="O3699" s="5"/>
      <c r="P3699" s="5"/>
    </row>
    <row r="3700" spans="1:30" x14ac:dyDescent="0.25">
      <c r="A3700" s="4">
        <v>42604</v>
      </c>
      <c r="B3700" t="s">
        <v>30</v>
      </c>
      <c r="C3700">
        <v>803</v>
      </c>
      <c r="D3700">
        <v>1</v>
      </c>
      <c r="E3700">
        <v>2</v>
      </c>
      <c r="F3700" t="s">
        <v>31</v>
      </c>
      <c r="G3700" t="s">
        <v>32</v>
      </c>
      <c r="H3700" t="s">
        <v>33</v>
      </c>
      <c r="I3700" t="s">
        <v>58</v>
      </c>
      <c r="J3700" t="s">
        <v>42</v>
      </c>
      <c r="K3700" t="s">
        <v>36</v>
      </c>
      <c r="L3700" t="s">
        <v>43</v>
      </c>
      <c r="M3700">
        <v>0</v>
      </c>
      <c r="N3700">
        <v>1</v>
      </c>
      <c r="O3700" s="5" t="s">
        <v>935</v>
      </c>
      <c r="P3700" s="5"/>
      <c r="Q3700">
        <f>41-13.5</f>
        <v>27.5</v>
      </c>
      <c r="R3700" t="s">
        <v>65</v>
      </c>
      <c r="T3700">
        <v>17</v>
      </c>
      <c r="W3700">
        <v>13.2</v>
      </c>
      <c r="X3700">
        <v>26.5</v>
      </c>
      <c r="Z3700" t="s">
        <v>97</v>
      </c>
      <c r="AB3700" t="s">
        <v>233</v>
      </c>
      <c r="AC3700" t="s">
        <v>78</v>
      </c>
      <c r="AD3700" t="s">
        <v>936</v>
      </c>
    </row>
    <row r="3701" spans="1:30" x14ac:dyDescent="0.25">
      <c r="A3701" s="4">
        <v>42604</v>
      </c>
      <c r="B3701" t="s">
        <v>30</v>
      </c>
      <c r="C3701">
        <v>901</v>
      </c>
      <c r="D3701">
        <v>1</v>
      </c>
      <c r="E3701">
        <v>1</v>
      </c>
      <c r="F3701" t="s">
        <v>31</v>
      </c>
      <c r="G3701" t="s">
        <v>32</v>
      </c>
      <c r="H3701" t="s">
        <v>33</v>
      </c>
      <c r="I3701" t="s">
        <v>57</v>
      </c>
      <c r="O3701" s="5"/>
      <c r="P3701" s="5"/>
    </row>
    <row r="3702" spans="1:30" x14ac:dyDescent="0.25">
      <c r="A3702" s="4">
        <v>42604</v>
      </c>
      <c r="B3702" t="s">
        <v>30</v>
      </c>
      <c r="C3702">
        <v>901</v>
      </c>
      <c r="D3702">
        <v>1</v>
      </c>
      <c r="E3702">
        <v>2</v>
      </c>
      <c r="F3702" t="s">
        <v>31</v>
      </c>
      <c r="G3702" t="s">
        <v>32</v>
      </c>
      <c r="H3702" t="s">
        <v>33</v>
      </c>
      <c r="I3702" t="s">
        <v>57</v>
      </c>
      <c r="O3702" s="5"/>
      <c r="P3702" s="5"/>
    </row>
    <row r="3703" spans="1:30" x14ac:dyDescent="0.25">
      <c r="A3703" s="4">
        <v>42604</v>
      </c>
      <c r="B3703" t="s">
        <v>30</v>
      </c>
      <c r="C3703">
        <v>901</v>
      </c>
      <c r="D3703">
        <v>3</v>
      </c>
      <c r="E3703">
        <v>1</v>
      </c>
      <c r="F3703" t="s">
        <v>31</v>
      </c>
      <c r="G3703" t="s">
        <v>32</v>
      </c>
      <c r="H3703" t="s">
        <v>33</v>
      </c>
      <c r="I3703" t="s">
        <v>34</v>
      </c>
      <c r="J3703" t="s">
        <v>42</v>
      </c>
      <c r="K3703" t="s">
        <v>114</v>
      </c>
      <c r="L3703" t="s">
        <v>43</v>
      </c>
      <c r="M3703">
        <v>0</v>
      </c>
      <c r="N3703">
        <v>1</v>
      </c>
      <c r="O3703" s="5" t="s">
        <v>937</v>
      </c>
      <c r="P3703" s="5" t="s">
        <v>938</v>
      </c>
      <c r="Q3703">
        <v>15</v>
      </c>
      <c r="R3703" t="s">
        <v>65</v>
      </c>
      <c r="T3703">
        <v>20</v>
      </c>
      <c r="U3703">
        <v>92</v>
      </c>
      <c r="V3703">
        <v>17</v>
      </c>
      <c r="W3703">
        <v>13.2</v>
      </c>
      <c r="X3703">
        <v>24.9</v>
      </c>
      <c r="Z3703" t="s">
        <v>97</v>
      </c>
      <c r="AB3703" t="s">
        <v>233</v>
      </c>
      <c r="AC3703" t="s">
        <v>78</v>
      </c>
      <c r="AD3703" t="s">
        <v>939</v>
      </c>
    </row>
    <row r="3704" spans="1:30" x14ac:dyDescent="0.25">
      <c r="A3704" s="4">
        <v>42604</v>
      </c>
      <c r="B3704" t="s">
        <v>30</v>
      </c>
      <c r="C3704">
        <v>901</v>
      </c>
      <c r="D3704">
        <v>5</v>
      </c>
      <c r="E3704">
        <v>1</v>
      </c>
      <c r="F3704" t="s">
        <v>31</v>
      </c>
      <c r="G3704" t="s">
        <v>32</v>
      </c>
      <c r="H3704" t="s">
        <v>33</v>
      </c>
      <c r="I3704" t="s">
        <v>57</v>
      </c>
      <c r="O3704" s="5"/>
      <c r="P3704" s="5"/>
    </row>
    <row r="3705" spans="1:30" x14ac:dyDescent="0.25">
      <c r="A3705" s="4">
        <v>42604</v>
      </c>
      <c r="B3705" t="s">
        <v>30</v>
      </c>
      <c r="C3705">
        <v>901</v>
      </c>
      <c r="D3705">
        <v>5</v>
      </c>
      <c r="E3705">
        <v>2</v>
      </c>
      <c r="F3705" t="s">
        <v>31</v>
      </c>
      <c r="G3705" t="s">
        <v>32</v>
      </c>
      <c r="H3705" t="s">
        <v>33</v>
      </c>
      <c r="I3705" t="s">
        <v>57</v>
      </c>
      <c r="O3705" s="5"/>
      <c r="P3705" s="5"/>
    </row>
    <row r="3706" spans="1:30" x14ac:dyDescent="0.25">
      <c r="A3706" s="4">
        <v>42604</v>
      </c>
      <c r="B3706" t="s">
        <v>30</v>
      </c>
      <c r="C3706">
        <v>901</v>
      </c>
      <c r="D3706">
        <v>10</v>
      </c>
      <c r="E3706">
        <v>1</v>
      </c>
      <c r="F3706" t="s">
        <v>31</v>
      </c>
      <c r="G3706" t="s">
        <v>32</v>
      </c>
      <c r="H3706" t="s">
        <v>33</v>
      </c>
      <c r="I3706" t="s">
        <v>57</v>
      </c>
      <c r="O3706" s="5"/>
      <c r="P3706" s="5"/>
    </row>
    <row r="3707" spans="1:30" x14ac:dyDescent="0.25">
      <c r="A3707" s="4">
        <v>42604</v>
      </c>
      <c r="B3707" t="s">
        <v>30</v>
      </c>
      <c r="C3707">
        <v>901</v>
      </c>
      <c r="D3707">
        <v>10</v>
      </c>
      <c r="E3707">
        <v>2</v>
      </c>
      <c r="F3707" t="s">
        <v>31</v>
      </c>
      <c r="G3707" t="s">
        <v>32</v>
      </c>
      <c r="H3707" t="s">
        <v>33</v>
      </c>
      <c r="I3707" t="s">
        <v>57</v>
      </c>
      <c r="O3707" s="5"/>
      <c r="P3707" s="5"/>
    </row>
    <row r="3708" spans="1:30" x14ac:dyDescent="0.25">
      <c r="A3708" s="4">
        <v>42604</v>
      </c>
      <c r="B3708" t="s">
        <v>30</v>
      </c>
      <c r="C3708">
        <v>501</v>
      </c>
      <c r="D3708">
        <v>1</v>
      </c>
      <c r="E3708">
        <v>1</v>
      </c>
      <c r="F3708" t="s">
        <v>320</v>
      </c>
      <c r="G3708" t="s">
        <v>32</v>
      </c>
      <c r="H3708" t="s">
        <v>33</v>
      </c>
      <c r="I3708" t="s">
        <v>53</v>
      </c>
      <c r="J3708" t="s">
        <v>62</v>
      </c>
      <c r="O3708" s="5"/>
      <c r="P3708" s="5"/>
    </row>
    <row r="3709" spans="1:30" x14ac:dyDescent="0.25">
      <c r="A3709" s="4">
        <v>42604</v>
      </c>
      <c r="B3709" t="s">
        <v>30</v>
      </c>
      <c r="C3709">
        <v>501</v>
      </c>
      <c r="D3709">
        <v>2</v>
      </c>
      <c r="E3709">
        <v>1</v>
      </c>
      <c r="F3709" t="s">
        <v>320</v>
      </c>
      <c r="G3709" t="s">
        <v>32</v>
      </c>
      <c r="H3709" t="s">
        <v>33</v>
      </c>
      <c r="I3709" t="s">
        <v>53</v>
      </c>
      <c r="J3709" t="s">
        <v>62</v>
      </c>
      <c r="O3709" s="5"/>
      <c r="P3709" s="5"/>
    </row>
    <row r="3710" spans="1:30" x14ac:dyDescent="0.25">
      <c r="A3710" s="4">
        <v>42604</v>
      </c>
      <c r="B3710" t="s">
        <v>30</v>
      </c>
      <c r="C3710">
        <v>501</v>
      </c>
      <c r="D3710">
        <v>3</v>
      </c>
      <c r="E3710">
        <v>1</v>
      </c>
      <c r="F3710" t="s">
        <v>320</v>
      </c>
      <c r="G3710" t="s">
        <v>32</v>
      </c>
      <c r="H3710" t="s">
        <v>33</v>
      </c>
      <c r="I3710" t="s">
        <v>58</v>
      </c>
      <c r="J3710" t="s">
        <v>35</v>
      </c>
      <c r="K3710" t="s">
        <v>36</v>
      </c>
      <c r="L3710" t="s">
        <v>37</v>
      </c>
      <c r="M3710">
        <v>0</v>
      </c>
      <c r="N3710">
        <v>0</v>
      </c>
      <c r="O3710" s="5" t="s">
        <v>940</v>
      </c>
      <c r="P3710" s="5"/>
      <c r="Q3710">
        <f>43-13</f>
        <v>30</v>
      </c>
      <c r="R3710" t="s">
        <v>136</v>
      </c>
      <c r="S3710" t="s">
        <v>97</v>
      </c>
      <c r="T3710">
        <v>17</v>
      </c>
      <c r="W3710">
        <v>13.1</v>
      </c>
      <c r="X3710">
        <v>30.5</v>
      </c>
      <c r="Z3710" t="s">
        <v>97</v>
      </c>
      <c r="AA3710" t="s">
        <v>199</v>
      </c>
      <c r="AB3710" t="s">
        <v>87</v>
      </c>
      <c r="AC3710" t="s">
        <v>56</v>
      </c>
    </row>
    <row r="3711" spans="1:30" x14ac:dyDescent="0.25">
      <c r="A3711" s="4">
        <v>42604</v>
      </c>
      <c r="B3711" t="s">
        <v>30</v>
      </c>
      <c r="C3711">
        <v>501</v>
      </c>
      <c r="D3711">
        <v>4</v>
      </c>
      <c r="E3711">
        <v>1</v>
      </c>
      <c r="F3711" t="s">
        <v>320</v>
      </c>
      <c r="G3711" t="s">
        <v>32</v>
      </c>
      <c r="H3711" t="s">
        <v>33</v>
      </c>
      <c r="I3711" t="s">
        <v>58</v>
      </c>
      <c r="J3711" t="s">
        <v>42</v>
      </c>
      <c r="K3711" t="s">
        <v>89</v>
      </c>
      <c r="L3711" t="s">
        <v>37</v>
      </c>
      <c r="M3711">
        <v>0</v>
      </c>
      <c r="N3711">
        <v>1</v>
      </c>
      <c r="O3711" s="5" t="s">
        <v>941</v>
      </c>
      <c r="P3711" s="5"/>
      <c r="Q3711">
        <f>27-13.5</f>
        <v>13.5</v>
      </c>
      <c r="R3711" t="s">
        <v>38</v>
      </c>
      <c r="S3711" t="s">
        <v>39</v>
      </c>
      <c r="T3711">
        <v>17</v>
      </c>
      <c r="W3711">
        <v>12.9</v>
      </c>
      <c r="X3711">
        <v>25.7</v>
      </c>
      <c r="Z3711" t="s">
        <v>39</v>
      </c>
      <c r="AB3711" t="s">
        <v>87</v>
      </c>
      <c r="AC3711" t="s">
        <v>56</v>
      </c>
      <c r="AD3711" t="s">
        <v>789</v>
      </c>
    </row>
    <row r="3712" spans="1:30" x14ac:dyDescent="0.25">
      <c r="A3712" s="4">
        <v>42604</v>
      </c>
      <c r="B3712" t="s">
        <v>30</v>
      </c>
      <c r="C3712">
        <v>501</v>
      </c>
      <c r="D3712">
        <v>5</v>
      </c>
      <c r="E3712">
        <v>1</v>
      </c>
      <c r="F3712" t="s">
        <v>320</v>
      </c>
      <c r="G3712" t="s">
        <v>32</v>
      </c>
      <c r="H3712" t="s">
        <v>33</v>
      </c>
      <c r="I3712" t="s">
        <v>58</v>
      </c>
      <c r="J3712" t="s">
        <v>42</v>
      </c>
      <c r="K3712" t="s">
        <v>36</v>
      </c>
      <c r="L3712" t="s">
        <v>43</v>
      </c>
      <c r="M3712">
        <v>0</v>
      </c>
      <c r="N3712">
        <v>1</v>
      </c>
      <c r="O3712" s="5" t="s">
        <v>942</v>
      </c>
      <c r="P3712" s="5"/>
      <c r="Q3712">
        <f>43-13</f>
        <v>30</v>
      </c>
      <c r="R3712" t="s">
        <v>65</v>
      </c>
      <c r="T3712">
        <v>17</v>
      </c>
      <c r="W3712">
        <v>13</v>
      </c>
      <c r="X3712">
        <v>26.5</v>
      </c>
      <c r="Z3712" t="s">
        <v>97</v>
      </c>
      <c r="AA3712" t="s">
        <v>199</v>
      </c>
      <c r="AB3712" t="s">
        <v>87</v>
      </c>
      <c r="AC3712" t="s">
        <v>56</v>
      </c>
      <c r="AD3712" t="s">
        <v>789</v>
      </c>
    </row>
    <row r="3713" spans="1:32" x14ac:dyDescent="0.25">
      <c r="A3713" s="4">
        <v>42604</v>
      </c>
      <c r="B3713" t="s">
        <v>30</v>
      </c>
      <c r="C3713">
        <v>501</v>
      </c>
      <c r="D3713">
        <v>5</v>
      </c>
      <c r="E3713">
        <v>2</v>
      </c>
      <c r="F3713" t="s">
        <v>320</v>
      </c>
      <c r="G3713" t="s">
        <v>32</v>
      </c>
      <c r="H3713" t="s">
        <v>33</v>
      </c>
      <c r="I3713" t="s">
        <v>57</v>
      </c>
      <c r="O3713" s="5"/>
      <c r="P3713" s="5"/>
    </row>
    <row r="3714" spans="1:32" x14ac:dyDescent="0.25">
      <c r="A3714" s="4">
        <v>42604</v>
      </c>
      <c r="B3714" t="s">
        <v>30</v>
      </c>
      <c r="C3714">
        <v>501</v>
      </c>
      <c r="D3714">
        <v>6</v>
      </c>
      <c r="E3714">
        <v>1</v>
      </c>
      <c r="F3714" t="s">
        <v>320</v>
      </c>
      <c r="G3714" t="s">
        <v>32</v>
      </c>
      <c r="H3714" t="s">
        <v>33</v>
      </c>
      <c r="I3714" t="s">
        <v>34</v>
      </c>
      <c r="J3714" t="s">
        <v>42</v>
      </c>
      <c r="K3714" t="s">
        <v>36</v>
      </c>
      <c r="L3714" t="s">
        <v>37</v>
      </c>
      <c r="M3714">
        <v>0</v>
      </c>
      <c r="N3714">
        <v>1</v>
      </c>
      <c r="O3714" s="5" t="s">
        <v>943</v>
      </c>
      <c r="P3714" s="5" t="s">
        <v>944</v>
      </c>
      <c r="Q3714">
        <f>40-15.5</f>
        <v>24.5</v>
      </c>
      <c r="R3714" t="s">
        <v>38</v>
      </c>
      <c r="S3714" t="s">
        <v>39</v>
      </c>
      <c r="T3714">
        <v>20</v>
      </c>
      <c r="U3714">
        <v>94</v>
      </c>
      <c r="V3714">
        <v>17.5</v>
      </c>
      <c r="W3714">
        <v>13</v>
      </c>
      <c r="X3714">
        <v>26.8</v>
      </c>
      <c r="Z3714" t="s">
        <v>39</v>
      </c>
      <c r="AB3714" t="s">
        <v>87</v>
      </c>
      <c r="AC3714" t="s">
        <v>56</v>
      </c>
      <c r="AD3714" t="s">
        <v>789</v>
      </c>
    </row>
    <row r="3715" spans="1:32" x14ac:dyDescent="0.25">
      <c r="A3715" s="4">
        <v>42604</v>
      </c>
      <c r="B3715" t="s">
        <v>30</v>
      </c>
      <c r="C3715">
        <v>501</v>
      </c>
      <c r="D3715">
        <v>7</v>
      </c>
      <c r="E3715">
        <v>1</v>
      </c>
      <c r="F3715" t="s">
        <v>320</v>
      </c>
      <c r="G3715" t="s">
        <v>32</v>
      </c>
      <c r="H3715" t="s">
        <v>33</v>
      </c>
      <c r="I3715" t="s">
        <v>34</v>
      </c>
      <c r="J3715" t="s">
        <v>42</v>
      </c>
      <c r="K3715" t="s">
        <v>89</v>
      </c>
      <c r="L3715" t="s">
        <v>37</v>
      </c>
      <c r="M3715">
        <v>0</v>
      </c>
      <c r="N3715">
        <v>1</v>
      </c>
      <c r="O3715" s="5" t="s">
        <v>945</v>
      </c>
      <c r="P3715" s="5" t="s">
        <v>946</v>
      </c>
      <c r="Q3715">
        <f>31-15.5</f>
        <v>15.5</v>
      </c>
      <c r="R3715" t="s">
        <v>38</v>
      </c>
      <c r="S3715" t="s">
        <v>39</v>
      </c>
      <c r="T3715">
        <v>19</v>
      </c>
      <c r="U3715">
        <v>80</v>
      </c>
      <c r="V3715">
        <v>16</v>
      </c>
      <c r="W3715">
        <v>13</v>
      </c>
      <c r="X3715">
        <v>26.3</v>
      </c>
      <c r="Z3715" t="s">
        <v>39</v>
      </c>
      <c r="AB3715" t="s">
        <v>87</v>
      </c>
      <c r="AC3715" t="s">
        <v>56</v>
      </c>
      <c r="AD3715" t="s">
        <v>789</v>
      </c>
    </row>
    <row r="3716" spans="1:32" x14ac:dyDescent="0.25">
      <c r="A3716" s="4">
        <v>42604</v>
      </c>
      <c r="B3716" t="s">
        <v>30</v>
      </c>
      <c r="C3716">
        <v>501</v>
      </c>
      <c r="D3716">
        <v>10</v>
      </c>
      <c r="E3716">
        <v>1</v>
      </c>
      <c r="F3716" t="s">
        <v>320</v>
      </c>
      <c r="G3716" t="s">
        <v>32</v>
      </c>
      <c r="H3716" t="s">
        <v>33</v>
      </c>
      <c r="I3716" t="s">
        <v>57</v>
      </c>
      <c r="O3716" s="5"/>
      <c r="P3716" s="5"/>
    </row>
    <row r="3717" spans="1:32" x14ac:dyDescent="0.25">
      <c r="A3717" s="4">
        <v>42604</v>
      </c>
      <c r="B3717" t="s">
        <v>30</v>
      </c>
      <c r="C3717">
        <v>503</v>
      </c>
      <c r="D3717">
        <v>1</v>
      </c>
      <c r="E3717">
        <v>1</v>
      </c>
      <c r="F3717" t="s">
        <v>320</v>
      </c>
      <c r="G3717" t="s">
        <v>32</v>
      </c>
      <c r="H3717" t="s">
        <v>33</v>
      </c>
      <c r="I3717" t="s">
        <v>53</v>
      </c>
      <c r="J3717" t="s">
        <v>62</v>
      </c>
      <c r="O3717" s="5"/>
      <c r="P3717" s="5"/>
    </row>
    <row r="3718" spans="1:32" x14ac:dyDescent="0.25">
      <c r="A3718" s="4">
        <v>42604</v>
      </c>
      <c r="B3718" t="s">
        <v>30</v>
      </c>
      <c r="C3718">
        <v>503</v>
      </c>
      <c r="D3718">
        <v>1</v>
      </c>
      <c r="E3718">
        <v>2</v>
      </c>
      <c r="F3718" t="s">
        <v>320</v>
      </c>
      <c r="G3718" t="s">
        <v>32</v>
      </c>
      <c r="H3718" t="s">
        <v>33</v>
      </c>
      <c r="I3718" t="s">
        <v>58</v>
      </c>
      <c r="J3718" t="s">
        <v>42</v>
      </c>
      <c r="K3718" t="s">
        <v>36</v>
      </c>
      <c r="L3718" t="s">
        <v>37</v>
      </c>
      <c r="M3718">
        <v>0</v>
      </c>
      <c r="N3718">
        <v>1</v>
      </c>
      <c r="O3718" s="5" t="s">
        <v>947</v>
      </c>
      <c r="P3718" s="5"/>
      <c r="Q3718">
        <f>32-13.5</f>
        <v>18.5</v>
      </c>
      <c r="R3718" t="s">
        <v>136</v>
      </c>
      <c r="S3718" t="s">
        <v>97</v>
      </c>
      <c r="T3718">
        <v>17</v>
      </c>
      <c r="W3718">
        <v>12.8</v>
      </c>
      <c r="X3718">
        <v>26.5</v>
      </c>
      <c r="Z3718" t="s">
        <v>97</v>
      </c>
      <c r="AA3718" t="s">
        <v>199</v>
      </c>
      <c r="AB3718" t="s">
        <v>87</v>
      </c>
      <c r="AC3718" t="s">
        <v>56</v>
      </c>
      <c r="AD3718" t="s">
        <v>948</v>
      </c>
      <c r="AF3718" t="s">
        <v>949</v>
      </c>
    </row>
    <row r="3719" spans="1:32" x14ac:dyDescent="0.25">
      <c r="A3719" s="4">
        <v>42604</v>
      </c>
      <c r="B3719" t="s">
        <v>30</v>
      </c>
      <c r="C3719">
        <v>503</v>
      </c>
      <c r="D3719">
        <v>2</v>
      </c>
      <c r="E3719">
        <v>1</v>
      </c>
      <c r="F3719" t="s">
        <v>320</v>
      </c>
      <c r="G3719" t="s">
        <v>32</v>
      </c>
      <c r="H3719" t="s">
        <v>33</v>
      </c>
      <c r="I3719" t="s">
        <v>57</v>
      </c>
      <c r="O3719" s="5"/>
      <c r="P3719" s="5"/>
    </row>
    <row r="3720" spans="1:32" x14ac:dyDescent="0.25">
      <c r="A3720" s="4">
        <v>42604</v>
      </c>
      <c r="B3720" t="s">
        <v>30</v>
      </c>
      <c r="C3720">
        <v>503</v>
      </c>
      <c r="D3720">
        <v>3</v>
      </c>
      <c r="E3720">
        <v>1</v>
      </c>
      <c r="F3720" t="s">
        <v>320</v>
      </c>
      <c r="G3720" t="s">
        <v>32</v>
      </c>
      <c r="H3720" t="s">
        <v>33</v>
      </c>
      <c r="I3720" t="s">
        <v>34</v>
      </c>
      <c r="J3720" t="s">
        <v>35</v>
      </c>
      <c r="K3720" t="s">
        <v>89</v>
      </c>
      <c r="L3720" t="s">
        <v>43</v>
      </c>
      <c r="M3720">
        <v>0</v>
      </c>
      <c r="N3720">
        <v>0</v>
      </c>
      <c r="O3720" s="5"/>
      <c r="P3720" s="5" t="s">
        <v>680</v>
      </c>
      <c r="Q3720">
        <f>32-17</f>
        <v>15</v>
      </c>
      <c r="R3720" t="s">
        <v>65</v>
      </c>
      <c r="T3720">
        <v>19</v>
      </c>
      <c r="U3720">
        <v>84</v>
      </c>
      <c r="V3720">
        <v>17</v>
      </c>
      <c r="W3720">
        <v>12.9</v>
      </c>
      <c r="X3720">
        <v>26.4</v>
      </c>
      <c r="Z3720" t="s">
        <v>39</v>
      </c>
      <c r="AB3720" t="s">
        <v>87</v>
      </c>
      <c r="AC3720" t="s">
        <v>56</v>
      </c>
      <c r="AD3720" t="s">
        <v>905</v>
      </c>
    </row>
    <row r="3721" spans="1:32" x14ac:dyDescent="0.25">
      <c r="A3721" s="4">
        <v>42604</v>
      </c>
      <c r="B3721" t="s">
        <v>30</v>
      </c>
      <c r="C3721">
        <v>503</v>
      </c>
      <c r="D3721">
        <v>3</v>
      </c>
      <c r="E3721">
        <v>2</v>
      </c>
      <c r="F3721" t="s">
        <v>320</v>
      </c>
      <c r="G3721" t="s">
        <v>32</v>
      </c>
      <c r="H3721" t="s">
        <v>33</v>
      </c>
      <c r="I3721" t="s">
        <v>53</v>
      </c>
      <c r="J3721" t="s">
        <v>62</v>
      </c>
      <c r="O3721" s="5"/>
      <c r="P3721" s="5"/>
    </row>
    <row r="3722" spans="1:32" x14ac:dyDescent="0.25">
      <c r="A3722" s="4">
        <v>42604</v>
      </c>
      <c r="B3722" t="s">
        <v>30</v>
      </c>
      <c r="C3722">
        <v>503</v>
      </c>
      <c r="D3722">
        <v>4</v>
      </c>
      <c r="E3722">
        <v>1</v>
      </c>
      <c r="F3722" t="s">
        <v>320</v>
      </c>
      <c r="G3722" t="s">
        <v>32</v>
      </c>
      <c r="H3722" t="s">
        <v>33</v>
      </c>
      <c r="I3722" t="s">
        <v>57</v>
      </c>
      <c r="O3722" s="5"/>
      <c r="P3722" s="5"/>
    </row>
    <row r="3723" spans="1:32" x14ac:dyDescent="0.25">
      <c r="A3723" s="4">
        <v>42604</v>
      </c>
      <c r="B3723" t="s">
        <v>30</v>
      </c>
      <c r="C3723">
        <v>503</v>
      </c>
      <c r="D3723">
        <v>5</v>
      </c>
      <c r="E3723">
        <v>1</v>
      </c>
      <c r="F3723" t="s">
        <v>320</v>
      </c>
      <c r="G3723" t="s">
        <v>32</v>
      </c>
      <c r="H3723" t="s">
        <v>33</v>
      </c>
      <c r="I3723" t="s">
        <v>57</v>
      </c>
      <c r="O3723" s="5"/>
      <c r="P3723" s="5"/>
    </row>
    <row r="3724" spans="1:32" x14ac:dyDescent="0.25">
      <c r="A3724" s="4">
        <v>42604</v>
      </c>
      <c r="B3724" t="s">
        <v>30</v>
      </c>
      <c r="C3724">
        <v>503</v>
      </c>
      <c r="D3724">
        <v>5</v>
      </c>
      <c r="E3724">
        <v>2</v>
      </c>
      <c r="F3724" t="s">
        <v>320</v>
      </c>
      <c r="G3724" t="s">
        <v>32</v>
      </c>
      <c r="H3724" t="s">
        <v>33</v>
      </c>
      <c r="I3724" t="s">
        <v>34</v>
      </c>
      <c r="J3724" t="s">
        <v>42</v>
      </c>
      <c r="K3724" t="s">
        <v>89</v>
      </c>
      <c r="L3724" t="s">
        <v>37</v>
      </c>
      <c r="M3724">
        <v>0</v>
      </c>
      <c r="N3724">
        <v>1</v>
      </c>
      <c r="O3724" s="5" t="s">
        <v>950</v>
      </c>
      <c r="P3724" s="5" t="s">
        <v>951</v>
      </c>
      <c r="Q3724">
        <f>36.5-22</f>
        <v>14.5</v>
      </c>
      <c r="R3724" t="s">
        <v>38</v>
      </c>
      <c r="S3724" t="s">
        <v>39</v>
      </c>
      <c r="T3724">
        <v>19</v>
      </c>
      <c r="U3724">
        <v>78</v>
      </c>
      <c r="V3724">
        <v>16</v>
      </c>
      <c r="Z3724" t="s">
        <v>39</v>
      </c>
      <c r="AB3724" t="s">
        <v>87</v>
      </c>
      <c r="AC3724" t="s">
        <v>56</v>
      </c>
      <c r="AD3724" t="s">
        <v>789</v>
      </c>
    </row>
    <row r="3725" spans="1:32" x14ac:dyDescent="0.25">
      <c r="A3725" s="4">
        <v>42604</v>
      </c>
      <c r="B3725" t="s">
        <v>30</v>
      </c>
      <c r="C3725">
        <v>503</v>
      </c>
      <c r="D3725">
        <v>6</v>
      </c>
      <c r="E3725">
        <v>1</v>
      </c>
      <c r="F3725" t="s">
        <v>320</v>
      </c>
      <c r="G3725" t="s">
        <v>32</v>
      </c>
      <c r="H3725" t="s">
        <v>33</v>
      </c>
      <c r="I3725" t="s">
        <v>57</v>
      </c>
      <c r="O3725" s="5"/>
      <c r="P3725" s="5"/>
    </row>
    <row r="3726" spans="1:32" x14ac:dyDescent="0.25">
      <c r="A3726" s="4">
        <v>42604</v>
      </c>
      <c r="B3726" t="s">
        <v>30</v>
      </c>
      <c r="C3726">
        <v>503</v>
      </c>
      <c r="D3726">
        <v>6</v>
      </c>
      <c r="E3726">
        <v>2</v>
      </c>
      <c r="F3726" t="s">
        <v>320</v>
      </c>
      <c r="G3726" t="s">
        <v>32</v>
      </c>
      <c r="H3726" t="s">
        <v>33</v>
      </c>
      <c r="I3726" t="s">
        <v>58</v>
      </c>
      <c r="J3726" t="s">
        <v>42</v>
      </c>
      <c r="K3726" t="s">
        <v>36</v>
      </c>
      <c r="L3726" t="s">
        <v>37</v>
      </c>
      <c r="M3726">
        <v>0</v>
      </c>
      <c r="N3726">
        <v>1</v>
      </c>
      <c r="O3726" s="5" t="s">
        <v>952</v>
      </c>
      <c r="P3726" s="5"/>
      <c r="Q3726">
        <f>38-16</f>
        <v>22</v>
      </c>
      <c r="R3726" t="s">
        <v>38</v>
      </c>
      <c r="S3726" t="s">
        <v>39</v>
      </c>
      <c r="T3726">
        <v>19</v>
      </c>
      <c r="W3726">
        <v>13</v>
      </c>
      <c r="X3726">
        <v>27.3</v>
      </c>
      <c r="Z3726" t="s">
        <v>97</v>
      </c>
      <c r="AA3726" t="s">
        <v>199</v>
      </c>
      <c r="AB3726" t="s">
        <v>87</v>
      </c>
      <c r="AC3726" t="s">
        <v>56</v>
      </c>
      <c r="AD3726" t="s">
        <v>789</v>
      </c>
    </row>
    <row r="3727" spans="1:32" x14ac:dyDescent="0.25">
      <c r="A3727" s="4">
        <v>42604</v>
      </c>
      <c r="B3727" t="s">
        <v>30</v>
      </c>
      <c r="C3727">
        <v>503</v>
      </c>
      <c r="D3727">
        <v>7</v>
      </c>
      <c r="E3727">
        <v>1</v>
      </c>
      <c r="F3727" t="s">
        <v>320</v>
      </c>
      <c r="G3727" t="s">
        <v>32</v>
      </c>
      <c r="H3727" t="s">
        <v>33</v>
      </c>
      <c r="I3727" t="s">
        <v>58</v>
      </c>
      <c r="J3727" t="s">
        <v>62</v>
      </c>
      <c r="O3727" s="5"/>
      <c r="P3727" s="5"/>
    </row>
    <row r="3728" spans="1:32" x14ac:dyDescent="0.25">
      <c r="A3728" s="4">
        <v>42604</v>
      </c>
      <c r="B3728" t="s">
        <v>30</v>
      </c>
      <c r="C3728">
        <v>503</v>
      </c>
      <c r="D3728">
        <v>7</v>
      </c>
      <c r="E3728">
        <v>2</v>
      </c>
      <c r="F3728" t="s">
        <v>320</v>
      </c>
      <c r="G3728" t="s">
        <v>32</v>
      </c>
      <c r="H3728" t="s">
        <v>33</v>
      </c>
      <c r="I3728" t="s">
        <v>58</v>
      </c>
      <c r="J3728" t="s">
        <v>42</v>
      </c>
      <c r="K3728" t="s">
        <v>36</v>
      </c>
      <c r="L3728" t="s">
        <v>43</v>
      </c>
      <c r="M3728">
        <v>0</v>
      </c>
      <c r="N3728">
        <v>1</v>
      </c>
      <c r="O3728" s="5" t="s">
        <v>953</v>
      </c>
      <c r="P3728" s="5"/>
      <c r="Q3728">
        <f>33-15.5</f>
        <v>17.5</v>
      </c>
      <c r="R3728" t="s">
        <v>65</v>
      </c>
      <c r="T3728">
        <v>18</v>
      </c>
      <c r="W3728">
        <v>12.8</v>
      </c>
      <c r="X3728">
        <v>26.5</v>
      </c>
      <c r="Z3728" t="s">
        <v>97</v>
      </c>
      <c r="AA3728" t="s">
        <v>954</v>
      </c>
      <c r="AB3728" t="s">
        <v>87</v>
      </c>
      <c r="AC3728" t="s">
        <v>56</v>
      </c>
      <c r="AD3728" t="s">
        <v>789</v>
      </c>
    </row>
    <row r="3729" spans="1:34" x14ac:dyDescent="0.25">
      <c r="A3729" s="4">
        <v>42604</v>
      </c>
      <c r="B3729" t="s">
        <v>30</v>
      </c>
      <c r="C3729">
        <v>503</v>
      </c>
      <c r="D3729">
        <v>8</v>
      </c>
      <c r="E3729">
        <v>1</v>
      </c>
      <c r="F3729" t="s">
        <v>320</v>
      </c>
      <c r="G3729" t="s">
        <v>32</v>
      </c>
      <c r="H3729" t="s">
        <v>33</v>
      </c>
      <c r="I3729" t="s">
        <v>57</v>
      </c>
      <c r="O3729" s="5"/>
      <c r="P3729" s="5"/>
    </row>
    <row r="3730" spans="1:34" x14ac:dyDescent="0.25">
      <c r="A3730" s="4">
        <v>42604</v>
      </c>
      <c r="B3730" t="s">
        <v>30</v>
      </c>
      <c r="C3730">
        <v>503</v>
      </c>
      <c r="D3730">
        <v>8</v>
      </c>
      <c r="E3730">
        <v>2</v>
      </c>
      <c r="F3730" t="s">
        <v>320</v>
      </c>
      <c r="G3730" t="s">
        <v>32</v>
      </c>
      <c r="H3730" t="s">
        <v>33</v>
      </c>
      <c r="I3730" t="s">
        <v>58</v>
      </c>
      <c r="J3730" t="s">
        <v>35</v>
      </c>
      <c r="K3730" t="s">
        <v>36</v>
      </c>
      <c r="L3730" t="s">
        <v>43</v>
      </c>
      <c r="M3730">
        <v>0</v>
      </c>
      <c r="N3730">
        <v>1</v>
      </c>
      <c r="O3730" s="5" t="s">
        <v>955</v>
      </c>
      <c r="P3730" s="5"/>
      <c r="Q3730">
        <f>36-17</f>
        <v>19</v>
      </c>
      <c r="R3730" t="s">
        <v>47</v>
      </c>
      <c r="T3730">
        <v>17</v>
      </c>
      <c r="W3730">
        <v>12.8</v>
      </c>
      <c r="X3730">
        <v>26.3</v>
      </c>
      <c r="Z3730" t="s">
        <v>97</v>
      </c>
      <c r="AA3730" t="s">
        <v>199</v>
      </c>
      <c r="AB3730" t="s">
        <v>87</v>
      </c>
      <c r="AC3730" t="s">
        <v>56</v>
      </c>
      <c r="AD3730" t="s">
        <v>956</v>
      </c>
    </row>
    <row r="3731" spans="1:34" x14ac:dyDescent="0.25">
      <c r="A3731" s="4">
        <v>42604</v>
      </c>
      <c r="B3731" t="s">
        <v>30</v>
      </c>
      <c r="C3731">
        <v>503</v>
      </c>
      <c r="D3731">
        <v>9</v>
      </c>
      <c r="E3731">
        <v>1</v>
      </c>
      <c r="F3731" t="s">
        <v>320</v>
      </c>
      <c r="G3731" t="s">
        <v>32</v>
      </c>
      <c r="H3731" t="s">
        <v>33</v>
      </c>
      <c r="I3731" t="s">
        <v>57</v>
      </c>
      <c r="O3731" s="5"/>
      <c r="P3731" s="5"/>
    </row>
    <row r="3732" spans="1:34" x14ac:dyDescent="0.25">
      <c r="A3732" s="4">
        <v>42604</v>
      </c>
      <c r="B3732" t="s">
        <v>30</v>
      </c>
      <c r="C3732">
        <v>503</v>
      </c>
      <c r="D3732">
        <v>9</v>
      </c>
      <c r="E3732">
        <v>2</v>
      </c>
      <c r="F3732" t="s">
        <v>320</v>
      </c>
      <c r="G3732" t="s">
        <v>32</v>
      </c>
      <c r="H3732" t="s">
        <v>33</v>
      </c>
      <c r="I3732" t="s">
        <v>70</v>
      </c>
      <c r="J3732" t="s">
        <v>123</v>
      </c>
      <c r="O3732" s="5"/>
      <c r="P3732" s="5"/>
    </row>
    <row r="3733" spans="1:34" x14ac:dyDescent="0.25">
      <c r="A3733" s="4">
        <v>42604</v>
      </c>
      <c r="B3733" t="s">
        <v>30</v>
      </c>
      <c r="C3733">
        <v>503</v>
      </c>
      <c r="D3733">
        <v>10</v>
      </c>
      <c r="E3733">
        <v>1</v>
      </c>
      <c r="F3733" t="s">
        <v>320</v>
      </c>
      <c r="G3733" t="s">
        <v>32</v>
      </c>
      <c r="H3733" t="s">
        <v>33</v>
      </c>
      <c r="I3733" t="s">
        <v>57</v>
      </c>
      <c r="O3733" s="5"/>
      <c r="P3733" s="5"/>
    </row>
    <row r="3734" spans="1:34" x14ac:dyDescent="0.25">
      <c r="A3734" s="4">
        <v>42604</v>
      </c>
      <c r="B3734" t="s">
        <v>30</v>
      </c>
      <c r="C3734">
        <v>503</v>
      </c>
      <c r="D3734">
        <v>10</v>
      </c>
      <c r="E3734">
        <v>2</v>
      </c>
      <c r="F3734" t="s">
        <v>320</v>
      </c>
      <c r="G3734" t="s">
        <v>32</v>
      </c>
      <c r="H3734" t="s">
        <v>33</v>
      </c>
      <c r="I3734" t="s">
        <v>57</v>
      </c>
      <c r="O3734" s="5"/>
      <c r="P3734" s="5"/>
    </row>
    <row r="3735" spans="1:34" x14ac:dyDescent="0.25">
      <c r="A3735" s="4">
        <v>42604</v>
      </c>
      <c r="B3735" t="s">
        <v>30</v>
      </c>
      <c r="C3735">
        <v>303</v>
      </c>
      <c r="D3735">
        <v>1</v>
      </c>
      <c r="E3735">
        <v>1</v>
      </c>
      <c r="F3735" t="s">
        <v>320</v>
      </c>
      <c r="G3735" t="s">
        <v>32</v>
      </c>
      <c r="H3735" t="s">
        <v>33</v>
      </c>
      <c r="I3735" t="s">
        <v>57</v>
      </c>
      <c r="O3735" s="5"/>
      <c r="P3735" s="5"/>
    </row>
    <row r="3736" spans="1:34" x14ac:dyDescent="0.25">
      <c r="A3736" s="4">
        <v>42604</v>
      </c>
      <c r="B3736" t="s">
        <v>30</v>
      </c>
      <c r="C3736">
        <v>303</v>
      </c>
      <c r="D3736">
        <v>2</v>
      </c>
      <c r="E3736">
        <v>1</v>
      </c>
      <c r="F3736" t="s">
        <v>320</v>
      </c>
      <c r="G3736" t="s">
        <v>32</v>
      </c>
      <c r="H3736" t="s">
        <v>33</v>
      </c>
      <c r="I3736" t="s">
        <v>57</v>
      </c>
      <c r="O3736" s="5"/>
      <c r="P3736" s="5"/>
    </row>
    <row r="3737" spans="1:34" x14ac:dyDescent="0.25">
      <c r="A3737" s="4">
        <v>42604</v>
      </c>
      <c r="B3737" t="s">
        <v>30</v>
      </c>
      <c r="C3737">
        <v>303</v>
      </c>
      <c r="D3737">
        <v>2</v>
      </c>
      <c r="E3737">
        <v>2</v>
      </c>
      <c r="F3737" t="s">
        <v>320</v>
      </c>
      <c r="G3737" t="s">
        <v>32</v>
      </c>
      <c r="H3737" t="s">
        <v>33</v>
      </c>
      <c r="I3737" t="s">
        <v>58</v>
      </c>
      <c r="J3737" t="s">
        <v>42</v>
      </c>
      <c r="K3737" t="s">
        <v>36</v>
      </c>
      <c r="L3737" t="s">
        <v>43</v>
      </c>
      <c r="M3737">
        <v>0</v>
      </c>
      <c r="N3737">
        <v>1</v>
      </c>
      <c r="O3737" s="5" t="s">
        <v>957</v>
      </c>
      <c r="P3737" s="5"/>
      <c r="Q3737">
        <f>39-14</f>
        <v>25</v>
      </c>
      <c r="R3737" t="s">
        <v>47</v>
      </c>
      <c r="T3737">
        <v>17.5</v>
      </c>
      <c r="W3737">
        <v>13.3</v>
      </c>
      <c r="X3737">
        <v>27.5</v>
      </c>
      <c r="Z3737" t="s">
        <v>97</v>
      </c>
      <c r="AA3737" t="s">
        <v>199</v>
      </c>
      <c r="AB3737" t="s">
        <v>87</v>
      </c>
      <c r="AC3737" t="s">
        <v>56</v>
      </c>
      <c r="AD3737" t="s">
        <v>789</v>
      </c>
    </row>
    <row r="3738" spans="1:34" x14ac:dyDescent="0.25">
      <c r="A3738" s="4">
        <v>42604</v>
      </c>
      <c r="B3738" t="s">
        <v>30</v>
      </c>
      <c r="C3738">
        <v>303</v>
      </c>
      <c r="D3738">
        <v>3</v>
      </c>
      <c r="E3738">
        <v>1</v>
      </c>
      <c r="F3738" t="s">
        <v>320</v>
      </c>
      <c r="G3738" t="s">
        <v>32</v>
      </c>
      <c r="H3738" t="s">
        <v>33</v>
      </c>
      <c r="I3738" t="s">
        <v>57</v>
      </c>
      <c r="O3738" s="5"/>
      <c r="P3738" s="5"/>
    </row>
    <row r="3739" spans="1:34" x14ac:dyDescent="0.25">
      <c r="A3739" s="4">
        <v>42604</v>
      </c>
      <c r="B3739" t="s">
        <v>30</v>
      </c>
      <c r="C3739">
        <v>303</v>
      </c>
      <c r="D3739">
        <v>3</v>
      </c>
      <c r="E3739">
        <v>2</v>
      </c>
      <c r="F3739" t="s">
        <v>320</v>
      </c>
      <c r="G3739" t="s">
        <v>32</v>
      </c>
      <c r="H3739" t="s">
        <v>33</v>
      </c>
      <c r="I3739" t="s">
        <v>58</v>
      </c>
      <c r="J3739" t="s">
        <v>62</v>
      </c>
      <c r="O3739" s="5" t="s">
        <v>558</v>
      </c>
      <c r="P3739" s="5"/>
      <c r="Z3739" t="s">
        <v>97</v>
      </c>
      <c r="AA3739" t="s">
        <v>199</v>
      </c>
    </row>
    <row r="3740" spans="1:34" x14ac:dyDescent="0.25">
      <c r="A3740" s="4">
        <v>42604</v>
      </c>
      <c r="B3740" t="s">
        <v>30</v>
      </c>
      <c r="C3740">
        <v>303</v>
      </c>
      <c r="D3740">
        <v>4</v>
      </c>
      <c r="E3740">
        <v>1</v>
      </c>
      <c r="F3740" t="s">
        <v>320</v>
      </c>
      <c r="G3740" t="s">
        <v>32</v>
      </c>
      <c r="H3740" t="s">
        <v>33</v>
      </c>
      <c r="I3740" t="s">
        <v>58</v>
      </c>
      <c r="J3740" t="s">
        <v>42</v>
      </c>
      <c r="K3740" t="s">
        <v>36</v>
      </c>
      <c r="L3740" t="s">
        <v>43</v>
      </c>
      <c r="M3740">
        <v>0</v>
      </c>
      <c r="N3740">
        <v>1</v>
      </c>
      <c r="O3740" s="5" t="s">
        <v>958</v>
      </c>
      <c r="P3740" s="5"/>
      <c r="Q3740">
        <f>32.5-14</f>
        <v>18.5</v>
      </c>
      <c r="R3740" t="s">
        <v>47</v>
      </c>
      <c r="T3740">
        <v>18</v>
      </c>
      <c r="W3740">
        <v>12.9</v>
      </c>
      <c r="X3740">
        <v>26.2</v>
      </c>
      <c r="Z3740" t="s">
        <v>97</v>
      </c>
      <c r="AA3740" t="s">
        <v>199</v>
      </c>
      <c r="AB3740" t="s">
        <v>87</v>
      </c>
      <c r="AC3740" t="s">
        <v>56</v>
      </c>
      <c r="AD3740" t="s">
        <v>789</v>
      </c>
    </row>
    <row r="3741" spans="1:34" x14ac:dyDescent="0.25">
      <c r="A3741" s="4">
        <v>42604</v>
      </c>
      <c r="B3741" t="s">
        <v>30</v>
      </c>
      <c r="C3741">
        <v>303</v>
      </c>
      <c r="D3741">
        <v>4</v>
      </c>
      <c r="E3741">
        <v>2</v>
      </c>
      <c r="F3741" t="s">
        <v>320</v>
      </c>
      <c r="G3741" t="s">
        <v>32</v>
      </c>
      <c r="H3741" t="s">
        <v>33</v>
      </c>
      <c r="I3741" t="s">
        <v>58</v>
      </c>
      <c r="J3741" t="s">
        <v>35</v>
      </c>
      <c r="K3741" t="s">
        <v>114</v>
      </c>
      <c r="L3741" t="s">
        <v>43</v>
      </c>
      <c r="M3741">
        <v>0</v>
      </c>
      <c r="N3741">
        <v>0</v>
      </c>
      <c r="O3741" s="5" t="s">
        <v>557</v>
      </c>
      <c r="P3741" s="5"/>
      <c r="Q3741">
        <f>30-14.5</f>
        <v>15.5</v>
      </c>
      <c r="R3741" t="s">
        <v>65</v>
      </c>
      <c r="T3741">
        <v>17</v>
      </c>
      <c r="W3741">
        <v>12.6</v>
      </c>
      <c r="X3741">
        <v>26.6</v>
      </c>
      <c r="Z3741" t="s">
        <v>97</v>
      </c>
      <c r="AA3741" t="s">
        <v>199</v>
      </c>
      <c r="AB3741" t="s">
        <v>87</v>
      </c>
      <c r="AC3741" t="s">
        <v>56</v>
      </c>
    </row>
    <row r="3742" spans="1:34" x14ac:dyDescent="0.25">
      <c r="A3742" s="4">
        <v>42604</v>
      </c>
      <c r="B3742" t="s">
        <v>30</v>
      </c>
      <c r="C3742">
        <v>303</v>
      </c>
      <c r="D3742">
        <v>5</v>
      </c>
      <c r="E3742">
        <v>1</v>
      </c>
      <c r="F3742" t="s">
        <v>320</v>
      </c>
      <c r="G3742" t="s">
        <v>32</v>
      </c>
      <c r="H3742" t="s">
        <v>33</v>
      </c>
      <c r="I3742" t="s">
        <v>57</v>
      </c>
      <c r="O3742" s="5"/>
      <c r="P3742" s="5"/>
    </row>
    <row r="3743" spans="1:34" x14ac:dyDescent="0.25">
      <c r="A3743" s="4">
        <v>42604</v>
      </c>
      <c r="B3743" t="s">
        <v>30</v>
      </c>
      <c r="C3743">
        <v>303</v>
      </c>
      <c r="D3743">
        <v>6</v>
      </c>
      <c r="E3743">
        <v>1</v>
      </c>
      <c r="F3743" t="s">
        <v>320</v>
      </c>
      <c r="G3743" t="s">
        <v>32</v>
      </c>
      <c r="H3743" t="s">
        <v>33</v>
      </c>
      <c r="I3743" t="s">
        <v>53</v>
      </c>
      <c r="J3743" t="s">
        <v>62</v>
      </c>
      <c r="O3743" s="5"/>
      <c r="P3743" s="5"/>
    </row>
    <row r="3744" spans="1:34" x14ac:dyDescent="0.25">
      <c r="A3744" s="4">
        <v>42604</v>
      </c>
      <c r="B3744" t="s">
        <v>30</v>
      </c>
      <c r="C3744">
        <v>303</v>
      </c>
      <c r="D3744">
        <v>6</v>
      </c>
      <c r="E3744">
        <v>2</v>
      </c>
      <c r="F3744" t="s">
        <v>320</v>
      </c>
      <c r="G3744" t="s">
        <v>32</v>
      </c>
      <c r="H3744" t="s">
        <v>33</v>
      </c>
      <c r="I3744" t="s">
        <v>58</v>
      </c>
      <c r="J3744" t="s">
        <v>42</v>
      </c>
      <c r="K3744" t="s">
        <v>36</v>
      </c>
      <c r="L3744" t="s">
        <v>43</v>
      </c>
      <c r="M3744">
        <v>0</v>
      </c>
      <c r="N3744">
        <v>1</v>
      </c>
      <c r="O3744" s="5" t="s">
        <v>959</v>
      </c>
      <c r="P3744" s="5"/>
      <c r="Q3744">
        <f>45-16.5</f>
        <v>28.5</v>
      </c>
      <c r="R3744" t="s">
        <v>47</v>
      </c>
      <c r="T3744">
        <v>17</v>
      </c>
      <c r="W3744">
        <v>12.9</v>
      </c>
      <c r="X3744">
        <v>27</v>
      </c>
      <c r="Z3744" t="s">
        <v>97</v>
      </c>
      <c r="AA3744" t="s">
        <v>199</v>
      </c>
      <c r="AB3744" t="s">
        <v>87</v>
      </c>
      <c r="AC3744" t="s">
        <v>56</v>
      </c>
      <c r="AD3744" t="s">
        <v>789</v>
      </c>
      <c r="AE3744" t="s">
        <v>956</v>
      </c>
      <c r="AH3744" t="s">
        <v>960</v>
      </c>
    </row>
    <row r="3745" spans="1:32" x14ac:dyDescent="0.25">
      <c r="A3745" s="4">
        <v>42604</v>
      </c>
      <c r="B3745" t="s">
        <v>30</v>
      </c>
      <c r="C3745">
        <v>303</v>
      </c>
      <c r="D3745">
        <v>7</v>
      </c>
      <c r="E3745">
        <v>1</v>
      </c>
      <c r="F3745" t="s">
        <v>320</v>
      </c>
      <c r="G3745" t="s">
        <v>32</v>
      </c>
      <c r="H3745" t="s">
        <v>33</v>
      </c>
      <c r="I3745" t="s">
        <v>34</v>
      </c>
      <c r="J3745" t="s">
        <v>35</v>
      </c>
      <c r="K3745" t="s">
        <v>114</v>
      </c>
      <c r="L3745" t="s">
        <v>43</v>
      </c>
      <c r="M3745">
        <v>0</v>
      </c>
      <c r="N3745">
        <v>0</v>
      </c>
      <c r="O3745" s="5" t="s">
        <v>561</v>
      </c>
      <c r="P3745" s="5" t="s">
        <v>562</v>
      </c>
      <c r="Q3745">
        <f>43-24.5</f>
        <v>18.5</v>
      </c>
      <c r="R3745" t="s">
        <v>47</v>
      </c>
      <c r="T3745">
        <v>19</v>
      </c>
      <c r="U3745">
        <v>79</v>
      </c>
      <c r="V3745">
        <v>17</v>
      </c>
      <c r="W3745">
        <v>13</v>
      </c>
      <c r="X3745">
        <v>27.4</v>
      </c>
      <c r="Z3745" t="s">
        <v>97</v>
      </c>
      <c r="AA3745" t="s">
        <v>199</v>
      </c>
      <c r="AB3745" t="s">
        <v>87</v>
      </c>
      <c r="AC3745" t="s">
        <v>56</v>
      </c>
    </row>
    <row r="3746" spans="1:32" x14ac:dyDescent="0.25">
      <c r="A3746" s="4">
        <v>42604</v>
      </c>
      <c r="B3746" t="s">
        <v>30</v>
      </c>
      <c r="C3746">
        <v>303</v>
      </c>
      <c r="D3746">
        <v>8</v>
      </c>
      <c r="E3746">
        <v>1</v>
      </c>
      <c r="F3746" t="s">
        <v>320</v>
      </c>
      <c r="G3746" t="s">
        <v>32</v>
      </c>
      <c r="H3746" t="s">
        <v>33</v>
      </c>
      <c r="I3746" t="s">
        <v>57</v>
      </c>
      <c r="O3746" s="5"/>
      <c r="P3746" s="5"/>
    </row>
    <row r="3747" spans="1:32" x14ac:dyDescent="0.25">
      <c r="A3747" s="4">
        <v>42604</v>
      </c>
      <c r="B3747" t="s">
        <v>30</v>
      </c>
      <c r="C3747">
        <v>303</v>
      </c>
      <c r="D3747">
        <v>9</v>
      </c>
      <c r="E3747">
        <v>1</v>
      </c>
      <c r="F3747" t="s">
        <v>320</v>
      </c>
      <c r="G3747" t="s">
        <v>32</v>
      </c>
      <c r="H3747" t="s">
        <v>33</v>
      </c>
      <c r="I3747" t="s">
        <v>57</v>
      </c>
      <c r="O3747" s="5"/>
      <c r="P3747" s="5"/>
    </row>
    <row r="3748" spans="1:32" x14ac:dyDescent="0.25">
      <c r="A3748" s="4">
        <v>42604</v>
      </c>
      <c r="B3748" t="s">
        <v>30</v>
      </c>
      <c r="C3748">
        <v>303</v>
      </c>
      <c r="D3748">
        <v>9</v>
      </c>
      <c r="E3748">
        <v>2</v>
      </c>
      <c r="F3748" t="s">
        <v>320</v>
      </c>
      <c r="G3748" t="s">
        <v>32</v>
      </c>
      <c r="H3748" t="s">
        <v>33</v>
      </c>
      <c r="I3748" t="s">
        <v>58</v>
      </c>
      <c r="J3748" t="s">
        <v>35</v>
      </c>
      <c r="K3748" t="s">
        <v>36</v>
      </c>
      <c r="L3748" t="s">
        <v>37</v>
      </c>
      <c r="M3748">
        <v>0</v>
      </c>
      <c r="N3748">
        <v>0</v>
      </c>
      <c r="O3748" s="5" t="s">
        <v>563</v>
      </c>
      <c r="P3748" s="5"/>
      <c r="Q3748">
        <f>39-15</f>
        <v>24</v>
      </c>
      <c r="R3748" t="s">
        <v>136</v>
      </c>
      <c r="S3748" t="s">
        <v>97</v>
      </c>
      <c r="T3748">
        <v>17</v>
      </c>
      <c r="W3748">
        <v>13</v>
      </c>
      <c r="X3748">
        <v>28.4</v>
      </c>
      <c r="Z3748" t="s">
        <v>97</v>
      </c>
      <c r="AA3748" t="s">
        <v>199</v>
      </c>
      <c r="AB3748" t="s">
        <v>87</v>
      </c>
      <c r="AC3748" t="s">
        <v>56</v>
      </c>
    </row>
    <row r="3749" spans="1:32" x14ac:dyDescent="0.25">
      <c r="A3749" s="4">
        <v>42604</v>
      </c>
      <c r="B3749" t="s">
        <v>30</v>
      </c>
      <c r="C3749">
        <v>303</v>
      </c>
      <c r="D3749">
        <v>10</v>
      </c>
      <c r="E3749">
        <v>1</v>
      </c>
      <c r="F3749" t="s">
        <v>320</v>
      </c>
      <c r="G3749" t="s">
        <v>32</v>
      </c>
      <c r="H3749" t="s">
        <v>33</v>
      </c>
      <c r="I3749" t="s">
        <v>57</v>
      </c>
      <c r="O3749" s="5"/>
      <c r="P3749" s="5"/>
    </row>
    <row r="3750" spans="1:32" x14ac:dyDescent="0.25">
      <c r="A3750" s="4">
        <v>42604</v>
      </c>
      <c r="B3750" t="s">
        <v>30</v>
      </c>
      <c r="C3750">
        <v>303</v>
      </c>
      <c r="D3750">
        <v>10</v>
      </c>
      <c r="E3750">
        <v>2</v>
      </c>
      <c r="F3750" t="s">
        <v>320</v>
      </c>
      <c r="G3750" t="s">
        <v>32</v>
      </c>
      <c r="H3750" t="s">
        <v>33</v>
      </c>
      <c r="I3750" t="s">
        <v>58</v>
      </c>
      <c r="J3750" t="s">
        <v>42</v>
      </c>
      <c r="K3750" t="s">
        <v>36</v>
      </c>
      <c r="L3750" t="s">
        <v>43</v>
      </c>
      <c r="M3750">
        <v>0</v>
      </c>
      <c r="N3750">
        <v>1</v>
      </c>
      <c r="O3750" s="5"/>
      <c r="P3750" s="5" t="s">
        <v>961</v>
      </c>
      <c r="R3750" t="s">
        <v>47</v>
      </c>
      <c r="T3750">
        <v>17</v>
      </c>
      <c r="W3750">
        <v>13</v>
      </c>
      <c r="X3750">
        <v>26.4</v>
      </c>
      <c r="Z3750" t="s">
        <v>97</v>
      </c>
      <c r="AA3750" t="s">
        <v>199</v>
      </c>
      <c r="AB3750" t="s">
        <v>87</v>
      </c>
      <c r="AC3750" t="s">
        <v>56</v>
      </c>
      <c r="AD3750" t="s">
        <v>962</v>
      </c>
      <c r="AF3750" t="s">
        <v>789</v>
      </c>
    </row>
    <row r="3751" spans="1:32" x14ac:dyDescent="0.25">
      <c r="A3751" s="4">
        <v>42604</v>
      </c>
      <c r="B3751" t="s">
        <v>30</v>
      </c>
      <c r="C3751">
        <v>401</v>
      </c>
      <c r="D3751">
        <v>1</v>
      </c>
      <c r="E3751">
        <v>1</v>
      </c>
      <c r="F3751" t="s">
        <v>320</v>
      </c>
      <c r="G3751" t="s">
        <v>32</v>
      </c>
      <c r="H3751" t="s">
        <v>33</v>
      </c>
      <c r="I3751" t="s">
        <v>58</v>
      </c>
      <c r="J3751" t="s">
        <v>35</v>
      </c>
      <c r="K3751" t="s">
        <v>36</v>
      </c>
      <c r="L3751" t="s">
        <v>37</v>
      </c>
      <c r="M3751">
        <v>0</v>
      </c>
      <c r="N3751">
        <v>0</v>
      </c>
      <c r="O3751" s="5" t="s">
        <v>669</v>
      </c>
      <c r="P3751" s="5"/>
      <c r="Q3751">
        <f>40-15</f>
        <v>25</v>
      </c>
      <c r="R3751" t="s">
        <v>74</v>
      </c>
      <c r="S3751" t="s">
        <v>97</v>
      </c>
      <c r="T3751">
        <v>16</v>
      </c>
      <c r="W3751">
        <v>13</v>
      </c>
      <c r="X3751">
        <v>28</v>
      </c>
      <c r="Z3751" t="s">
        <v>97</v>
      </c>
      <c r="AA3751" t="s">
        <v>199</v>
      </c>
      <c r="AB3751" t="s">
        <v>87</v>
      </c>
      <c r="AC3751" t="s">
        <v>56</v>
      </c>
      <c r="AD3751" t="s">
        <v>963</v>
      </c>
    </row>
    <row r="3752" spans="1:32" x14ac:dyDescent="0.25">
      <c r="A3752" s="4">
        <v>42604</v>
      </c>
      <c r="B3752" t="s">
        <v>30</v>
      </c>
      <c r="C3752">
        <v>401</v>
      </c>
      <c r="D3752">
        <v>1</v>
      </c>
      <c r="E3752">
        <v>2</v>
      </c>
      <c r="F3752" t="s">
        <v>320</v>
      </c>
      <c r="G3752" t="s">
        <v>32</v>
      </c>
      <c r="H3752" t="s">
        <v>33</v>
      </c>
      <c r="I3752" t="s">
        <v>57</v>
      </c>
      <c r="O3752" s="5"/>
      <c r="P3752" s="5"/>
    </row>
    <row r="3753" spans="1:32" x14ac:dyDescent="0.25">
      <c r="A3753" s="4">
        <v>42604</v>
      </c>
      <c r="B3753" t="s">
        <v>30</v>
      </c>
      <c r="C3753">
        <v>401</v>
      </c>
      <c r="D3753">
        <v>2</v>
      </c>
      <c r="E3753">
        <v>1</v>
      </c>
      <c r="F3753" t="s">
        <v>320</v>
      </c>
      <c r="G3753" t="s">
        <v>32</v>
      </c>
      <c r="H3753" t="s">
        <v>33</v>
      </c>
      <c r="I3753" t="s">
        <v>57</v>
      </c>
      <c r="O3753" s="5"/>
      <c r="P3753" s="5"/>
    </row>
    <row r="3754" spans="1:32" x14ac:dyDescent="0.25">
      <c r="A3754" s="4">
        <v>42604</v>
      </c>
      <c r="B3754" t="s">
        <v>30</v>
      </c>
      <c r="C3754">
        <v>401</v>
      </c>
      <c r="D3754">
        <v>2</v>
      </c>
      <c r="E3754">
        <v>2</v>
      </c>
      <c r="F3754" t="s">
        <v>320</v>
      </c>
      <c r="G3754" t="s">
        <v>32</v>
      </c>
      <c r="H3754" t="s">
        <v>33</v>
      </c>
      <c r="I3754" t="s">
        <v>57</v>
      </c>
      <c r="O3754" s="5"/>
      <c r="P3754" s="5"/>
    </row>
    <row r="3755" spans="1:32" x14ac:dyDescent="0.25">
      <c r="A3755" s="4">
        <v>42604</v>
      </c>
      <c r="B3755" t="s">
        <v>30</v>
      </c>
      <c r="C3755">
        <v>401</v>
      </c>
      <c r="D3755">
        <v>3</v>
      </c>
      <c r="E3755">
        <v>1</v>
      </c>
      <c r="F3755" t="s">
        <v>320</v>
      </c>
      <c r="G3755" t="s">
        <v>32</v>
      </c>
      <c r="H3755" t="s">
        <v>33</v>
      </c>
      <c r="I3755" t="s">
        <v>34</v>
      </c>
      <c r="J3755" t="s">
        <v>35</v>
      </c>
      <c r="K3755" t="s">
        <v>114</v>
      </c>
      <c r="L3755" t="s">
        <v>43</v>
      </c>
      <c r="M3755">
        <v>0</v>
      </c>
      <c r="N3755">
        <v>0</v>
      </c>
      <c r="O3755" s="5" t="s">
        <v>694</v>
      </c>
      <c r="P3755" s="5" t="s">
        <v>695</v>
      </c>
      <c r="Q3755">
        <f>32-15</f>
        <v>17</v>
      </c>
      <c r="R3755" t="s">
        <v>65</v>
      </c>
      <c r="T3755">
        <v>18</v>
      </c>
      <c r="U3755">
        <v>95</v>
      </c>
      <c r="V3755">
        <v>16</v>
      </c>
      <c r="W3755">
        <v>13</v>
      </c>
      <c r="X3755">
        <v>26.9</v>
      </c>
      <c r="Z3755" t="s">
        <v>97</v>
      </c>
      <c r="AA3755" t="s">
        <v>199</v>
      </c>
      <c r="AB3755" t="s">
        <v>87</v>
      </c>
      <c r="AC3755" t="s">
        <v>56</v>
      </c>
      <c r="AD3755" t="s">
        <v>964</v>
      </c>
    </row>
    <row r="3756" spans="1:32" x14ac:dyDescent="0.25">
      <c r="A3756" s="4">
        <v>42604</v>
      </c>
      <c r="B3756" t="s">
        <v>30</v>
      </c>
      <c r="C3756">
        <v>401</v>
      </c>
      <c r="D3756">
        <v>3</v>
      </c>
      <c r="E3756">
        <v>2</v>
      </c>
      <c r="F3756" t="s">
        <v>320</v>
      </c>
      <c r="G3756" t="s">
        <v>32</v>
      </c>
      <c r="H3756" t="s">
        <v>33</v>
      </c>
      <c r="I3756" t="s">
        <v>91</v>
      </c>
      <c r="J3756" t="s">
        <v>237</v>
      </c>
      <c r="O3756" s="5"/>
      <c r="P3756" s="5"/>
    </row>
    <row r="3757" spans="1:32" x14ac:dyDescent="0.25">
      <c r="A3757" s="4">
        <v>42604</v>
      </c>
      <c r="B3757" t="s">
        <v>30</v>
      </c>
      <c r="C3757">
        <v>401</v>
      </c>
      <c r="D3757">
        <v>4</v>
      </c>
      <c r="E3757">
        <v>1</v>
      </c>
      <c r="F3757" t="s">
        <v>320</v>
      </c>
      <c r="G3757" t="s">
        <v>32</v>
      </c>
      <c r="H3757" t="s">
        <v>33</v>
      </c>
      <c r="I3757" t="s">
        <v>53</v>
      </c>
      <c r="J3757" t="s">
        <v>62</v>
      </c>
      <c r="O3757" s="5"/>
      <c r="P3757" s="5"/>
    </row>
    <row r="3758" spans="1:32" x14ac:dyDescent="0.25">
      <c r="A3758" s="4">
        <v>42604</v>
      </c>
      <c r="B3758" t="s">
        <v>30</v>
      </c>
      <c r="C3758">
        <v>401</v>
      </c>
      <c r="D3758">
        <v>4</v>
      </c>
      <c r="E3758">
        <v>2</v>
      </c>
      <c r="F3758" t="s">
        <v>320</v>
      </c>
      <c r="G3758" t="s">
        <v>32</v>
      </c>
      <c r="H3758" t="s">
        <v>33</v>
      </c>
      <c r="I3758" t="s">
        <v>57</v>
      </c>
      <c r="O3758" s="5"/>
      <c r="P3758" s="5"/>
    </row>
    <row r="3759" spans="1:32" x14ac:dyDescent="0.25">
      <c r="A3759" s="4">
        <v>42604</v>
      </c>
      <c r="B3759" t="s">
        <v>30</v>
      </c>
      <c r="C3759">
        <v>401</v>
      </c>
      <c r="D3759">
        <v>5</v>
      </c>
      <c r="E3759">
        <v>1</v>
      </c>
      <c r="F3759" t="s">
        <v>320</v>
      </c>
      <c r="G3759" t="s">
        <v>32</v>
      </c>
      <c r="H3759" t="s">
        <v>33</v>
      </c>
      <c r="I3759" t="s">
        <v>58</v>
      </c>
      <c r="J3759" t="s">
        <v>62</v>
      </c>
      <c r="O3759" s="5"/>
      <c r="P3759" s="5"/>
    </row>
    <row r="3760" spans="1:32" x14ac:dyDescent="0.25">
      <c r="A3760" s="4">
        <v>42604</v>
      </c>
      <c r="B3760" t="s">
        <v>30</v>
      </c>
      <c r="C3760">
        <v>401</v>
      </c>
      <c r="D3760">
        <v>6</v>
      </c>
      <c r="E3760">
        <v>1</v>
      </c>
      <c r="F3760" t="s">
        <v>320</v>
      </c>
      <c r="G3760" t="s">
        <v>32</v>
      </c>
      <c r="H3760" t="s">
        <v>33</v>
      </c>
      <c r="I3760" t="s">
        <v>58</v>
      </c>
      <c r="J3760" t="s">
        <v>62</v>
      </c>
      <c r="O3760" s="5"/>
      <c r="P3760" s="5"/>
    </row>
    <row r="3761" spans="1:31" x14ac:dyDescent="0.25">
      <c r="A3761" s="4">
        <v>42604</v>
      </c>
      <c r="B3761" t="s">
        <v>30</v>
      </c>
      <c r="C3761">
        <v>401</v>
      </c>
      <c r="D3761">
        <v>6</v>
      </c>
      <c r="E3761">
        <v>2</v>
      </c>
      <c r="F3761" t="s">
        <v>320</v>
      </c>
      <c r="G3761" t="s">
        <v>32</v>
      </c>
      <c r="H3761" t="s">
        <v>33</v>
      </c>
      <c r="I3761" t="s">
        <v>57</v>
      </c>
      <c r="O3761" s="5"/>
      <c r="P3761" s="5"/>
    </row>
    <row r="3762" spans="1:31" x14ac:dyDescent="0.25">
      <c r="A3762" s="4">
        <v>42604</v>
      </c>
      <c r="B3762" t="s">
        <v>30</v>
      </c>
      <c r="C3762">
        <v>401</v>
      </c>
      <c r="D3762">
        <v>7</v>
      </c>
      <c r="E3762">
        <v>1</v>
      </c>
      <c r="F3762" t="s">
        <v>320</v>
      </c>
      <c r="G3762" t="s">
        <v>32</v>
      </c>
      <c r="H3762" t="s">
        <v>33</v>
      </c>
      <c r="I3762" t="s">
        <v>57</v>
      </c>
      <c r="O3762" s="5"/>
      <c r="P3762" s="5"/>
    </row>
    <row r="3763" spans="1:31" x14ac:dyDescent="0.25">
      <c r="A3763" s="4">
        <v>42604</v>
      </c>
      <c r="B3763" t="s">
        <v>30</v>
      </c>
      <c r="C3763">
        <v>401</v>
      </c>
      <c r="D3763">
        <v>7</v>
      </c>
      <c r="E3763">
        <v>2</v>
      </c>
      <c r="F3763" t="s">
        <v>320</v>
      </c>
      <c r="G3763" t="s">
        <v>32</v>
      </c>
      <c r="H3763" t="s">
        <v>33</v>
      </c>
      <c r="I3763" t="s">
        <v>57</v>
      </c>
      <c r="O3763" s="5"/>
      <c r="P3763" s="5"/>
    </row>
    <row r="3764" spans="1:31" x14ac:dyDescent="0.25">
      <c r="A3764" s="4">
        <v>42604</v>
      </c>
      <c r="B3764" t="s">
        <v>30</v>
      </c>
      <c r="C3764">
        <v>401</v>
      </c>
      <c r="D3764">
        <v>8</v>
      </c>
      <c r="E3764">
        <v>1</v>
      </c>
      <c r="F3764" t="s">
        <v>320</v>
      </c>
      <c r="G3764" t="s">
        <v>32</v>
      </c>
      <c r="H3764" t="s">
        <v>33</v>
      </c>
      <c r="I3764" t="s">
        <v>57</v>
      </c>
      <c r="O3764" s="5"/>
      <c r="P3764" s="5"/>
    </row>
    <row r="3765" spans="1:31" x14ac:dyDescent="0.25">
      <c r="A3765" s="4">
        <v>42604</v>
      </c>
      <c r="B3765" t="s">
        <v>30</v>
      </c>
      <c r="C3765">
        <v>401</v>
      </c>
      <c r="D3765">
        <v>8</v>
      </c>
      <c r="E3765">
        <v>2</v>
      </c>
      <c r="F3765" t="s">
        <v>320</v>
      </c>
      <c r="G3765" t="s">
        <v>32</v>
      </c>
      <c r="H3765" t="s">
        <v>33</v>
      </c>
      <c r="I3765" t="s">
        <v>53</v>
      </c>
      <c r="J3765" t="s">
        <v>62</v>
      </c>
      <c r="O3765" s="5"/>
      <c r="P3765" s="5"/>
    </row>
    <row r="3766" spans="1:31" x14ac:dyDescent="0.25">
      <c r="A3766" s="4">
        <v>42604</v>
      </c>
      <c r="B3766" t="s">
        <v>30</v>
      </c>
      <c r="C3766">
        <v>401</v>
      </c>
      <c r="D3766">
        <v>9</v>
      </c>
      <c r="E3766">
        <v>1</v>
      </c>
      <c r="F3766" t="s">
        <v>320</v>
      </c>
      <c r="G3766" t="s">
        <v>32</v>
      </c>
      <c r="H3766" t="s">
        <v>33</v>
      </c>
      <c r="I3766" t="s">
        <v>57</v>
      </c>
      <c r="O3766" s="5"/>
      <c r="P3766" s="5"/>
    </row>
    <row r="3767" spans="1:31" x14ac:dyDescent="0.25">
      <c r="A3767" s="4">
        <v>42604</v>
      </c>
      <c r="B3767" t="s">
        <v>30</v>
      </c>
      <c r="C3767">
        <v>401</v>
      </c>
      <c r="D3767">
        <v>9</v>
      </c>
      <c r="E3767">
        <v>2</v>
      </c>
      <c r="F3767" t="s">
        <v>320</v>
      </c>
      <c r="G3767" t="s">
        <v>32</v>
      </c>
      <c r="H3767" t="s">
        <v>33</v>
      </c>
      <c r="I3767" t="s">
        <v>57</v>
      </c>
      <c r="O3767" s="5"/>
      <c r="P3767" s="5"/>
    </row>
    <row r="3768" spans="1:31" x14ac:dyDescent="0.25">
      <c r="A3768" s="4">
        <v>42604</v>
      </c>
      <c r="B3768" t="s">
        <v>30</v>
      </c>
      <c r="C3768">
        <v>401</v>
      </c>
      <c r="D3768">
        <v>10</v>
      </c>
      <c r="E3768">
        <v>1</v>
      </c>
      <c r="F3768" t="s">
        <v>320</v>
      </c>
      <c r="G3768" t="s">
        <v>32</v>
      </c>
      <c r="H3768" t="s">
        <v>33</v>
      </c>
      <c r="I3768" t="s">
        <v>91</v>
      </c>
      <c r="J3768" t="s">
        <v>42</v>
      </c>
      <c r="K3768" t="s">
        <v>36</v>
      </c>
      <c r="L3768" t="s">
        <v>37</v>
      </c>
      <c r="M3768">
        <v>0</v>
      </c>
      <c r="N3768">
        <v>1</v>
      </c>
      <c r="O3768" s="5" t="s">
        <v>965</v>
      </c>
      <c r="P3768" s="5"/>
      <c r="Q3768">
        <f>37-17.5</f>
        <v>19.5</v>
      </c>
      <c r="R3768" t="s">
        <v>38</v>
      </c>
      <c r="S3768" t="s">
        <v>39</v>
      </c>
      <c r="T3768">
        <v>29</v>
      </c>
      <c r="W3768">
        <v>13.1</v>
      </c>
      <c r="X3768">
        <v>25.5</v>
      </c>
      <c r="Z3768" t="s">
        <v>97</v>
      </c>
      <c r="AA3768" t="s">
        <v>199</v>
      </c>
      <c r="AB3768" t="s">
        <v>87</v>
      </c>
      <c r="AC3768" t="s">
        <v>56</v>
      </c>
      <c r="AD3768" t="s">
        <v>789</v>
      </c>
      <c r="AE3768" t="s">
        <v>905</v>
      </c>
    </row>
    <row r="3769" spans="1:31" x14ac:dyDescent="0.25">
      <c r="A3769" s="4">
        <v>42604</v>
      </c>
      <c r="B3769" t="s">
        <v>30</v>
      </c>
      <c r="C3769">
        <v>401</v>
      </c>
      <c r="D3769">
        <v>10</v>
      </c>
      <c r="E3769">
        <v>2</v>
      </c>
      <c r="F3769" t="s">
        <v>320</v>
      </c>
      <c r="G3769" t="s">
        <v>32</v>
      </c>
      <c r="H3769" t="s">
        <v>33</v>
      </c>
      <c r="I3769" t="s">
        <v>58</v>
      </c>
      <c r="J3769" t="s">
        <v>42</v>
      </c>
      <c r="K3769" t="s">
        <v>36</v>
      </c>
      <c r="L3769" t="s">
        <v>43</v>
      </c>
      <c r="M3769">
        <v>0</v>
      </c>
      <c r="N3769">
        <v>1</v>
      </c>
      <c r="O3769" s="5" t="s">
        <v>966</v>
      </c>
      <c r="P3769" s="5"/>
      <c r="Q3769">
        <f>40-20.5</f>
        <v>19.5</v>
      </c>
      <c r="R3769" t="s">
        <v>65</v>
      </c>
      <c r="T3769">
        <v>16.5</v>
      </c>
      <c r="W3769">
        <v>12.9</v>
      </c>
      <c r="X3769">
        <v>26</v>
      </c>
      <c r="Z3769" t="s">
        <v>97</v>
      </c>
      <c r="AA3769" t="s">
        <v>967</v>
      </c>
      <c r="AB3769" t="s">
        <v>87</v>
      </c>
      <c r="AC3769" t="s">
        <v>56</v>
      </c>
      <c r="AD3769" t="s">
        <v>789</v>
      </c>
    </row>
    <row r="3770" spans="1:31" x14ac:dyDescent="0.25">
      <c r="A3770" s="4">
        <v>42605</v>
      </c>
      <c r="B3770" t="s">
        <v>30</v>
      </c>
      <c r="C3770">
        <v>703</v>
      </c>
      <c r="D3770">
        <v>1</v>
      </c>
      <c r="E3770">
        <v>1</v>
      </c>
      <c r="F3770" t="s">
        <v>31</v>
      </c>
      <c r="G3770" t="s">
        <v>32</v>
      </c>
      <c r="H3770" t="s">
        <v>33</v>
      </c>
      <c r="I3770" t="s">
        <v>34</v>
      </c>
      <c r="J3770" t="s">
        <v>35</v>
      </c>
      <c r="K3770" t="s">
        <v>114</v>
      </c>
      <c r="L3770" t="s">
        <v>43</v>
      </c>
      <c r="M3770">
        <v>0</v>
      </c>
      <c r="N3770">
        <v>0</v>
      </c>
      <c r="O3770" s="5" t="s">
        <v>579</v>
      </c>
      <c r="P3770" s="5" t="s">
        <v>580</v>
      </c>
      <c r="Q3770">
        <f>30-13</f>
        <v>17</v>
      </c>
      <c r="R3770" t="s">
        <v>65</v>
      </c>
      <c r="T3770">
        <v>18.5</v>
      </c>
      <c r="U3770">
        <v>86</v>
      </c>
      <c r="V3770">
        <v>18</v>
      </c>
      <c r="W3770">
        <v>12.9</v>
      </c>
      <c r="X3770">
        <v>25.9</v>
      </c>
      <c r="AB3770" t="s">
        <v>40</v>
      </c>
      <c r="AC3770" t="s">
        <v>56</v>
      </c>
    </row>
    <row r="3771" spans="1:31" x14ac:dyDescent="0.25">
      <c r="A3771" s="4">
        <v>42605</v>
      </c>
      <c r="B3771" t="s">
        <v>30</v>
      </c>
      <c r="C3771">
        <v>703</v>
      </c>
      <c r="D3771">
        <v>1</v>
      </c>
      <c r="E3771">
        <v>2</v>
      </c>
      <c r="F3771" t="s">
        <v>31</v>
      </c>
      <c r="G3771" t="s">
        <v>32</v>
      </c>
      <c r="H3771" t="s">
        <v>33</v>
      </c>
      <c r="I3771" t="s">
        <v>34</v>
      </c>
      <c r="J3771" t="s">
        <v>35</v>
      </c>
      <c r="K3771" t="s">
        <v>114</v>
      </c>
      <c r="L3771" t="s">
        <v>43</v>
      </c>
      <c r="M3771">
        <v>0</v>
      </c>
      <c r="N3771">
        <v>0</v>
      </c>
      <c r="O3771" s="5" t="s">
        <v>622</v>
      </c>
      <c r="P3771" s="5" t="s">
        <v>623</v>
      </c>
      <c r="Q3771">
        <f>28.5-13</f>
        <v>15.5</v>
      </c>
      <c r="R3771" t="s">
        <v>65</v>
      </c>
      <c r="T3771">
        <v>20</v>
      </c>
      <c r="U3771">
        <v>78</v>
      </c>
      <c r="V3771">
        <v>16</v>
      </c>
      <c r="W3771">
        <v>13.1</v>
      </c>
      <c r="X3771">
        <v>27.1</v>
      </c>
      <c r="AB3771" t="s">
        <v>40</v>
      </c>
      <c r="AC3771" t="s">
        <v>56</v>
      </c>
    </row>
    <row r="3772" spans="1:31" x14ac:dyDescent="0.25">
      <c r="A3772" s="4">
        <v>42605</v>
      </c>
      <c r="B3772" t="s">
        <v>30</v>
      </c>
      <c r="C3772">
        <v>703</v>
      </c>
      <c r="D3772">
        <v>2</v>
      </c>
      <c r="E3772">
        <v>1</v>
      </c>
      <c r="F3772" t="s">
        <v>31</v>
      </c>
      <c r="G3772" t="s">
        <v>32</v>
      </c>
      <c r="H3772" t="s">
        <v>33</v>
      </c>
      <c r="I3772" t="s">
        <v>58</v>
      </c>
      <c r="J3772" t="s">
        <v>42</v>
      </c>
      <c r="K3772" t="s">
        <v>89</v>
      </c>
      <c r="L3772" t="s">
        <v>37</v>
      </c>
      <c r="M3772">
        <v>0</v>
      </c>
      <c r="N3772">
        <v>1</v>
      </c>
      <c r="O3772" s="5" t="s">
        <v>968</v>
      </c>
      <c r="P3772" s="5"/>
      <c r="Q3772">
        <f>28.5-13</f>
        <v>15.5</v>
      </c>
      <c r="R3772" t="s">
        <v>38</v>
      </c>
      <c r="S3772" t="s">
        <v>39</v>
      </c>
      <c r="T3772">
        <v>16</v>
      </c>
      <c r="W3772">
        <v>12.7</v>
      </c>
      <c r="X3772">
        <v>26.4</v>
      </c>
      <c r="Z3772" t="s">
        <v>97</v>
      </c>
      <c r="AB3772" t="s">
        <v>40</v>
      </c>
      <c r="AC3772" t="s">
        <v>56</v>
      </c>
    </row>
    <row r="3773" spans="1:31" x14ac:dyDescent="0.25">
      <c r="A3773" s="4">
        <v>42605</v>
      </c>
      <c r="B3773" t="s">
        <v>30</v>
      </c>
      <c r="C3773">
        <v>703</v>
      </c>
      <c r="D3773">
        <v>2</v>
      </c>
      <c r="E3773">
        <v>2</v>
      </c>
      <c r="F3773" t="s">
        <v>31</v>
      </c>
      <c r="G3773" t="s">
        <v>32</v>
      </c>
      <c r="H3773" t="s">
        <v>33</v>
      </c>
      <c r="I3773" t="s">
        <v>58</v>
      </c>
      <c r="J3773" t="s">
        <v>35</v>
      </c>
      <c r="K3773" t="s">
        <v>36</v>
      </c>
      <c r="L3773" t="s">
        <v>37</v>
      </c>
      <c r="M3773">
        <v>0</v>
      </c>
      <c r="N3773">
        <v>0</v>
      </c>
      <c r="O3773" s="5" t="s">
        <v>700</v>
      </c>
      <c r="P3773" s="5"/>
      <c r="Q3773">
        <f>34-13</f>
        <v>21</v>
      </c>
      <c r="R3773" t="s">
        <v>38</v>
      </c>
      <c r="S3773" t="s">
        <v>39</v>
      </c>
      <c r="T3773">
        <v>17</v>
      </c>
      <c r="W3773">
        <v>12.7</v>
      </c>
      <c r="X3773">
        <v>26.6</v>
      </c>
      <c r="Z3773" t="s">
        <v>97</v>
      </c>
      <c r="AB3773" t="s">
        <v>40</v>
      </c>
      <c r="AC3773" t="s">
        <v>56</v>
      </c>
    </row>
    <row r="3774" spans="1:31" x14ac:dyDescent="0.25">
      <c r="A3774" s="4">
        <v>42605</v>
      </c>
      <c r="B3774" t="s">
        <v>30</v>
      </c>
      <c r="C3774">
        <v>703</v>
      </c>
      <c r="D3774">
        <v>3</v>
      </c>
      <c r="E3774">
        <v>1</v>
      </c>
      <c r="F3774" t="s">
        <v>31</v>
      </c>
      <c r="G3774" t="s">
        <v>32</v>
      </c>
      <c r="H3774" t="s">
        <v>33</v>
      </c>
      <c r="I3774" t="s">
        <v>34</v>
      </c>
      <c r="J3774" t="s">
        <v>35</v>
      </c>
      <c r="K3774" t="s">
        <v>114</v>
      </c>
      <c r="L3774" t="s">
        <v>37</v>
      </c>
      <c r="M3774">
        <v>0</v>
      </c>
      <c r="N3774">
        <v>0</v>
      </c>
      <c r="O3774" s="5" t="s">
        <v>612</v>
      </c>
      <c r="P3774" s="5" t="s">
        <v>613</v>
      </c>
      <c r="Q3774">
        <f>28-13</f>
        <v>15</v>
      </c>
      <c r="R3774" t="s">
        <v>38</v>
      </c>
      <c r="S3774" t="s">
        <v>39</v>
      </c>
      <c r="T3774">
        <v>18.5</v>
      </c>
      <c r="U3774">
        <v>79</v>
      </c>
      <c r="V3774">
        <v>15</v>
      </c>
      <c r="W3774">
        <v>12.6</v>
      </c>
      <c r="X3774">
        <v>25.75</v>
      </c>
      <c r="AB3774" t="s">
        <v>40</v>
      </c>
      <c r="AC3774" t="s">
        <v>56</v>
      </c>
    </row>
    <row r="3775" spans="1:31" x14ac:dyDescent="0.25">
      <c r="A3775" s="4">
        <v>42605</v>
      </c>
      <c r="B3775" t="s">
        <v>30</v>
      </c>
      <c r="C3775">
        <v>703</v>
      </c>
      <c r="D3775">
        <v>3</v>
      </c>
      <c r="E3775">
        <v>2</v>
      </c>
      <c r="F3775" t="s">
        <v>31</v>
      </c>
      <c r="G3775" t="s">
        <v>32</v>
      </c>
      <c r="H3775" t="s">
        <v>33</v>
      </c>
      <c r="I3775" t="s">
        <v>64</v>
      </c>
      <c r="J3775" t="s">
        <v>35</v>
      </c>
      <c r="K3775" t="s">
        <v>36</v>
      </c>
      <c r="L3775" t="s">
        <v>37</v>
      </c>
      <c r="M3775">
        <v>0</v>
      </c>
      <c r="N3775">
        <v>0</v>
      </c>
      <c r="O3775" s="5" t="s">
        <v>583</v>
      </c>
      <c r="P3775" s="5"/>
      <c r="Q3775">
        <f>255-94.5</f>
        <v>160.5</v>
      </c>
      <c r="R3775" t="s">
        <v>38</v>
      </c>
      <c r="S3775" t="s">
        <v>39</v>
      </c>
      <c r="T3775">
        <v>43</v>
      </c>
      <c r="W3775">
        <v>26.8</v>
      </c>
      <c r="X3775">
        <v>46</v>
      </c>
      <c r="AB3775" t="s">
        <v>40</v>
      </c>
      <c r="AC3775" t="s">
        <v>56</v>
      </c>
    </row>
    <row r="3776" spans="1:31" x14ac:dyDescent="0.25">
      <c r="A3776" s="4">
        <v>42605</v>
      </c>
      <c r="B3776" t="s">
        <v>30</v>
      </c>
      <c r="C3776">
        <v>703</v>
      </c>
      <c r="D3776">
        <v>4</v>
      </c>
      <c r="E3776">
        <v>1</v>
      </c>
      <c r="F3776" t="s">
        <v>31</v>
      </c>
      <c r="G3776" t="s">
        <v>32</v>
      </c>
      <c r="H3776" t="s">
        <v>33</v>
      </c>
      <c r="I3776" t="s">
        <v>57</v>
      </c>
      <c r="O3776" s="5"/>
      <c r="P3776" s="5"/>
    </row>
    <row r="3777" spans="1:30" x14ac:dyDescent="0.25">
      <c r="A3777" s="4">
        <v>42605</v>
      </c>
      <c r="B3777" t="s">
        <v>30</v>
      </c>
      <c r="C3777">
        <v>703</v>
      </c>
      <c r="D3777">
        <v>4</v>
      </c>
      <c r="E3777">
        <v>2</v>
      </c>
      <c r="F3777" t="s">
        <v>31</v>
      </c>
      <c r="G3777" t="s">
        <v>32</v>
      </c>
      <c r="H3777" t="s">
        <v>33</v>
      </c>
      <c r="I3777" t="s">
        <v>57</v>
      </c>
      <c r="O3777" s="5"/>
      <c r="P3777" s="5"/>
    </row>
    <row r="3778" spans="1:30" x14ac:dyDescent="0.25">
      <c r="A3778" s="4">
        <v>42605</v>
      </c>
      <c r="B3778" t="s">
        <v>30</v>
      </c>
      <c r="C3778">
        <v>703</v>
      </c>
      <c r="D3778">
        <v>5</v>
      </c>
      <c r="E3778">
        <v>1</v>
      </c>
      <c r="F3778" t="s">
        <v>31</v>
      </c>
      <c r="G3778" t="s">
        <v>32</v>
      </c>
      <c r="H3778" t="s">
        <v>33</v>
      </c>
      <c r="I3778" t="s">
        <v>91</v>
      </c>
      <c r="J3778" t="s">
        <v>35</v>
      </c>
      <c r="K3778" t="s">
        <v>114</v>
      </c>
      <c r="L3778" t="s">
        <v>43</v>
      </c>
      <c r="M3778">
        <v>0</v>
      </c>
      <c r="N3778">
        <v>0</v>
      </c>
      <c r="O3778" s="5" t="s">
        <v>915</v>
      </c>
      <c r="P3778" s="5"/>
      <c r="Q3778">
        <f>31-13</f>
        <v>18</v>
      </c>
      <c r="R3778" t="s">
        <v>65</v>
      </c>
      <c r="T3778">
        <v>28.5</v>
      </c>
      <c r="W3778">
        <v>12.6</v>
      </c>
      <c r="X3778">
        <v>25.1</v>
      </c>
      <c r="AB3778" t="s">
        <v>40</v>
      </c>
      <c r="AC3778" t="s">
        <v>56</v>
      </c>
    </row>
    <row r="3779" spans="1:30" x14ac:dyDescent="0.25">
      <c r="A3779" s="4">
        <v>42605</v>
      </c>
      <c r="B3779" t="s">
        <v>30</v>
      </c>
      <c r="C3779">
        <v>703</v>
      </c>
      <c r="D3779">
        <v>5</v>
      </c>
      <c r="E3779">
        <v>2</v>
      </c>
      <c r="F3779" t="s">
        <v>31</v>
      </c>
      <c r="G3779" t="s">
        <v>32</v>
      </c>
      <c r="H3779" t="s">
        <v>33</v>
      </c>
      <c r="I3779" t="s">
        <v>57</v>
      </c>
      <c r="O3779" s="5"/>
      <c r="P3779" s="5"/>
    </row>
    <row r="3780" spans="1:30" x14ac:dyDescent="0.25">
      <c r="A3780" s="4">
        <v>42605</v>
      </c>
      <c r="B3780" t="s">
        <v>30</v>
      </c>
      <c r="C3780">
        <v>703</v>
      </c>
      <c r="D3780">
        <v>6</v>
      </c>
      <c r="E3780">
        <v>1</v>
      </c>
      <c r="F3780" t="s">
        <v>31</v>
      </c>
      <c r="G3780" t="s">
        <v>32</v>
      </c>
      <c r="H3780" t="s">
        <v>33</v>
      </c>
      <c r="I3780" t="s">
        <v>34</v>
      </c>
      <c r="J3780" t="s">
        <v>35</v>
      </c>
      <c r="K3780" t="s">
        <v>114</v>
      </c>
      <c r="L3780" t="s">
        <v>37</v>
      </c>
      <c r="M3780">
        <v>0</v>
      </c>
      <c r="N3780">
        <v>0</v>
      </c>
      <c r="O3780" s="5" t="s">
        <v>581</v>
      </c>
      <c r="P3780" s="5" t="s">
        <v>582</v>
      </c>
      <c r="Q3780">
        <f>30-16</f>
        <v>14</v>
      </c>
      <c r="R3780" t="s">
        <v>38</v>
      </c>
      <c r="S3780" t="s">
        <v>39</v>
      </c>
      <c r="T3780">
        <v>19</v>
      </c>
      <c r="U3780">
        <v>77</v>
      </c>
      <c r="V3780">
        <v>16</v>
      </c>
      <c r="W3780">
        <v>12.9</v>
      </c>
      <c r="X3780">
        <v>25.9</v>
      </c>
      <c r="AB3780" t="s">
        <v>40</v>
      </c>
      <c r="AC3780" t="s">
        <v>56</v>
      </c>
    </row>
    <row r="3781" spans="1:30" x14ac:dyDescent="0.25">
      <c r="A3781" s="4">
        <v>42605</v>
      </c>
      <c r="B3781" t="s">
        <v>30</v>
      </c>
      <c r="C3781">
        <v>703</v>
      </c>
      <c r="D3781">
        <v>6</v>
      </c>
      <c r="E3781">
        <v>2</v>
      </c>
      <c r="F3781" t="s">
        <v>31</v>
      </c>
      <c r="G3781" t="s">
        <v>32</v>
      </c>
      <c r="H3781" t="s">
        <v>33</v>
      </c>
      <c r="I3781" t="s">
        <v>58</v>
      </c>
      <c r="J3781" t="s">
        <v>62</v>
      </c>
      <c r="O3781" s="5"/>
      <c r="P3781" s="5"/>
      <c r="AB3781" t="s">
        <v>40</v>
      </c>
      <c r="AC3781" t="s">
        <v>56</v>
      </c>
    </row>
    <row r="3782" spans="1:30" x14ac:dyDescent="0.25">
      <c r="A3782" s="4">
        <v>42605</v>
      </c>
      <c r="B3782" t="s">
        <v>30</v>
      </c>
      <c r="C3782">
        <v>703</v>
      </c>
      <c r="D3782">
        <v>7</v>
      </c>
      <c r="E3782">
        <v>1</v>
      </c>
      <c r="F3782" t="s">
        <v>31</v>
      </c>
      <c r="G3782" t="s">
        <v>32</v>
      </c>
      <c r="H3782" t="s">
        <v>33</v>
      </c>
      <c r="I3782" t="s">
        <v>57</v>
      </c>
      <c r="O3782" s="5"/>
      <c r="P3782" s="5"/>
    </row>
    <row r="3783" spans="1:30" x14ac:dyDescent="0.25">
      <c r="A3783" s="4">
        <v>42605</v>
      </c>
      <c r="B3783" t="s">
        <v>30</v>
      </c>
      <c r="C3783">
        <v>703</v>
      </c>
      <c r="D3783">
        <v>7</v>
      </c>
      <c r="E3783">
        <v>2</v>
      </c>
      <c r="F3783" t="s">
        <v>31</v>
      </c>
      <c r="G3783" t="s">
        <v>32</v>
      </c>
      <c r="H3783" t="s">
        <v>33</v>
      </c>
      <c r="I3783" t="s">
        <v>58</v>
      </c>
      <c r="J3783" t="s">
        <v>35</v>
      </c>
      <c r="K3783" t="s">
        <v>114</v>
      </c>
      <c r="L3783" t="s">
        <v>37</v>
      </c>
      <c r="M3783">
        <v>0</v>
      </c>
      <c r="N3783">
        <v>0</v>
      </c>
      <c r="O3783" s="5" t="s">
        <v>916</v>
      </c>
      <c r="P3783" s="5"/>
      <c r="Q3783">
        <f>30-12.5</f>
        <v>17.5</v>
      </c>
      <c r="R3783" t="s">
        <v>38</v>
      </c>
      <c r="S3783" t="s">
        <v>39</v>
      </c>
      <c r="T3783">
        <v>18</v>
      </c>
      <c r="W3783">
        <v>12.9</v>
      </c>
      <c r="X3783">
        <v>26.7</v>
      </c>
      <c r="Z3783" t="s">
        <v>97</v>
      </c>
      <c r="AB3783" t="s">
        <v>40</v>
      </c>
      <c r="AC3783" t="s">
        <v>56</v>
      </c>
      <c r="AD3783" t="s">
        <v>129</v>
      </c>
    </row>
    <row r="3784" spans="1:30" x14ac:dyDescent="0.25">
      <c r="A3784" s="4">
        <v>42605</v>
      </c>
      <c r="B3784" t="s">
        <v>30</v>
      </c>
      <c r="C3784">
        <v>703</v>
      </c>
      <c r="D3784">
        <v>8</v>
      </c>
      <c r="E3784">
        <v>1</v>
      </c>
      <c r="F3784" t="s">
        <v>31</v>
      </c>
      <c r="G3784" t="s">
        <v>32</v>
      </c>
      <c r="H3784" t="s">
        <v>33</v>
      </c>
      <c r="I3784" t="s">
        <v>34</v>
      </c>
      <c r="J3784" t="s">
        <v>35</v>
      </c>
      <c r="K3784" t="s">
        <v>114</v>
      </c>
      <c r="L3784" t="s">
        <v>37</v>
      </c>
      <c r="M3784">
        <v>0</v>
      </c>
      <c r="N3784">
        <v>0</v>
      </c>
      <c r="O3784" s="5" t="s">
        <v>577</v>
      </c>
      <c r="P3784" s="5" t="s">
        <v>578</v>
      </c>
      <c r="Q3784">
        <f>27.5-13</f>
        <v>14.5</v>
      </c>
      <c r="R3784" t="s">
        <v>38</v>
      </c>
      <c r="S3784" t="s">
        <v>39</v>
      </c>
      <c r="T3784">
        <v>20.5</v>
      </c>
      <c r="U3784">
        <v>84</v>
      </c>
      <c r="V3784">
        <v>17.5</v>
      </c>
      <c r="W3784">
        <v>12.6</v>
      </c>
      <c r="X3784">
        <v>27</v>
      </c>
      <c r="Z3784" t="s">
        <v>97</v>
      </c>
      <c r="AB3784" t="s">
        <v>40</v>
      </c>
      <c r="AC3784" t="s">
        <v>56</v>
      </c>
    </row>
    <row r="3785" spans="1:30" x14ac:dyDescent="0.25">
      <c r="A3785" s="4">
        <v>42605</v>
      </c>
      <c r="B3785" t="s">
        <v>30</v>
      </c>
      <c r="C3785">
        <v>703</v>
      </c>
      <c r="D3785">
        <v>8</v>
      </c>
      <c r="E3785">
        <v>2</v>
      </c>
      <c r="F3785" t="s">
        <v>31</v>
      </c>
      <c r="G3785" t="s">
        <v>32</v>
      </c>
      <c r="H3785" t="s">
        <v>33</v>
      </c>
      <c r="I3785" t="s">
        <v>34</v>
      </c>
      <c r="J3785" t="s">
        <v>35</v>
      </c>
      <c r="K3785" t="s">
        <v>36</v>
      </c>
      <c r="L3785" t="s">
        <v>43</v>
      </c>
      <c r="M3785">
        <v>0</v>
      </c>
      <c r="N3785">
        <v>0</v>
      </c>
      <c r="O3785" s="5" t="s">
        <v>569</v>
      </c>
      <c r="P3785" s="5" t="s">
        <v>570</v>
      </c>
      <c r="Q3785">
        <f>33-13</f>
        <v>20</v>
      </c>
      <c r="R3785" t="s">
        <v>65</v>
      </c>
      <c r="T3785">
        <v>20</v>
      </c>
      <c r="U3785">
        <v>90</v>
      </c>
      <c r="V3785">
        <v>18</v>
      </c>
      <c r="W3785">
        <v>13.6</v>
      </c>
      <c r="X3785">
        <v>26.5</v>
      </c>
      <c r="AB3785" t="s">
        <v>40</v>
      </c>
      <c r="AC3785" t="s">
        <v>56</v>
      </c>
    </row>
    <row r="3786" spans="1:30" x14ac:dyDescent="0.25">
      <c r="A3786" s="4">
        <v>42605</v>
      </c>
      <c r="B3786" t="s">
        <v>30</v>
      </c>
      <c r="C3786">
        <v>703</v>
      </c>
      <c r="D3786">
        <v>9</v>
      </c>
      <c r="E3786">
        <v>1</v>
      </c>
      <c r="F3786" t="s">
        <v>31</v>
      </c>
      <c r="G3786" t="s">
        <v>32</v>
      </c>
      <c r="H3786" t="s">
        <v>33</v>
      </c>
      <c r="I3786" t="s">
        <v>57</v>
      </c>
      <c r="O3786" s="5"/>
      <c r="P3786" s="5"/>
    </row>
    <row r="3787" spans="1:30" x14ac:dyDescent="0.25">
      <c r="A3787" s="4">
        <v>42605</v>
      </c>
      <c r="B3787" t="s">
        <v>30</v>
      </c>
      <c r="C3787">
        <v>703</v>
      </c>
      <c r="D3787">
        <v>9</v>
      </c>
      <c r="E3787">
        <v>2</v>
      </c>
      <c r="F3787" t="s">
        <v>31</v>
      </c>
      <c r="G3787" t="s">
        <v>32</v>
      </c>
      <c r="H3787" t="s">
        <v>33</v>
      </c>
      <c r="I3787" t="s">
        <v>58</v>
      </c>
      <c r="J3787" t="s">
        <v>42</v>
      </c>
      <c r="K3787" t="s">
        <v>36</v>
      </c>
      <c r="L3787" t="s">
        <v>43</v>
      </c>
      <c r="M3787">
        <v>0</v>
      </c>
      <c r="N3787">
        <v>1</v>
      </c>
      <c r="O3787" s="5" t="s">
        <v>969</v>
      </c>
      <c r="P3787" s="5"/>
      <c r="Q3787">
        <f>34-13</f>
        <v>21</v>
      </c>
      <c r="R3787" t="s">
        <v>65</v>
      </c>
      <c r="T3787">
        <v>16</v>
      </c>
      <c r="W3787">
        <v>12.8</v>
      </c>
      <c r="X3787">
        <v>25.7</v>
      </c>
      <c r="Y3787" t="s">
        <v>970</v>
      </c>
      <c r="Z3787" t="s">
        <v>97</v>
      </c>
      <c r="AB3787" t="s">
        <v>40</v>
      </c>
      <c r="AC3787" t="s">
        <v>56</v>
      </c>
    </row>
    <row r="3788" spans="1:30" x14ac:dyDescent="0.25">
      <c r="A3788" s="4">
        <v>42605</v>
      </c>
      <c r="B3788" t="s">
        <v>30</v>
      </c>
      <c r="C3788">
        <v>703</v>
      </c>
      <c r="D3788">
        <v>10</v>
      </c>
      <c r="E3788">
        <v>1</v>
      </c>
      <c r="F3788" t="s">
        <v>31</v>
      </c>
      <c r="G3788" t="s">
        <v>32</v>
      </c>
      <c r="H3788" t="s">
        <v>33</v>
      </c>
      <c r="I3788" t="s">
        <v>57</v>
      </c>
      <c r="O3788" s="5"/>
      <c r="P3788" s="5"/>
    </row>
    <row r="3789" spans="1:30" x14ac:dyDescent="0.25">
      <c r="A3789" s="4">
        <v>42605</v>
      </c>
      <c r="B3789" t="s">
        <v>30</v>
      </c>
      <c r="C3789">
        <v>703</v>
      </c>
      <c r="D3789">
        <v>10</v>
      </c>
      <c r="E3789">
        <v>2</v>
      </c>
      <c r="F3789" t="s">
        <v>31</v>
      </c>
      <c r="G3789" t="s">
        <v>32</v>
      </c>
      <c r="H3789" t="s">
        <v>33</v>
      </c>
      <c r="I3789" t="s">
        <v>58</v>
      </c>
      <c r="J3789" t="s">
        <v>35</v>
      </c>
      <c r="K3789" t="s">
        <v>114</v>
      </c>
      <c r="L3789" t="s">
        <v>37</v>
      </c>
      <c r="M3789">
        <v>0</v>
      </c>
      <c r="N3789">
        <v>0</v>
      </c>
      <c r="O3789" s="5" t="s">
        <v>620</v>
      </c>
      <c r="P3789" s="5"/>
      <c r="Q3789">
        <f>30.5-13</f>
        <v>17.5</v>
      </c>
      <c r="R3789" t="s">
        <v>38</v>
      </c>
      <c r="S3789" t="s">
        <v>39</v>
      </c>
      <c r="T3789">
        <v>17.5</v>
      </c>
      <c r="W3789">
        <v>12.7</v>
      </c>
      <c r="X3789">
        <v>26.3</v>
      </c>
      <c r="AB3789" t="s">
        <v>40</v>
      </c>
      <c r="AC3789" t="s">
        <v>56</v>
      </c>
    </row>
    <row r="3790" spans="1:30" x14ac:dyDescent="0.25">
      <c r="A3790" s="4">
        <v>42605</v>
      </c>
      <c r="B3790" t="s">
        <v>30</v>
      </c>
      <c r="C3790">
        <v>701</v>
      </c>
      <c r="D3790">
        <v>1</v>
      </c>
      <c r="E3790">
        <v>1</v>
      </c>
      <c r="F3790" t="s">
        <v>31</v>
      </c>
      <c r="G3790" t="s">
        <v>32</v>
      </c>
      <c r="H3790" t="s">
        <v>33</v>
      </c>
      <c r="I3790" t="s">
        <v>34</v>
      </c>
      <c r="J3790" t="s">
        <v>35</v>
      </c>
      <c r="K3790" t="s">
        <v>114</v>
      </c>
      <c r="L3790" t="s">
        <v>43</v>
      </c>
      <c r="M3790">
        <v>0</v>
      </c>
      <c r="N3790">
        <v>0</v>
      </c>
      <c r="O3790" s="5" t="s">
        <v>588</v>
      </c>
      <c r="P3790" s="5" t="s">
        <v>589</v>
      </c>
      <c r="Q3790">
        <f>34-16.5</f>
        <v>17.5</v>
      </c>
      <c r="R3790" t="s">
        <v>65</v>
      </c>
      <c r="T3790">
        <v>18</v>
      </c>
      <c r="U3790">
        <v>89</v>
      </c>
      <c r="V3790">
        <v>17</v>
      </c>
      <c r="W3790">
        <v>13.1</v>
      </c>
      <c r="X3790">
        <v>26.5</v>
      </c>
      <c r="Y3790" t="s">
        <v>971</v>
      </c>
      <c r="AB3790" t="s">
        <v>40</v>
      </c>
      <c r="AC3790" t="s">
        <v>56</v>
      </c>
    </row>
    <row r="3791" spans="1:30" x14ac:dyDescent="0.25">
      <c r="A3791" s="4">
        <v>42605</v>
      </c>
      <c r="B3791" t="s">
        <v>30</v>
      </c>
      <c r="C3791">
        <v>701</v>
      </c>
      <c r="D3791">
        <v>1</v>
      </c>
      <c r="E3791">
        <v>2</v>
      </c>
      <c r="F3791" t="s">
        <v>31</v>
      </c>
      <c r="G3791" t="s">
        <v>32</v>
      </c>
      <c r="H3791" t="s">
        <v>33</v>
      </c>
      <c r="I3791" t="s">
        <v>91</v>
      </c>
      <c r="J3791" t="s">
        <v>42</v>
      </c>
      <c r="K3791" t="s">
        <v>114</v>
      </c>
      <c r="L3791" t="s">
        <v>37</v>
      </c>
      <c r="M3791">
        <v>0</v>
      </c>
      <c r="N3791">
        <v>1</v>
      </c>
      <c r="O3791" s="5" t="s">
        <v>972</v>
      </c>
      <c r="P3791" s="5"/>
      <c r="Q3791">
        <f>30-13</f>
        <v>17</v>
      </c>
      <c r="R3791" t="s">
        <v>38</v>
      </c>
      <c r="S3791" t="s">
        <v>39</v>
      </c>
      <c r="T3791">
        <v>28</v>
      </c>
      <c r="W3791">
        <v>12.7</v>
      </c>
      <c r="X3791">
        <v>25.35</v>
      </c>
      <c r="Z3791" t="s">
        <v>97</v>
      </c>
      <c r="AA3791" t="s">
        <v>973</v>
      </c>
      <c r="AB3791" t="s">
        <v>40</v>
      </c>
      <c r="AC3791" t="s">
        <v>56</v>
      </c>
    </row>
    <row r="3792" spans="1:30" x14ac:dyDescent="0.25">
      <c r="A3792" s="4">
        <v>42605</v>
      </c>
      <c r="B3792" t="s">
        <v>30</v>
      </c>
      <c r="C3792">
        <v>701</v>
      </c>
      <c r="D3792">
        <v>2</v>
      </c>
      <c r="E3792">
        <v>1</v>
      </c>
      <c r="F3792" t="s">
        <v>31</v>
      </c>
      <c r="G3792" t="s">
        <v>32</v>
      </c>
      <c r="H3792" t="s">
        <v>33</v>
      </c>
      <c r="I3792" t="s">
        <v>73</v>
      </c>
      <c r="J3792" t="s">
        <v>35</v>
      </c>
      <c r="K3792" t="s">
        <v>36</v>
      </c>
      <c r="L3792" t="s">
        <v>37</v>
      </c>
      <c r="M3792">
        <v>0</v>
      </c>
      <c r="N3792">
        <v>0</v>
      </c>
      <c r="O3792" s="5"/>
      <c r="P3792" s="5" t="s">
        <v>94</v>
      </c>
      <c r="Q3792">
        <f>185-90</f>
        <v>95</v>
      </c>
      <c r="R3792" t="s">
        <v>38</v>
      </c>
      <c r="S3792" t="s">
        <v>39</v>
      </c>
      <c r="T3792">
        <v>31</v>
      </c>
      <c r="W3792">
        <v>22.75</v>
      </c>
      <c r="X3792">
        <v>43.1</v>
      </c>
      <c r="AB3792" t="s">
        <v>40</v>
      </c>
      <c r="AC3792" t="s">
        <v>56</v>
      </c>
    </row>
    <row r="3793" spans="1:30" x14ac:dyDescent="0.25">
      <c r="A3793" s="4">
        <v>42605</v>
      </c>
      <c r="B3793" t="s">
        <v>30</v>
      </c>
      <c r="C3793">
        <v>701</v>
      </c>
      <c r="D3793">
        <v>3</v>
      </c>
      <c r="E3793">
        <v>1</v>
      </c>
      <c r="F3793" t="s">
        <v>31</v>
      </c>
      <c r="G3793" t="s">
        <v>32</v>
      </c>
      <c r="H3793" t="s">
        <v>33</v>
      </c>
      <c r="I3793" t="s">
        <v>91</v>
      </c>
      <c r="J3793" t="s">
        <v>42</v>
      </c>
      <c r="K3793" t="s">
        <v>36</v>
      </c>
      <c r="L3793" t="s">
        <v>43</v>
      </c>
      <c r="M3793">
        <v>0</v>
      </c>
      <c r="N3793">
        <v>1</v>
      </c>
      <c r="O3793" s="5" t="s">
        <v>974</v>
      </c>
      <c r="P3793" s="5"/>
      <c r="Q3793">
        <f>39-13</f>
        <v>26</v>
      </c>
      <c r="R3793" t="s">
        <v>65</v>
      </c>
      <c r="T3793">
        <v>27</v>
      </c>
      <c r="W3793">
        <v>13.1</v>
      </c>
      <c r="X3793">
        <v>25.2</v>
      </c>
      <c r="Z3793" t="s">
        <v>97</v>
      </c>
      <c r="AB3793" t="s">
        <v>40</v>
      </c>
      <c r="AC3793" t="s">
        <v>56</v>
      </c>
    </row>
    <row r="3794" spans="1:30" x14ac:dyDescent="0.25">
      <c r="A3794" s="4">
        <v>42605</v>
      </c>
      <c r="B3794" t="s">
        <v>30</v>
      </c>
      <c r="C3794">
        <v>701</v>
      </c>
      <c r="D3794">
        <v>3</v>
      </c>
      <c r="E3794">
        <v>2</v>
      </c>
      <c r="F3794" t="s">
        <v>31</v>
      </c>
      <c r="G3794" t="s">
        <v>32</v>
      </c>
      <c r="H3794" t="s">
        <v>33</v>
      </c>
      <c r="I3794" t="s">
        <v>34</v>
      </c>
      <c r="J3794" t="s">
        <v>35</v>
      </c>
      <c r="K3794" t="s">
        <v>114</v>
      </c>
      <c r="L3794" t="s">
        <v>43</v>
      </c>
      <c r="M3794">
        <v>0</v>
      </c>
      <c r="N3794">
        <v>0</v>
      </c>
      <c r="O3794" s="5" t="s">
        <v>706</v>
      </c>
      <c r="P3794" s="5" t="s">
        <v>707</v>
      </c>
      <c r="Q3794">
        <f>28.5-13</f>
        <v>15.5</v>
      </c>
      <c r="R3794" t="s">
        <v>65</v>
      </c>
      <c r="T3794">
        <v>17</v>
      </c>
      <c r="U3794">
        <v>83</v>
      </c>
      <c r="V3794">
        <v>14</v>
      </c>
      <c r="W3794">
        <v>13.2</v>
      </c>
      <c r="X3794">
        <v>26.3</v>
      </c>
      <c r="Y3794" t="s">
        <v>975</v>
      </c>
      <c r="AB3794" t="s">
        <v>40</v>
      </c>
      <c r="AC3794" t="s">
        <v>56</v>
      </c>
    </row>
    <row r="3795" spans="1:30" x14ac:dyDescent="0.25">
      <c r="A3795" s="4">
        <v>42605</v>
      </c>
      <c r="B3795" t="s">
        <v>30</v>
      </c>
      <c r="C3795">
        <v>701</v>
      </c>
      <c r="D3795">
        <v>4</v>
      </c>
      <c r="E3795">
        <v>1</v>
      </c>
      <c r="F3795" t="s">
        <v>31</v>
      </c>
      <c r="G3795" t="s">
        <v>32</v>
      </c>
      <c r="H3795" t="s">
        <v>33</v>
      </c>
      <c r="I3795" t="s">
        <v>34</v>
      </c>
      <c r="J3795" t="s">
        <v>35</v>
      </c>
      <c r="K3795" t="s">
        <v>114</v>
      </c>
      <c r="L3795" t="s">
        <v>43</v>
      </c>
      <c r="M3795">
        <v>0</v>
      </c>
      <c r="N3795">
        <v>0</v>
      </c>
      <c r="O3795" s="5" t="s">
        <v>585</v>
      </c>
      <c r="P3795" s="5" t="s">
        <v>586</v>
      </c>
      <c r="Q3795">
        <f>31.5-14</f>
        <v>17.5</v>
      </c>
      <c r="R3795" t="s">
        <v>65</v>
      </c>
      <c r="T3795">
        <v>19</v>
      </c>
      <c r="U3795">
        <v>83</v>
      </c>
      <c r="V3795">
        <v>15.5</v>
      </c>
      <c r="W3795">
        <v>13</v>
      </c>
      <c r="X3795">
        <v>26.8</v>
      </c>
      <c r="Z3795" t="s">
        <v>97</v>
      </c>
      <c r="AB3795" t="s">
        <v>40</v>
      </c>
      <c r="AC3795" t="s">
        <v>56</v>
      </c>
      <c r="AD3795" t="s">
        <v>976</v>
      </c>
    </row>
    <row r="3796" spans="1:30" x14ac:dyDescent="0.25">
      <c r="A3796" s="4">
        <v>42605</v>
      </c>
      <c r="B3796" t="s">
        <v>30</v>
      </c>
      <c r="C3796">
        <v>701</v>
      </c>
      <c r="D3796">
        <v>5</v>
      </c>
      <c r="E3796">
        <v>1</v>
      </c>
      <c r="F3796" t="s">
        <v>31</v>
      </c>
      <c r="G3796" t="s">
        <v>32</v>
      </c>
      <c r="H3796" t="s">
        <v>33</v>
      </c>
      <c r="I3796" t="s">
        <v>57</v>
      </c>
      <c r="O3796" s="5"/>
      <c r="P3796" s="5"/>
    </row>
    <row r="3797" spans="1:30" x14ac:dyDescent="0.25">
      <c r="A3797" s="4">
        <v>42605</v>
      </c>
      <c r="B3797" t="s">
        <v>30</v>
      </c>
      <c r="C3797">
        <v>701</v>
      </c>
      <c r="D3797">
        <v>5</v>
      </c>
      <c r="E3797">
        <v>2</v>
      </c>
      <c r="F3797" t="s">
        <v>31</v>
      </c>
      <c r="G3797" t="s">
        <v>32</v>
      </c>
      <c r="H3797" t="s">
        <v>33</v>
      </c>
      <c r="I3797" t="s">
        <v>57</v>
      </c>
      <c r="O3797" s="5"/>
      <c r="P3797" s="5"/>
    </row>
    <row r="3798" spans="1:30" x14ac:dyDescent="0.25">
      <c r="A3798" s="4">
        <v>42605</v>
      </c>
      <c r="B3798" t="s">
        <v>30</v>
      </c>
      <c r="C3798">
        <v>701</v>
      </c>
      <c r="D3798">
        <v>6</v>
      </c>
      <c r="E3798">
        <v>1</v>
      </c>
      <c r="F3798" t="s">
        <v>31</v>
      </c>
      <c r="G3798" t="s">
        <v>32</v>
      </c>
      <c r="H3798" t="s">
        <v>33</v>
      </c>
      <c r="I3798" t="s">
        <v>58</v>
      </c>
      <c r="J3798" t="s">
        <v>42</v>
      </c>
      <c r="K3798" t="s">
        <v>89</v>
      </c>
      <c r="L3798" t="s">
        <v>43</v>
      </c>
      <c r="M3798">
        <v>0</v>
      </c>
      <c r="N3798">
        <v>1</v>
      </c>
      <c r="O3798" s="5" t="s">
        <v>977</v>
      </c>
      <c r="P3798" s="5"/>
      <c r="Q3798">
        <f>29.5-13</f>
        <v>16.5</v>
      </c>
      <c r="R3798" t="s">
        <v>65</v>
      </c>
      <c r="T3798">
        <v>16</v>
      </c>
      <c r="W3798">
        <v>12.45</v>
      </c>
      <c r="X3798">
        <v>24.8</v>
      </c>
      <c r="Z3798" t="s">
        <v>97</v>
      </c>
      <c r="AB3798" t="s">
        <v>40</v>
      </c>
      <c r="AC3798" t="s">
        <v>56</v>
      </c>
    </row>
    <row r="3799" spans="1:30" x14ac:dyDescent="0.25">
      <c r="A3799" s="4">
        <v>42605</v>
      </c>
      <c r="B3799" t="s">
        <v>30</v>
      </c>
      <c r="C3799">
        <v>701</v>
      </c>
      <c r="D3799">
        <v>6</v>
      </c>
      <c r="E3799">
        <v>2</v>
      </c>
      <c r="F3799" t="s">
        <v>31</v>
      </c>
      <c r="G3799" t="s">
        <v>32</v>
      </c>
      <c r="H3799" t="s">
        <v>33</v>
      </c>
      <c r="I3799" t="s">
        <v>34</v>
      </c>
      <c r="J3799" t="s">
        <v>35</v>
      </c>
      <c r="K3799" t="s">
        <v>114</v>
      </c>
      <c r="L3799" t="s">
        <v>43</v>
      </c>
      <c r="M3799">
        <v>0</v>
      </c>
      <c r="N3799">
        <v>0</v>
      </c>
      <c r="O3799" s="5" t="s">
        <v>629</v>
      </c>
      <c r="P3799" s="5" t="s">
        <v>630</v>
      </c>
      <c r="Q3799">
        <f>27.5-13.5</f>
        <v>14</v>
      </c>
      <c r="R3799" t="s">
        <v>65</v>
      </c>
      <c r="T3799">
        <v>19</v>
      </c>
      <c r="U3799">
        <v>82</v>
      </c>
      <c r="V3799">
        <v>18</v>
      </c>
      <c r="W3799">
        <v>12.7</v>
      </c>
      <c r="X3799">
        <v>24.9</v>
      </c>
      <c r="Y3799" t="s">
        <v>978</v>
      </c>
      <c r="AB3799" t="s">
        <v>40</v>
      </c>
      <c r="AC3799" t="s">
        <v>56</v>
      </c>
    </row>
    <row r="3800" spans="1:30" x14ac:dyDescent="0.25">
      <c r="A3800" s="4">
        <v>42605</v>
      </c>
      <c r="B3800" t="s">
        <v>30</v>
      </c>
      <c r="C3800">
        <v>701</v>
      </c>
      <c r="D3800">
        <v>7</v>
      </c>
      <c r="E3800">
        <v>1</v>
      </c>
      <c r="F3800" t="s">
        <v>31</v>
      </c>
      <c r="G3800" t="s">
        <v>32</v>
      </c>
      <c r="H3800" t="s">
        <v>33</v>
      </c>
      <c r="I3800" t="s">
        <v>34</v>
      </c>
      <c r="J3800" t="s">
        <v>35</v>
      </c>
      <c r="K3800" t="s">
        <v>114</v>
      </c>
      <c r="L3800" t="s">
        <v>43</v>
      </c>
      <c r="M3800">
        <v>0</v>
      </c>
      <c r="N3800">
        <v>0</v>
      </c>
      <c r="O3800" s="5" t="s">
        <v>594</v>
      </c>
      <c r="P3800" s="5" t="s">
        <v>593</v>
      </c>
      <c r="Q3800">
        <f>30-13.5</f>
        <v>16.5</v>
      </c>
      <c r="R3800" t="s">
        <v>65</v>
      </c>
      <c r="T3800">
        <v>19</v>
      </c>
      <c r="U3800">
        <v>86</v>
      </c>
      <c r="V3800">
        <v>17</v>
      </c>
      <c r="W3800">
        <v>13.2</v>
      </c>
      <c r="X3800">
        <v>28.2</v>
      </c>
      <c r="Z3800" t="s">
        <v>97</v>
      </c>
      <c r="AB3800" t="s">
        <v>40</v>
      </c>
      <c r="AC3800" t="s">
        <v>56</v>
      </c>
    </row>
    <row r="3801" spans="1:30" x14ac:dyDescent="0.25">
      <c r="A3801" s="4">
        <v>42605</v>
      </c>
      <c r="B3801" t="s">
        <v>30</v>
      </c>
      <c r="C3801">
        <v>701</v>
      </c>
      <c r="D3801">
        <v>8</v>
      </c>
      <c r="E3801">
        <v>1</v>
      </c>
      <c r="F3801" t="s">
        <v>31</v>
      </c>
      <c r="G3801" t="s">
        <v>32</v>
      </c>
      <c r="H3801" t="s">
        <v>33</v>
      </c>
      <c r="I3801" t="s">
        <v>53</v>
      </c>
      <c r="J3801" t="s">
        <v>62</v>
      </c>
      <c r="O3801" s="5"/>
      <c r="P3801" s="5"/>
      <c r="AB3801" t="s">
        <v>40</v>
      </c>
      <c r="AC3801" t="s">
        <v>56</v>
      </c>
    </row>
    <row r="3802" spans="1:30" x14ac:dyDescent="0.25">
      <c r="A3802" s="4">
        <v>42605</v>
      </c>
      <c r="B3802" t="s">
        <v>30</v>
      </c>
      <c r="C3802">
        <v>701</v>
      </c>
      <c r="D3802">
        <v>8</v>
      </c>
      <c r="E3802">
        <v>2</v>
      </c>
      <c r="F3802" t="s">
        <v>31</v>
      </c>
      <c r="G3802" t="s">
        <v>32</v>
      </c>
      <c r="H3802" t="s">
        <v>33</v>
      </c>
      <c r="I3802" t="s">
        <v>34</v>
      </c>
      <c r="J3802" t="s">
        <v>35</v>
      </c>
      <c r="K3802" t="s">
        <v>36</v>
      </c>
      <c r="L3802" t="s">
        <v>43</v>
      </c>
      <c r="M3802">
        <v>0</v>
      </c>
      <c r="N3802">
        <v>0</v>
      </c>
      <c r="O3802" s="5" t="s">
        <v>591</v>
      </c>
      <c r="P3802" s="5" t="s">
        <v>592</v>
      </c>
      <c r="Q3802">
        <f>32-13</f>
        <v>19</v>
      </c>
      <c r="R3802" t="s">
        <v>65</v>
      </c>
      <c r="T3802">
        <v>18</v>
      </c>
      <c r="U3802">
        <v>86</v>
      </c>
      <c r="V3802">
        <v>15</v>
      </c>
      <c r="W3802">
        <v>13.5</v>
      </c>
      <c r="X3802">
        <v>27.7</v>
      </c>
      <c r="Z3802" t="s">
        <v>97</v>
      </c>
      <c r="AB3802" t="s">
        <v>40</v>
      </c>
      <c r="AC3802" t="s">
        <v>56</v>
      </c>
      <c r="AD3802" t="s">
        <v>979</v>
      </c>
    </row>
    <row r="3803" spans="1:30" x14ac:dyDescent="0.25">
      <c r="A3803" s="4">
        <v>42605</v>
      </c>
      <c r="B3803" t="s">
        <v>30</v>
      </c>
      <c r="C3803">
        <v>701</v>
      </c>
      <c r="D3803">
        <v>9</v>
      </c>
      <c r="E3803">
        <v>1</v>
      </c>
      <c r="F3803" t="s">
        <v>31</v>
      </c>
      <c r="G3803" t="s">
        <v>32</v>
      </c>
      <c r="H3803" t="s">
        <v>33</v>
      </c>
      <c r="I3803" t="s">
        <v>53</v>
      </c>
      <c r="J3803" t="s">
        <v>62</v>
      </c>
      <c r="O3803" s="5"/>
      <c r="P3803" s="5"/>
    </row>
    <row r="3804" spans="1:30" x14ac:dyDescent="0.25">
      <c r="A3804" s="4">
        <v>42605</v>
      </c>
      <c r="B3804" t="s">
        <v>30</v>
      </c>
      <c r="C3804">
        <v>701</v>
      </c>
      <c r="D3804">
        <v>10</v>
      </c>
      <c r="E3804">
        <v>1</v>
      </c>
      <c r="F3804" t="s">
        <v>31</v>
      </c>
      <c r="G3804" t="s">
        <v>32</v>
      </c>
      <c r="H3804" t="s">
        <v>33</v>
      </c>
      <c r="I3804" t="s">
        <v>57</v>
      </c>
      <c r="O3804" s="5"/>
      <c r="P3804" s="5"/>
      <c r="AB3804" t="s">
        <v>40</v>
      </c>
      <c r="AC3804" t="s">
        <v>56</v>
      </c>
    </row>
    <row r="3805" spans="1:30" x14ac:dyDescent="0.25">
      <c r="A3805" s="4">
        <v>42605</v>
      </c>
      <c r="B3805" t="s">
        <v>30</v>
      </c>
      <c r="C3805">
        <v>701</v>
      </c>
      <c r="D3805">
        <v>10</v>
      </c>
      <c r="E3805">
        <v>2</v>
      </c>
      <c r="F3805" t="s">
        <v>31</v>
      </c>
      <c r="G3805" t="s">
        <v>32</v>
      </c>
      <c r="H3805" t="s">
        <v>33</v>
      </c>
      <c r="I3805" t="s">
        <v>34</v>
      </c>
      <c r="J3805" t="s">
        <v>35</v>
      </c>
      <c r="K3805" t="s">
        <v>114</v>
      </c>
      <c r="L3805" t="s">
        <v>43</v>
      </c>
      <c r="M3805">
        <v>0</v>
      </c>
      <c r="N3805">
        <v>0</v>
      </c>
      <c r="O3805" s="5" t="s">
        <v>597</v>
      </c>
      <c r="P3805" s="5" t="s">
        <v>598</v>
      </c>
      <c r="Q3805">
        <f>32-14</f>
        <v>18</v>
      </c>
      <c r="R3805" t="s">
        <v>65</v>
      </c>
      <c r="T3805">
        <v>19</v>
      </c>
      <c r="U3805">
        <v>87</v>
      </c>
      <c r="V3805">
        <v>17</v>
      </c>
      <c r="W3805">
        <v>13</v>
      </c>
      <c r="X3805">
        <v>26.8</v>
      </c>
      <c r="Y3805" t="s">
        <v>980</v>
      </c>
      <c r="AB3805" t="s">
        <v>40</v>
      </c>
      <c r="AC3805" t="s">
        <v>56</v>
      </c>
    </row>
    <row r="3806" spans="1:30" x14ac:dyDescent="0.25">
      <c r="A3806" s="4">
        <v>42605</v>
      </c>
      <c r="B3806" t="s">
        <v>30</v>
      </c>
      <c r="C3806">
        <v>801</v>
      </c>
      <c r="D3806">
        <v>1</v>
      </c>
      <c r="E3806">
        <v>1</v>
      </c>
      <c r="F3806" t="s">
        <v>31</v>
      </c>
      <c r="G3806" t="s">
        <v>32</v>
      </c>
      <c r="H3806" t="s">
        <v>33</v>
      </c>
      <c r="I3806" t="s">
        <v>57</v>
      </c>
      <c r="O3806" s="5"/>
      <c r="P3806" s="5"/>
    </row>
    <row r="3807" spans="1:30" x14ac:dyDescent="0.25">
      <c r="A3807" s="4">
        <v>42605</v>
      </c>
      <c r="B3807" t="s">
        <v>30</v>
      </c>
      <c r="C3807">
        <v>801</v>
      </c>
      <c r="D3807">
        <v>1</v>
      </c>
      <c r="E3807">
        <v>2</v>
      </c>
      <c r="F3807" t="s">
        <v>31</v>
      </c>
      <c r="G3807" t="s">
        <v>32</v>
      </c>
      <c r="H3807" t="s">
        <v>33</v>
      </c>
      <c r="I3807" t="s">
        <v>58</v>
      </c>
      <c r="J3807" t="s">
        <v>35</v>
      </c>
      <c r="K3807" t="s">
        <v>89</v>
      </c>
      <c r="L3807" t="s">
        <v>37</v>
      </c>
      <c r="M3807">
        <v>0</v>
      </c>
      <c r="N3807">
        <v>0</v>
      </c>
      <c r="O3807" s="5" t="s">
        <v>923</v>
      </c>
      <c r="P3807" s="5"/>
      <c r="Q3807">
        <f>29-13.5</f>
        <v>15.5</v>
      </c>
      <c r="R3807" t="s">
        <v>38</v>
      </c>
      <c r="S3807" t="s">
        <v>39</v>
      </c>
      <c r="T3807">
        <v>17</v>
      </c>
      <c r="W3807">
        <v>12.4</v>
      </c>
      <c r="X3807">
        <v>26.5</v>
      </c>
      <c r="AB3807" t="s">
        <v>40</v>
      </c>
      <c r="AC3807" t="s">
        <v>56</v>
      </c>
      <c r="AD3807" t="s">
        <v>981</v>
      </c>
    </row>
    <row r="3808" spans="1:30" x14ac:dyDescent="0.25">
      <c r="A3808" s="4">
        <v>42605</v>
      </c>
      <c r="B3808" t="s">
        <v>30</v>
      </c>
      <c r="C3808">
        <v>801</v>
      </c>
      <c r="D3808">
        <v>2</v>
      </c>
      <c r="E3808">
        <v>1</v>
      </c>
      <c r="F3808" t="s">
        <v>31</v>
      </c>
      <c r="G3808" t="s">
        <v>32</v>
      </c>
      <c r="H3808" t="s">
        <v>33</v>
      </c>
      <c r="I3808" t="s">
        <v>57</v>
      </c>
      <c r="O3808" s="5"/>
      <c r="P3808" s="5"/>
    </row>
    <row r="3809" spans="1:30" x14ac:dyDescent="0.25">
      <c r="A3809" s="4">
        <v>42605</v>
      </c>
      <c r="B3809" t="s">
        <v>30</v>
      </c>
      <c r="C3809">
        <v>801</v>
      </c>
      <c r="D3809">
        <v>2</v>
      </c>
      <c r="E3809">
        <v>2</v>
      </c>
      <c r="F3809" t="s">
        <v>31</v>
      </c>
      <c r="G3809" t="s">
        <v>32</v>
      </c>
      <c r="H3809" t="s">
        <v>33</v>
      </c>
      <c r="I3809" t="s">
        <v>53</v>
      </c>
      <c r="J3809" t="s">
        <v>62</v>
      </c>
      <c r="O3809" s="5"/>
      <c r="P3809" s="5"/>
    </row>
    <row r="3810" spans="1:30" x14ac:dyDescent="0.25">
      <c r="A3810" s="4">
        <v>42605</v>
      </c>
      <c r="B3810" t="s">
        <v>30</v>
      </c>
      <c r="C3810">
        <v>801</v>
      </c>
      <c r="D3810">
        <v>3</v>
      </c>
      <c r="E3810">
        <v>1</v>
      </c>
      <c r="F3810" t="s">
        <v>31</v>
      </c>
      <c r="G3810" t="s">
        <v>32</v>
      </c>
      <c r="H3810" t="s">
        <v>33</v>
      </c>
      <c r="I3810" t="s">
        <v>57</v>
      </c>
      <c r="O3810" s="5"/>
      <c r="P3810" s="5"/>
    </row>
    <row r="3811" spans="1:30" x14ac:dyDescent="0.25">
      <c r="A3811" s="4">
        <v>42605</v>
      </c>
      <c r="B3811" t="s">
        <v>30</v>
      </c>
      <c r="C3811">
        <v>801</v>
      </c>
      <c r="D3811">
        <v>3</v>
      </c>
      <c r="E3811">
        <v>2</v>
      </c>
      <c r="F3811" t="s">
        <v>31</v>
      </c>
      <c r="G3811" t="s">
        <v>32</v>
      </c>
      <c r="H3811" t="s">
        <v>33</v>
      </c>
      <c r="I3811" t="s">
        <v>58</v>
      </c>
      <c r="J3811" t="s">
        <v>35</v>
      </c>
      <c r="K3811" t="s">
        <v>114</v>
      </c>
      <c r="L3811" t="s">
        <v>43</v>
      </c>
      <c r="M3811">
        <v>0</v>
      </c>
      <c r="N3811">
        <v>0</v>
      </c>
      <c r="O3811" s="5" t="s">
        <v>600</v>
      </c>
      <c r="P3811" s="5"/>
      <c r="Q3811">
        <f>32-14</f>
        <v>18</v>
      </c>
      <c r="R3811" t="s">
        <v>65</v>
      </c>
      <c r="T3811">
        <v>16</v>
      </c>
      <c r="W3811">
        <v>13</v>
      </c>
      <c r="X3811">
        <v>25.1</v>
      </c>
      <c r="AB3811" t="s">
        <v>40</v>
      </c>
      <c r="AC3811" t="s">
        <v>56</v>
      </c>
    </row>
    <row r="3812" spans="1:30" x14ac:dyDescent="0.25">
      <c r="A3812" s="4">
        <v>42605</v>
      </c>
      <c r="B3812" t="s">
        <v>30</v>
      </c>
      <c r="C3812">
        <v>801</v>
      </c>
      <c r="D3812">
        <v>4</v>
      </c>
      <c r="E3812">
        <v>1</v>
      </c>
      <c r="F3812" t="s">
        <v>31</v>
      </c>
      <c r="G3812" t="s">
        <v>32</v>
      </c>
      <c r="H3812" t="s">
        <v>33</v>
      </c>
      <c r="I3812" t="s">
        <v>57</v>
      </c>
      <c r="O3812" s="5"/>
      <c r="P3812" s="5"/>
    </row>
    <row r="3813" spans="1:30" x14ac:dyDescent="0.25">
      <c r="A3813" s="4">
        <v>42605</v>
      </c>
      <c r="B3813" t="s">
        <v>30</v>
      </c>
      <c r="C3813">
        <v>801</v>
      </c>
      <c r="D3813">
        <v>4</v>
      </c>
      <c r="E3813">
        <v>2</v>
      </c>
      <c r="F3813" t="s">
        <v>31</v>
      </c>
      <c r="G3813" t="s">
        <v>32</v>
      </c>
      <c r="H3813" t="s">
        <v>33</v>
      </c>
      <c r="I3813" t="s">
        <v>57</v>
      </c>
      <c r="O3813" s="5"/>
      <c r="P3813" s="5"/>
    </row>
    <row r="3814" spans="1:30" x14ac:dyDescent="0.25">
      <c r="A3814" s="4">
        <v>42605</v>
      </c>
      <c r="B3814" t="s">
        <v>30</v>
      </c>
      <c r="C3814">
        <v>801</v>
      </c>
      <c r="D3814">
        <v>5</v>
      </c>
      <c r="E3814">
        <v>1</v>
      </c>
      <c r="F3814" t="s">
        <v>31</v>
      </c>
      <c r="G3814" t="s">
        <v>32</v>
      </c>
      <c r="H3814" t="s">
        <v>33</v>
      </c>
      <c r="I3814" t="s">
        <v>57</v>
      </c>
      <c r="O3814" s="5"/>
      <c r="P3814" s="5"/>
    </row>
    <row r="3815" spans="1:30" x14ac:dyDescent="0.25">
      <c r="A3815" s="4">
        <v>42605</v>
      </c>
      <c r="B3815" t="s">
        <v>30</v>
      </c>
      <c r="C3815">
        <v>801</v>
      </c>
      <c r="D3815">
        <v>5</v>
      </c>
      <c r="E3815">
        <v>2</v>
      </c>
      <c r="F3815" t="s">
        <v>31</v>
      </c>
      <c r="G3815" t="s">
        <v>32</v>
      </c>
      <c r="H3815" t="s">
        <v>33</v>
      </c>
      <c r="I3815" t="s">
        <v>73</v>
      </c>
      <c r="J3815" t="s">
        <v>35</v>
      </c>
      <c r="K3815" t="s">
        <v>36</v>
      </c>
      <c r="L3815" t="s">
        <v>43</v>
      </c>
      <c r="M3815">
        <v>0</v>
      </c>
      <c r="N3815">
        <v>0</v>
      </c>
      <c r="O3815" s="5"/>
      <c r="P3815" s="5" t="s">
        <v>605</v>
      </c>
      <c r="Q3815">
        <f>193-95</f>
        <v>98</v>
      </c>
      <c r="R3815" t="s">
        <v>65</v>
      </c>
      <c r="T3815">
        <v>29</v>
      </c>
      <c r="W3815">
        <v>23.3</v>
      </c>
      <c r="X3815">
        <v>42</v>
      </c>
      <c r="AB3815" t="s">
        <v>40</v>
      </c>
      <c r="AC3815" t="s">
        <v>56</v>
      </c>
    </row>
    <row r="3816" spans="1:30" x14ac:dyDescent="0.25">
      <c r="A3816" s="4">
        <v>42605</v>
      </c>
      <c r="B3816" t="s">
        <v>30</v>
      </c>
      <c r="C3816">
        <v>801</v>
      </c>
      <c r="D3816">
        <v>6</v>
      </c>
      <c r="E3816">
        <v>1</v>
      </c>
      <c r="F3816" t="s">
        <v>31</v>
      </c>
      <c r="G3816" t="s">
        <v>32</v>
      </c>
      <c r="H3816" t="s">
        <v>33</v>
      </c>
      <c r="I3816" t="s">
        <v>53</v>
      </c>
      <c r="J3816" t="s">
        <v>62</v>
      </c>
      <c r="O3816" s="5"/>
      <c r="P3816" s="5"/>
    </row>
    <row r="3817" spans="1:30" x14ac:dyDescent="0.25">
      <c r="A3817" s="4">
        <v>42605</v>
      </c>
      <c r="B3817" t="s">
        <v>30</v>
      </c>
      <c r="C3817">
        <v>801</v>
      </c>
      <c r="D3817">
        <v>6</v>
      </c>
      <c r="E3817">
        <v>2</v>
      </c>
      <c r="F3817" t="s">
        <v>31</v>
      </c>
      <c r="G3817" t="s">
        <v>32</v>
      </c>
      <c r="H3817" t="s">
        <v>33</v>
      </c>
      <c r="I3817" t="s">
        <v>34</v>
      </c>
      <c r="J3817" t="s">
        <v>35</v>
      </c>
      <c r="K3817" t="s">
        <v>114</v>
      </c>
      <c r="L3817" t="s">
        <v>37</v>
      </c>
      <c r="M3817">
        <v>0</v>
      </c>
      <c r="N3817">
        <v>0</v>
      </c>
      <c r="O3817" s="5" t="s">
        <v>982</v>
      </c>
      <c r="P3817" s="5" t="s">
        <v>983</v>
      </c>
      <c r="Q3817">
        <f>31-13</f>
        <v>18</v>
      </c>
      <c r="R3817" t="s">
        <v>38</v>
      </c>
      <c r="S3817" t="s">
        <v>39</v>
      </c>
      <c r="T3817">
        <v>20</v>
      </c>
      <c r="U3817">
        <v>92</v>
      </c>
      <c r="V3817">
        <v>16.5</v>
      </c>
      <c r="W3817">
        <v>12.85</v>
      </c>
      <c r="X3817">
        <v>27.4</v>
      </c>
      <c r="Z3817" t="s">
        <v>97</v>
      </c>
      <c r="AB3817" t="s">
        <v>40</v>
      </c>
      <c r="AC3817" t="s">
        <v>56</v>
      </c>
      <c r="AD3817" t="s">
        <v>984</v>
      </c>
    </row>
    <row r="3818" spans="1:30" x14ac:dyDescent="0.25">
      <c r="A3818" s="4">
        <v>42605</v>
      </c>
      <c r="B3818" t="s">
        <v>30</v>
      </c>
      <c r="C3818">
        <v>801</v>
      </c>
      <c r="D3818">
        <v>7</v>
      </c>
      <c r="E3818">
        <v>1</v>
      </c>
      <c r="F3818" t="s">
        <v>31</v>
      </c>
      <c r="G3818" t="s">
        <v>32</v>
      </c>
      <c r="H3818" t="s">
        <v>33</v>
      </c>
      <c r="I3818" t="s">
        <v>57</v>
      </c>
      <c r="O3818" s="5"/>
      <c r="P3818" s="5"/>
    </row>
    <row r="3819" spans="1:30" x14ac:dyDescent="0.25">
      <c r="A3819" s="4">
        <v>42605</v>
      </c>
      <c r="B3819" t="s">
        <v>30</v>
      </c>
      <c r="C3819">
        <v>801</v>
      </c>
      <c r="D3819">
        <v>7</v>
      </c>
      <c r="E3819">
        <v>2</v>
      </c>
      <c r="F3819" t="s">
        <v>31</v>
      </c>
      <c r="G3819" t="s">
        <v>32</v>
      </c>
      <c r="H3819" t="s">
        <v>33</v>
      </c>
      <c r="I3819" t="s">
        <v>34</v>
      </c>
      <c r="J3819" t="s">
        <v>35</v>
      </c>
      <c r="K3819" t="s">
        <v>114</v>
      </c>
      <c r="L3819" t="s">
        <v>37</v>
      </c>
      <c r="M3819">
        <v>0</v>
      </c>
      <c r="N3819">
        <v>0</v>
      </c>
      <c r="O3819" s="5" t="s">
        <v>730</v>
      </c>
      <c r="P3819" s="5" t="s">
        <v>731</v>
      </c>
      <c r="Q3819">
        <f>30.5-15</f>
        <v>15.5</v>
      </c>
      <c r="R3819" t="s">
        <v>38</v>
      </c>
      <c r="S3819" t="s">
        <v>39</v>
      </c>
      <c r="T3819">
        <v>19</v>
      </c>
      <c r="U3819">
        <v>87</v>
      </c>
      <c r="V3819">
        <v>18</v>
      </c>
      <c r="W3819">
        <v>13.2</v>
      </c>
      <c r="X3819">
        <v>26.8</v>
      </c>
      <c r="Z3819" t="s">
        <v>97</v>
      </c>
      <c r="AB3819" t="s">
        <v>40</v>
      </c>
      <c r="AC3819" t="s">
        <v>56</v>
      </c>
    </row>
    <row r="3820" spans="1:30" x14ac:dyDescent="0.25">
      <c r="A3820" s="4">
        <v>42605</v>
      </c>
      <c r="B3820" t="s">
        <v>30</v>
      </c>
      <c r="C3820">
        <v>801</v>
      </c>
      <c r="D3820">
        <v>8</v>
      </c>
      <c r="E3820">
        <v>1</v>
      </c>
      <c r="F3820" t="s">
        <v>31</v>
      </c>
      <c r="G3820" t="s">
        <v>32</v>
      </c>
      <c r="H3820" t="s">
        <v>33</v>
      </c>
      <c r="I3820" t="s">
        <v>57</v>
      </c>
      <c r="O3820" s="5"/>
      <c r="P3820" s="5"/>
    </row>
    <row r="3821" spans="1:30" x14ac:dyDescent="0.25">
      <c r="A3821" s="4">
        <v>42605</v>
      </c>
      <c r="B3821" t="s">
        <v>30</v>
      </c>
      <c r="C3821">
        <v>801</v>
      </c>
      <c r="D3821">
        <v>8</v>
      </c>
      <c r="E3821">
        <v>2</v>
      </c>
      <c r="F3821" t="s">
        <v>31</v>
      </c>
      <c r="G3821" t="s">
        <v>32</v>
      </c>
      <c r="H3821" t="s">
        <v>33</v>
      </c>
      <c r="I3821" t="s">
        <v>58</v>
      </c>
      <c r="J3821" t="s">
        <v>35</v>
      </c>
      <c r="K3821" t="s">
        <v>36</v>
      </c>
      <c r="L3821" t="s">
        <v>37</v>
      </c>
      <c r="M3821">
        <v>0</v>
      </c>
      <c r="N3821">
        <v>0</v>
      </c>
      <c r="O3821" s="5" t="s">
        <v>601</v>
      </c>
      <c r="P3821" s="5"/>
      <c r="Q3821">
        <f>44-14</f>
        <v>30</v>
      </c>
      <c r="R3821" t="s">
        <v>38</v>
      </c>
      <c r="S3821" t="s">
        <v>39</v>
      </c>
      <c r="T3821">
        <v>17</v>
      </c>
      <c r="W3821">
        <v>13.5</v>
      </c>
      <c r="X3821">
        <v>27.1</v>
      </c>
      <c r="AB3821" t="s">
        <v>40</v>
      </c>
      <c r="AC3821" t="s">
        <v>56</v>
      </c>
    </row>
    <row r="3822" spans="1:30" x14ac:dyDescent="0.25">
      <c r="A3822" s="4">
        <v>42605</v>
      </c>
      <c r="B3822" t="s">
        <v>30</v>
      </c>
      <c r="C3822">
        <v>801</v>
      </c>
      <c r="D3822">
        <v>9</v>
      </c>
      <c r="E3822">
        <v>1</v>
      </c>
      <c r="F3822" t="s">
        <v>31</v>
      </c>
      <c r="G3822" t="s">
        <v>32</v>
      </c>
      <c r="H3822" t="s">
        <v>33</v>
      </c>
      <c r="I3822" t="s">
        <v>57</v>
      </c>
      <c r="O3822" s="5"/>
      <c r="P3822" s="5"/>
    </row>
    <row r="3823" spans="1:30" x14ac:dyDescent="0.25">
      <c r="A3823" s="4">
        <v>42605</v>
      </c>
      <c r="B3823" t="s">
        <v>30</v>
      </c>
      <c r="C3823">
        <v>801</v>
      </c>
      <c r="D3823">
        <v>9</v>
      </c>
      <c r="E3823">
        <v>2</v>
      </c>
      <c r="F3823" t="s">
        <v>31</v>
      </c>
      <c r="G3823" t="s">
        <v>32</v>
      </c>
      <c r="H3823" t="s">
        <v>33</v>
      </c>
      <c r="I3823" t="s">
        <v>70</v>
      </c>
      <c r="J3823" t="s">
        <v>62</v>
      </c>
      <c r="O3823" s="5"/>
      <c r="P3823" s="5"/>
    </row>
    <row r="3824" spans="1:30" x14ac:dyDescent="0.25">
      <c r="A3824" s="4">
        <v>42605</v>
      </c>
      <c r="B3824" t="s">
        <v>30</v>
      </c>
      <c r="C3824">
        <v>801</v>
      </c>
      <c r="D3824">
        <v>10</v>
      </c>
      <c r="E3824">
        <v>1</v>
      </c>
      <c r="F3824" t="s">
        <v>31</v>
      </c>
      <c r="G3824" t="s">
        <v>32</v>
      </c>
      <c r="H3824" t="s">
        <v>33</v>
      </c>
      <c r="I3824" t="s">
        <v>57</v>
      </c>
      <c r="O3824" s="5"/>
      <c r="P3824" s="5"/>
    </row>
    <row r="3825" spans="1:29" x14ac:dyDescent="0.25">
      <c r="A3825" s="4">
        <v>42605</v>
      </c>
      <c r="B3825" t="s">
        <v>30</v>
      </c>
      <c r="C3825">
        <v>803</v>
      </c>
      <c r="D3825">
        <v>10</v>
      </c>
      <c r="E3825">
        <v>1</v>
      </c>
      <c r="F3825" t="s">
        <v>31</v>
      </c>
      <c r="G3825" t="s">
        <v>32</v>
      </c>
      <c r="H3825" t="s">
        <v>33</v>
      </c>
      <c r="I3825" t="s">
        <v>57</v>
      </c>
      <c r="O3825" s="5"/>
      <c r="P3825" s="5"/>
    </row>
    <row r="3826" spans="1:29" x14ac:dyDescent="0.25">
      <c r="A3826" s="4">
        <v>42605</v>
      </c>
      <c r="B3826" t="s">
        <v>30</v>
      </c>
      <c r="C3826">
        <v>803</v>
      </c>
      <c r="D3826">
        <v>9</v>
      </c>
      <c r="E3826">
        <v>1</v>
      </c>
      <c r="F3826" t="s">
        <v>31</v>
      </c>
      <c r="G3826" t="s">
        <v>32</v>
      </c>
      <c r="H3826" t="s">
        <v>33</v>
      </c>
      <c r="I3826" t="s">
        <v>53</v>
      </c>
      <c r="J3826" t="s">
        <v>62</v>
      </c>
      <c r="O3826" s="5"/>
      <c r="P3826" s="5"/>
    </row>
    <row r="3827" spans="1:29" x14ac:dyDescent="0.25">
      <c r="A3827" s="4">
        <v>42605</v>
      </c>
      <c r="B3827" t="s">
        <v>30</v>
      </c>
      <c r="C3827">
        <v>803</v>
      </c>
      <c r="D3827">
        <v>8</v>
      </c>
      <c r="E3827">
        <v>1</v>
      </c>
      <c r="F3827" t="s">
        <v>31</v>
      </c>
      <c r="G3827" t="s">
        <v>32</v>
      </c>
      <c r="H3827" t="s">
        <v>33</v>
      </c>
      <c r="I3827" t="s">
        <v>57</v>
      </c>
      <c r="O3827" s="5"/>
      <c r="P3827" s="5"/>
    </row>
    <row r="3828" spans="1:29" x14ac:dyDescent="0.25">
      <c r="A3828" s="4">
        <v>42605</v>
      </c>
      <c r="B3828" t="s">
        <v>30</v>
      </c>
      <c r="C3828">
        <v>803</v>
      </c>
      <c r="D3828">
        <v>8</v>
      </c>
      <c r="E3828">
        <v>2</v>
      </c>
      <c r="F3828" t="s">
        <v>31</v>
      </c>
      <c r="G3828" t="s">
        <v>32</v>
      </c>
      <c r="H3828" t="s">
        <v>33</v>
      </c>
      <c r="I3828" t="s">
        <v>53</v>
      </c>
      <c r="J3828" t="s">
        <v>62</v>
      </c>
      <c r="O3828" s="5"/>
      <c r="P3828" s="5"/>
    </row>
    <row r="3829" spans="1:29" x14ac:dyDescent="0.25">
      <c r="A3829" s="4">
        <v>42605</v>
      </c>
      <c r="B3829" t="s">
        <v>30</v>
      </c>
      <c r="C3829">
        <v>803</v>
      </c>
      <c r="D3829">
        <v>7</v>
      </c>
      <c r="E3829">
        <v>1</v>
      </c>
      <c r="F3829" t="s">
        <v>31</v>
      </c>
      <c r="G3829" t="s">
        <v>32</v>
      </c>
      <c r="H3829" t="s">
        <v>33</v>
      </c>
      <c r="I3829" t="s">
        <v>57</v>
      </c>
      <c r="O3829" s="5"/>
      <c r="P3829" s="5"/>
    </row>
    <row r="3830" spans="1:29" x14ac:dyDescent="0.25">
      <c r="A3830" s="4">
        <v>42605</v>
      </c>
      <c r="B3830" t="s">
        <v>30</v>
      </c>
      <c r="C3830">
        <v>803</v>
      </c>
      <c r="D3830">
        <v>7</v>
      </c>
      <c r="E3830">
        <v>2</v>
      </c>
      <c r="F3830" t="s">
        <v>31</v>
      </c>
      <c r="G3830" t="s">
        <v>32</v>
      </c>
      <c r="H3830" t="s">
        <v>33</v>
      </c>
      <c r="I3830" t="s">
        <v>70</v>
      </c>
      <c r="J3830" t="s">
        <v>62</v>
      </c>
      <c r="O3830" s="5"/>
      <c r="P3830" s="5"/>
    </row>
    <row r="3831" spans="1:29" x14ac:dyDescent="0.25">
      <c r="A3831" s="4">
        <v>42605</v>
      </c>
      <c r="B3831" t="s">
        <v>30</v>
      </c>
      <c r="C3831">
        <v>803</v>
      </c>
      <c r="D3831">
        <v>6</v>
      </c>
      <c r="E3831">
        <v>1</v>
      </c>
      <c r="F3831" t="s">
        <v>31</v>
      </c>
      <c r="G3831" t="s">
        <v>32</v>
      </c>
      <c r="H3831" t="s">
        <v>33</v>
      </c>
      <c r="I3831" t="s">
        <v>57</v>
      </c>
      <c r="O3831" s="5"/>
      <c r="P3831" s="5"/>
    </row>
    <row r="3832" spans="1:29" x14ac:dyDescent="0.25">
      <c r="A3832" s="4">
        <v>42605</v>
      </c>
      <c r="B3832" t="s">
        <v>30</v>
      </c>
      <c r="C3832">
        <v>803</v>
      </c>
      <c r="D3832">
        <v>6</v>
      </c>
      <c r="E3832">
        <v>2</v>
      </c>
      <c r="F3832" t="s">
        <v>31</v>
      </c>
      <c r="G3832" t="s">
        <v>32</v>
      </c>
      <c r="H3832" t="s">
        <v>33</v>
      </c>
      <c r="I3832" t="s">
        <v>91</v>
      </c>
      <c r="J3832" t="s">
        <v>35</v>
      </c>
      <c r="K3832" t="s">
        <v>36</v>
      </c>
      <c r="L3832" t="s">
        <v>37</v>
      </c>
      <c r="M3832">
        <v>0</v>
      </c>
      <c r="N3832">
        <v>0</v>
      </c>
      <c r="O3832" s="5"/>
      <c r="P3832" s="5" t="s">
        <v>606</v>
      </c>
      <c r="Q3832">
        <f>34-13</f>
        <v>21</v>
      </c>
      <c r="R3832" t="s">
        <v>38</v>
      </c>
      <c r="S3832" t="s">
        <v>39</v>
      </c>
      <c r="T3832">
        <v>28.5</v>
      </c>
      <c r="W3832">
        <v>13.1</v>
      </c>
      <c r="X3832">
        <v>25.1</v>
      </c>
      <c r="Z3832" t="s">
        <v>97</v>
      </c>
      <c r="AB3832" t="s">
        <v>40</v>
      </c>
      <c r="AC3832" t="s">
        <v>56</v>
      </c>
    </row>
    <row r="3833" spans="1:29" x14ac:dyDescent="0.25">
      <c r="A3833" s="4">
        <v>42605</v>
      </c>
      <c r="B3833" t="s">
        <v>30</v>
      </c>
      <c r="C3833">
        <v>803</v>
      </c>
      <c r="D3833">
        <v>5</v>
      </c>
      <c r="E3833">
        <v>1</v>
      </c>
      <c r="F3833" t="s">
        <v>31</v>
      </c>
      <c r="G3833" t="s">
        <v>32</v>
      </c>
      <c r="H3833" t="s">
        <v>33</v>
      </c>
      <c r="I3833" t="s">
        <v>57</v>
      </c>
      <c r="O3833" s="5"/>
      <c r="P3833" s="5"/>
    </row>
    <row r="3834" spans="1:29" x14ac:dyDescent="0.25">
      <c r="A3834" s="4">
        <v>42605</v>
      </c>
      <c r="B3834" t="s">
        <v>30</v>
      </c>
      <c r="C3834">
        <v>803</v>
      </c>
      <c r="D3834">
        <v>5</v>
      </c>
      <c r="E3834">
        <v>2</v>
      </c>
      <c r="F3834" t="s">
        <v>31</v>
      </c>
      <c r="G3834" t="s">
        <v>32</v>
      </c>
      <c r="H3834" t="s">
        <v>33</v>
      </c>
      <c r="I3834" t="s">
        <v>57</v>
      </c>
      <c r="O3834" s="5"/>
      <c r="P3834" s="5"/>
    </row>
    <row r="3835" spans="1:29" x14ac:dyDescent="0.25">
      <c r="A3835" s="4">
        <v>42605</v>
      </c>
      <c r="B3835" t="s">
        <v>30</v>
      </c>
      <c r="C3835">
        <v>803</v>
      </c>
      <c r="D3835">
        <v>4</v>
      </c>
      <c r="E3835">
        <v>1</v>
      </c>
      <c r="F3835" t="s">
        <v>31</v>
      </c>
      <c r="G3835" t="s">
        <v>32</v>
      </c>
      <c r="H3835" t="s">
        <v>33</v>
      </c>
      <c r="I3835" t="s">
        <v>57</v>
      </c>
      <c r="O3835" s="5"/>
      <c r="P3835" s="5"/>
    </row>
    <row r="3836" spans="1:29" x14ac:dyDescent="0.25">
      <c r="A3836" s="4">
        <v>42605</v>
      </c>
      <c r="B3836" t="s">
        <v>30</v>
      </c>
      <c r="C3836">
        <v>803</v>
      </c>
      <c r="D3836">
        <v>4</v>
      </c>
      <c r="E3836">
        <v>2</v>
      </c>
      <c r="F3836" t="s">
        <v>31</v>
      </c>
      <c r="G3836" t="s">
        <v>32</v>
      </c>
      <c r="H3836" t="s">
        <v>33</v>
      </c>
      <c r="I3836" t="s">
        <v>57</v>
      </c>
      <c r="O3836" s="5"/>
      <c r="P3836" s="5"/>
    </row>
    <row r="3837" spans="1:29" x14ac:dyDescent="0.25">
      <c r="A3837" s="4">
        <v>42605</v>
      </c>
      <c r="B3837" t="s">
        <v>30</v>
      </c>
      <c r="C3837">
        <v>803</v>
      </c>
      <c r="D3837">
        <v>3</v>
      </c>
      <c r="E3837">
        <v>1</v>
      </c>
      <c r="F3837" t="s">
        <v>31</v>
      </c>
      <c r="G3837" t="s">
        <v>32</v>
      </c>
      <c r="H3837" t="s">
        <v>33</v>
      </c>
      <c r="I3837" t="s">
        <v>57</v>
      </c>
      <c r="O3837" s="5"/>
      <c r="P3837" s="5"/>
    </row>
    <row r="3838" spans="1:29" x14ac:dyDescent="0.25">
      <c r="A3838" s="4">
        <v>42605</v>
      </c>
      <c r="B3838" t="s">
        <v>30</v>
      </c>
      <c r="C3838">
        <v>803</v>
      </c>
      <c r="D3838">
        <v>3</v>
      </c>
      <c r="E3838">
        <v>2</v>
      </c>
      <c r="F3838" t="s">
        <v>31</v>
      </c>
      <c r="G3838" t="s">
        <v>32</v>
      </c>
      <c r="H3838" t="s">
        <v>33</v>
      </c>
      <c r="I3838" t="s">
        <v>58</v>
      </c>
      <c r="J3838" t="s">
        <v>35</v>
      </c>
      <c r="K3838" t="s">
        <v>36</v>
      </c>
      <c r="L3838" t="s">
        <v>43</v>
      </c>
      <c r="M3838">
        <v>0</v>
      </c>
      <c r="N3838">
        <v>0</v>
      </c>
      <c r="O3838" s="5" t="s">
        <v>652</v>
      </c>
      <c r="P3838" s="5"/>
      <c r="Q3838">
        <f>33.5-14</f>
        <v>19.5</v>
      </c>
      <c r="R3838" t="s">
        <v>65</v>
      </c>
      <c r="T3838">
        <v>17</v>
      </c>
      <c r="W3838">
        <v>13</v>
      </c>
      <c r="X3838">
        <v>26</v>
      </c>
      <c r="AB3838" t="s">
        <v>40</v>
      </c>
      <c r="AC3838" t="s">
        <v>56</v>
      </c>
    </row>
    <row r="3839" spans="1:29" x14ac:dyDescent="0.25">
      <c r="A3839" s="4">
        <v>42605</v>
      </c>
      <c r="B3839" t="s">
        <v>30</v>
      </c>
      <c r="C3839">
        <v>803</v>
      </c>
      <c r="D3839">
        <v>2</v>
      </c>
      <c r="E3839">
        <v>1</v>
      </c>
      <c r="F3839" t="s">
        <v>31</v>
      </c>
      <c r="G3839" t="s">
        <v>32</v>
      </c>
      <c r="H3839" t="s">
        <v>33</v>
      </c>
      <c r="I3839" t="s">
        <v>57</v>
      </c>
      <c r="O3839" s="5"/>
      <c r="P3839" s="5"/>
    </row>
    <row r="3840" spans="1:29" x14ac:dyDescent="0.25">
      <c r="A3840" s="4">
        <v>42605</v>
      </c>
      <c r="B3840" t="s">
        <v>30</v>
      </c>
      <c r="C3840">
        <v>803</v>
      </c>
      <c r="D3840">
        <v>2</v>
      </c>
      <c r="E3840">
        <v>2</v>
      </c>
      <c r="F3840" t="s">
        <v>31</v>
      </c>
      <c r="G3840" t="s">
        <v>32</v>
      </c>
      <c r="H3840" t="s">
        <v>33</v>
      </c>
      <c r="I3840" t="s">
        <v>53</v>
      </c>
      <c r="J3840" t="s">
        <v>62</v>
      </c>
      <c r="O3840" s="5"/>
      <c r="P3840" s="5"/>
    </row>
    <row r="3841" spans="1:29" x14ac:dyDescent="0.25">
      <c r="A3841" s="4">
        <v>42605</v>
      </c>
      <c r="B3841" t="s">
        <v>30</v>
      </c>
      <c r="C3841">
        <v>901</v>
      </c>
      <c r="D3841">
        <v>1</v>
      </c>
      <c r="E3841">
        <v>1</v>
      </c>
      <c r="F3841" t="s">
        <v>31</v>
      </c>
      <c r="G3841" t="s">
        <v>32</v>
      </c>
      <c r="H3841" t="s">
        <v>33</v>
      </c>
      <c r="I3841" t="s">
        <v>57</v>
      </c>
      <c r="O3841" s="5"/>
      <c r="P3841" s="5"/>
    </row>
    <row r="3842" spans="1:29" x14ac:dyDescent="0.25">
      <c r="A3842" s="4">
        <v>42605</v>
      </c>
      <c r="B3842" t="s">
        <v>30</v>
      </c>
      <c r="C3842">
        <v>901</v>
      </c>
      <c r="D3842">
        <v>1</v>
      </c>
      <c r="E3842">
        <v>2</v>
      </c>
      <c r="F3842" t="s">
        <v>31</v>
      </c>
      <c r="G3842" t="s">
        <v>32</v>
      </c>
      <c r="H3842" t="s">
        <v>33</v>
      </c>
      <c r="I3842" t="s">
        <v>57</v>
      </c>
      <c r="O3842" s="5"/>
      <c r="P3842" s="5"/>
    </row>
    <row r="3843" spans="1:29" x14ac:dyDescent="0.25">
      <c r="A3843" s="4">
        <v>42605</v>
      </c>
      <c r="B3843" t="s">
        <v>30</v>
      </c>
      <c r="C3843">
        <v>901</v>
      </c>
      <c r="D3843">
        <v>2</v>
      </c>
      <c r="E3843">
        <v>1</v>
      </c>
      <c r="F3843" t="s">
        <v>31</v>
      </c>
      <c r="G3843" t="s">
        <v>32</v>
      </c>
      <c r="H3843" t="s">
        <v>33</v>
      </c>
      <c r="I3843" t="s">
        <v>34</v>
      </c>
      <c r="J3843" t="s">
        <v>35</v>
      </c>
      <c r="K3843" t="s">
        <v>114</v>
      </c>
      <c r="L3843" t="s">
        <v>43</v>
      </c>
      <c r="M3843">
        <v>0</v>
      </c>
      <c r="N3843">
        <v>0</v>
      </c>
      <c r="O3843" s="5" t="s">
        <v>985</v>
      </c>
      <c r="P3843" s="5" t="s">
        <v>986</v>
      </c>
      <c r="Q3843">
        <f>30-13.5</f>
        <v>16.5</v>
      </c>
      <c r="R3843" t="s">
        <v>65</v>
      </c>
      <c r="T3843">
        <v>18</v>
      </c>
      <c r="U3843">
        <v>89</v>
      </c>
      <c r="V3843">
        <v>16.5</v>
      </c>
      <c r="W3843">
        <v>12.9</v>
      </c>
      <c r="AB3843" t="s">
        <v>40</v>
      </c>
      <c r="AC3843" t="s">
        <v>56</v>
      </c>
    </row>
    <row r="3844" spans="1:29" x14ac:dyDescent="0.25">
      <c r="A3844" s="4">
        <v>42605</v>
      </c>
      <c r="B3844" t="s">
        <v>30</v>
      </c>
      <c r="C3844">
        <v>901</v>
      </c>
      <c r="D3844">
        <v>2</v>
      </c>
      <c r="E3844">
        <v>2</v>
      </c>
      <c r="F3844" t="s">
        <v>31</v>
      </c>
      <c r="G3844" t="s">
        <v>32</v>
      </c>
      <c r="H3844" t="s">
        <v>33</v>
      </c>
      <c r="I3844" t="s">
        <v>34</v>
      </c>
      <c r="J3844" t="s">
        <v>35</v>
      </c>
      <c r="K3844" t="s">
        <v>114</v>
      </c>
      <c r="L3844" t="s">
        <v>43</v>
      </c>
      <c r="M3844">
        <v>0</v>
      </c>
      <c r="N3844">
        <v>0</v>
      </c>
      <c r="O3844" s="5" t="s">
        <v>937</v>
      </c>
      <c r="P3844" s="5" t="s">
        <v>938</v>
      </c>
      <c r="Q3844">
        <f>30-14</f>
        <v>16</v>
      </c>
      <c r="R3844" t="s">
        <v>65</v>
      </c>
      <c r="T3844">
        <v>18.5</v>
      </c>
      <c r="U3844">
        <v>91</v>
      </c>
      <c r="V3844">
        <v>17</v>
      </c>
      <c r="W3844">
        <v>13.1</v>
      </c>
      <c r="X3844">
        <v>24.8</v>
      </c>
      <c r="AB3844" t="s">
        <v>40</v>
      </c>
      <c r="AC3844" t="s">
        <v>56</v>
      </c>
    </row>
    <row r="3845" spans="1:29" x14ac:dyDescent="0.25">
      <c r="A3845" s="4">
        <v>42605</v>
      </c>
      <c r="B3845" t="s">
        <v>30</v>
      </c>
      <c r="C3845">
        <v>901</v>
      </c>
      <c r="D3845">
        <v>3</v>
      </c>
      <c r="E3845">
        <v>1</v>
      </c>
      <c r="F3845" t="s">
        <v>31</v>
      </c>
      <c r="G3845" t="s">
        <v>32</v>
      </c>
      <c r="H3845" t="s">
        <v>33</v>
      </c>
      <c r="I3845" t="s">
        <v>73</v>
      </c>
      <c r="J3845" t="s">
        <v>122</v>
      </c>
      <c r="O3845" s="5"/>
      <c r="P3845" s="5"/>
    </row>
    <row r="3846" spans="1:29" x14ac:dyDescent="0.25">
      <c r="A3846" s="4">
        <v>42605</v>
      </c>
      <c r="B3846" t="s">
        <v>30</v>
      </c>
      <c r="C3846">
        <v>901</v>
      </c>
      <c r="D3846">
        <v>5</v>
      </c>
      <c r="E3846">
        <v>1</v>
      </c>
      <c r="F3846" t="s">
        <v>31</v>
      </c>
      <c r="G3846" t="s">
        <v>32</v>
      </c>
      <c r="H3846" t="s">
        <v>33</v>
      </c>
      <c r="I3846" t="s">
        <v>57</v>
      </c>
      <c r="O3846" s="5"/>
      <c r="P3846" s="5"/>
    </row>
    <row r="3847" spans="1:29" x14ac:dyDescent="0.25">
      <c r="A3847" s="4">
        <v>42605</v>
      </c>
      <c r="B3847" t="s">
        <v>30</v>
      </c>
      <c r="C3847">
        <v>901</v>
      </c>
      <c r="D3847">
        <v>7</v>
      </c>
      <c r="E3847">
        <v>1</v>
      </c>
      <c r="F3847" t="s">
        <v>31</v>
      </c>
      <c r="G3847" t="s">
        <v>32</v>
      </c>
      <c r="H3847" t="s">
        <v>33</v>
      </c>
      <c r="I3847" t="s">
        <v>57</v>
      </c>
      <c r="O3847" s="5"/>
      <c r="P3847" s="5"/>
    </row>
    <row r="3848" spans="1:29" x14ac:dyDescent="0.25">
      <c r="A3848" s="4">
        <v>42605</v>
      </c>
      <c r="B3848" t="s">
        <v>30</v>
      </c>
      <c r="C3848">
        <v>901</v>
      </c>
      <c r="D3848">
        <v>7</v>
      </c>
      <c r="E3848">
        <v>2</v>
      </c>
      <c r="F3848" t="s">
        <v>31</v>
      </c>
      <c r="G3848" t="s">
        <v>32</v>
      </c>
      <c r="H3848" t="s">
        <v>33</v>
      </c>
      <c r="I3848" t="s">
        <v>57</v>
      </c>
      <c r="O3848" s="5"/>
      <c r="P3848" s="5"/>
    </row>
    <row r="3849" spans="1:29" x14ac:dyDescent="0.25">
      <c r="A3849" s="4">
        <v>42605</v>
      </c>
      <c r="B3849" t="s">
        <v>30</v>
      </c>
      <c r="C3849">
        <v>901</v>
      </c>
      <c r="D3849">
        <v>10</v>
      </c>
      <c r="E3849">
        <v>1</v>
      </c>
      <c r="F3849" t="s">
        <v>31</v>
      </c>
      <c r="G3849" t="s">
        <v>32</v>
      </c>
      <c r="H3849" t="s">
        <v>33</v>
      </c>
      <c r="I3849" t="s">
        <v>53</v>
      </c>
      <c r="J3849" t="s">
        <v>62</v>
      </c>
      <c r="O3849" s="5"/>
      <c r="P3849" s="5"/>
    </row>
    <row r="3850" spans="1:29" x14ac:dyDescent="0.25">
      <c r="A3850" s="4">
        <v>42605</v>
      </c>
      <c r="B3850" t="s">
        <v>30</v>
      </c>
      <c r="C3850">
        <v>501</v>
      </c>
      <c r="D3850">
        <v>1</v>
      </c>
      <c r="E3850">
        <v>1</v>
      </c>
      <c r="F3850" t="s">
        <v>320</v>
      </c>
      <c r="G3850" t="s">
        <v>32</v>
      </c>
      <c r="H3850" t="s">
        <v>33</v>
      </c>
      <c r="I3850" t="s">
        <v>57</v>
      </c>
      <c r="O3850" s="5"/>
      <c r="P3850" s="5"/>
    </row>
    <row r="3851" spans="1:29" x14ac:dyDescent="0.25">
      <c r="A3851" s="4">
        <v>42605</v>
      </c>
      <c r="B3851" t="s">
        <v>30</v>
      </c>
      <c r="C3851">
        <v>501</v>
      </c>
      <c r="D3851">
        <v>1</v>
      </c>
      <c r="E3851">
        <v>2</v>
      </c>
      <c r="F3851" t="s">
        <v>320</v>
      </c>
      <c r="G3851" t="s">
        <v>32</v>
      </c>
      <c r="H3851" t="s">
        <v>33</v>
      </c>
      <c r="I3851" t="s">
        <v>57</v>
      </c>
      <c r="O3851" s="5"/>
      <c r="P3851" s="5"/>
    </row>
    <row r="3852" spans="1:29" x14ac:dyDescent="0.25">
      <c r="A3852" s="4">
        <v>42605</v>
      </c>
      <c r="B3852" t="s">
        <v>30</v>
      </c>
      <c r="C3852">
        <v>501</v>
      </c>
      <c r="D3852">
        <v>2</v>
      </c>
      <c r="E3852">
        <v>1</v>
      </c>
      <c r="F3852" t="s">
        <v>320</v>
      </c>
      <c r="G3852" t="s">
        <v>32</v>
      </c>
      <c r="H3852" t="s">
        <v>33</v>
      </c>
      <c r="I3852" t="s">
        <v>57</v>
      </c>
      <c r="O3852" s="5"/>
      <c r="P3852" s="5"/>
    </row>
    <row r="3853" spans="1:29" x14ac:dyDescent="0.25">
      <c r="A3853" s="4">
        <v>42605</v>
      </c>
      <c r="B3853" t="s">
        <v>30</v>
      </c>
      <c r="C3853">
        <v>501</v>
      </c>
      <c r="D3853">
        <v>2</v>
      </c>
      <c r="E3853">
        <v>2</v>
      </c>
      <c r="F3853" t="s">
        <v>320</v>
      </c>
      <c r="G3853" t="s">
        <v>32</v>
      </c>
      <c r="H3853" t="s">
        <v>33</v>
      </c>
      <c r="I3853" t="s">
        <v>34</v>
      </c>
      <c r="J3853" t="s">
        <v>35</v>
      </c>
      <c r="K3853" t="s">
        <v>114</v>
      </c>
      <c r="L3853" t="s">
        <v>43</v>
      </c>
      <c r="M3853">
        <v>0</v>
      </c>
      <c r="N3853">
        <v>0</v>
      </c>
      <c r="O3853" s="5" t="s">
        <v>546</v>
      </c>
      <c r="P3853" s="5" t="s">
        <v>547</v>
      </c>
      <c r="Q3853">
        <f>32-16</f>
        <v>16</v>
      </c>
      <c r="R3853" t="s">
        <v>65</v>
      </c>
      <c r="T3853">
        <v>19.5</v>
      </c>
      <c r="U3853">
        <v>85</v>
      </c>
      <c r="V3853">
        <v>17</v>
      </c>
      <c r="W3853">
        <v>13</v>
      </c>
      <c r="X3853">
        <v>27.5</v>
      </c>
      <c r="Z3853" t="s">
        <v>39</v>
      </c>
      <c r="AB3853" t="s">
        <v>87</v>
      </c>
      <c r="AC3853" t="s">
        <v>56</v>
      </c>
    </row>
    <row r="3854" spans="1:29" x14ac:dyDescent="0.25">
      <c r="A3854" s="4">
        <v>42605</v>
      </c>
      <c r="B3854" t="s">
        <v>30</v>
      </c>
      <c r="C3854">
        <v>501</v>
      </c>
      <c r="D3854">
        <v>3</v>
      </c>
      <c r="E3854">
        <v>1</v>
      </c>
      <c r="F3854" t="s">
        <v>320</v>
      </c>
      <c r="G3854" t="s">
        <v>32</v>
      </c>
      <c r="H3854" t="s">
        <v>33</v>
      </c>
      <c r="I3854" t="s">
        <v>57</v>
      </c>
      <c r="O3854" s="5"/>
      <c r="P3854" s="5"/>
    </row>
    <row r="3855" spans="1:29" x14ac:dyDescent="0.25">
      <c r="A3855" s="4">
        <v>42605</v>
      </c>
      <c r="B3855" t="s">
        <v>30</v>
      </c>
      <c r="C3855">
        <v>501</v>
      </c>
      <c r="D3855">
        <v>3</v>
      </c>
      <c r="E3855">
        <v>2</v>
      </c>
      <c r="F3855" t="s">
        <v>320</v>
      </c>
      <c r="G3855" t="s">
        <v>32</v>
      </c>
      <c r="H3855" t="s">
        <v>33</v>
      </c>
      <c r="I3855" t="s">
        <v>57</v>
      </c>
      <c r="O3855" s="5"/>
      <c r="P3855" s="5"/>
    </row>
    <row r="3856" spans="1:29" x14ac:dyDescent="0.25">
      <c r="A3856" s="4">
        <v>42605</v>
      </c>
      <c r="B3856" t="s">
        <v>30</v>
      </c>
      <c r="C3856">
        <v>501</v>
      </c>
      <c r="D3856">
        <v>4</v>
      </c>
      <c r="E3856">
        <v>1</v>
      </c>
      <c r="F3856" t="s">
        <v>320</v>
      </c>
      <c r="G3856" t="s">
        <v>32</v>
      </c>
      <c r="H3856" t="s">
        <v>33</v>
      </c>
      <c r="I3856" t="s">
        <v>58</v>
      </c>
      <c r="J3856" t="s">
        <v>35</v>
      </c>
      <c r="K3856" t="s">
        <v>36</v>
      </c>
      <c r="L3856" t="s">
        <v>37</v>
      </c>
      <c r="M3856">
        <v>0</v>
      </c>
      <c r="N3856">
        <v>0</v>
      </c>
      <c r="O3856" s="5" t="s">
        <v>272</v>
      </c>
      <c r="P3856" s="5"/>
      <c r="Q3856">
        <f>46.5-15.5</f>
        <v>31</v>
      </c>
      <c r="R3856" t="s">
        <v>136</v>
      </c>
      <c r="S3856" t="s">
        <v>97</v>
      </c>
      <c r="T3856">
        <v>18</v>
      </c>
      <c r="W3856">
        <v>12.9</v>
      </c>
      <c r="X3856">
        <v>27.1</v>
      </c>
      <c r="Z3856" t="s">
        <v>97</v>
      </c>
      <c r="AA3856" t="s">
        <v>199</v>
      </c>
      <c r="AB3856" t="s">
        <v>87</v>
      </c>
      <c r="AC3856" t="s">
        <v>56</v>
      </c>
    </row>
    <row r="3857" spans="1:31" x14ac:dyDescent="0.25">
      <c r="A3857" s="4">
        <v>42605</v>
      </c>
      <c r="B3857" t="s">
        <v>30</v>
      </c>
      <c r="C3857">
        <v>501</v>
      </c>
      <c r="D3857">
        <v>4</v>
      </c>
      <c r="E3857">
        <v>2</v>
      </c>
      <c r="F3857" t="s">
        <v>320</v>
      </c>
      <c r="G3857" t="s">
        <v>32</v>
      </c>
      <c r="H3857" t="s">
        <v>33</v>
      </c>
      <c r="I3857" t="s">
        <v>34</v>
      </c>
      <c r="J3857" t="s">
        <v>42</v>
      </c>
      <c r="K3857" t="s">
        <v>89</v>
      </c>
      <c r="L3857" t="s">
        <v>37</v>
      </c>
      <c r="M3857">
        <v>0</v>
      </c>
      <c r="N3857">
        <v>1</v>
      </c>
      <c r="O3857" s="5" t="s">
        <v>987</v>
      </c>
      <c r="P3857" s="5" t="s">
        <v>988</v>
      </c>
      <c r="Q3857">
        <f>28-15</f>
        <v>13</v>
      </c>
      <c r="R3857" t="s">
        <v>38</v>
      </c>
      <c r="S3857" t="s">
        <v>39</v>
      </c>
      <c r="T3857">
        <v>20</v>
      </c>
      <c r="U3857">
        <v>88</v>
      </c>
      <c r="V3857">
        <v>105</v>
      </c>
      <c r="W3857">
        <v>12.9</v>
      </c>
      <c r="X3857">
        <v>27.8</v>
      </c>
      <c r="Z3857" t="s">
        <v>39</v>
      </c>
      <c r="AB3857" t="s">
        <v>87</v>
      </c>
      <c r="AC3857" t="s">
        <v>56</v>
      </c>
      <c r="AD3857" t="s">
        <v>777</v>
      </c>
    </row>
    <row r="3858" spans="1:31" x14ac:dyDescent="0.25">
      <c r="A3858" s="4">
        <v>42605</v>
      </c>
      <c r="B3858" t="s">
        <v>30</v>
      </c>
      <c r="C3858">
        <v>501</v>
      </c>
      <c r="D3858">
        <v>5</v>
      </c>
      <c r="E3858">
        <v>1</v>
      </c>
      <c r="F3858" t="s">
        <v>320</v>
      </c>
      <c r="G3858" t="s">
        <v>32</v>
      </c>
      <c r="H3858" t="s">
        <v>33</v>
      </c>
      <c r="I3858" t="s">
        <v>57</v>
      </c>
      <c r="O3858" s="5"/>
      <c r="P3858" s="5"/>
    </row>
    <row r="3859" spans="1:31" x14ac:dyDescent="0.25">
      <c r="A3859" s="4">
        <v>42605</v>
      </c>
      <c r="B3859" t="s">
        <v>30</v>
      </c>
      <c r="C3859">
        <v>501</v>
      </c>
      <c r="D3859">
        <v>5</v>
      </c>
      <c r="E3859">
        <v>2</v>
      </c>
      <c r="F3859" t="s">
        <v>320</v>
      </c>
      <c r="G3859" t="s">
        <v>32</v>
      </c>
      <c r="H3859" t="s">
        <v>33</v>
      </c>
      <c r="I3859" t="s">
        <v>57</v>
      </c>
      <c r="O3859" s="5"/>
      <c r="P3859" s="5"/>
    </row>
    <row r="3860" spans="1:31" x14ac:dyDescent="0.25">
      <c r="A3860" s="4">
        <v>42605</v>
      </c>
      <c r="B3860" t="s">
        <v>30</v>
      </c>
      <c r="C3860">
        <v>501</v>
      </c>
      <c r="D3860">
        <v>6</v>
      </c>
      <c r="E3860">
        <v>1</v>
      </c>
      <c r="F3860" t="s">
        <v>320</v>
      </c>
      <c r="G3860" t="s">
        <v>32</v>
      </c>
      <c r="H3860" t="s">
        <v>33</v>
      </c>
      <c r="I3860" t="s">
        <v>64</v>
      </c>
      <c r="J3860" t="s">
        <v>35</v>
      </c>
      <c r="K3860" t="s">
        <v>36</v>
      </c>
      <c r="L3860" t="s">
        <v>43</v>
      </c>
      <c r="M3860">
        <v>0</v>
      </c>
      <c r="N3860">
        <v>0</v>
      </c>
      <c r="O3860" s="5" t="s">
        <v>672</v>
      </c>
      <c r="P3860" s="5"/>
      <c r="Q3860">
        <f>172-48</f>
        <v>124</v>
      </c>
      <c r="R3860" t="s">
        <v>65</v>
      </c>
      <c r="T3860">
        <v>42</v>
      </c>
      <c r="W3860">
        <v>25.3</v>
      </c>
      <c r="X3860">
        <v>45.2</v>
      </c>
      <c r="Z3860" t="s">
        <v>39</v>
      </c>
      <c r="AB3860" t="s">
        <v>87</v>
      </c>
      <c r="AC3860" t="s">
        <v>56</v>
      </c>
      <c r="AD3860" t="s">
        <v>732</v>
      </c>
    </row>
    <row r="3861" spans="1:31" x14ac:dyDescent="0.25">
      <c r="A3861" s="4">
        <v>42605</v>
      </c>
      <c r="B3861" t="s">
        <v>30</v>
      </c>
      <c r="C3861">
        <v>501</v>
      </c>
      <c r="D3861">
        <v>7</v>
      </c>
      <c r="E3861">
        <v>1</v>
      </c>
      <c r="F3861" t="s">
        <v>320</v>
      </c>
      <c r="G3861" t="s">
        <v>32</v>
      </c>
      <c r="H3861" t="s">
        <v>33</v>
      </c>
      <c r="I3861" t="s">
        <v>57</v>
      </c>
      <c r="O3861" s="5"/>
      <c r="P3861" s="5"/>
    </row>
    <row r="3862" spans="1:31" x14ac:dyDescent="0.25">
      <c r="A3862" s="4">
        <v>42605</v>
      </c>
      <c r="B3862" t="s">
        <v>30</v>
      </c>
      <c r="C3862">
        <v>501</v>
      </c>
      <c r="D3862">
        <v>8</v>
      </c>
      <c r="E3862">
        <v>1</v>
      </c>
      <c r="F3862" t="s">
        <v>320</v>
      </c>
      <c r="G3862" t="s">
        <v>32</v>
      </c>
      <c r="H3862" t="s">
        <v>33</v>
      </c>
      <c r="I3862" t="s">
        <v>91</v>
      </c>
      <c r="J3862" t="s">
        <v>42</v>
      </c>
      <c r="K3862" t="s">
        <v>114</v>
      </c>
      <c r="L3862" t="s">
        <v>43</v>
      </c>
      <c r="M3862">
        <v>0</v>
      </c>
      <c r="N3862">
        <v>1</v>
      </c>
      <c r="O3862" s="5" t="s">
        <v>989</v>
      </c>
      <c r="P3862" s="5"/>
      <c r="Q3862">
        <f>33-14</f>
        <v>19</v>
      </c>
      <c r="R3862" t="s">
        <v>65</v>
      </c>
      <c r="T3862">
        <v>30</v>
      </c>
      <c r="W3862">
        <v>12.9</v>
      </c>
      <c r="X3862">
        <v>24.8</v>
      </c>
      <c r="Z3862" t="s">
        <v>97</v>
      </c>
      <c r="AA3862" t="s">
        <v>199</v>
      </c>
      <c r="AB3862" t="s">
        <v>87</v>
      </c>
      <c r="AC3862" t="s">
        <v>56</v>
      </c>
      <c r="AD3862" t="s">
        <v>789</v>
      </c>
    </row>
    <row r="3863" spans="1:31" x14ac:dyDescent="0.25">
      <c r="A3863" s="4">
        <v>42605</v>
      </c>
      <c r="B3863" t="s">
        <v>30</v>
      </c>
      <c r="C3863">
        <v>501</v>
      </c>
      <c r="D3863">
        <v>8</v>
      </c>
      <c r="E3863">
        <v>2</v>
      </c>
      <c r="F3863" t="s">
        <v>320</v>
      </c>
      <c r="G3863" t="s">
        <v>32</v>
      </c>
      <c r="H3863" t="s">
        <v>33</v>
      </c>
      <c r="I3863" t="s">
        <v>64</v>
      </c>
      <c r="J3863" t="s">
        <v>100</v>
      </c>
      <c r="K3863" t="s">
        <v>36</v>
      </c>
      <c r="L3863" t="s">
        <v>43</v>
      </c>
      <c r="O3863" s="5"/>
      <c r="P3863" s="5"/>
      <c r="R3863" t="s">
        <v>65</v>
      </c>
    </row>
    <row r="3864" spans="1:31" x14ac:dyDescent="0.25">
      <c r="A3864" s="4">
        <v>42605</v>
      </c>
      <c r="B3864" t="s">
        <v>30</v>
      </c>
      <c r="C3864">
        <v>501</v>
      </c>
      <c r="D3864">
        <v>9</v>
      </c>
      <c r="E3864">
        <v>1</v>
      </c>
      <c r="F3864" t="s">
        <v>320</v>
      </c>
      <c r="G3864" t="s">
        <v>32</v>
      </c>
      <c r="H3864" t="s">
        <v>33</v>
      </c>
      <c r="I3864" t="s">
        <v>91</v>
      </c>
      <c r="J3864" t="s">
        <v>42</v>
      </c>
      <c r="K3864" t="s">
        <v>114</v>
      </c>
      <c r="L3864" t="s">
        <v>37</v>
      </c>
      <c r="M3864">
        <v>0</v>
      </c>
      <c r="N3864">
        <v>1</v>
      </c>
      <c r="O3864" s="5" t="s">
        <v>990</v>
      </c>
      <c r="P3864" s="5"/>
      <c r="Q3864">
        <f>35-17.5</f>
        <v>17.5</v>
      </c>
      <c r="R3864" t="s">
        <v>38</v>
      </c>
      <c r="S3864" t="s">
        <v>39</v>
      </c>
      <c r="T3864">
        <v>30</v>
      </c>
      <c r="W3864">
        <v>12.9</v>
      </c>
      <c r="X3864">
        <v>26.3</v>
      </c>
      <c r="Z3864" t="s">
        <v>97</v>
      </c>
      <c r="AA3864" t="s">
        <v>199</v>
      </c>
      <c r="AB3864" t="s">
        <v>87</v>
      </c>
      <c r="AC3864" t="s">
        <v>56</v>
      </c>
      <c r="AD3864" t="s">
        <v>789</v>
      </c>
      <c r="AE3864" t="s">
        <v>991</v>
      </c>
    </row>
    <row r="3865" spans="1:31" x14ac:dyDescent="0.25">
      <c r="A3865" s="4">
        <v>42605</v>
      </c>
      <c r="B3865" t="s">
        <v>30</v>
      </c>
      <c r="C3865">
        <v>501</v>
      </c>
      <c r="D3865">
        <v>10</v>
      </c>
      <c r="E3865">
        <v>1</v>
      </c>
      <c r="F3865" t="s">
        <v>320</v>
      </c>
      <c r="G3865" t="s">
        <v>32</v>
      </c>
      <c r="H3865" t="s">
        <v>33</v>
      </c>
      <c r="I3865" t="s">
        <v>57</v>
      </c>
      <c r="O3865" s="5"/>
      <c r="P3865" s="5"/>
    </row>
    <row r="3866" spans="1:31" x14ac:dyDescent="0.25">
      <c r="A3866" s="4">
        <v>42605</v>
      </c>
      <c r="B3866" t="s">
        <v>30</v>
      </c>
      <c r="C3866">
        <v>501</v>
      </c>
      <c r="D3866">
        <v>10</v>
      </c>
      <c r="E3866">
        <v>2</v>
      </c>
      <c r="F3866" t="s">
        <v>320</v>
      </c>
      <c r="G3866" t="s">
        <v>32</v>
      </c>
      <c r="H3866" t="s">
        <v>33</v>
      </c>
      <c r="I3866" t="s">
        <v>57</v>
      </c>
      <c r="O3866" s="5"/>
      <c r="P3866" s="5"/>
    </row>
    <row r="3867" spans="1:31" x14ac:dyDescent="0.25">
      <c r="A3867" s="4">
        <v>42605</v>
      </c>
      <c r="B3867" t="s">
        <v>30</v>
      </c>
      <c r="C3867">
        <v>503</v>
      </c>
      <c r="D3867">
        <v>1</v>
      </c>
      <c r="E3867">
        <v>1</v>
      </c>
      <c r="F3867" t="s">
        <v>320</v>
      </c>
      <c r="G3867" t="s">
        <v>32</v>
      </c>
      <c r="H3867" t="s">
        <v>33</v>
      </c>
      <c r="I3867" t="s">
        <v>57</v>
      </c>
      <c r="O3867" s="5"/>
      <c r="P3867" s="5"/>
    </row>
    <row r="3868" spans="1:31" x14ac:dyDescent="0.25">
      <c r="A3868" s="4">
        <v>42605</v>
      </c>
      <c r="B3868" t="s">
        <v>30</v>
      </c>
      <c r="C3868">
        <v>503</v>
      </c>
      <c r="D3868">
        <v>1</v>
      </c>
      <c r="E3868">
        <v>2</v>
      </c>
      <c r="F3868" t="s">
        <v>320</v>
      </c>
      <c r="G3868" t="s">
        <v>32</v>
      </c>
      <c r="H3868" t="s">
        <v>33</v>
      </c>
      <c r="I3868" t="s">
        <v>34</v>
      </c>
      <c r="J3868" t="s">
        <v>35</v>
      </c>
      <c r="K3868" t="s">
        <v>89</v>
      </c>
      <c r="L3868" t="s">
        <v>43</v>
      </c>
      <c r="M3868">
        <v>0</v>
      </c>
      <c r="N3868">
        <v>0</v>
      </c>
      <c r="O3868" s="5" t="s">
        <v>553</v>
      </c>
      <c r="P3868" s="5" t="s">
        <v>551</v>
      </c>
      <c r="Q3868">
        <f>30.5-16</f>
        <v>14.5</v>
      </c>
      <c r="R3868" t="s">
        <v>65</v>
      </c>
      <c r="T3868">
        <v>19</v>
      </c>
      <c r="U3868">
        <v>75</v>
      </c>
      <c r="V3868">
        <v>17</v>
      </c>
      <c r="W3868">
        <v>12.9</v>
      </c>
      <c r="X3868">
        <v>26.3</v>
      </c>
      <c r="Z3868" t="s">
        <v>97</v>
      </c>
      <c r="AA3868" t="s">
        <v>199</v>
      </c>
      <c r="AB3868" t="s">
        <v>87</v>
      </c>
      <c r="AC3868" t="s">
        <v>56</v>
      </c>
    </row>
    <row r="3869" spans="1:31" x14ac:dyDescent="0.25">
      <c r="A3869" s="4">
        <v>42605</v>
      </c>
      <c r="B3869" t="s">
        <v>30</v>
      </c>
      <c r="C3869">
        <v>503</v>
      </c>
      <c r="D3869">
        <v>2</v>
      </c>
      <c r="E3869">
        <v>1</v>
      </c>
      <c r="F3869" t="s">
        <v>320</v>
      </c>
      <c r="G3869" t="s">
        <v>32</v>
      </c>
      <c r="H3869" t="s">
        <v>33</v>
      </c>
      <c r="I3869" t="s">
        <v>57</v>
      </c>
      <c r="O3869" s="5"/>
      <c r="P3869" s="5"/>
    </row>
    <row r="3870" spans="1:31" x14ac:dyDescent="0.25">
      <c r="A3870" s="4">
        <v>42605</v>
      </c>
      <c r="B3870" t="s">
        <v>30</v>
      </c>
      <c r="C3870">
        <v>503</v>
      </c>
      <c r="D3870">
        <v>2</v>
      </c>
      <c r="E3870">
        <v>2</v>
      </c>
      <c r="F3870" t="s">
        <v>320</v>
      </c>
      <c r="G3870" t="s">
        <v>32</v>
      </c>
      <c r="H3870" t="s">
        <v>33</v>
      </c>
      <c r="I3870" t="s">
        <v>57</v>
      </c>
      <c r="O3870" s="5"/>
      <c r="P3870" s="5"/>
    </row>
    <row r="3871" spans="1:31" x14ac:dyDescent="0.25">
      <c r="A3871" s="4">
        <v>42605</v>
      </c>
      <c r="B3871" t="s">
        <v>30</v>
      </c>
      <c r="C3871">
        <v>503</v>
      </c>
      <c r="D3871">
        <v>3</v>
      </c>
      <c r="E3871">
        <v>1</v>
      </c>
      <c r="F3871" t="s">
        <v>320</v>
      </c>
      <c r="G3871" t="s">
        <v>32</v>
      </c>
      <c r="H3871" t="s">
        <v>33</v>
      </c>
      <c r="I3871" t="s">
        <v>57</v>
      </c>
      <c r="O3871" s="5"/>
      <c r="P3871" s="5"/>
    </row>
    <row r="3872" spans="1:31" x14ac:dyDescent="0.25">
      <c r="A3872" s="4">
        <v>42605</v>
      </c>
      <c r="B3872" t="s">
        <v>30</v>
      </c>
      <c r="C3872">
        <v>503</v>
      </c>
      <c r="D3872">
        <v>4</v>
      </c>
      <c r="E3872">
        <v>1</v>
      </c>
      <c r="F3872" t="s">
        <v>320</v>
      </c>
      <c r="G3872" t="s">
        <v>32</v>
      </c>
      <c r="H3872" t="s">
        <v>33</v>
      </c>
      <c r="I3872" t="s">
        <v>57</v>
      </c>
      <c r="O3872" s="5"/>
      <c r="P3872" s="5"/>
    </row>
    <row r="3873" spans="1:31" x14ac:dyDescent="0.25">
      <c r="A3873" s="4">
        <v>42605</v>
      </c>
      <c r="B3873" t="s">
        <v>30</v>
      </c>
      <c r="C3873">
        <v>503</v>
      </c>
      <c r="D3873">
        <v>4</v>
      </c>
      <c r="E3873">
        <v>2</v>
      </c>
      <c r="F3873" t="s">
        <v>320</v>
      </c>
      <c r="G3873" t="s">
        <v>32</v>
      </c>
      <c r="H3873" t="s">
        <v>33</v>
      </c>
      <c r="I3873" t="s">
        <v>57</v>
      </c>
      <c r="O3873" s="5"/>
      <c r="P3873" s="5"/>
    </row>
    <row r="3874" spans="1:31" x14ac:dyDescent="0.25">
      <c r="A3874" s="4">
        <v>42605</v>
      </c>
      <c r="B3874" t="s">
        <v>30</v>
      </c>
      <c r="C3874">
        <v>503</v>
      </c>
      <c r="D3874">
        <v>5</v>
      </c>
      <c r="E3874">
        <v>1</v>
      </c>
      <c r="F3874" t="s">
        <v>320</v>
      </c>
      <c r="G3874" t="s">
        <v>32</v>
      </c>
      <c r="H3874" t="s">
        <v>33</v>
      </c>
      <c r="I3874" t="s">
        <v>70</v>
      </c>
      <c r="J3874" t="s">
        <v>123</v>
      </c>
      <c r="O3874" s="5"/>
      <c r="P3874" s="5"/>
    </row>
    <row r="3875" spans="1:31" x14ac:dyDescent="0.25">
      <c r="A3875" s="4">
        <v>42605</v>
      </c>
      <c r="B3875" t="s">
        <v>30</v>
      </c>
      <c r="C3875">
        <v>503</v>
      </c>
      <c r="D3875">
        <v>6</v>
      </c>
      <c r="E3875">
        <v>1</v>
      </c>
      <c r="F3875" t="s">
        <v>320</v>
      </c>
      <c r="G3875" t="s">
        <v>32</v>
      </c>
      <c r="H3875" t="s">
        <v>33</v>
      </c>
      <c r="I3875" t="s">
        <v>53</v>
      </c>
      <c r="J3875" t="s">
        <v>62</v>
      </c>
      <c r="O3875" s="5"/>
      <c r="P3875" s="5"/>
    </row>
    <row r="3876" spans="1:31" x14ac:dyDescent="0.25">
      <c r="A3876" s="4">
        <v>42605</v>
      </c>
      <c r="B3876" t="s">
        <v>30</v>
      </c>
      <c r="C3876">
        <v>503</v>
      </c>
      <c r="D3876">
        <v>6</v>
      </c>
      <c r="E3876">
        <v>2</v>
      </c>
      <c r="F3876" t="s">
        <v>320</v>
      </c>
      <c r="G3876" t="s">
        <v>32</v>
      </c>
      <c r="H3876" t="s">
        <v>33</v>
      </c>
      <c r="I3876" t="s">
        <v>57</v>
      </c>
      <c r="O3876" s="5"/>
      <c r="P3876" s="5"/>
    </row>
    <row r="3877" spans="1:31" x14ac:dyDescent="0.25">
      <c r="A3877" s="4">
        <v>42605</v>
      </c>
      <c r="B3877" t="s">
        <v>30</v>
      </c>
      <c r="C3877">
        <v>503</v>
      </c>
      <c r="D3877">
        <v>7</v>
      </c>
      <c r="E3877">
        <v>1</v>
      </c>
      <c r="F3877" t="s">
        <v>320</v>
      </c>
      <c r="G3877" t="s">
        <v>32</v>
      </c>
      <c r="H3877" t="s">
        <v>33</v>
      </c>
      <c r="I3877" t="s">
        <v>34</v>
      </c>
      <c r="J3877" t="s">
        <v>42</v>
      </c>
      <c r="K3877" t="s">
        <v>114</v>
      </c>
      <c r="L3877" t="s">
        <v>43</v>
      </c>
      <c r="M3877">
        <v>0</v>
      </c>
      <c r="N3877">
        <v>1</v>
      </c>
      <c r="O3877" s="5" t="s">
        <v>992</v>
      </c>
      <c r="P3877" s="5" t="s">
        <v>993</v>
      </c>
      <c r="Q3877">
        <f>30-14.5</f>
        <v>15.5</v>
      </c>
      <c r="R3877" t="s">
        <v>65</v>
      </c>
      <c r="T3877">
        <v>20</v>
      </c>
      <c r="U3877">
        <v>82</v>
      </c>
      <c r="V3877">
        <v>17</v>
      </c>
      <c r="W3877">
        <v>13</v>
      </c>
      <c r="X3877">
        <v>27</v>
      </c>
      <c r="Z3877" t="s">
        <v>39</v>
      </c>
      <c r="AB3877" t="s">
        <v>87</v>
      </c>
      <c r="AC3877" t="s">
        <v>56</v>
      </c>
      <c r="AD3877" t="s">
        <v>777</v>
      </c>
      <c r="AE3877" t="s">
        <v>905</v>
      </c>
    </row>
    <row r="3878" spans="1:31" x14ac:dyDescent="0.25">
      <c r="A3878" s="4">
        <v>42605</v>
      </c>
      <c r="B3878" t="s">
        <v>30</v>
      </c>
      <c r="C3878">
        <v>503</v>
      </c>
      <c r="D3878">
        <v>7</v>
      </c>
      <c r="E3878">
        <v>2</v>
      </c>
      <c r="F3878" t="s">
        <v>320</v>
      </c>
      <c r="G3878" t="s">
        <v>32</v>
      </c>
      <c r="H3878" t="s">
        <v>33</v>
      </c>
      <c r="I3878" t="s">
        <v>58</v>
      </c>
      <c r="J3878" t="s">
        <v>35</v>
      </c>
      <c r="K3878" t="s">
        <v>36</v>
      </c>
      <c r="L3878" t="s">
        <v>37</v>
      </c>
      <c r="M3878">
        <v>0</v>
      </c>
      <c r="N3878">
        <v>0</v>
      </c>
      <c r="O3878" s="5" t="s">
        <v>952</v>
      </c>
      <c r="P3878" s="5"/>
      <c r="Q3878">
        <f>42-19</f>
        <v>23</v>
      </c>
      <c r="R3878" t="s">
        <v>38</v>
      </c>
      <c r="S3878" t="s">
        <v>39</v>
      </c>
      <c r="Z3878" t="s">
        <v>97</v>
      </c>
      <c r="AA3878" t="s">
        <v>199</v>
      </c>
      <c r="AB3878" t="s">
        <v>87</v>
      </c>
      <c r="AC3878" t="s">
        <v>56</v>
      </c>
    </row>
    <row r="3879" spans="1:31" x14ac:dyDescent="0.25">
      <c r="A3879" s="4">
        <v>42605</v>
      </c>
      <c r="B3879" t="s">
        <v>30</v>
      </c>
      <c r="C3879">
        <v>503</v>
      </c>
      <c r="D3879">
        <v>8</v>
      </c>
      <c r="E3879">
        <v>1</v>
      </c>
      <c r="F3879" t="s">
        <v>320</v>
      </c>
      <c r="G3879" t="s">
        <v>32</v>
      </c>
      <c r="H3879" t="s">
        <v>33</v>
      </c>
      <c r="I3879" t="s">
        <v>70</v>
      </c>
      <c r="J3879" t="s">
        <v>123</v>
      </c>
      <c r="O3879" s="5"/>
      <c r="P3879" s="5"/>
    </row>
    <row r="3880" spans="1:31" x14ac:dyDescent="0.25">
      <c r="A3880" s="4">
        <v>42605</v>
      </c>
      <c r="B3880" t="s">
        <v>30</v>
      </c>
      <c r="C3880">
        <v>503</v>
      </c>
      <c r="D3880">
        <v>8</v>
      </c>
      <c r="E3880">
        <v>2</v>
      </c>
      <c r="F3880" t="s">
        <v>320</v>
      </c>
      <c r="G3880" t="s">
        <v>32</v>
      </c>
      <c r="H3880" t="s">
        <v>33</v>
      </c>
      <c r="I3880" t="s">
        <v>57</v>
      </c>
      <c r="O3880" s="5"/>
      <c r="P3880" s="5"/>
    </row>
    <row r="3881" spans="1:31" x14ac:dyDescent="0.25">
      <c r="A3881" s="4">
        <v>42605</v>
      </c>
      <c r="B3881" t="s">
        <v>30</v>
      </c>
      <c r="C3881">
        <v>503</v>
      </c>
      <c r="D3881">
        <v>9</v>
      </c>
      <c r="E3881">
        <v>1</v>
      </c>
      <c r="F3881" t="s">
        <v>320</v>
      </c>
      <c r="G3881" t="s">
        <v>32</v>
      </c>
      <c r="H3881" t="s">
        <v>33</v>
      </c>
      <c r="I3881" t="s">
        <v>34</v>
      </c>
      <c r="J3881" t="s">
        <v>35</v>
      </c>
      <c r="K3881" t="s">
        <v>36</v>
      </c>
      <c r="L3881" t="s">
        <v>43</v>
      </c>
      <c r="M3881">
        <v>0</v>
      </c>
      <c r="N3881">
        <v>0</v>
      </c>
      <c r="O3881" s="5" t="s">
        <v>662</v>
      </c>
      <c r="P3881" s="5" t="s">
        <v>663</v>
      </c>
      <c r="Q3881">
        <f>37-18</f>
        <v>19</v>
      </c>
      <c r="R3881" t="s">
        <v>65</v>
      </c>
      <c r="T3881">
        <v>19</v>
      </c>
      <c r="U3881">
        <v>83</v>
      </c>
      <c r="V3881">
        <v>16</v>
      </c>
      <c r="W3881">
        <v>12.9</v>
      </c>
      <c r="X3881">
        <v>27</v>
      </c>
      <c r="Z3881" t="s">
        <v>97</v>
      </c>
      <c r="AA3881" t="s">
        <v>199</v>
      </c>
      <c r="AB3881" t="s">
        <v>87</v>
      </c>
      <c r="AC3881" t="s">
        <v>56</v>
      </c>
      <c r="AD3881" t="s">
        <v>994</v>
      </c>
    </row>
    <row r="3882" spans="1:31" x14ac:dyDescent="0.25">
      <c r="A3882" s="4">
        <v>42605</v>
      </c>
      <c r="B3882" t="s">
        <v>30</v>
      </c>
      <c r="C3882">
        <v>503</v>
      </c>
      <c r="D3882">
        <v>9</v>
      </c>
      <c r="E3882">
        <v>2</v>
      </c>
      <c r="F3882" t="s">
        <v>320</v>
      </c>
      <c r="G3882" t="s">
        <v>32</v>
      </c>
      <c r="H3882" t="s">
        <v>33</v>
      </c>
      <c r="I3882" t="s">
        <v>73</v>
      </c>
      <c r="J3882" t="s">
        <v>35</v>
      </c>
      <c r="K3882" t="s">
        <v>36</v>
      </c>
      <c r="L3882" t="s">
        <v>37</v>
      </c>
      <c r="M3882">
        <v>0</v>
      </c>
      <c r="N3882">
        <v>0</v>
      </c>
      <c r="O3882" s="5" t="s">
        <v>554</v>
      </c>
      <c r="P3882" s="5"/>
      <c r="Q3882">
        <f>133-50</f>
        <v>83</v>
      </c>
      <c r="R3882" t="s">
        <v>136</v>
      </c>
      <c r="S3882" t="s">
        <v>97</v>
      </c>
      <c r="T3882">
        <v>30</v>
      </c>
      <c r="Z3882" t="s">
        <v>97</v>
      </c>
      <c r="AA3882" t="s">
        <v>199</v>
      </c>
      <c r="AB3882" t="s">
        <v>87</v>
      </c>
      <c r="AC3882" t="s">
        <v>56</v>
      </c>
    </row>
    <row r="3883" spans="1:31" x14ac:dyDescent="0.25">
      <c r="A3883" s="4">
        <v>42605</v>
      </c>
      <c r="B3883" t="s">
        <v>30</v>
      </c>
      <c r="C3883">
        <v>503</v>
      </c>
      <c r="D3883">
        <v>10</v>
      </c>
      <c r="E3883">
        <v>1</v>
      </c>
      <c r="F3883" t="s">
        <v>320</v>
      </c>
      <c r="G3883" t="s">
        <v>32</v>
      </c>
      <c r="H3883" t="s">
        <v>33</v>
      </c>
      <c r="I3883" t="s">
        <v>57</v>
      </c>
      <c r="O3883" s="5"/>
      <c r="P3883" s="5"/>
    </row>
    <row r="3884" spans="1:31" x14ac:dyDescent="0.25">
      <c r="A3884" s="4">
        <v>42605</v>
      </c>
      <c r="B3884" t="s">
        <v>30</v>
      </c>
      <c r="C3884">
        <v>503</v>
      </c>
      <c r="D3884">
        <v>10</v>
      </c>
      <c r="E3884">
        <v>2</v>
      </c>
      <c r="F3884" t="s">
        <v>320</v>
      </c>
      <c r="G3884" t="s">
        <v>32</v>
      </c>
      <c r="H3884" t="s">
        <v>33</v>
      </c>
      <c r="I3884" t="s">
        <v>34</v>
      </c>
      <c r="J3884" t="s">
        <v>35</v>
      </c>
      <c r="K3884" t="s">
        <v>89</v>
      </c>
      <c r="L3884" t="s">
        <v>37</v>
      </c>
      <c r="M3884">
        <v>0</v>
      </c>
      <c r="N3884">
        <v>0</v>
      </c>
      <c r="O3884" s="5" t="s">
        <v>555</v>
      </c>
      <c r="P3884" s="5" t="s">
        <v>556</v>
      </c>
      <c r="Q3884">
        <f>24-13.5</f>
        <v>10.5</v>
      </c>
      <c r="R3884" t="s">
        <v>38</v>
      </c>
      <c r="S3884" t="s">
        <v>39</v>
      </c>
      <c r="Z3884" t="s">
        <v>39</v>
      </c>
      <c r="AB3884" t="s">
        <v>87</v>
      </c>
      <c r="AC3884" t="s">
        <v>56</v>
      </c>
      <c r="AD3884" t="s">
        <v>995</v>
      </c>
    </row>
    <row r="3885" spans="1:31" x14ac:dyDescent="0.25">
      <c r="A3885" s="4">
        <v>42605</v>
      </c>
      <c r="B3885" t="s">
        <v>30</v>
      </c>
      <c r="C3885">
        <v>303</v>
      </c>
      <c r="D3885">
        <v>1</v>
      </c>
      <c r="E3885">
        <v>1</v>
      </c>
      <c r="F3885" t="s">
        <v>320</v>
      </c>
      <c r="G3885" t="s">
        <v>32</v>
      </c>
      <c r="H3885" t="s">
        <v>33</v>
      </c>
      <c r="I3885" t="s">
        <v>58</v>
      </c>
      <c r="J3885" t="s">
        <v>42</v>
      </c>
      <c r="K3885" t="s">
        <v>36</v>
      </c>
      <c r="L3885" t="s">
        <v>37</v>
      </c>
      <c r="M3885">
        <v>0</v>
      </c>
      <c r="N3885">
        <v>1</v>
      </c>
      <c r="O3885" s="5" t="s">
        <v>996</v>
      </c>
      <c r="P3885" s="5"/>
      <c r="Q3885">
        <f>42-13.5</f>
        <v>28.5</v>
      </c>
      <c r="R3885" t="s">
        <v>136</v>
      </c>
      <c r="S3885" t="s">
        <v>97</v>
      </c>
      <c r="T3885">
        <v>18</v>
      </c>
      <c r="W3885">
        <v>12.8</v>
      </c>
      <c r="X3885">
        <v>26.6</v>
      </c>
      <c r="Z3885" t="s">
        <v>97</v>
      </c>
      <c r="AA3885" t="s">
        <v>199</v>
      </c>
      <c r="AB3885" t="s">
        <v>87</v>
      </c>
      <c r="AC3885" t="s">
        <v>56</v>
      </c>
      <c r="AD3885" t="s">
        <v>991</v>
      </c>
      <c r="AE3885" t="s">
        <v>789</v>
      </c>
    </row>
    <row r="3886" spans="1:31" x14ac:dyDescent="0.25">
      <c r="A3886" s="4">
        <v>42605</v>
      </c>
      <c r="B3886" t="s">
        <v>30</v>
      </c>
      <c r="C3886">
        <v>303</v>
      </c>
      <c r="D3886">
        <v>1</v>
      </c>
      <c r="E3886">
        <v>2</v>
      </c>
      <c r="F3886" t="s">
        <v>320</v>
      </c>
      <c r="G3886" t="s">
        <v>32</v>
      </c>
      <c r="H3886" t="s">
        <v>33</v>
      </c>
      <c r="I3886" t="s">
        <v>84</v>
      </c>
      <c r="O3886" s="5"/>
      <c r="P3886" s="5"/>
    </row>
    <row r="3887" spans="1:31" x14ac:dyDescent="0.25">
      <c r="A3887" s="4">
        <v>42605</v>
      </c>
      <c r="B3887" t="s">
        <v>30</v>
      </c>
      <c r="C3887">
        <v>303</v>
      </c>
      <c r="D3887">
        <v>2</v>
      </c>
      <c r="E3887">
        <v>1</v>
      </c>
      <c r="F3887" t="s">
        <v>320</v>
      </c>
      <c r="G3887" t="s">
        <v>32</v>
      </c>
      <c r="H3887" t="s">
        <v>33</v>
      </c>
      <c r="I3887" t="s">
        <v>58</v>
      </c>
      <c r="J3887" t="s">
        <v>35</v>
      </c>
      <c r="K3887" t="s">
        <v>36</v>
      </c>
      <c r="L3887" t="s">
        <v>43</v>
      </c>
      <c r="M3887">
        <v>0</v>
      </c>
      <c r="N3887">
        <v>0</v>
      </c>
      <c r="O3887" s="5" t="s">
        <v>557</v>
      </c>
      <c r="P3887" s="5"/>
      <c r="Q3887">
        <f>36.5-18</f>
        <v>18.5</v>
      </c>
      <c r="R3887" t="s">
        <v>65</v>
      </c>
      <c r="W3887">
        <v>12.9</v>
      </c>
      <c r="X3887">
        <v>27.4</v>
      </c>
      <c r="Z3887" t="s">
        <v>97</v>
      </c>
      <c r="AA3887" t="s">
        <v>199</v>
      </c>
      <c r="AB3887" t="s">
        <v>87</v>
      </c>
      <c r="AC3887" t="s">
        <v>56</v>
      </c>
      <c r="AD3887" t="s">
        <v>905</v>
      </c>
    </row>
    <row r="3888" spans="1:31" x14ac:dyDescent="0.25">
      <c r="A3888" s="4">
        <v>42605</v>
      </c>
      <c r="B3888" t="s">
        <v>30</v>
      </c>
      <c r="C3888">
        <v>303</v>
      </c>
      <c r="D3888">
        <v>2</v>
      </c>
      <c r="E3888">
        <v>2</v>
      </c>
      <c r="F3888" t="s">
        <v>320</v>
      </c>
      <c r="G3888" t="s">
        <v>32</v>
      </c>
      <c r="H3888" t="s">
        <v>33</v>
      </c>
      <c r="I3888" t="s">
        <v>57</v>
      </c>
      <c r="O3888" s="5"/>
      <c r="P3888" s="5"/>
    </row>
    <row r="3889" spans="1:30" x14ac:dyDescent="0.25">
      <c r="A3889" s="4">
        <v>42605</v>
      </c>
      <c r="B3889" t="s">
        <v>30</v>
      </c>
      <c r="C3889">
        <v>303</v>
      </c>
      <c r="D3889">
        <v>3</v>
      </c>
      <c r="E3889">
        <v>1</v>
      </c>
      <c r="F3889" t="s">
        <v>320</v>
      </c>
      <c r="G3889" t="s">
        <v>32</v>
      </c>
      <c r="H3889" t="s">
        <v>33</v>
      </c>
      <c r="I3889" t="s">
        <v>57</v>
      </c>
      <c r="O3889" s="5"/>
      <c r="P3889" s="5"/>
    </row>
    <row r="3890" spans="1:30" x14ac:dyDescent="0.25">
      <c r="A3890" s="4">
        <v>42605</v>
      </c>
      <c r="B3890" t="s">
        <v>30</v>
      </c>
      <c r="C3890">
        <v>303</v>
      </c>
      <c r="D3890">
        <v>3</v>
      </c>
      <c r="E3890">
        <v>2</v>
      </c>
      <c r="F3890" t="s">
        <v>320</v>
      </c>
      <c r="G3890" t="s">
        <v>32</v>
      </c>
      <c r="H3890" t="s">
        <v>33</v>
      </c>
      <c r="I3890" t="s">
        <v>34</v>
      </c>
      <c r="J3890" t="s">
        <v>35</v>
      </c>
      <c r="K3890" t="s">
        <v>36</v>
      </c>
      <c r="L3890" t="s">
        <v>37</v>
      </c>
      <c r="M3890">
        <v>0</v>
      </c>
      <c r="N3890">
        <v>0</v>
      </c>
      <c r="O3890" s="5" t="s">
        <v>667</v>
      </c>
      <c r="P3890" s="5" t="s">
        <v>668</v>
      </c>
      <c r="Q3890">
        <f>37-13.5</f>
        <v>23.5</v>
      </c>
      <c r="R3890" t="s">
        <v>38</v>
      </c>
      <c r="S3890" t="s">
        <v>39</v>
      </c>
      <c r="T3890">
        <v>18</v>
      </c>
      <c r="U3890">
        <v>80</v>
      </c>
      <c r="V3890">
        <v>16</v>
      </c>
      <c r="W3890">
        <v>12.8</v>
      </c>
      <c r="X3890">
        <v>26.8</v>
      </c>
      <c r="Z3890" t="s">
        <v>39</v>
      </c>
      <c r="AB3890" t="s">
        <v>87</v>
      </c>
      <c r="AC3890" t="s">
        <v>56</v>
      </c>
      <c r="AD3890" t="s">
        <v>732</v>
      </c>
    </row>
    <row r="3891" spans="1:30" x14ac:dyDescent="0.25">
      <c r="A3891" s="4">
        <v>42605</v>
      </c>
      <c r="B3891" t="s">
        <v>30</v>
      </c>
      <c r="C3891">
        <v>303</v>
      </c>
      <c r="D3891">
        <v>4</v>
      </c>
      <c r="E3891">
        <v>1</v>
      </c>
      <c r="F3891" t="s">
        <v>320</v>
      </c>
      <c r="G3891" t="s">
        <v>32</v>
      </c>
      <c r="H3891" t="s">
        <v>33</v>
      </c>
      <c r="I3891" t="s">
        <v>58</v>
      </c>
      <c r="J3891" t="s">
        <v>35</v>
      </c>
      <c r="K3891" t="s">
        <v>36</v>
      </c>
      <c r="L3891" t="s">
        <v>43</v>
      </c>
      <c r="M3891">
        <v>0</v>
      </c>
      <c r="N3891">
        <v>0</v>
      </c>
      <c r="O3891" s="5" t="s">
        <v>957</v>
      </c>
      <c r="P3891" s="5"/>
      <c r="Q3891">
        <f>40-15.5</f>
        <v>24.5</v>
      </c>
      <c r="R3891" t="s">
        <v>47</v>
      </c>
      <c r="T3891">
        <v>19</v>
      </c>
      <c r="W3891">
        <v>13.2</v>
      </c>
      <c r="X3891">
        <v>27.1</v>
      </c>
      <c r="Z3891" t="s">
        <v>97</v>
      </c>
      <c r="AA3891" t="s">
        <v>199</v>
      </c>
      <c r="AB3891" t="s">
        <v>87</v>
      </c>
      <c r="AC3891" t="s">
        <v>56</v>
      </c>
    </row>
    <row r="3892" spans="1:30" x14ac:dyDescent="0.25">
      <c r="A3892" s="4">
        <v>42605</v>
      </c>
      <c r="B3892" t="s">
        <v>30</v>
      </c>
      <c r="C3892">
        <v>303</v>
      </c>
      <c r="D3892">
        <v>4</v>
      </c>
      <c r="E3892">
        <v>2</v>
      </c>
      <c r="F3892" t="s">
        <v>320</v>
      </c>
      <c r="G3892" t="s">
        <v>32</v>
      </c>
      <c r="H3892" t="s">
        <v>33</v>
      </c>
      <c r="I3892" t="s">
        <v>58</v>
      </c>
      <c r="J3892" t="s">
        <v>62</v>
      </c>
      <c r="O3892" s="5"/>
      <c r="P3892" s="5"/>
      <c r="AD3892" t="s">
        <v>732</v>
      </c>
    </row>
    <row r="3893" spans="1:30" x14ac:dyDescent="0.25">
      <c r="A3893" s="4">
        <v>42605</v>
      </c>
      <c r="B3893" t="s">
        <v>30</v>
      </c>
      <c r="C3893">
        <v>303</v>
      </c>
      <c r="D3893">
        <v>5</v>
      </c>
      <c r="E3893">
        <v>1</v>
      </c>
      <c r="F3893" t="s">
        <v>320</v>
      </c>
      <c r="G3893" t="s">
        <v>32</v>
      </c>
      <c r="H3893" t="s">
        <v>33</v>
      </c>
      <c r="I3893" t="s">
        <v>58</v>
      </c>
      <c r="J3893" t="s">
        <v>35</v>
      </c>
      <c r="K3893" t="s">
        <v>36</v>
      </c>
      <c r="L3893" t="s">
        <v>37</v>
      </c>
      <c r="M3893">
        <v>0</v>
      </c>
      <c r="N3893">
        <v>0</v>
      </c>
      <c r="O3893" s="5" t="s">
        <v>563</v>
      </c>
      <c r="P3893" s="5"/>
      <c r="Q3893">
        <f>38-14</f>
        <v>24</v>
      </c>
      <c r="R3893" t="s">
        <v>38</v>
      </c>
      <c r="S3893" t="s">
        <v>39</v>
      </c>
      <c r="T3893">
        <v>16.5</v>
      </c>
      <c r="W3893">
        <v>13.1</v>
      </c>
      <c r="X3893">
        <v>27</v>
      </c>
      <c r="Z3893" t="s">
        <v>97</v>
      </c>
      <c r="AA3893" t="s">
        <v>199</v>
      </c>
      <c r="AB3893" t="s">
        <v>87</v>
      </c>
      <c r="AC3893" t="s">
        <v>56</v>
      </c>
      <c r="AD3893" t="s">
        <v>732</v>
      </c>
    </row>
    <row r="3894" spans="1:30" x14ac:dyDescent="0.25">
      <c r="A3894" s="4">
        <v>42605</v>
      </c>
      <c r="B3894" t="s">
        <v>30</v>
      </c>
      <c r="C3894">
        <v>303</v>
      </c>
      <c r="D3894">
        <v>5</v>
      </c>
      <c r="E3894">
        <v>2</v>
      </c>
      <c r="F3894" t="s">
        <v>320</v>
      </c>
      <c r="G3894" t="s">
        <v>32</v>
      </c>
      <c r="H3894" t="s">
        <v>33</v>
      </c>
      <c r="I3894" t="s">
        <v>84</v>
      </c>
      <c r="O3894" s="5"/>
      <c r="P3894" s="5"/>
    </row>
    <row r="3895" spans="1:30" x14ac:dyDescent="0.25">
      <c r="A3895" s="4">
        <v>42605</v>
      </c>
      <c r="B3895" t="s">
        <v>30</v>
      </c>
      <c r="C3895">
        <v>303</v>
      </c>
      <c r="D3895">
        <v>6</v>
      </c>
      <c r="E3895">
        <v>1</v>
      </c>
      <c r="F3895" t="s">
        <v>320</v>
      </c>
      <c r="G3895" t="s">
        <v>32</v>
      </c>
      <c r="H3895" t="s">
        <v>33</v>
      </c>
      <c r="I3895" t="s">
        <v>84</v>
      </c>
      <c r="O3895" s="5"/>
      <c r="P3895" s="5"/>
    </row>
    <row r="3896" spans="1:30" x14ac:dyDescent="0.25">
      <c r="A3896" s="4">
        <v>42605</v>
      </c>
      <c r="B3896" t="s">
        <v>30</v>
      </c>
      <c r="C3896">
        <v>303</v>
      </c>
      <c r="D3896">
        <v>6</v>
      </c>
      <c r="E3896">
        <v>2</v>
      </c>
      <c r="F3896" t="s">
        <v>320</v>
      </c>
      <c r="G3896" t="s">
        <v>32</v>
      </c>
      <c r="H3896" t="s">
        <v>33</v>
      </c>
      <c r="I3896" t="s">
        <v>57</v>
      </c>
      <c r="O3896" s="5"/>
      <c r="P3896" s="5"/>
    </row>
    <row r="3897" spans="1:30" x14ac:dyDescent="0.25">
      <c r="A3897" s="4">
        <v>42605</v>
      </c>
      <c r="B3897" t="s">
        <v>30</v>
      </c>
      <c r="C3897">
        <v>303</v>
      </c>
      <c r="D3897">
        <v>7</v>
      </c>
      <c r="E3897">
        <v>1</v>
      </c>
      <c r="F3897" t="s">
        <v>320</v>
      </c>
      <c r="G3897" t="s">
        <v>32</v>
      </c>
      <c r="H3897" t="s">
        <v>33</v>
      </c>
      <c r="I3897" t="s">
        <v>57</v>
      </c>
      <c r="O3897" s="5"/>
      <c r="P3897" s="5"/>
    </row>
    <row r="3898" spans="1:30" x14ac:dyDescent="0.25">
      <c r="A3898" s="4">
        <v>42605</v>
      </c>
      <c r="B3898" t="s">
        <v>30</v>
      </c>
      <c r="C3898">
        <v>303</v>
      </c>
      <c r="D3898">
        <v>7</v>
      </c>
      <c r="E3898">
        <v>2</v>
      </c>
      <c r="F3898" t="s">
        <v>320</v>
      </c>
      <c r="G3898" t="s">
        <v>32</v>
      </c>
      <c r="H3898" t="s">
        <v>33</v>
      </c>
      <c r="I3898" t="s">
        <v>997</v>
      </c>
      <c r="O3898" s="5"/>
      <c r="P3898" s="5"/>
    </row>
    <row r="3899" spans="1:30" x14ac:dyDescent="0.25">
      <c r="A3899" s="4">
        <v>42605</v>
      </c>
      <c r="B3899" t="s">
        <v>30</v>
      </c>
      <c r="C3899">
        <v>303</v>
      </c>
      <c r="D3899">
        <v>8</v>
      </c>
      <c r="E3899">
        <v>1</v>
      </c>
      <c r="F3899" t="s">
        <v>320</v>
      </c>
      <c r="G3899" t="s">
        <v>32</v>
      </c>
      <c r="H3899" t="s">
        <v>33</v>
      </c>
      <c r="I3899" t="s">
        <v>997</v>
      </c>
      <c r="O3899" s="5"/>
      <c r="P3899" s="5"/>
    </row>
    <row r="3900" spans="1:30" x14ac:dyDescent="0.25">
      <c r="A3900" s="4">
        <v>42605</v>
      </c>
      <c r="B3900" t="s">
        <v>30</v>
      </c>
      <c r="C3900">
        <v>303</v>
      </c>
      <c r="D3900">
        <v>9</v>
      </c>
      <c r="E3900">
        <v>1</v>
      </c>
      <c r="F3900" t="s">
        <v>320</v>
      </c>
      <c r="G3900" t="s">
        <v>32</v>
      </c>
      <c r="H3900" t="s">
        <v>33</v>
      </c>
      <c r="I3900" t="s">
        <v>53</v>
      </c>
      <c r="J3900" t="s">
        <v>62</v>
      </c>
      <c r="O3900" s="5"/>
      <c r="P3900" s="5"/>
    </row>
    <row r="3901" spans="1:30" x14ac:dyDescent="0.25">
      <c r="A3901" s="4">
        <v>42605</v>
      </c>
      <c r="B3901" t="s">
        <v>30</v>
      </c>
      <c r="C3901">
        <v>303</v>
      </c>
      <c r="D3901">
        <v>10</v>
      </c>
      <c r="E3901">
        <v>1</v>
      </c>
      <c r="F3901" t="s">
        <v>320</v>
      </c>
      <c r="G3901" t="s">
        <v>32</v>
      </c>
      <c r="H3901" t="s">
        <v>33</v>
      </c>
      <c r="I3901" t="s">
        <v>91</v>
      </c>
      <c r="J3901" t="s">
        <v>42</v>
      </c>
      <c r="K3901" t="s">
        <v>89</v>
      </c>
      <c r="L3901" t="s">
        <v>37</v>
      </c>
      <c r="M3901">
        <v>0</v>
      </c>
      <c r="N3901">
        <v>1</v>
      </c>
      <c r="O3901" s="5" t="s">
        <v>998</v>
      </c>
      <c r="P3901" s="5"/>
      <c r="Q3901">
        <f>27-16</f>
        <v>11</v>
      </c>
      <c r="R3901" t="s">
        <v>38</v>
      </c>
      <c r="S3901" t="s">
        <v>39</v>
      </c>
      <c r="T3901">
        <v>27</v>
      </c>
      <c r="W3901">
        <v>12.7</v>
      </c>
      <c r="X3901">
        <v>23</v>
      </c>
      <c r="Z3901" t="s">
        <v>97</v>
      </c>
      <c r="AA3901" t="s">
        <v>199</v>
      </c>
      <c r="AB3901" t="s">
        <v>87</v>
      </c>
      <c r="AC3901" t="s">
        <v>56</v>
      </c>
      <c r="AD3901" t="s">
        <v>789</v>
      </c>
    </row>
    <row r="3902" spans="1:30" x14ac:dyDescent="0.25">
      <c r="A3902" s="4">
        <v>42605</v>
      </c>
      <c r="B3902" t="s">
        <v>30</v>
      </c>
      <c r="C3902">
        <v>303</v>
      </c>
      <c r="D3902">
        <v>10</v>
      </c>
      <c r="E3902">
        <v>2</v>
      </c>
      <c r="F3902" t="s">
        <v>320</v>
      </c>
      <c r="G3902" t="s">
        <v>32</v>
      </c>
      <c r="H3902" t="s">
        <v>33</v>
      </c>
      <c r="I3902" t="s">
        <v>58</v>
      </c>
      <c r="J3902" t="s">
        <v>35</v>
      </c>
      <c r="K3902" t="s">
        <v>36</v>
      </c>
      <c r="L3902" t="s">
        <v>43</v>
      </c>
      <c r="M3902">
        <v>0</v>
      </c>
      <c r="N3902">
        <v>0</v>
      </c>
      <c r="O3902" s="5" t="s">
        <v>958</v>
      </c>
      <c r="P3902" s="5"/>
      <c r="Q3902">
        <f>39.5-19</f>
        <v>20.5</v>
      </c>
      <c r="R3902" t="s">
        <v>47</v>
      </c>
      <c r="Z3902" t="s">
        <v>97</v>
      </c>
      <c r="AA3902" t="s">
        <v>199</v>
      </c>
      <c r="AB3902" t="s">
        <v>87</v>
      </c>
      <c r="AC3902" t="s">
        <v>56</v>
      </c>
    </row>
    <row r="3903" spans="1:30" x14ac:dyDescent="0.25">
      <c r="A3903" s="4">
        <v>42605</v>
      </c>
      <c r="B3903" t="s">
        <v>30</v>
      </c>
      <c r="C3903">
        <v>401</v>
      </c>
      <c r="D3903">
        <v>1</v>
      </c>
      <c r="E3903">
        <v>1</v>
      </c>
      <c r="F3903" t="s">
        <v>320</v>
      </c>
      <c r="G3903" t="s">
        <v>32</v>
      </c>
      <c r="H3903" t="s">
        <v>33</v>
      </c>
      <c r="I3903" t="s">
        <v>57</v>
      </c>
      <c r="O3903" s="5"/>
      <c r="P3903" s="5"/>
    </row>
    <row r="3904" spans="1:30" x14ac:dyDescent="0.25">
      <c r="A3904" s="4">
        <v>42605</v>
      </c>
      <c r="B3904" t="s">
        <v>30</v>
      </c>
      <c r="C3904">
        <v>401</v>
      </c>
      <c r="D3904">
        <v>1</v>
      </c>
      <c r="E3904">
        <v>2</v>
      </c>
      <c r="F3904" t="s">
        <v>320</v>
      </c>
      <c r="G3904" t="s">
        <v>32</v>
      </c>
      <c r="H3904" t="s">
        <v>33</v>
      </c>
      <c r="I3904" t="s">
        <v>57</v>
      </c>
      <c r="O3904" s="5"/>
      <c r="P3904" s="5"/>
    </row>
    <row r="3905" spans="1:33" x14ac:dyDescent="0.25">
      <c r="A3905" s="4">
        <v>42605</v>
      </c>
      <c r="B3905" t="s">
        <v>30</v>
      </c>
      <c r="C3905">
        <v>401</v>
      </c>
      <c r="D3905">
        <v>2</v>
      </c>
      <c r="E3905">
        <v>1</v>
      </c>
      <c r="F3905" t="s">
        <v>320</v>
      </c>
      <c r="G3905" t="s">
        <v>32</v>
      </c>
      <c r="H3905" t="s">
        <v>33</v>
      </c>
      <c r="I3905" t="s">
        <v>57</v>
      </c>
      <c r="O3905" s="5"/>
      <c r="P3905" s="5"/>
    </row>
    <row r="3906" spans="1:33" x14ac:dyDescent="0.25">
      <c r="A3906" s="4">
        <v>42605</v>
      </c>
      <c r="B3906" t="s">
        <v>30</v>
      </c>
      <c r="C3906">
        <v>401</v>
      </c>
      <c r="D3906">
        <v>2</v>
      </c>
      <c r="E3906">
        <v>2</v>
      </c>
      <c r="F3906" t="s">
        <v>320</v>
      </c>
      <c r="G3906" t="s">
        <v>32</v>
      </c>
      <c r="H3906" t="s">
        <v>33</v>
      </c>
      <c r="I3906" t="s">
        <v>57</v>
      </c>
      <c r="O3906" s="5"/>
      <c r="P3906" s="5"/>
    </row>
    <row r="3907" spans="1:33" x14ac:dyDescent="0.25">
      <c r="A3907" s="4">
        <v>42605</v>
      </c>
      <c r="B3907" t="s">
        <v>30</v>
      </c>
      <c r="C3907">
        <v>401</v>
      </c>
      <c r="D3907">
        <v>3</v>
      </c>
      <c r="E3907">
        <v>1</v>
      </c>
      <c r="F3907" t="s">
        <v>320</v>
      </c>
      <c r="G3907" t="s">
        <v>32</v>
      </c>
      <c r="H3907" t="s">
        <v>33</v>
      </c>
      <c r="I3907" t="s">
        <v>57</v>
      </c>
      <c r="O3907" s="5"/>
      <c r="P3907" s="5"/>
    </row>
    <row r="3908" spans="1:33" x14ac:dyDescent="0.25">
      <c r="A3908" s="4">
        <v>42605</v>
      </c>
      <c r="B3908" t="s">
        <v>30</v>
      </c>
      <c r="C3908">
        <v>401</v>
      </c>
      <c r="D3908">
        <v>3</v>
      </c>
      <c r="E3908">
        <v>2</v>
      </c>
      <c r="F3908" t="s">
        <v>320</v>
      </c>
      <c r="G3908" t="s">
        <v>32</v>
      </c>
      <c r="H3908" t="s">
        <v>33</v>
      </c>
      <c r="I3908" t="s">
        <v>34</v>
      </c>
      <c r="J3908" t="s">
        <v>35</v>
      </c>
      <c r="K3908" t="s">
        <v>114</v>
      </c>
      <c r="L3908" t="s">
        <v>37</v>
      </c>
      <c r="M3908">
        <v>0</v>
      </c>
      <c r="N3908">
        <v>0</v>
      </c>
      <c r="O3908" s="5" t="s">
        <v>670</v>
      </c>
      <c r="P3908" s="5"/>
      <c r="Q3908">
        <f>36-16</f>
        <v>20</v>
      </c>
      <c r="R3908" t="s">
        <v>38</v>
      </c>
      <c r="S3908" t="s">
        <v>39</v>
      </c>
      <c r="T3908">
        <v>20</v>
      </c>
      <c r="U3908">
        <v>98</v>
      </c>
      <c r="V3908">
        <v>17.5</v>
      </c>
      <c r="W3908">
        <v>13.1</v>
      </c>
      <c r="X3908">
        <v>28.5</v>
      </c>
      <c r="Z3908" t="s">
        <v>97</v>
      </c>
      <c r="AA3908" t="s">
        <v>199</v>
      </c>
      <c r="AB3908" t="s">
        <v>87</v>
      </c>
      <c r="AC3908" t="s">
        <v>56</v>
      </c>
    </row>
    <row r="3909" spans="1:33" x14ac:dyDescent="0.25">
      <c r="A3909" s="4">
        <v>42605</v>
      </c>
      <c r="B3909" t="s">
        <v>30</v>
      </c>
      <c r="C3909">
        <v>401</v>
      </c>
      <c r="D3909">
        <v>4</v>
      </c>
      <c r="E3909">
        <v>1</v>
      </c>
      <c r="F3909" t="s">
        <v>320</v>
      </c>
      <c r="G3909" t="s">
        <v>32</v>
      </c>
      <c r="H3909" t="s">
        <v>33</v>
      </c>
      <c r="I3909" t="s">
        <v>58</v>
      </c>
      <c r="J3909" t="s">
        <v>35</v>
      </c>
      <c r="K3909" t="s">
        <v>114</v>
      </c>
      <c r="L3909" t="s">
        <v>43</v>
      </c>
      <c r="M3909">
        <v>0</v>
      </c>
      <c r="N3909">
        <v>0</v>
      </c>
      <c r="O3909" s="5" t="s">
        <v>762</v>
      </c>
      <c r="P3909" s="5"/>
      <c r="Q3909">
        <f>32-13</f>
        <v>19</v>
      </c>
      <c r="R3909" t="s">
        <v>47</v>
      </c>
      <c r="T3909">
        <v>18</v>
      </c>
      <c r="W3909">
        <v>13</v>
      </c>
      <c r="X3909">
        <v>26.4</v>
      </c>
      <c r="Z3909" t="s">
        <v>97</v>
      </c>
      <c r="AA3909" t="s">
        <v>199</v>
      </c>
      <c r="AB3909" t="s">
        <v>87</v>
      </c>
      <c r="AC3909" t="s">
        <v>56</v>
      </c>
    </row>
    <row r="3910" spans="1:33" x14ac:dyDescent="0.25">
      <c r="A3910" s="4">
        <v>42605</v>
      </c>
      <c r="B3910" t="s">
        <v>30</v>
      </c>
      <c r="C3910">
        <v>401</v>
      </c>
      <c r="D3910">
        <v>4</v>
      </c>
      <c r="E3910">
        <v>2</v>
      </c>
      <c r="F3910" t="s">
        <v>320</v>
      </c>
      <c r="G3910" t="s">
        <v>32</v>
      </c>
      <c r="H3910" t="s">
        <v>33</v>
      </c>
      <c r="I3910" t="s">
        <v>58</v>
      </c>
      <c r="J3910" t="s">
        <v>42</v>
      </c>
      <c r="K3910" t="s">
        <v>114</v>
      </c>
      <c r="L3910" t="s">
        <v>37</v>
      </c>
      <c r="M3910">
        <v>0</v>
      </c>
      <c r="N3910">
        <v>1</v>
      </c>
      <c r="O3910" s="5" t="s">
        <v>999</v>
      </c>
      <c r="P3910" s="5"/>
      <c r="Q3910">
        <f>32-16</f>
        <v>16</v>
      </c>
      <c r="R3910" t="s">
        <v>38</v>
      </c>
      <c r="S3910" t="s">
        <v>39</v>
      </c>
      <c r="T3910">
        <v>17</v>
      </c>
      <c r="W3910">
        <v>13</v>
      </c>
      <c r="X3910">
        <v>26.1</v>
      </c>
      <c r="Z3910" t="s">
        <v>97</v>
      </c>
      <c r="AA3910" t="s">
        <v>199</v>
      </c>
      <c r="AB3910" t="s">
        <v>87</v>
      </c>
      <c r="AC3910" t="s">
        <v>56</v>
      </c>
      <c r="AD3910" t="s">
        <v>789</v>
      </c>
    </row>
    <row r="3911" spans="1:33" x14ac:dyDescent="0.25">
      <c r="A3911" s="4">
        <v>42605</v>
      </c>
      <c r="B3911" t="s">
        <v>30</v>
      </c>
      <c r="C3911">
        <v>401</v>
      </c>
      <c r="D3911">
        <v>5</v>
      </c>
      <c r="E3911">
        <v>1</v>
      </c>
      <c r="F3911" t="s">
        <v>320</v>
      </c>
      <c r="G3911" t="s">
        <v>32</v>
      </c>
      <c r="H3911" t="s">
        <v>33</v>
      </c>
      <c r="I3911" t="s">
        <v>53</v>
      </c>
      <c r="J3911" t="s">
        <v>62</v>
      </c>
      <c r="O3911" s="5"/>
      <c r="P3911" s="5"/>
      <c r="AD3911" t="s">
        <v>659</v>
      </c>
    </row>
    <row r="3912" spans="1:33" x14ac:dyDescent="0.25">
      <c r="A3912" s="4">
        <v>42605</v>
      </c>
      <c r="B3912" t="s">
        <v>30</v>
      </c>
      <c r="C3912">
        <v>401</v>
      </c>
      <c r="D3912">
        <v>5</v>
      </c>
      <c r="E3912">
        <v>2</v>
      </c>
      <c r="F3912" t="s">
        <v>320</v>
      </c>
      <c r="G3912" t="s">
        <v>32</v>
      </c>
      <c r="H3912" t="s">
        <v>33</v>
      </c>
      <c r="I3912" t="s">
        <v>34</v>
      </c>
      <c r="J3912" t="s">
        <v>35</v>
      </c>
      <c r="K3912" t="s">
        <v>36</v>
      </c>
      <c r="L3912" t="s">
        <v>43</v>
      </c>
      <c r="M3912">
        <v>0</v>
      </c>
      <c r="N3912">
        <v>0</v>
      </c>
      <c r="O3912" s="5" t="s">
        <v>694</v>
      </c>
      <c r="P3912" s="5" t="s">
        <v>695</v>
      </c>
      <c r="Q3912">
        <f>32-14</f>
        <v>18</v>
      </c>
      <c r="R3912" t="s">
        <v>65</v>
      </c>
      <c r="T3912">
        <v>19</v>
      </c>
      <c r="U3912">
        <v>96</v>
      </c>
      <c r="V3912">
        <v>17</v>
      </c>
      <c r="W3912">
        <v>13</v>
      </c>
      <c r="X3912">
        <v>28</v>
      </c>
      <c r="Z3912" t="s">
        <v>97</v>
      </c>
      <c r="AA3912" t="s">
        <v>199</v>
      </c>
      <c r="AB3912" t="s">
        <v>87</v>
      </c>
      <c r="AC3912" t="s">
        <v>56</v>
      </c>
    </row>
    <row r="3913" spans="1:33" x14ac:dyDescent="0.25">
      <c r="A3913" s="4">
        <v>42605</v>
      </c>
      <c r="B3913" t="s">
        <v>30</v>
      </c>
      <c r="C3913">
        <v>401</v>
      </c>
      <c r="D3913">
        <v>6</v>
      </c>
      <c r="E3913">
        <v>1</v>
      </c>
      <c r="F3913" t="s">
        <v>320</v>
      </c>
      <c r="G3913" t="s">
        <v>32</v>
      </c>
      <c r="H3913" t="s">
        <v>33</v>
      </c>
      <c r="I3913" t="s">
        <v>57</v>
      </c>
      <c r="O3913" s="5"/>
      <c r="P3913" s="5"/>
    </row>
    <row r="3914" spans="1:33" x14ac:dyDescent="0.25">
      <c r="A3914" s="4">
        <v>42605</v>
      </c>
      <c r="B3914" t="s">
        <v>30</v>
      </c>
      <c r="C3914">
        <v>401</v>
      </c>
      <c r="D3914">
        <v>7</v>
      </c>
      <c r="E3914">
        <v>1</v>
      </c>
      <c r="F3914" t="s">
        <v>320</v>
      </c>
      <c r="G3914" t="s">
        <v>32</v>
      </c>
      <c r="H3914" t="s">
        <v>33</v>
      </c>
      <c r="I3914" t="s">
        <v>57</v>
      </c>
      <c r="O3914" s="5"/>
      <c r="P3914" s="5"/>
    </row>
    <row r="3915" spans="1:33" x14ac:dyDescent="0.25">
      <c r="A3915" s="4">
        <v>42605</v>
      </c>
      <c r="B3915" t="s">
        <v>30</v>
      </c>
      <c r="C3915">
        <v>401</v>
      </c>
      <c r="D3915">
        <v>7</v>
      </c>
      <c r="E3915">
        <v>2</v>
      </c>
      <c r="F3915" t="s">
        <v>320</v>
      </c>
      <c r="G3915" t="s">
        <v>32</v>
      </c>
      <c r="H3915" t="s">
        <v>33</v>
      </c>
      <c r="I3915" t="s">
        <v>91</v>
      </c>
      <c r="J3915" t="s">
        <v>42</v>
      </c>
      <c r="K3915" t="s">
        <v>36</v>
      </c>
      <c r="L3915" t="s">
        <v>37</v>
      </c>
      <c r="M3915">
        <v>0</v>
      </c>
      <c r="N3915">
        <v>1</v>
      </c>
      <c r="O3915" s="5"/>
      <c r="P3915" s="5" t="s">
        <v>1000</v>
      </c>
      <c r="Q3915">
        <f>36-16</f>
        <v>20</v>
      </c>
      <c r="R3915" t="s">
        <v>38</v>
      </c>
      <c r="S3915" t="s">
        <v>39</v>
      </c>
      <c r="T3915">
        <v>29</v>
      </c>
      <c r="W3915">
        <v>13</v>
      </c>
      <c r="X3915">
        <v>25.7</v>
      </c>
      <c r="Y3915" t="s">
        <v>1001</v>
      </c>
      <c r="Z3915" t="s">
        <v>97</v>
      </c>
      <c r="AA3915" t="s">
        <v>199</v>
      </c>
      <c r="AB3915" t="s">
        <v>87</v>
      </c>
      <c r="AC3915" t="s">
        <v>56</v>
      </c>
      <c r="AD3915" t="s">
        <v>1002</v>
      </c>
      <c r="AE3915" t="s">
        <v>789</v>
      </c>
      <c r="AG3915" t="s">
        <v>1003</v>
      </c>
    </row>
    <row r="3916" spans="1:33" x14ac:dyDescent="0.25">
      <c r="A3916" s="4">
        <v>42605</v>
      </c>
      <c r="B3916" t="s">
        <v>30</v>
      </c>
      <c r="C3916">
        <v>401</v>
      </c>
      <c r="D3916">
        <v>8</v>
      </c>
      <c r="E3916">
        <v>1</v>
      </c>
      <c r="F3916" t="s">
        <v>320</v>
      </c>
      <c r="G3916" t="s">
        <v>32</v>
      </c>
      <c r="H3916" t="s">
        <v>33</v>
      </c>
      <c r="I3916" t="s">
        <v>57</v>
      </c>
      <c r="O3916" s="5"/>
      <c r="P3916" s="5"/>
    </row>
    <row r="3917" spans="1:33" x14ac:dyDescent="0.25">
      <c r="A3917" s="4">
        <v>42605</v>
      </c>
      <c r="B3917" t="s">
        <v>30</v>
      </c>
      <c r="C3917">
        <v>401</v>
      </c>
      <c r="D3917">
        <v>8</v>
      </c>
      <c r="E3917">
        <v>2</v>
      </c>
      <c r="F3917" t="s">
        <v>320</v>
      </c>
      <c r="G3917" t="s">
        <v>32</v>
      </c>
      <c r="H3917" t="s">
        <v>33</v>
      </c>
      <c r="I3917" t="s">
        <v>57</v>
      </c>
      <c r="O3917" s="5"/>
      <c r="P3917" s="5"/>
    </row>
    <row r="3918" spans="1:33" x14ac:dyDescent="0.25">
      <c r="A3918" s="4">
        <v>42605</v>
      </c>
      <c r="B3918" t="s">
        <v>30</v>
      </c>
      <c r="C3918">
        <v>401</v>
      </c>
      <c r="D3918">
        <v>10</v>
      </c>
      <c r="E3918">
        <v>1</v>
      </c>
      <c r="F3918" t="s">
        <v>320</v>
      </c>
      <c r="G3918" t="s">
        <v>32</v>
      </c>
      <c r="H3918" t="s">
        <v>33</v>
      </c>
      <c r="I3918" t="s">
        <v>57</v>
      </c>
      <c r="O3918" s="5"/>
      <c r="P3918" s="5"/>
    </row>
    <row r="3919" spans="1:33" x14ac:dyDescent="0.25">
      <c r="A3919" s="4">
        <v>42605</v>
      </c>
      <c r="B3919" t="s">
        <v>30</v>
      </c>
      <c r="C3919">
        <v>401</v>
      </c>
      <c r="D3919">
        <v>10</v>
      </c>
      <c r="E3919">
        <v>2</v>
      </c>
      <c r="F3919" t="s">
        <v>320</v>
      </c>
      <c r="G3919" t="s">
        <v>32</v>
      </c>
      <c r="H3919" t="s">
        <v>33</v>
      </c>
      <c r="I3919" t="s">
        <v>58</v>
      </c>
      <c r="J3919" t="s">
        <v>35</v>
      </c>
      <c r="K3919" t="s">
        <v>36</v>
      </c>
      <c r="L3919" t="s">
        <v>43</v>
      </c>
      <c r="M3919">
        <v>0</v>
      </c>
      <c r="N3919">
        <v>0</v>
      </c>
      <c r="O3919" s="5" t="s">
        <v>966</v>
      </c>
      <c r="P3919" s="5"/>
      <c r="Q3919">
        <f>32-14</f>
        <v>18</v>
      </c>
      <c r="R3919" t="s">
        <v>65</v>
      </c>
      <c r="T3919">
        <v>16</v>
      </c>
      <c r="W3919">
        <v>13</v>
      </c>
      <c r="X3919">
        <v>26.4</v>
      </c>
      <c r="Z3919" t="s">
        <v>97</v>
      </c>
      <c r="AA3919" t="s">
        <v>199</v>
      </c>
      <c r="AB3919" t="s">
        <v>87</v>
      </c>
      <c r="AC3919" t="s">
        <v>56</v>
      </c>
    </row>
    <row r="3920" spans="1:33" x14ac:dyDescent="0.25">
      <c r="A3920" s="4">
        <v>42606</v>
      </c>
      <c r="B3920" t="s">
        <v>30</v>
      </c>
      <c r="C3920">
        <v>501</v>
      </c>
      <c r="D3920">
        <v>1</v>
      </c>
      <c r="E3920">
        <v>1</v>
      </c>
      <c r="F3920" t="s">
        <v>320</v>
      </c>
      <c r="G3920" t="s">
        <v>32</v>
      </c>
      <c r="H3920" t="s">
        <v>33</v>
      </c>
      <c r="I3920" t="s">
        <v>34</v>
      </c>
      <c r="J3920" t="s">
        <v>35</v>
      </c>
      <c r="K3920" t="s">
        <v>114</v>
      </c>
      <c r="L3920" t="s">
        <v>43</v>
      </c>
      <c r="M3920">
        <v>0</v>
      </c>
      <c r="N3920">
        <v>0</v>
      </c>
      <c r="O3920" s="5" t="s">
        <v>546</v>
      </c>
      <c r="P3920" s="5" t="s">
        <v>547</v>
      </c>
      <c r="Q3920">
        <f>31-16</f>
        <v>15</v>
      </c>
      <c r="R3920" t="s">
        <v>65</v>
      </c>
      <c r="T3920">
        <v>20</v>
      </c>
      <c r="U3920">
        <v>88</v>
      </c>
      <c r="V3920">
        <v>18</v>
      </c>
      <c r="W3920">
        <v>13.1</v>
      </c>
      <c r="X3920">
        <v>28.3</v>
      </c>
      <c r="Z3920" t="s">
        <v>97</v>
      </c>
      <c r="AA3920" t="s">
        <v>199</v>
      </c>
      <c r="AB3920" t="s">
        <v>59</v>
      </c>
      <c r="AC3920" t="s">
        <v>88</v>
      </c>
    </row>
    <row r="3921" spans="1:30" x14ac:dyDescent="0.25">
      <c r="A3921" s="4">
        <v>42606</v>
      </c>
      <c r="B3921" t="s">
        <v>30</v>
      </c>
      <c r="C3921">
        <v>501</v>
      </c>
      <c r="D3921">
        <v>1</v>
      </c>
      <c r="E3921">
        <v>2</v>
      </c>
      <c r="F3921" t="s">
        <v>320</v>
      </c>
      <c r="G3921" t="s">
        <v>32</v>
      </c>
      <c r="H3921" t="s">
        <v>33</v>
      </c>
      <c r="I3921" t="s">
        <v>57</v>
      </c>
      <c r="O3921" s="5"/>
      <c r="P3921" s="5"/>
    </row>
    <row r="3922" spans="1:30" x14ac:dyDescent="0.25">
      <c r="A3922" s="4">
        <v>42606</v>
      </c>
      <c r="B3922" t="s">
        <v>30</v>
      </c>
      <c r="C3922">
        <v>501</v>
      </c>
      <c r="D3922">
        <v>2</v>
      </c>
      <c r="E3922">
        <v>1</v>
      </c>
      <c r="F3922" t="s">
        <v>320</v>
      </c>
      <c r="G3922" t="s">
        <v>32</v>
      </c>
      <c r="H3922" t="s">
        <v>33</v>
      </c>
      <c r="I3922" t="s">
        <v>57</v>
      </c>
      <c r="O3922" s="5"/>
      <c r="P3922" s="5"/>
    </row>
    <row r="3923" spans="1:30" x14ac:dyDescent="0.25">
      <c r="A3923" s="4">
        <v>42606</v>
      </c>
      <c r="B3923" t="s">
        <v>30</v>
      </c>
      <c r="C3923">
        <v>501</v>
      </c>
      <c r="D3923">
        <v>2</v>
      </c>
      <c r="E3923">
        <v>2</v>
      </c>
      <c r="F3923" t="s">
        <v>320</v>
      </c>
      <c r="G3923" t="s">
        <v>32</v>
      </c>
      <c r="H3923" t="s">
        <v>33</v>
      </c>
      <c r="I3923" t="s">
        <v>57</v>
      </c>
      <c r="O3923" s="5"/>
      <c r="P3923" s="5"/>
    </row>
    <row r="3924" spans="1:30" x14ac:dyDescent="0.25">
      <c r="A3924" s="4">
        <v>42606</v>
      </c>
      <c r="B3924" t="s">
        <v>30</v>
      </c>
      <c r="C3924">
        <v>501</v>
      </c>
      <c r="D3924">
        <v>3</v>
      </c>
      <c r="E3924">
        <v>1</v>
      </c>
      <c r="F3924" t="s">
        <v>320</v>
      </c>
      <c r="G3924" t="s">
        <v>32</v>
      </c>
      <c r="H3924" t="s">
        <v>33</v>
      </c>
      <c r="I3924" t="s">
        <v>34</v>
      </c>
      <c r="J3924" t="s">
        <v>42</v>
      </c>
      <c r="K3924" t="s">
        <v>89</v>
      </c>
      <c r="L3924" t="s">
        <v>43</v>
      </c>
      <c r="M3924">
        <v>0</v>
      </c>
      <c r="N3924">
        <v>1</v>
      </c>
      <c r="O3924" s="5" t="s">
        <v>1004</v>
      </c>
      <c r="P3924" s="5" t="s">
        <v>1005</v>
      </c>
      <c r="Q3924">
        <f>30-15</f>
        <v>15</v>
      </c>
      <c r="R3924" t="s">
        <v>65</v>
      </c>
      <c r="T3924">
        <v>19</v>
      </c>
      <c r="U3924">
        <v>78</v>
      </c>
      <c r="V3924">
        <v>17</v>
      </c>
      <c r="W3924">
        <v>12.8</v>
      </c>
      <c r="X3924">
        <v>26.5</v>
      </c>
      <c r="Z3924" t="s">
        <v>97</v>
      </c>
      <c r="AA3924" t="s">
        <v>199</v>
      </c>
      <c r="AB3924" t="s">
        <v>59</v>
      </c>
      <c r="AC3924" t="s">
        <v>88</v>
      </c>
      <c r="AD3924" t="s">
        <v>789</v>
      </c>
    </row>
    <row r="3925" spans="1:30" x14ac:dyDescent="0.25">
      <c r="A3925" s="4">
        <v>42606</v>
      </c>
      <c r="B3925" t="s">
        <v>30</v>
      </c>
      <c r="C3925">
        <v>501</v>
      </c>
      <c r="D3925">
        <v>3</v>
      </c>
      <c r="E3925">
        <v>2</v>
      </c>
      <c r="F3925" t="s">
        <v>320</v>
      </c>
      <c r="G3925" t="s">
        <v>32</v>
      </c>
      <c r="H3925" t="s">
        <v>33</v>
      </c>
      <c r="I3925" t="s">
        <v>58</v>
      </c>
      <c r="J3925" t="s">
        <v>35</v>
      </c>
      <c r="K3925" t="s">
        <v>36</v>
      </c>
      <c r="L3925" t="s">
        <v>43</v>
      </c>
      <c r="M3925">
        <v>0</v>
      </c>
      <c r="N3925">
        <v>0</v>
      </c>
      <c r="O3925" s="5" t="s">
        <v>942</v>
      </c>
      <c r="P3925" s="5"/>
      <c r="Q3925">
        <f>36-17</f>
        <v>19</v>
      </c>
      <c r="R3925" t="s">
        <v>65</v>
      </c>
      <c r="T3925">
        <v>17.5</v>
      </c>
      <c r="W3925">
        <v>12.8</v>
      </c>
      <c r="X3925">
        <v>27.5</v>
      </c>
      <c r="Z3925" t="s">
        <v>97</v>
      </c>
      <c r="AA3925" t="s">
        <v>199</v>
      </c>
      <c r="AB3925" t="s">
        <v>59</v>
      </c>
      <c r="AC3925" t="s">
        <v>88</v>
      </c>
    </row>
    <row r="3926" spans="1:30" x14ac:dyDescent="0.25">
      <c r="A3926" s="4">
        <v>42606</v>
      </c>
      <c r="B3926" t="s">
        <v>30</v>
      </c>
      <c r="C3926">
        <v>501</v>
      </c>
      <c r="D3926">
        <v>4</v>
      </c>
      <c r="E3926">
        <v>1</v>
      </c>
      <c r="F3926" t="s">
        <v>320</v>
      </c>
      <c r="G3926" t="s">
        <v>32</v>
      </c>
      <c r="H3926" t="s">
        <v>33</v>
      </c>
      <c r="I3926" t="s">
        <v>58</v>
      </c>
      <c r="J3926" t="s">
        <v>35</v>
      </c>
      <c r="K3926" t="s">
        <v>89</v>
      </c>
      <c r="L3926" t="s">
        <v>43</v>
      </c>
      <c r="M3926">
        <v>0</v>
      </c>
      <c r="N3926">
        <v>0</v>
      </c>
      <c r="O3926" s="5" t="s">
        <v>941</v>
      </c>
      <c r="P3926" s="5"/>
      <c r="Q3926">
        <f>26.5-13.5</f>
        <v>13</v>
      </c>
      <c r="R3926" t="s">
        <v>65</v>
      </c>
      <c r="T3926">
        <v>17</v>
      </c>
      <c r="W3926">
        <v>12.8</v>
      </c>
      <c r="X3926">
        <v>25.2</v>
      </c>
      <c r="Z3926" t="s">
        <v>97</v>
      </c>
      <c r="AA3926" t="s">
        <v>199</v>
      </c>
      <c r="AB3926" t="s">
        <v>59</v>
      </c>
      <c r="AC3926" t="s">
        <v>88</v>
      </c>
    </row>
    <row r="3927" spans="1:30" x14ac:dyDescent="0.25">
      <c r="A3927" s="4">
        <v>42606</v>
      </c>
      <c r="B3927" t="s">
        <v>30</v>
      </c>
      <c r="C3927">
        <v>501</v>
      </c>
      <c r="D3927">
        <v>4</v>
      </c>
      <c r="E3927">
        <v>2</v>
      </c>
      <c r="F3927" t="s">
        <v>320</v>
      </c>
      <c r="G3927" t="s">
        <v>32</v>
      </c>
      <c r="H3927" t="s">
        <v>33</v>
      </c>
      <c r="I3927" t="s">
        <v>58</v>
      </c>
      <c r="J3927" t="s">
        <v>42</v>
      </c>
      <c r="K3927" t="s">
        <v>36</v>
      </c>
      <c r="L3927" t="s">
        <v>43</v>
      </c>
      <c r="M3927">
        <v>0</v>
      </c>
      <c r="N3927">
        <v>1</v>
      </c>
      <c r="O3927" s="5" t="s">
        <v>1006</v>
      </c>
      <c r="P3927" s="5"/>
      <c r="Q3927">
        <f>34-13</f>
        <v>21</v>
      </c>
      <c r="R3927" t="s">
        <v>47</v>
      </c>
      <c r="T3927">
        <v>18</v>
      </c>
      <c r="W3927">
        <v>12.9</v>
      </c>
      <c r="X3927">
        <v>26.4</v>
      </c>
      <c r="Z3927" t="s">
        <v>97</v>
      </c>
      <c r="AA3927" t="s">
        <v>199</v>
      </c>
      <c r="AB3927" t="s">
        <v>59</v>
      </c>
      <c r="AC3927" t="s">
        <v>88</v>
      </c>
      <c r="AD3927" t="s">
        <v>789</v>
      </c>
    </row>
    <row r="3928" spans="1:30" x14ac:dyDescent="0.25">
      <c r="A3928" s="4">
        <v>42606</v>
      </c>
      <c r="B3928" t="s">
        <v>30</v>
      </c>
      <c r="C3928">
        <v>501</v>
      </c>
      <c r="D3928">
        <v>5</v>
      </c>
      <c r="E3928">
        <v>1</v>
      </c>
      <c r="F3928" t="s">
        <v>320</v>
      </c>
      <c r="G3928" t="s">
        <v>32</v>
      </c>
      <c r="H3928" t="s">
        <v>33</v>
      </c>
      <c r="I3928" t="s">
        <v>57</v>
      </c>
      <c r="O3928" s="5"/>
      <c r="P3928" s="5"/>
    </row>
    <row r="3929" spans="1:30" x14ac:dyDescent="0.25">
      <c r="A3929" s="4">
        <v>42606</v>
      </c>
      <c r="B3929" t="s">
        <v>30</v>
      </c>
      <c r="C3929">
        <v>501</v>
      </c>
      <c r="D3929">
        <v>5</v>
      </c>
      <c r="E3929">
        <v>2</v>
      </c>
      <c r="F3929" t="s">
        <v>320</v>
      </c>
      <c r="G3929" t="s">
        <v>32</v>
      </c>
      <c r="H3929" t="s">
        <v>33</v>
      </c>
      <c r="I3929" t="s">
        <v>57</v>
      </c>
      <c r="O3929" s="5"/>
      <c r="P3929" s="5"/>
    </row>
    <row r="3930" spans="1:30" x14ac:dyDescent="0.25">
      <c r="A3930" s="4">
        <v>42606</v>
      </c>
      <c r="B3930" t="s">
        <v>30</v>
      </c>
      <c r="C3930">
        <v>501</v>
      </c>
      <c r="D3930">
        <v>6</v>
      </c>
      <c r="E3930">
        <v>1</v>
      </c>
      <c r="F3930" t="s">
        <v>320</v>
      </c>
      <c r="G3930" t="s">
        <v>32</v>
      </c>
      <c r="H3930" t="s">
        <v>33</v>
      </c>
      <c r="I3930" t="s">
        <v>57</v>
      </c>
      <c r="O3930" s="5"/>
      <c r="P3930" s="5"/>
    </row>
    <row r="3931" spans="1:30" x14ac:dyDescent="0.25">
      <c r="A3931" s="4">
        <v>42606</v>
      </c>
      <c r="B3931" t="s">
        <v>30</v>
      </c>
      <c r="C3931">
        <v>501</v>
      </c>
      <c r="D3931">
        <v>6</v>
      </c>
      <c r="E3931">
        <v>2</v>
      </c>
      <c r="F3931" t="s">
        <v>320</v>
      </c>
      <c r="G3931" t="s">
        <v>32</v>
      </c>
      <c r="H3931" t="s">
        <v>33</v>
      </c>
      <c r="I3931" t="s">
        <v>57</v>
      </c>
      <c r="O3931" s="5"/>
      <c r="P3931" s="5"/>
    </row>
    <row r="3932" spans="1:30" x14ac:dyDescent="0.25">
      <c r="A3932" s="4">
        <v>42606</v>
      </c>
      <c r="B3932" t="s">
        <v>30</v>
      </c>
      <c r="C3932">
        <v>501</v>
      </c>
      <c r="D3932">
        <v>7</v>
      </c>
      <c r="E3932">
        <v>1</v>
      </c>
      <c r="F3932" t="s">
        <v>320</v>
      </c>
      <c r="G3932" t="s">
        <v>32</v>
      </c>
      <c r="H3932" t="s">
        <v>33</v>
      </c>
      <c r="I3932" t="s">
        <v>57</v>
      </c>
      <c r="O3932" s="5"/>
      <c r="P3932" s="5"/>
    </row>
    <row r="3933" spans="1:30" x14ac:dyDescent="0.25">
      <c r="A3933" s="4">
        <v>42606</v>
      </c>
      <c r="B3933" t="s">
        <v>30</v>
      </c>
      <c r="C3933">
        <v>501</v>
      </c>
      <c r="D3933">
        <v>7</v>
      </c>
      <c r="E3933">
        <v>2</v>
      </c>
      <c r="F3933" t="s">
        <v>320</v>
      </c>
      <c r="G3933" t="s">
        <v>32</v>
      </c>
      <c r="H3933" t="s">
        <v>33</v>
      </c>
      <c r="I3933" t="s">
        <v>91</v>
      </c>
      <c r="J3933" t="s">
        <v>42</v>
      </c>
      <c r="K3933" t="s">
        <v>114</v>
      </c>
      <c r="L3933" t="s">
        <v>43</v>
      </c>
      <c r="M3933">
        <v>0</v>
      </c>
      <c r="N3933">
        <v>1</v>
      </c>
      <c r="O3933" s="5" t="s">
        <v>1007</v>
      </c>
      <c r="P3933" s="5"/>
      <c r="Q3933">
        <f>31.5-13</f>
        <v>18.5</v>
      </c>
      <c r="R3933" t="s">
        <v>65</v>
      </c>
      <c r="T3933">
        <v>29</v>
      </c>
      <c r="W3933">
        <v>13</v>
      </c>
      <c r="X3933">
        <v>24.8</v>
      </c>
      <c r="Z3933" t="s">
        <v>97</v>
      </c>
      <c r="AA3933" t="s">
        <v>199</v>
      </c>
      <c r="AB3933" t="s">
        <v>59</v>
      </c>
      <c r="AC3933" t="s">
        <v>88</v>
      </c>
      <c r="AD3933" t="s">
        <v>789</v>
      </c>
    </row>
    <row r="3934" spans="1:30" x14ac:dyDescent="0.25">
      <c r="A3934" s="4">
        <v>42606</v>
      </c>
      <c r="B3934" t="s">
        <v>30</v>
      </c>
      <c r="C3934">
        <v>501</v>
      </c>
      <c r="D3934">
        <v>8</v>
      </c>
      <c r="E3934">
        <v>1</v>
      </c>
      <c r="F3934" t="s">
        <v>320</v>
      </c>
      <c r="G3934" t="s">
        <v>32</v>
      </c>
      <c r="H3934" t="s">
        <v>33</v>
      </c>
      <c r="I3934" t="s">
        <v>91</v>
      </c>
      <c r="J3934" t="s">
        <v>35</v>
      </c>
      <c r="K3934" t="s">
        <v>36</v>
      </c>
      <c r="L3934" t="s">
        <v>37</v>
      </c>
      <c r="M3934">
        <v>0</v>
      </c>
      <c r="N3934">
        <v>0</v>
      </c>
      <c r="O3934" s="5"/>
      <c r="P3934" s="5" t="s">
        <v>1008</v>
      </c>
      <c r="Q3934">
        <f>35-13</f>
        <v>22</v>
      </c>
      <c r="R3934" t="s">
        <v>38</v>
      </c>
      <c r="S3934" t="s">
        <v>39</v>
      </c>
      <c r="T3934">
        <v>29</v>
      </c>
      <c r="W3934">
        <v>13</v>
      </c>
      <c r="X3934">
        <v>26</v>
      </c>
      <c r="Z3934" t="s">
        <v>97</v>
      </c>
      <c r="AA3934" t="s">
        <v>199</v>
      </c>
      <c r="AB3934" t="s">
        <v>59</v>
      </c>
      <c r="AC3934" t="s">
        <v>88</v>
      </c>
      <c r="AD3934" t="s">
        <v>1009</v>
      </c>
    </row>
    <row r="3935" spans="1:30" x14ac:dyDescent="0.25">
      <c r="A3935" s="4">
        <v>42606</v>
      </c>
      <c r="B3935" t="s">
        <v>30</v>
      </c>
      <c r="C3935">
        <v>501</v>
      </c>
      <c r="D3935">
        <v>8</v>
      </c>
      <c r="E3935">
        <v>2</v>
      </c>
      <c r="F3935" t="s">
        <v>320</v>
      </c>
      <c r="G3935" t="s">
        <v>32</v>
      </c>
      <c r="H3935" t="s">
        <v>33</v>
      </c>
      <c r="I3935" t="s">
        <v>57</v>
      </c>
      <c r="O3935" s="5"/>
      <c r="P3935" s="5"/>
    </row>
    <row r="3936" spans="1:30" x14ac:dyDescent="0.25">
      <c r="A3936" s="4">
        <v>42606</v>
      </c>
      <c r="B3936" t="s">
        <v>30</v>
      </c>
      <c r="C3936">
        <v>501</v>
      </c>
      <c r="D3936">
        <v>9</v>
      </c>
      <c r="E3936">
        <v>1</v>
      </c>
      <c r="F3936" t="s">
        <v>320</v>
      </c>
      <c r="G3936" t="s">
        <v>32</v>
      </c>
      <c r="H3936" t="s">
        <v>33</v>
      </c>
      <c r="I3936" t="s">
        <v>57</v>
      </c>
      <c r="O3936" s="5"/>
      <c r="P3936" s="5"/>
    </row>
    <row r="3937" spans="1:31" x14ac:dyDescent="0.25">
      <c r="A3937" s="4">
        <v>42606</v>
      </c>
      <c r="B3937" t="s">
        <v>30</v>
      </c>
      <c r="C3937">
        <v>501</v>
      </c>
      <c r="D3937">
        <v>9</v>
      </c>
      <c r="E3937">
        <v>2</v>
      </c>
      <c r="F3937" t="s">
        <v>320</v>
      </c>
      <c r="G3937" t="s">
        <v>32</v>
      </c>
      <c r="H3937" t="s">
        <v>33</v>
      </c>
      <c r="I3937" t="s">
        <v>73</v>
      </c>
      <c r="J3937" t="s">
        <v>35</v>
      </c>
      <c r="K3937" t="s">
        <v>36</v>
      </c>
      <c r="L3937" t="s">
        <v>37</v>
      </c>
      <c r="M3937">
        <v>0</v>
      </c>
      <c r="N3937">
        <v>0</v>
      </c>
      <c r="O3937" s="5"/>
      <c r="P3937" s="5" t="s">
        <v>1010</v>
      </c>
      <c r="Q3937">
        <f>153-51</f>
        <v>102</v>
      </c>
      <c r="R3937" t="s">
        <v>136</v>
      </c>
      <c r="S3937" t="s">
        <v>97</v>
      </c>
      <c r="T3937">
        <v>36</v>
      </c>
      <c r="W3937">
        <v>22.5</v>
      </c>
      <c r="X3937">
        <v>42.2</v>
      </c>
      <c r="Z3937" t="s">
        <v>97</v>
      </c>
      <c r="AA3937" t="s">
        <v>199</v>
      </c>
      <c r="AB3937" t="s">
        <v>59</v>
      </c>
      <c r="AC3937" t="s">
        <v>88</v>
      </c>
      <c r="AD3937" t="s">
        <v>1011</v>
      </c>
    </row>
    <row r="3938" spans="1:31" x14ac:dyDescent="0.25">
      <c r="A3938" s="4">
        <v>42606</v>
      </c>
      <c r="B3938" t="s">
        <v>30</v>
      </c>
      <c r="C3938">
        <v>501</v>
      </c>
      <c r="D3938">
        <v>10</v>
      </c>
      <c r="E3938">
        <v>1</v>
      </c>
      <c r="F3938" t="s">
        <v>320</v>
      </c>
      <c r="G3938" t="s">
        <v>32</v>
      </c>
      <c r="H3938" t="s">
        <v>33</v>
      </c>
      <c r="I3938" t="s">
        <v>57</v>
      </c>
      <c r="O3938" s="5"/>
      <c r="P3938" s="5"/>
    </row>
    <row r="3939" spans="1:31" x14ac:dyDescent="0.25">
      <c r="A3939" s="4">
        <v>42606</v>
      </c>
      <c r="B3939" t="s">
        <v>30</v>
      </c>
      <c r="C3939">
        <v>501</v>
      </c>
      <c r="D3939">
        <v>10</v>
      </c>
      <c r="E3939">
        <v>2</v>
      </c>
      <c r="F3939" t="s">
        <v>320</v>
      </c>
      <c r="G3939" t="s">
        <v>32</v>
      </c>
      <c r="H3939" t="s">
        <v>33</v>
      </c>
      <c r="I3939" t="s">
        <v>34</v>
      </c>
      <c r="J3939" t="s">
        <v>35</v>
      </c>
      <c r="K3939" t="s">
        <v>89</v>
      </c>
      <c r="L3939" t="s">
        <v>37</v>
      </c>
      <c r="M3939">
        <v>0</v>
      </c>
      <c r="N3939">
        <v>0</v>
      </c>
      <c r="O3939" s="5" t="s">
        <v>945</v>
      </c>
      <c r="P3939" s="5" t="s">
        <v>946</v>
      </c>
      <c r="Q3939">
        <f>30.5-16</f>
        <v>14.5</v>
      </c>
      <c r="R3939" t="s">
        <v>38</v>
      </c>
      <c r="S3939" t="s">
        <v>39</v>
      </c>
      <c r="T3939">
        <v>19.5</v>
      </c>
      <c r="U3939">
        <v>80</v>
      </c>
      <c r="V3939">
        <v>16</v>
      </c>
      <c r="W3939">
        <v>13</v>
      </c>
      <c r="X3939">
        <v>26</v>
      </c>
      <c r="Z3939" t="s">
        <v>39</v>
      </c>
      <c r="AB3939" t="s">
        <v>59</v>
      </c>
      <c r="AC3939" t="s">
        <v>88</v>
      </c>
    </row>
    <row r="3940" spans="1:31" x14ac:dyDescent="0.25">
      <c r="A3940" s="4">
        <v>42606</v>
      </c>
      <c r="B3940" t="s">
        <v>30</v>
      </c>
      <c r="C3940">
        <v>503</v>
      </c>
      <c r="D3940">
        <v>1</v>
      </c>
      <c r="E3940">
        <v>1</v>
      </c>
      <c r="F3940" t="s">
        <v>320</v>
      </c>
      <c r="G3940" t="s">
        <v>32</v>
      </c>
      <c r="H3940" t="s">
        <v>33</v>
      </c>
      <c r="I3940" t="s">
        <v>58</v>
      </c>
      <c r="J3940" t="s">
        <v>35</v>
      </c>
      <c r="K3940" t="s">
        <v>36</v>
      </c>
      <c r="L3940" t="s">
        <v>43</v>
      </c>
      <c r="M3940">
        <v>0</v>
      </c>
      <c r="N3940">
        <v>0</v>
      </c>
      <c r="O3940" s="5" t="s">
        <v>1012</v>
      </c>
      <c r="P3940" s="5"/>
      <c r="Q3940">
        <f>46-16</f>
        <v>30</v>
      </c>
      <c r="R3940" t="s">
        <v>47</v>
      </c>
      <c r="T3940">
        <v>16</v>
      </c>
      <c r="W3940">
        <v>13</v>
      </c>
      <c r="X3940">
        <v>26</v>
      </c>
      <c r="Z3940" t="s">
        <v>97</v>
      </c>
      <c r="AA3940" t="s">
        <v>199</v>
      </c>
      <c r="AB3940" t="s">
        <v>59</v>
      </c>
      <c r="AC3940" t="s">
        <v>88</v>
      </c>
      <c r="AD3940" t="s">
        <v>1013</v>
      </c>
    </row>
    <row r="3941" spans="1:31" x14ac:dyDescent="0.25">
      <c r="A3941" s="4">
        <v>42606</v>
      </c>
      <c r="B3941" t="s">
        <v>30</v>
      </c>
      <c r="C3941">
        <v>503</v>
      </c>
      <c r="D3941">
        <v>1</v>
      </c>
      <c r="E3941">
        <v>2</v>
      </c>
      <c r="F3941" t="s">
        <v>320</v>
      </c>
      <c r="G3941" t="s">
        <v>32</v>
      </c>
      <c r="H3941" t="s">
        <v>33</v>
      </c>
      <c r="I3941" t="s">
        <v>73</v>
      </c>
      <c r="J3941" t="s">
        <v>42</v>
      </c>
      <c r="K3941" t="s">
        <v>89</v>
      </c>
      <c r="L3941" t="s">
        <v>37</v>
      </c>
      <c r="M3941">
        <v>0</v>
      </c>
      <c r="N3941">
        <v>1</v>
      </c>
      <c r="O3941" s="5" t="s">
        <v>1014</v>
      </c>
      <c r="P3941" s="5"/>
      <c r="Q3941">
        <f>112-52</f>
        <v>60</v>
      </c>
      <c r="R3941" t="s">
        <v>38</v>
      </c>
      <c r="S3941" t="s">
        <v>39</v>
      </c>
      <c r="T3941">
        <v>30</v>
      </c>
      <c r="W3941">
        <v>21.3</v>
      </c>
      <c r="X3941">
        <v>38</v>
      </c>
      <c r="Z3941" t="s">
        <v>97</v>
      </c>
      <c r="AA3941" t="s">
        <v>199</v>
      </c>
      <c r="AB3941" t="s">
        <v>59</v>
      </c>
      <c r="AC3941" t="s">
        <v>88</v>
      </c>
      <c r="AD3941" t="s">
        <v>789</v>
      </c>
    </row>
    <row r="3942" spans="1:31" x14ac:dyDescent="0.25">
      <c r="A3942" s="4">
        <v>42606</v>
      </c>
      <c r="B3942" t="s">
        <v>30</v>
      </c>
      <c r="C3942">
        <v>503</v>
      </c>
      <c r="D3942">
        <v>2</v>
      </c>
      <c r="E3942">
        <v>1</v>
      </c>
      <c r="F3942" t="s">
        <v>320</v>
      </c>
      <c r="G3942" t="s">
        <v>32</v>
      </c>
      <c r="H3942" t="s">
        <v>33</v>
      </c>
      <c r="I3942" t="s">
        <v>34</v>
      </c>
      <c r="J3942" t="s">
        <v>42</v>
      </c>
      <c r="K3942" t="s">
        <v>89</v>
      </c>
      <c r="L3942" t="s">
        <v>43</v>
      </c>
      <c r="M3942">
        <v>0</v>
      </c>
      <c r="N3942">
        <v>1</v>
      </c>
      <c r="O3942" s="5" t="s">
        <v>1015</v>
      </c>
      <c r="P3942" s="5" t="s">
        <v>1016</v>
      </c>
      <c r="Q3942">
        <f>26-13</f>
        <v>13</v>
      </c>
      <c r="R3942" t="s">
        <v>65</v>
      </c>
      <c r="T3942">
        <v>20.5</v>
      </c>
      <c r="U3942">
        <v>85</v>
      </c>
      <c r="V3942">
        <v>17</v>
      </c>
      <c r="W3942">
        <v>12.8</v>
      </c>
      <c r="X3942">
        <v>26.4</v>
      </c>
      <c r="Z3942" t="s">
        <v>39</v>
      </c>
      <c r="AB3942" t="s">
        <v>59</v>
      </c>
      <c r="AC3942" t="s">
        <v>88</v>
      </c>
      <c r="AD3942" t="s">
        <v>789</v>
      </c>
      <c r="AE3942" t="s">
        <v>1017</v>
      </c>
    </row>
    <row r="3943" spans="1:31" x14ac:dyDescent="0.25">
      <c r="A3943" s="4">
        <v>42606</v>
      </c>
      <c r="B3943" t="s">
        <v>30</v>
      </c>
      <c r="C3943">
        <v>503</v>
      </c>
      <c r="D3943">
        <v>2</v>
      </c>
      <c r="E3943">
        <v>2</v>
      </c>
      <c r="F3943" t="s">
        <v>320</v>
      </c>
      <c r="G3943" t="s">
        <v>32</v>
      </c>
      <c r="H3943" t="s">
        <v>33</v>
      </c>
      <c r="I3943" t="s">
        <v>57</v>
      </c>
      <c r="O3943" s="5"/>
      <c r="P3943" s="5"/>
    </row>
    <row r="3944" spans="1:31" x14ac:dyDescent="0.25">
      <c r="A3944" s="4">
        <v>42606</v>
      </c>
      <c r="B3944" t="s">
        <v>30</v>
      </c>
      <c r="C3944">
        <v>503</v>
      </c>
      <c r="D3944">
        <v>3</v>
      </c>
      <c r="E3944">
        <v>1</v>
      </c>
      <c r="F3944" t="s">
        <v>320</v>
      </c>
      <c r="G3944" t="s">
        <v>32</v>
      </c>
      <c r="H3944" t="s">
        <v>33</v>
      </c>
      <c r="I3944" t="s">
        <v>57</v>
      </c>
      <c r="O3944" s="5"/>
      <c r="P3944" s="5"/>
    </row>
    <row r="3945" spans="1:31" x14ac:dyDescent="0.25">
      <c r="A3945" s="4">
        <v>42606</v>
      </c>
      <c r="B3945" t="s">
        <v>30</v>
      </c>
      <c r="C3945">
        <v>503</v>
      </c>
      <c r="D3945">
        <v>3</v>
      </c>
      <c r="E3945">
        <v>2</v>
      </c>
      <c r="F3945" t="s">
        <v>320</v>
      </c>
      <c r="G3945" t="s">
        <v>32</v>
      </c>
      <c r="H3945" t="s">
        <v>33</v>
      </c>
      <c r="I3945" t="s">
        <v>34</v>
      </c>
      <c r="J3945" t="s">
        <v>35</v>
      </c>
      <c r="K3945" t="s">
        <v>89</v>
      </c>
      <c r="L3945" t="s">
        <v>43</v>
      </c>
      <c r="M3945">
        <v>0</v>
      </c>
      <c r="N3945">
        <v>0</v>
      </c>
      <c r="O3945" s="5" t="s">
        <v>553</v>
      </c>
      <c r="P3945" s="5" t="s">
        <v>551</v>
      </c>
      <c r="Q3945">
        <f>31.5-17</f>
        <v>14.5</v>
      </c>
      <c r="R3945" t="s">
        <v>65</v>
      </c>
      <c r="T3945">
        <v>18</v>
      </c>
      <c r="U3945">
        <v>77</v>
      </c>
      <c r="V3945">
        <v>16</v>
      </c>
      <c r="W3945">
        <v>12.8</v>
      </c>
      <c r="X3945">
        <v>26.2</v>
      </c>
      <c r="Z3945" t="s">
        <v>97</v>
      </c>
      <c r="AA3945" t="s">
        <v>199</v>
      </c>
      <c r="AB3945" t="s">
        <v>59</v>
      </c>
      <c r="AC3945" t="s">
        <v>88</v>
      </c>
    </row>
    <row r="3946" spans="1:31" x14ac:dyDescent="0.25">
      <c r="A3946" s="4">
        <v>42606</v>
      </c>
      <c r="B3946" t="s">
        <v>30</v>
      </c>
      <c r="C3946">
        <v>503</v>
      </c>
      <c r="D3946">
        <v>4</v>
      </c>
      <c r="E3946">
        <v>1</v>
      </c>
      <c r="F3946" t="s">
        <v>320</v>
      </c>
      <c r="G3946" t="s">
        <v>32</v>
      </c>
      <c r="H3946" t="s">
        <v>33</v>
      </c>
      <c r="I3946" t="s">
        <v>57</v>
      </c>
      <c r="O3946" s="5"/>
      <c r="P3946" s="5"/>
    </row>
    <row r="3947" spans="1:31" x14ac:dyDescent="0.25">
      <c r="A3947" s="4">
        <v>42606</v>
      </c>
      <c r="B3947" t="s">
        <v>30</v>
      </c>
      <c r="C3947">
        <v>503</v>
      </c>
      <c r="D3947">
        <v>4</v>
      </c>
      <c r="E3947">
        <v>2</v>
      </c>
      <c r="F3947" t="s">
        <v>320</v>
      </c>
      <c r="G3947" t="s">
        <v>32</v>
      </c>
      <c r="H3947" t="s">
        <v>33</v>
      </c>
      <c r="I3947" t="s">
        <v>57</v>
      </c>
      <c r="O3947" s="5"/>
      <c r="P3947" s="5"/>
    </row>
    <row r="3948" spans="1:31" x14ac:dyDescent="0.25">
      <c r="A3948" s="4">
        <v>42606</v>
      </c>
      <c r="B3948" t="s">
        <v>30</v>
      </c>
      <c r="C3948">
        <v>503</v>
      </c>
      <c r="D3948">
        <v>5</v>
      </c>
      <c r="E3948">
        <v>1</v>
      </c>
      <c r="F3948" t="s">
        <v>320</v>
      </c>
      <c r="G3948" t="s">
        <v>32</v>
      </c>
      <c r="H3948" t="s">
        <v>33</v>
      </c>
      <c r="I3948" t="s">
        <v>57</v>
      </c>
      <c r="O3948" s="5"/>
      <c r="P3948" s="5"/>
    </row>
    <row r="3949" spans="1:31" x14ac:dyDescent="0.25">
      <c r="A3949" s="4">
        <v>42606</v>
      </c>
      <c r="B3949" t="s">
        <v>30</v>
      </c>
      <c r="C3949">
        <v>503</v>
      </c>
      <c r="D3949">
        <v>5</v>
      </c>
      <c r="E3949">
        <v>2</v>
      </c>
      <c r="F3949" t="s">
        <v>320</v>
      </c>
      <c r="G3949" t="s">
        <v>32</v>
      </c>
      <c r="H3949" t="s">
        <v>33</v>
      </c>
      <c r="I3949" t="s">
        <v>58</v>
      </c>
      <c r="J3949" t="s">
        <v>35</v>
      </c>
      <c r="K3949" t="s">
        <v>36</v>
      </c>
      <c r="L3949" t="s">
        <v>37</v>
      </c>
      <c r="M3949">
        <v>0</v>
      </c>
      <c r="N3949">
        <v>0</v>
      </c>
      <c r="O3949" s="5" t="s">
        <v>952</v>
      </c>
      <c r="P3949" s="5"/>
      <c r="Q3949">
        <f>42-17</f>
        <v>25</v>
      </c>
      <c r="R3949" t="s">
        <v>38</v>
      </c>
      <c r="T3949">
        <v>19</v>
      </c>
      <c r="W3949">
        <v>13.2</v>
      </c>
      <c r="X3949">
        <v>26.5</v>
      </c>
      <c r="Z3949" t="s">
        <v>39</v>
      </c>
      <c r="AB3949" t="s">
        <v>59</v>
      </c>
      <c r="AC3949" t="s">
        <v>88</v>
      </c>
      <c r="AD3949" t="s">
        <v>1018</v>
      </c>
    </row>
    <row r="3950" spans="1:31" x14ac:dyDescent="0.25">
      <c r="A3950" s="4">
        <v>42606</v>
      </c>
      <c r="B3950" t="s">
        <v>30</v>
      </c>
      <c r="C3950">
        <v>503</v>
      </c>
      <c r="D3950">
        <v>6</v>
      </c>
      <c r="E3950">
        <v>1</v>
      </c>
      <c r="F3950" t="s">
        <v>320</v>
      </c>
      <c r="G3950" t="s">
        <v>32</v>
      </c>
      <c r="H3950" t="s">
        <v>33</v>
      </c>
      <c r="I3950" t="s">
        <v>58</v>
      </c>
      <c r="J3950" t="s">
        <v>35</v>
      </c>
      <c r="K3950" t="s">
        <v>36</v>
      </c>
      <c r="L3950" t="s">
        <v>43</v>
      </c>
      <c r="M3950">
        <v>0</v>
      </c>
      <c r="N3950">
        <v>0</v>
      </c>
      <c r="O3950" s="5" t="s">
        <v>955</v>
      </c>
      <c r="P3950" s="5"/>
      <c r="Q3950">
        <f>32-15.5</f>
        <v>16.5</v>
      </c>
      <c r="R3950" t="s">
        <v>65</v>
      </c>
      <c r="T3950">
        <v>17.5</v>
      </c>
      <c r="W3950">
        <v>13.1</v>
      </c>
      <c r="X3950">
        <v>25.8</v>
      </c>
      <c r="Z3950" t="s">
        <v>97</v>
      </c>
      <c r="AA3950" t="s">
        <v>199</v>
      </c>
      <c r="AB3950" t="s">
        <v>59</v>
      </c>
      <c r="AC3950" t="s">
        <v>88</v>
      </c>
      <c r="AD3950" t="s">
        <v>956</v>
      </c>
    </row>
    <row r="3951" spans="1:31" x14ac:dyDescent="0.25">
      <c r="A3951" s="4">
        <v>42606</v>
      </c>
      <c r="B3951" t="s">
        <v>30</v>
      </c>
      <c r="C3951">
        <v>503</v>
      </c>
      <c r="D3951">
        <v>6</v>
      </c>
      <c r="E3951">
        <v>2</v>
      </c>
      <c r="F3951" t="s">
        <v>320</v>
      </c>
      <c r="G3951" t="s">
        <v>32</v>
      </c>
      <c r="H3951" t="s">
        <v>33</v>
      </c>
      <c r="I3951" t="s">
        <v>57</v>
      </c>
      <c r="O3951" s="5"/>
      <c r="P3951" s="5"/>
    </row>
    <row r="3952" spans="1:31" x14ac:dyDescent="0.25">
      <c r="A3952" s="4">
        <v>42606</v>
      </c>
      <c r="B3952" t="s">
        <v>30</v>
      </c>
      <c r="C3952">
        <v>503</v>
      </c>
      <c r="D3952">
        <v>7</v>
      </c>
      <c r="E3952">
        <v>1</v>
      </c>
      <c r="F3952" t="s">
        <v>320</v>
      </c>
      <c r="G3952" t="s">
        <v>32</v>
      </c>
      <c r="H3952" t="s">
        <v>33</v>
      </c>
      <c r="I3952" t="s">
        <v>70</v>
      </c>
      <c r="J3952" t="s">
        <v>123</v>
      </c>
      <c r="O3952" s="5"/>
      <c r="P3952" s="5"/>
    </row>
    <row r="3953" spans="1:31" x14ac:dyDescent="0.25">
      <c r="A3953" s="4">
        <v>42606</v>
      </c>
      <c r="B3953" t="s">
        <v>30</v>
      </c>
      <c r="C3953">
        <v>503</v>
      </c>
      <c r="D3953">
        <v>8</v>
      </c>
      <c r="E3953">
        <v>1</v>
      </c>
      <c r="F3953" t="s">
        <v>320</v>
      </c>
      <c r="G3953" t="s">
        <v>32</v>
      </c>
      <c r="H3953" t="s">
        <v>33</v>
      </c>
      <c r="I3953" t="s">
        <v>34</v>
      </c>
      <c r="J3953" t="s">
        <v>35</v>
      </c>
      <c r="K3953" t="s">
        <v>36</v>
      </c>
      <c r="L3953" t="s">
        <v>43</v>
      </c>
      <c r="M3953">
        <v>0</v>
      </c>
      <c r="N3953">
        <v>0</v>
      </c>
      <c r="O3953" s="5" t="s">
        <v>662</v>
      </c>
      <c r="P3953" s="5" t="s">
        <v>663</v>
      </c>
      <c r="Q3953">
        <f>37.5-17.5</f>
        <v>20</v>
      </c>
      <c r="R3953" t="s">
        <v>65</v>
      </c>
      <c r="T3953">
        <v>19</v>
      </c>
      <c r="U3953">
        <v>81</v>
      </c>
      <c r="V3953">
        <v>17</v>
      </c>
      <c r="W3953">
        <v>13.1</v>
      </c>
      <c r="X3953">
        <v>27.3</v>
      </c>
      <c r="Z3953" t="s">
        <v>39</v>
      </c>
      <c r="AB3953" t="s">
        <v>59</v>
      </c>
      <c r="AC3953" t="s">
        <v>88</v>
      </c>
      <c r="AD3953" t="s">
        <v>725</v>
      </c>
      <c r="AE3953" t="s">
        <v>1017</v>
      </c>
    </row>
    <row r="3954" spans="1:31" x14ac:dyDescent="0.25">
      <c r="A3954" s="4">
        <v>42606</v>
      </c>
      <c r="B3954" t="s">
        <v>30</v>
      </c>
      <c r="C3954">
        <v>503</v>
      </c>
      <c r="D3954">
        <v>8</v>
      </c>
      <c r="E3954">
        <v>2</v>
      </c>
      <c r="F3954" t="s">
        <v>320</v>
      </c>
      <c r="G3954" t="s">
        <v>32</v>
      </c>
      <c r="H3954" t="s">
        <v>33</v>
      </c>
      <c r="I3954" t="s">
        <v>73</v>
      </c>
      <c r="J3954" t="s">
        <v>35</v>
      </c>
      <c r="K3954" t="s">
        <v>36</v>
      </c>
      <c r="L3954" t="s">
        <v>37</v>
      </c>
      <c r="M3954">
        <v>0</v>
      </c>
      <c r="N3954">
        <v>0</v>
      </c>
      <c r="O3954" s="5" t="s">
        <v>554</v>
      </c>
      <c r="P3954" s="5"/>
      <c r="Q3954">
        <f>140-52</f>
        <v>88</v>
      </c>
      <c r="R3954" t="s">
        <v>136</v>
      </c>
      <c r="S3954" t="s">
        <v>97</v>
      </c>
      <c r="T3954">
        <v>32</v>
      </c>
      <c r="W3954">
        <v>22.3</v>
      </c>
      <c r="X3954">
        <v>42.7</v>
      </c>
      <c r="Z3954" t="s">
        <v>97</v>
      </c>
      <c r="AA3954" t="s">
        <v>199</v>
      </c>
      <c r="AB3954" t="s">
        <v>59</v>
      </c>
      <c r="AC3954" t="s">
        <v>88</v>
      </c>
    </row>
    <row r="3955" spans="1:31" x14ac:dyDescent="0.25">
      <c r="A3955" s="4">
        <v>42606</v>
      </c>
      <c r="B3955" t="s">
        <v>30</v>
      </c>
      <c r="C3955">
        <v>503</v>
      </c>
      <c r="D3955">
        <v>9</v>
      </c>
      <c r="E3955">
        <v>1</v>
      </c>
      <c r="F3955" t="s">
        <v>320</v>
      </c>
      <c r="G3955" t="s">
        <v>32</v>
      </c>
      <c r="H3955" t="s">
        <v>33</v>
      </c>
      <c r="I3955" t="s">
        <v>34</v>
      </c>
      <c r="J3955" t="s">
        <v>35</v>
      </c>
      <c r="K3955" t="s">
        <v>89</v>
      </c>
      <c r="L3955" t="s">
        <v>43</v>
      </c>
      <c r="M3955">
        <v>0</v>
      </c>
      <c r="N3955">
        <v>0</v>
      </c>
      <c r="O3955" s="5" t="s">
        <v>992</v>
      </c>
      <c r="P3955" s="5" t="s">
        <v>993</v>
      </c>
      <c r="Q3955">
        <f>30-15</f>
        <v>15</v>
      </c>
      <c r="R3955" t="s">
        <v>65</v>
      </c>
      <c r="T3955">
        <v>20</v>
      </c>
      <c r="U3955">
        <v>80</v>
      </c>
      <c r="V3955">
        <v>17</v>
      </c>
      <c r="W3955">
        <v>12.9</v>
      </c>
      <c r="X3955">
        <v>26.7</v>
      </c>
      <c r="Z3955" t="s">
        <v>39</v>
      </c>
      <c r="AB3955" t="s">
        <v>59</v>
      </c>
      <c r="AC3955" t="s">
        <v>88</v>
      </c>
      <c r="AD3955" t="s">
        <v>905</v>
      </c>
    </row>
    <row r="3956" spans="1:31" x14ac:dyDescent="0.25">
      <c r="A3956" s="4">
        <v>42606</v>
      </c>
      <c r="B3956" t="s">
        <v>30</v>
      </c>
      <c r="C3956">
        <v>503</v>
      </c>
      <c r="D3956">
        <v>9</v>
      </c>
      <c r="E3956">
        <v>2</v>
      </c>
      <c r="F3956" t="s">
        <v>320</v>
      </c>
      <c r="G3956" t="s">
        <v>32</v>
      </c>
      <c r="H3956" t="s">
        <v>33</v>
      </c>
      <c r="I3956" t="s">
        <v>57</v>
      </c>
      <c r="O3956" s="5"/>
      <c r="P3956" s="5"/>
    </row>
    <row r="3957" spans="1:31" x14ac:dyDescent="0.25">
      <c r="A3957" s="4">
        <v>42606</v>
      </c>
      <c r="B3957" t="s">
        <v>30</v>
      </c>
      <c r="C3957">
        <v>503</v>
      </c>
      <c r="D3957">
        <v>10</v>
      </c>
      <c r="E3957">
        <v>1</v>
      </c>
      <c r="F3957" t="s">
        <v>320</v>
      </c>
      <c r="G3957" t="s">
        <v>32</v>
      </c>
      <c r="H3957" t="s">
        <v>33</v>
      </c>
      <c r="I3957" t="s">
        <v>57</v>
      </c>
      <c r="O3957" s="5"/>
      <c r="P3957" s="5"/>
    </row>
    <row r="3958" spans="1:31" x14ac:dyDescent="0.25">
      <c r="A3958" s="4">
        <v>42606</v>
      </c>
      <c r="B3958" t="s">
        <v>30</v>
      </c>
      <c r="C3958">
        <v>503</v>
      </c>
      <c r="D3958">
        <v>10</v>
      </c>
      <c r="E3958">
        <v>2</v>
      </c>
      <c r="F3958" t="s">
        <v>320</v>
      </c>
      <c r="G3958" t="s">
        <v>32</v>
      </c>
      <c r="H3958" t="s">
        <v>33</v>
      </c>
      <c r="I3958" t="s">
        <v>53</v>
      </c>
      <c r="J3958" t="s">
        <v>62</v>
      </c>
      <c r="O3958" s="5"/>
      <c r="P3958" s="5"/>
    </row>
    <row r="3959" spans="1:31" x14ac:dyDescent="0.25">
      <c r="A3959" s="4">
        <v>42606</v>
      </c>
      <c r="B3959" t="s">
        <v>30</v>
      </c>
      <c r="C3959">
        <v>303</v>
      </c>
      <c r="D3959">
        <v>1</v>
      </c>
      <c r="E3959">
        <v>1</v>
      </c>
      <c r="F3959" t="s">
        <v>320</v>
      </c>
      <c r="G3959" t="s">
        <v>32</v>
      </c>
      <c r="H3959" t="s">
        <v>33</v>
      </c>
      <c r="I3959" t="s">
        <v>57</v>
      </c>
      <c r="O3959" s="5"/>
      <c r="P3959" s="5"/>
    </row>
    <row r="3960" spans="1:31" x14ac:dyDescent="0.25">
      <c r="A3960" s="4">
        <v>42606</v>
      </c>
      <c r="B3960" t="s">
        <v>30</v>
      </c>
      <c r="C3960">
        <v>303</v>
      </c>
      <c r="D3960">
        <v>1</v>
      </c>
      <c r="E3960">
        <v>2</v>
      </c>
      <c r="F3960" t="s">
        <v>320</v>
      </c>
      <c r="G3960" t="s">
        <v>32</v>
      </c>
      <c r="H3960" t="s">
        <v>33</v>
      </c>
      <c r="I3960" t="s">
        <v>57</v>
      </c>
      <c r="O3960" s="5"/>
      <c r="P3960" s="5"/>
    </row>
    <row r="3961" spans="1:31" x14ac:dyDescent="0.25">
      <c r="A3961" s="4">
        <v>42606</v>
      </c>
      <c r="B3961" t="s">
        <v>30</v>
      </c>
      <c r="C3961">
        <v>303</v>
      </c>
      <c r="D3961">
        <v>2</v>
      </c>
      <c r="E3961">
        <v>1</v>
      </c>
      <c r="F3961" t="s">
        <v>320</v>
      </c>
      <c r="G3961" t="s">
        <v>32</v>
      </c>
      <c r="H3961" t="s">
        <v>33</v>
      </c>
      <c r="I3961" t="s">
        <v>57</v>
      </c>
      <c r="O3961" s="5"/>
      <c r="P3961" s="5"/>
    </row>
    <row r="3962" spans="1:31" x14ac:dyDescent="0.25">
      <c r="A3962" s="4">
        <v>42606</v>
      </c>
      <c r="B3962" t="s">
        <v>30</v>
      </c>
      <c r="C3962">
        <v>303</v>
      </c>
      <c r="D3962">
        <v>2</v>
      </c>
      <c r="E3962">
        <v>2</v>
      </c>
      <c r="F3962" t="s">
        <v>320</v>
      </c>
      <c r="G3962" t="s">
        <v>32</v>
      </c>
      <c r="H3962" t="s">
        <v>33</v>
      </c>
      <c r="I3962" t="s">
        <v>58</v>
      </c>
      <c r="J3962" t="s">
        <v>35</v>
      </c>
      <c r="K3962" t="s">
        <v>36</v>
      </c>
      <c r="L3962" t="s">
        <v>43</v>
      </c>
      <c r="M3962">
        <v>0</v>
      </c>
      <c r="N3962">
        <v>0</v>
      </c>
      <c r="O3962" s="5"/>
      <c r="P3962" s="5" t="s">
        <v>961</v>
      </c>
      <c r="Q3962">
        <f>35-14.5</f>
        <v>20.5</v>
      </c>
      <c r="R3962" t="s">
        <v>47</v>
      </c>
      <c r="T3962">
        <v>17.5</v>
      </c>
      <c r="W3962">
        <v>13</v>
      </c>
      <c r="Z3962" t="s">
        <v>97</v>
      </c>
      <c r="AA3962" t="s">
        <v>1019</v>
      </c>
      <c r="AB3962" t="s">
        <v>59</v>
      </c>
      <c r="AC3962" t="s">
        <v>88</v>
      </c>
    </row>
    <row r="3963" spans="1:31" x14ac:dyDescent="0.25">
      <c r="A3963" s="4">
        <v>42606</v>
      </c>
      <c r="B3963" t="s">
        <v>30</v>
      </c>
      <c r="C3963">
        <v>303</v>
      </c>
      <c r="D3963">
        <v>3</v>
      </c>
      <c r="E3963">
        <v>1</v>
      </c>
      <c r="F3963" t="s">
        <v>320</v>
      </c>
      <c r="G3963" t="s">
        <v>32</v>
      </c>
      <c r="H3963" t="s">
        <v>33</v>
      </c>
      <c r="I3963" t="s">
        <v>58</v>
      </c>
      <c r="J3963" t="s">
        <v>35</v>
      </c>
      <c r="K3963" t="s">
        <v>114</v>
      </c>
      <c r="L3963" t="s">
        <v>43</v>
      </c>
      <c r="M3963">
        <v>0</v>
      </c>
      <c r="N3963">
        <v>0</v>
      </c>
      <c r="O3963" s="5" t="s">
        <v>557</v>
      </c>
      <c r="P3963" s="5"/>
      <c r="Q3963">
        <f>32.5-15.5</f>
        <v>17</v>
      </c>
      <c r="R3963" t="s">
        <v>65</v>
      </c>
      <c r="T3963">
        <v>18</v>
      </c>
      <c r="W3963">
        <v>12.8</v>
      </c>
      <c r="X3963">
        <v>26.9</v>
      </c>
      <c r="Z3963" t="s">
        <v>97</v>
      </c>
      <c r="AA3963" t="s">
        <v>199</v>
      </c>
      <c r="AB3963" t="s">
        <v>59</v>
      </c>
      <c r="AC3963" t="s">
        <v>88</v>
      </c>
    </row>
    <row r="3964" spans="1:31" x14ac:dyDescent="0.25">
      <c r="A3964" s="4">
        <v>42606</v>
      </c>
      <c r="B3964" t="s">
        <v>30</v>
      </c>
      <c r="C3964">
        <v>303</v>
      </c>
      <c r="D3964">
        <v>3</v>
      </c>
      <c r="E3964">
        <v>2</v>
      </c>
      <c r="F3964" t="s">
        <v>320</v>
      </c>
      <c r="G3964" t="s">
        <v>32</v>
      </c>
      <c r="H3964" t="s">
        <v>33</v>
      </c>
      <c r="I3964" t="s">
        <v>58</v>
      </c>
      <c r="J3964" t="s">
        <v>35</v>
      </c>
      <c r="K3964" t="s">
        <v>36</v>
      </c>
      <c r="L3964" t="s">
        <v>37</v>
      </c>
      <c r="M3964">
        <v>0</v>
      </c>
      <c r="N3964">
        <v>0</v>
      </c>
      <c r="O3964" s="5" t="s">
        <v>996</v>
      </c>
      <c r="P3964" s="5"/>
      <c r="Q3964">
        <f>38-13</f>
        <v>25</v>
      </c>
      <c r="R3964" t="s">
        <v>136</v>
      </c>
      <c r="S3964" t="s">
        <v>97</v>
      </c>
      <c r="T3964">
        <v>18</v>
      </c>
      <c r="W3964">
        <v>12.8</v>
      </c>
      <c r="X3964">
        <v>28.4</v>
      </c>
      <c r="Z3964" t="s">
        <v>39</v>
      </c>
      <c r="AB3964" t="s">
        <v>59</v>
      </c>
      <c r="AC3964" t="s">
        <v>88</v>
      </c>
    </row>
    <row r="3965" spans="1:31" x14ac:dyDescent="0.25">
      <c r="A3965" s="4">
        <v>42606</v>
      </c>
      <c r="B3965" t="s">
        <v>30</v>
      </c>
      <c r="C3965">
        <v>303</v>
      </c>
      <c r="D3965">
        <v>4</v>
      </c>
      <c r="E3965">
        <v>1</v>
      </c>
      <c r="F3965" t="s">
        <v>320</v>
      </c>
      <c r="G3965" t="s">
        <v>32</v>
      </c>
      <c r="H3965" t="s">
        <v>33</v>
      </c>
      <c r="I3965" t="s">
        <v>34</v>
      </c>
      <c r="J3965" t="s">
        <v>35</v>
      </c>
      <c r="K3965" t="s">
        <v>89</v>
      </c>
      <c r="L3965" t="s">
        <v>37</v>
      </c>
      <c r="M3965">
        <v>0</v>
      </c>
      <c r="N3965">
        <v>0</v>
      </c>
      <c r="O3965" s="5" t="s">
        <v>667</v>
      </c>
      <c r="P3965" s="5" t="s">
        <v>668</v>
      </c>
      <c r="Q3965">
        <f>28-14</f>
        <v>14</v>
      </c>
      <c r="R3965" t="s">
        <v>38</v>
      </c>
      <c r="S3965" t="s">
        <v>39</v>
      </c>
      <c r="T3965">
        <v>17</v>
      </c>
      <c r="U3965">
        <v>88</v>
      </c>
      <c r="V3965">
        <v>16</v>
      </c>
      <c r="W3965">
        <v>13</v>
      </c>
      <c r="X3965">
        <v>27.1</v>
      </c>
      <c r="Z3965" t="s">
        <v>97</v>
      </c>
      <c r="AA3965" t="s">
        <v>199</v>
      </c>
      <c r="AB3965" t="s">
        <v>59</v>
      </c>
      <c r="AC3965" t="s">
        <v>88</v>
      </c>
    </row>
    <row r="3966" spans="1:31" x14ac:dyDescent="0.25">
      <c r="A3966" s="4">
        <v>42606</v>
      </c>
      <c r="B3966" t="s">
        <v>30</v>
      </c>
      <c r="C3966">
        <v>303</v>
      </c>
      <c r="D3966">
        <v>4</v>
      </c>
      <c r="E3966">
        <v>2</v>
      </c>
      <c r="F3966" t="s">
        <v>320</v>
      </c>
      <c r="G3966" t="s">
        <v>32</v>
      </c>
      <c r="H3966" t="s">
        <v>33</v>
      </c>
      <c r="I3966" t="s">
        <v>57</v>
      </c>
      <c r="O3966" s="5"/>
      <c r="P3966" s="5"/>
    </row>
    <row r="3967" spans="1:31" x14ac:dyDescent="0.25">
      <c r="A3967" s="4">
        <v>42606</v>
      </c>
      <c r="B3967" t="s">
        <v>30</v>
      </c>
      <c r="C3967">
        <v>303</v>
      </c>
      <c r="D3967">
        <v>5</v>
      </c>
      <c r="E3967">
        <v>1</v>
      </c>
      <c r="F3967" t="s">
        <v>320</v>
      </c>
      <c r="G3967" t="s">
        <v>32</v>
      </c>
      <c r="H3967" t="s">
        <v>33</v>
      </c>
      <c r="I3967" t="s">
        <v>57</v>
      </c>
      <c r="O3967" s="5"/>
      <c r="P3967" s="5"/>
    </row>
    <row r="3968" spans="1:31" x14ac:dyDescent="0.25">
      <c r="A3968" s="4">
        <v>42606</v>
      </c>
      <c r="B3968" t="s">
        <v>30</v>
      </c>
      <c r="C3968">
        <v>303</v>
      </c>
      <c r="D3968">
        <v>5</v>
      </c>
      <c r="E3968">
        <v>2</v>
      </c>
      <c r="F3968" t="s">
        <v>320</v>
      </c>
      <c r="G3968" t="s">
        <v>32</v>
      </c>
      <c r="H3968" t="s">
        <v>33</v>
      </c>
      <c r="I3968" t="s">
        <v>58</v>
      </c>
      <c r="J3968" t="s">
        <v>35</v>
      </c>
      <c r="K3968" t="s">
        <v>36</v>
      </c>
      <c r="L3968" t="s">
        <v>37</v>
      </c>
      <c r="M3968">
        <v>0</v>
      </c>
      <c r="N3968">
        <v>0</v>
      </c>
      <c r="O3968" s="5" t="s">
        <v>563</v>
      </c>
      <c r="P3968" s="5"/>
      <c r="Q3968">
        <f>36-14</f>
        <v>22</v>
      </c>
      <c r="R3968" t="s">
        <v>38</v>
      </c>
      <c r="S3968" t="s">
        <v>39</v>
      </c>
      <c r="T3968">
        <v>17</v>
      </c>
      <c r="W3968">
        <v>13.1</v>
      </c>
      <c r="X3968">
        <v>27.1</v>
      </c>
      <c r="Z3968" t="s">
        <v>97</v>
      </c>
      <c r="AA3968" t="s">
        <v>199</v>
      </c>
      <c r="AB3968" t="s">
        <v>59</v>
      </c>
      <c r="AC3968" t="s">
        <v>88</v>
      </c>
    </row>
    <row r="3969" spans="1:30" x14ac:dyDescent="0.25">
      <c r="A3969" s="4">
        <v>42606</v>
      </c>
      <c r="B3969" t="s">
        <v>30</v>
      </c>
      <c r="C3969">
        <v>303</v>
      </c>
      <c r="D3969">
        <v>6</v>
      </c>
      <c r="E3969">
        <v>1</v>
      </c>
      <c r="F3969" t="s">
        <v>320</v>
      </c>
      <c r="G3969" t="s">
        <v>32</v>
      </c>
      <c r="H3969" t="s">
        <v>33</v>
      </c>
      <c r="I3969" t="s">
        <v>57</v>
      </c>
      <c r="O3969" s="5"/>
      <c r="P3969" s="5"/>
    </row>
    <row r="3970" spans="1:30" x14ac:dyDescent="0.25">
      <c r="A3970" s="4">
        <v>42606</v>
      </c>
      <c r="B3970" t="s">
        <v>30</v>
      </c>
      <c r="C3970">
        <v>303</v>
      </c>
      <c r="D3970">
        <v>6</v>
      </c>
      <c r="E3970">
        <v>2</v>
      </c>
      <c r="F3970" t="s">
        <v>320</v>
      </c>
      <c r="G3970" t="s">
        <v>32</v>
      </c>
      <c r="H3970" t="s">
        <v>33</v>
      </c>
      <c r="I3970" t="s">
        <v>57</v>
      </c>
      <c r="O3970" s="5"/>
      <c r="P3970" s="5"/>
    </row>
    <row r="3971" spans="1:30" x14ac:dyDescent="0.25">
      <c r="A3971" s="4">
        <v>42606</v>
      </c>
      <c r="B3971" t="s">
        <v>30</v>
      </c>
      <c r="C3971">
        <v>303</v>
      </c>
      <c r="D3971">
        <v>7</v>
      </c>
      <c r="E3971">
        <v>1</v>
      </c>
      <c r="F3971" t="s">
        <v>320</v>
      </c>
      <c r="G3971" t="s">
        <v>32</v>
      </c>
      <c r="H3971" t="s">
        <v>33</v>
      </c>
      <c r="I3971" t="s">
        <v>53</v>
      </c>
      <c r="J3971" t="s">
        <v>62</v>
      </c>
      <c r="O3971" s="5"/>
      <c r="P3971" s="5"/>
    </row>
    <row r="3972" spans="1:30" x14ac:dyDescent="0.25">
      <c r="A3972" s="4">
        <v>42606</v>
      </c>
      <c r="B3972" t="s">
        <v>30</v>
      </c>
      <c r="C3972">
        <v>303</v>
      </c>
      <c r="D3972">
        <v>7</v>
      </c>
      <c r="E3972" t="s">
        <v>1020</v>
      </c>
      <c r="F3972" t="s">
        <v>320</v>
      </c>
      <c r="G3972" t="s">
        <v>32</v>
      </c>
      <c r="H3972" t="s">
        <v>33</v>
      </c>
      <c r="I3972" t="s">
        <v>34</v>
      </c>
      <c r="J3972" t="s">
        <v>35</v>
      </c>
      <c r="K3972" t="s">
        <v>114</v>
      </c>
      <c r="L3972" t="s">
        <v>43</v>
      </c>
      <c r="M3972">
        <v>0</v>
      </c>
      <c r="N3972">
        <v>0</v>
      </c>
      <c r="O3972" s="5" t="s">
        <v>561</v>
      </c>
      <c r="P3972" s="5" t="s">
        <v>562</v>
      </c>
      <c r="Q3972">
        <f>31.5-16</f>
        <v>15.5</v>
      </c>
      <c r="R3972" t="s">
        <v>65</v>
      </c>
      <c r="T3972">
        <v>19</v>
      </c>
      <c r="U3972">
        <v>78</v>
      </c>
      <c r="V3972">
        <v>18</v>
      </c>
      <c r="W3972">
        <v>13.1</v>
      </c>
      <c r="X3972">
        <v>26.5</v>
      </c>
      <c r="Z3972" t="s">
        <v>97</v>
      </c>
      <c r="AA3972" t="s">
        <v>199</v>
      </c>
      <c r="AB3972" t="s">
        <v>59</v>
      </c>
      <c r="AC3972" t="s">
        <v>88</v>
      </c>
    </row>
    <row r="3973" spans="1:30" x14ac:dyDescent="0.25">
      <c r="A3973" s="4">
        <v>42606</v>
      </c>
      <c r="B3973" t="s">
        <v>30</v>
      </c>
      <c r="C3973">
        <v>303</v>
      </c>
      <c r="D3973">
        <v>7</v>
      </c>
      <c r="E3973" t="s">
        <v>508</v>
      </c>
      <c r="F3973" t="s">
        <v>320</v>
      </c>
      <c r="G3973" t="s">
        <v>32</v>
      </c>
      <c r="H3973" t="s">
        <v>33</v>
      </c>
      <c r="I3973" t="s">
        <v>34</v>
      </c>
      <c r="J3973" t="s">
        <v>35</v>
      </c>
      <c r="K3973" t="s">
        <v>89</v>
      </c>
      <c r="L3973" t="s">
        <v>37</v>
      </c>
      <c r="M3973">
        <v>0</v>
      </c>
      <c r="N3973">
        <v>0</v>
      </c>
      <c r="O3973" s="5" t="s">
        <v>692</v>
      </c>
      <c r="P3973" s="5" t="s">
        <v>691</v>
      </c>
      <c r="Q3973">
        <f>28-14</f>
        <v>14</v>
      </c>
      <c r="R3973" t="s">
        <v>38</v>
      </c>
      <c r="S3973" t="s">
        <v>39</v>
      </c>
      <c r="T3973">
        <v>18</v>
      </c>
      <c r="U3973">
        <v>85</v>
      </c>
      <c r="V3973">
        <v>16.5</v>
      </c>
      <c r="W3973">
        <v>12.8</v>
      </c>
      <c r="X3973">
        <v>26</v>
      </c>
      <c r="Z3973" t="s">
        <v>97</v>
      </c>
      <c r="AA3973" t="s">
        <v>199</v>
      </c>
      <c r="AB3973" t="s">
        <v>59</v>
      </c>
      <c r="AC3973" t="s">
        <v>88</v>
      </c>
    </row>
    <row r="3974" spans="1:30" x14ac:dyDescent="0.25">
      <c r="A3974" s="4">
        <v>42606</v>
      </c>
      <c r="B3974" t="s">
        <v>30</v>
      </c>
      <c r="C3974">
        <v>303</v>
      </c>
      <c r="D3974">
        <v>8</v>
      </c>
      <c r="E3974">
        <v>1</v>
      </c>
      <c r="F3974" t="s">
        <v>320</v>
      </c>
      <c r="G3974" t="s">
        <v>32</v>
      </c>
      <c r="H3974" t="s">
        <v>33</v>
      </c>
      <c r="I3974" t="s">
        <v>57</v>
      </c>
      <c r="O3974" s="5"/>
      <c r="P3974" s="5"/>
    </row>
    <row r="3975" spans="1:30" x14ac:dyDescent="0.25">
      <c r="A3975" s="4">
        <v>42606</v>
      </c>
      <c r="B3975" t="s">
        <v>30</v>
      </c>
      <c r="C3975">
        <v>303</v>
      </c>
      <c r="D3975">
        <v>8</v>
      </c>
      <c r="E3975">
        <v>2</v>
      </c>
      <c r="F3975" t="s">
        <v>320</v>
      </c>
      <c r="G3975" t="s">
        <v>32</v>
      </c>
      <c r="H3975" t="s">
        <v>33</v>
      </c>
      <c r="I3975" t="s">
        <v>57</v>
      </c>
      <c r="O3975" s="5"/>
      <c r="P3975" s="5"/>
    </row>
    <row r="3976" spans="1:30" x14ac:dyDescent="0.25">
      <c r="A3976" s="4">
        <v>42606</v>
      </c>
      <c r="B3976" t="s">
        <v>30</v>
      </c>
      <c r="C3976">
        <v>303</v>
      </c>
      <c r="D3976">
        <v>9</v>
      </c>
      <c r="E3976">
        <v>1</v>
      </c>
      <c r="F3976" t="s">
        <v>320</v>
      </c>
      <c r="G3976" t="s">
        <v>32</v>
      </c>
      <c r="H3976" t="s">
        <v>33</v>
      </c>
      <c r="I3976" t="s">
        <v>58</v>
      </c>
      <c r="J3976" t="s">
        <v>42</v>
      </c>
      <c r="K3976" t="s">
        <v>36</v>
      </c>
      <c r="L3976" t="s">
        <v>43</v>
      </c>
      <c r="M3976">
        <v>0</v>
      </c>
      <c r="N3976">
        <v>1</v>
      </c>
      <c r="O3976" s="5" t="s">
        <v>1021</v>
      </c>
      <c r="P3976" s="5"/>
      <c r="Q3976">
        <f>35-15</f>
        <v>20</v>
      </c>
      <c r="R3976" t="s">
        <v>47</v>
      </c>
      <c r="T3976">
        <v>17</v>
      </c>
      <c r="W3976">
        <v>13</v>
      </c>
      <c r="X3976">
        <v>26.9</v>
      </c>
      <c r="Z3976" t="s">
        <v>97</v>
      </c>
      <c r="AA3976" t="s">
        <v>199</v>
      </c>
      <c r="AB3976" t="s">
        <v>59</v>
      </c>
      <c r="AC3976" t="s">
        <v>88</v>
      </c>
      <c r="AD3976" t="s">
        <v>789</v>
      </c>
    </row>
    <row r="3977" spans="1:30" x14ac:dyDescent="0.25">
      <c r="A3977" s="4">
        <v>42606</v>
      </c>
      <c r="B3977" t="s">
        <v>30</v>
      </c>
      <c r="C3977">
        <v>303</v>
      </c>
      <c r="D3977">
        <v>9</v>
      </c>
      <c r="E3977">
        <v>2</v>
      </c>
      <c r="F3977" t="s">
        <v>320</v>
      </c>
      <c r="G3977" t="s">
        <v>32</v>
      </c>
      <c r="H3977" t="s">
        <v>33</v>
      </c>
      <c r="I3977" t="s">
        <v>58</v>
      </c>
      <c r="J3977" t="s">
        <v>35</v>
      </c>
      <c r="K3977" t="s">
        <v>114</v>
      </c>
      <c r="L3977" t="s">
        <v>43</v>
      </c>
      <c r="M3977">
        <v>0</v>
      </c>
      <c r="N3977">
        <v>0</v>
      </c>
      <c r="O3977" s="5" t="s">
        <v>958</v>
      </c>
      <c r="P3977" s="5"/>
      <c r="Q3977">
        <f>31.5-13.5</f>
        <v>18</v>
      </c>
      <c r="R3977" t="s">
        <v>65</v>
      </c>
      <c r="T3977">
        <v>17.5</v>
      </c>
      <c r="W3977">
        <v>12.9</v>
      </c>
      <c r="X3977">
        <v>26.9</v>
      </c>
      <c r="Z3977" t="s">
        <v>97</v>
      </c>
      <c r="AA3977" t="s">
        <v>199</v>
      </c>
      <c r="AB3977" t="s">
        <v>59</v>
      </c>
      <c r="AC3977" t="s">
        <v>88</v>
      </c>
    </row>
    <row r="3978" spans="1:30" x14ac:dyDescent="0.25">
      <c r="A3978" s="4">
        <v>42606</v>
      </c>
      <c r="B3978" t="s">
        <v>30</v>
      </c>
      <c r="C3978">
        <v>303</v>
      </c>
      <c r="D3978">
        <v>10</v>
      </c>
      <c r="E3978">
        <v>1</v>
      </c>
      <c r="F3978" t="s">
        <v>320</v>
      </c>
      <c r="G3978" t="s">
        <v>32</v>
      </c>
      <c r="H3978" t="s">
        <v>33</v>
      </c>
      <c r="I3978" t="s">
        <v>57</v>
      </c>
      <c r="O3978" s="5"/>
      <c r="P3978" s="5"/>
    </row>
    <row r="3979" spans="1:30" x14ac:dyDescent="0.25">
      <c r="A3979" s="4">
        <v>42606</v>
      </c>
      <c r="B3979" t="s">
        <v>30</v>
      </c>
      <c r="C3979">
        <v>303</v>
      </c>
      <c r="D3979">
        <v>10</v>
      </c>
      <c r="E3979">
        <v>2</v>
      </c>
      <c r="F3979" t="s">
        <v>320</v>
      </c>
      <c r="G3979" t="s">
        <v>32</v>
      </c>
      <c r="H3979" t="s">
        <v>33</v>
      </c>
      <c r="I3979" t="s">
        <v>53</v>
      </c>
      <c r="J3979" t="s">
        <v>62</v>
      </c>
      <c r="O3979" s="5"/>
      <c r="P3979" s="5"/>
    </row>
    <row r="3980" spans="1:30" x14ac:dyDescent="0.25">
      <c r="A3980" s="4">
        <v>42606</v>
      </c>
      <c r="B3980" t="s">
        <v>30</v>
      </c>
      <c r="C3980">
        <v>401</v>
      </c>
      <c r="D3980">
        <v>1</v>
      </c>
      <c r="E3980">
        <v>1</v>
      </c>
      <c r="F3980" t="s">
        <v>320</v>
      </c>
      <c r="G3980" t="s">
        <v>32</v>
      </c>
      <c r="H3980" t="s">
        <v>33</v>
      </c>
      <c r="I3980" t="s">
        <v>58</v>
      </c>
      <c r="J3980" t="s">
        <v>35</v>
      </c>
      <c r="K3980" t="s">
        <v>36</v>
      </c>
      <c r="L3980" t="s">
        <v>37</v>
      </c>
      <c r="M3980">
        <v>0</v>
      </c>
      <c r="N3980">
        <v>0</v>
      </c>
      <c r="O3980" s="5" t="s">
        <v>669</v>
      </c>
      <c r="P3980" s="5"/>
      <c r="Q3980">
        <f>39-13</f>
        <v>26</v>
      </c>
      <c r="R3980" t="s">
        <v>74</v>
      </c>
      <c r="S3980" t="s">
        <v>97</v>
      </c>
      <c r="T3980">
        <v>17</v>
      </c>
      <c r="Z3980" t="s">
        <v>97</v>
      </c>
      <c r="AA3980" t="s">
        <v>199</v>
      </c>
      <c r="AB3980" t="s">
        <v>59</v>
      </c>
      <c r="AC3980" t="s">
        <v>88</v>
      </c>
      <c r="AD3980" t="s">
        <v>1022</v>
      </c>
    </row>
    <row r="3981" spans="1:30" x14ac:dyDescent="0.25">
      <c r="A3981" s="4">
        <v>42606</v>
      </c>
      <c r="B3981" t="s">
        <v>30</v>
      </c>
      <c r="C3981">
        <v>401</v>
      </c>
      <c r="D3981">
        <v>1</v>
      </c>
      <c r="E3981">
        <v>2</v>
      </c>
      <c r="F3981" t="s">
        <v>320</v>
      </c>
      <c r="G3981" t="s">
        <v>32</v>
      </c>
      <c r="H3981" t="s">
        <v>33</v>
      </c>
      <c r="I3981" t="s">
        <v>34</v>
      </c>
      <c r="J3981" t="s">
        <v>35</v>
      </c>
      <c r="K3981" t="s">
        <v>114</v>
      </c>
      <c r="L3981" t="s">
        <v>37</v>
      </c>
      <c r="M3981">
        <v>0</v>
      </c>
      <c r="N3981">
        <v>0</v>
      </c>
      <c r="O3981" s="5" t="s">
        <v>670</v>
      </c>
      <c r="P3981" s="5" t="s">
        <v>671</v>
      </c>
      <c r="Q3981">
        <f>36-17</f>
        <v>19</v>
      </c>
      <c r="R3981" t="s">
        <v>38</v>
      </c>
      <c r="S3981" t="s">
        <v>39</v>
      </c>
      <c r="T3981">
        <v>20</v>
      </c>
      <c r="U3981">
        <v>100</v>
      </c>
      <c r="V3981">
        <v>17</v>
      </c>
      <c r="W3981">
        <v>13</v>
      </c>
      <c r="X3981">
        <v>28.4</v>
      </c>
      <c r="Z3981" t="s">
        <v>97</v>
      </c>
      <c r="AA3981" t="s">
        <v>199</v>
      </c>
      <c r="AB3981" t="s">
        <v>59</v>
      </c>
      <c r="AC3981" t="s">
        <v>88</v>
      </c>
    </row>
    <row r="3982" spans="1:30" x14ac:dyDescent="0.25">
      <c r="A3982" s="4">
        <v>42606</v>
      </c>
      <c r="B3982" t="s">
        <v>30</v>
      </c>
      <c r="C3982">
        <v>401</v>
      </c>
      <c r="D3982">
        <v>2</v>
      </c>
      <c r="E3982">
        <v>1</v>
      </c>
      <c r="F3982" t="s">
        <v>320</v>
      </c>
      <c r="G3982" t="s">
        <v>32</v>
      </c>
      <c r="H3982" t="s">
        <v>33</v>
      </c>
      <c r="I3982" t="s">
        <v>57</v>
      </c>
      <c r="O3982" s="5"/>
      <c r="P3982" s="5"/>
    </row>
    <row r="3983" spans="1:30" x14ac:dyDescent="0.25">
      <c r="A3983" s="4">
        <v>42606</v>
      </c>
      <c r="B3983" t="s">
        <v>30</v>
      </c>
      <c r="C3983">
        <v>401</v>
      </c>
      <c r="D3983">
        <v>2</v>
      </c>
      <c r="E3983">
        <v>2</v>
      </c>
      <c r="F3983" t="s">
        <v>320</v>
      </c>
      <c r="G3983" t="s">
        <v>32</v>
      </c>
      <c r="H3983" t="s">
        <v>33</v>
      </c>
      <c r="I3983" t="s">
        <v>57</v>
      </c>
      <c r="O3983" s="5"/>
      <c r="P3983" s="5"/>
    </row>
    <row r="3984" spans="1:30" x14ac:dyDescent="0.25">
      <c r="A3984" s="4">
        <v>42606</v>
      </c>
      <c r="B3984" t="s">
        <v>30</v>
      </c>
      <c r="C3984">
        <v>401</v>
      </c>
      <c r="D3984">
        <v>3</v>
      </c>
      <c r="E3984">
        <v>1</v>
      </c>
      <c r="F3984" t="s">
        <v>320</v>
      </c>
      <c r="G3984" t="s">
        <v>32</v>
      </c>
      <c r="H3984" t="s">
        <v>33</v>
      </c>
      <c r="I3984" t="s">
        <v>58</v>
      </c>
      <c r="J3984" t="s">
        <v>35</v>
      </c>
      <c r="K3984" t="s">
        <v>114</v>
      </c>
      <c r="L3984" t="s">
        <v>37</v>
      </c>
      <c r="M3984">
        <v>0</v>
      </c>
      <c r="N3984">
        <v>0</v>
      </c>
      <c r="O3984" s="5" t="s">
        <v>999</v>
      </c>
      <c r="P3984" s="5"/>
      <c r="Q3984">
        <f>33-17</f>
        <v>16</v>
      </c>
      <c r="R3984" t="s">
        <v>38</v>
      </c>
      <c r="S3984" t="s">
        <v>39</v>
      </c>
      <c r="T3984">
        <v>17</v>
      </c>
      <c r="W3984">
        <v>13</v>
      </c>
      <c r="X3984">
        <v>26</v>
      </c>
      <c r="Z3984" t="s">
        <v>97</v>
      </c>
      <c r="AA3984" t="s">
        <v>199</v>
      </c>
      <c r="AB3984" t="s">
        <v>59</v>
      </c>
      <c r="AC3984" t="s">
        <v>88</v>
      </c>
    </row>
    <row r="3985" spans="1:31" x14ac:dyDescent="0.25">
      <c r="A3985" s="4">
        <v>42606</v>
      </c>
      <c r="B3985" t="s">
        <v>30</v>
      </c>
      <c r="C3985">
        <v>401</v>
      </c>
      <c r="D3985">
        <v>4</v>
      </c>
      <c r="E3985">
        <v>1</v>
      </c>
      <c r="F3985" t="s">
        <v>320</v>
      </c>
      <c r="G3985" t="s">
        <v>32</v>
      </c>
      <c r="H3985" t="s">
        <v>33</v>
      </c>
      <c r="I3985" t="s">
        <v>34</v>
      </c>
      <c r="J3985" t="s">
        <v>35</v>
      </c>
      <c r="K3985" t="s">
        <v>114</v>
      </c>
      <c r="L3985" t="s">
        <v>43</v>
      </c>
      <c r="M3985">
        <v>0</v>
      </c>
      <c r="N3985">
        <v>0</v>
      </c>
      <c r="O3985" s="5" t="s">
        <v>694</v>
      </c>
      <c r="P3985" s="5" t="s">
        <v>695</v>
      </c>
      <c r="Q3985">
        <f>34-17</f>
        <v>17</v>
      </c>
      <c r="R3985" t="s">
        <v>65</v>
      </c>
      <c r="T3985">
        <v>19.5</v>
      </c>
      <c r="U3985">
        <v>95</v>
      </c>
      <c r="V3985">
        <v>14.5</v>
      </c>
      <c r="W3985">
        <v>13.1</v>
      </c>
      <c r="X3985">
        <v>26.4</v>
      </c>
      <c r="Z3985" t="s">
        <v>97</v>
      </c>
      <c r="AA3985" t="s">
        <v>199</v>
      </c>
      <c r="AB3985" t="s">
        <v>59</v>
      </c>
      <c r="AC3985" t="s">
        <v>88</v>
      </c>
    </row>
    <row r="3986" spans="1:31" x14ac:dyDescent="0.25">
      <c r="A3986" s="4">
        <v>42606</v>
      </c>
      <c r="B3986" t="s">
        <v>30</v>
      </c>
      <c r="C3986">
        <v>401</v>
      </c>
      <c r="D3986">
        <v>5</v>
      </c>
      <c r="E3986">
        <v>1</v>
      </c>
      <c r="F3986" t="s">
        <v>320</v>
      </c>
      <c r="G3986" t="s">
        <v>32</v>
      </c>
      <c r="H3986" t="s">
        <v>33</v>
      </c>
      <c r="I3986" t="s">
        <v>91</v>
      </c>
      <c r="J3986" t="s">
        <v>35</v>
      </c>
      <c r="K3986" t="s">
        <v>114</v>
      </c>
      <c r="L3986" t="s">
        <v>37</v>
      </c>
      <c r="M3986">
        <v>0</v>
      </c>
      <c r="N3986">
        <v>0</v>
      </c>
      <c r="O3986" s="5"/>
      <c r="P3986" s="5" t="s">
        <v>1000</v>
      </c>
      <c r="Q3986">
        <f>31-13</f>
        <v>18</v>
      </c>
      <c r="R3986" t="s">
        <v>38</v>
      </c>
      <c r="S3986" t="s">
        <v>39</v>
      </c>
      <c r="T3986">
        <v>28</v>
      </c>
      <c r="W3986">
        <v>13.1</v>
      </c>
      <c r="X3986">
        <v>26.3</v>
      </c>
      <c r="Z3986" t="s">
        <v>97</v>
      </c>
      <c r="AA3986" t="s">
        <v>199</v>
      </c>
      <c r="AB3986" t="s">
        <v>59</v>
      </c>
      <c r="AC3986" t="s">
        <v>88</v>
      </c>
      <c r="AD3986" t="s">
        <v>1002</v>
      </c>
    </row>
    <row r="3987" spans="1:31" x14ac:dyDescent="0.25">
      <c r="A3987" s="4">
        <v>42606</v>
      </c>
      <c r="B3987" t="s">
        <v>30</v>
      </c>
      <c r="C3987">
        <v>401</v>
      </c>
      <c r="D3987">
        <v>5</v>
      </c>
      <c r="E3987">
        <v>2</v>
      </c>
      <c r="F3987" t="s">
        <v>320</v>
      </c>
      <c r="G3987" t="s">
        <v>32</v>
      </c>
      <c r="H3987" t="s">
        <v>33</v>
      </c>
      <c r="I3987" t="s">
        <v>53</v>
      </c>
      <c r="J3987" t="s">
        <v>62</v>
      </c>
      <c r="O3987" s="5"/>
      <c r="P3987" s="5"/>
    </row>
    <row r="3988" spans="1:31" x14ac:dyDescent="0.25">
      <c r="A3988" s="4">
        <v>42606</v>
      </c>
      <c r="B3988" t="s">
        <v>30</v>
      </c>
      <c r="C3988">
        <v>401</v>
      </c>
      <c r="D3988">
        <v>6</v>
      </c>
      <c r="E3988">
        <v>1</v>
      </c>
      <c r="F3988" t="s">
        <v>320</v>
      </c>
      <c r="G3988" t="s">
        <v>32</v>
      </c>
      <c r="H3988" t="s">
        <v>33</v>
      </c>
      <c r="I3988" t="s">
        <v>53</v>
      </c>
      <c r="J3988" t="s">
        <v>62</v>
      </c>
      <c r="O3988" s="5"/>
      <c r="P3988" s="5"/>
    </row>
    <row r="3989" spans="1:31" x14ac:dyDescent="0.25">
      <c r="A3989" s="4">
        <v>42606</v>
      </c>
      <c r="B3989" t="s">
        <v>30</v>
      </c>
      <c r="C3989">
        <v>401</v>
      </c>
      <c r="D3989">
        <v>6</v>
      </c>
      <c r="E3989">
        <v>2</v>
      </c>
      <c r="F3989" t="s">
        <v>320</v>
      </c>
      <c r="G3989" t="s">
        <v>32</v>
      </c>
      <c r="H3989" t="s">
        <v>33</v>
      </c>
      <c r="I3989" t="s">
        <v>57</v>
      </c>
      <c r="O3989" s="5"/>
      <c r="P3989" s="5"/>
    </row>
    <row r="3990" spans="1:31" x14ac:dyDescent="0.25">
      <c r="A3990" s="4">
        <v>42606</v>
      </c>
      <c r="B3990" t="s">
        <v>30</v>
      </c>
      <c r="C3990">
        <v>401</v>
      </c>
      <c r="D3990">
        <v>7</v>
      </c>
      <c r="E3990">
        <v>1</v>
      </c>
      <c r="F3990" t="s">
        <v>320</v>
      </c>
      <c r="G3990" t="s">
        <v>32</v>
      </c>
      <c r="H3990" t="s">
        <v>33</v>
      </c>
      <c r="I3990" t="s">
        <v>57</v>
      </c>
      <c r="O3990" s="5"/>
      <c r="P3990" s="5"/>
    </row>
    <row r="3991" spans="1:31" x14ac:dyDescent="0.25">
      <c r="A3991" s="4">
        <v>42606</v>
      </c>
      <c r="B3991" t="s">
        <v>30</v>
      </c>
      <c r="C3991">
        <v>401</v>
      </c>
      <c r="D3991">
        <v>8</v>
      </c>
      <c r="E3991">
        <v>1</v>
      </c>
      <c r="F3991" t="s">
        <v>320</v>
      </c>
      <c r="G3991" t="s">
        <v>32</v>
      </c>
      <c r="H3991" t="s">
        <v>33</v>
      </c>
      <c r="I3991" t="s">
        <v>57</v>
      </c>
      <c r="O3991" s="5"/>
      <c r="P3991" s="5"/>
    </row>
    <row r="3992" spans="1:31" x14ac:dyDescent="0.25">
      <c r="A3992" s="4">
        <v>42606</v>
      </c>
      <c r="B3992" t="s">
        <v>30</v>
      </c>
      <c r="C3992">
        <v>401</v>
      </c>
      <c r="D3992">
        <v>8</v>
      </c>
      <c r="E3992">
        <v>2</v>
      </c>
      <c r="F3992" t="s">
        <v>320</v>
      </c>
      <c r="G3992" t="s">
        <v>32</v>
      </c>
      <c r="H3992" t="s">
        <v>33</v>
      </c>
      <c r="I3992" t="s">
        <v>58</v>
      </c>
      <c r="J3992" t="s">
        <v>42</v>
      </c>
      <c r="K3992" t="s">
        <v>114</v>
      </c>
      <c r="L3992" t="s">
        <v>43</v>
      </c>
      <c r="M3992">
        <v>0</v>
      </c>
      <c r="N3992">
        <v>1</v>
      </c>
      <c r="O3992" s="5" t="s">
        <v>1023</v>
      </c>
      <c r="P3992" s="5"/>
      <c r="Q3992">
        <f>30-13</f>
        <v>17</v>
      </c>
      <c r="R3992" t="s">
        <v>65</v>
      </c>
      <c r="T3992">
        <v>18</v>
      </c>
      <c r="W3992">
        <v>12.7</v>
      </c>
      <c r="X3992">
        <v>26.4</v>
      </c>
      <c r="Z3992" t="s">
        <v>97</v>
      </c>
      <c r="AA3992" t="s">
        <v>1024</v>
      </c>
      <c r="AB3992" t="s">
        <v>59</v>
      </c>
      <c r="AC3992" t="s">
        <v>88</v>
      </c>
      <c r="AD3992" t="s">
        <v>1009</v>
      </c>
      <c r="AE3992" t="s">
        <v>789</v>
      </c>
    </row>
    <row r="3993" spans="1:31" x14ac:dyDescent="0.25">
      <c r="A3993" s="4">
        <v>42606</v>
      </c>
      <c r="B3993" t="s">
        <v>30</v>
      </c>
      <c r="C3993">
        <v>401</v>
      </c>
      <c r="D3993">
        <v>9</v>
      </c>
      <c r="E3993">
        <v>1</v>
      </c>
      <c r="F3993" t="s">
        <v>320</v>
      </c>
      <c r="G3993" t="s">
        <v>32</v>
      </c>
      <c r="H3993" t="s">
        <v>33</v>
      </c>
      <c r="I3993" t="s">
        <v>57</v>
      </c>
      <c r="O3993" s="5"/>
      <c r="P3993" s="5"/>
    </row>
    <row r="3994" spans="1:31" x14ac:dyDescent="0.25">
      <c r="A3994" s="4">
        <v>42606</v>
      </c>
      <c r="B3994" t="s">
        <v>30</v>
      </c>
      <c r="C3994">
        <v>401</v>
      </c>
      <c r="D3994">
        <v>9</v>
      </c>
      <c r="E3994">
        <v>2</v>
      </c>
      <c r="F3994" t="s">
        <v>320</v>
      </c>
      <c r="G3994" t="s">
        <v>32</v>
      </c>
      <c r="H3994" t="s">
        <v>33</v>
      </c>
      <c r="I3994" t="s">
        <v>57</v>
      </c>
      <c r="O3994" s="5"/>
      <c r="P3994" s="5"/>
    </row>
    <row r="3995" spans="1:31" x14ac:dyDescent="0.25">
      <c r="A3995" s="4">
        <v>42606</v>
      </c>
      <c r="B3995" t="s">
        <v>30</v>
      </c>
      <c r="C3995">
        <v>401</v>
      </c>
      <c r="D3995">
        <v>10</v>
      </c>
      <c r="E3995">
        <v>1</v>
      </c>
      <c r="F3995" t="s">
        <v>320</v>
      </c>
      <c r="G3995" t="s">
        <v>32</v>
      </c>
      <c r="H3995" t="s">
        <v>33</v>
      </c>
      <c r="I3995" t="s">
        <v>91</v>
      </c>
      <c r="J3995" t="s">
        <v>35</v>
      </c>
      <c r="K3995" t="s">
        <v>36</v>
      </c>
      <c r="L3995" t="s">
        <v>37</v>
      </c>
      <c r="M3995">
        <v>0</v>
      </c>
      <c r="N3995">
        <v>0</v>
      </c>
      <c r="O3995" s="5" t="s">
        <v>993</v>
      </c>
      <c r="P3995" s="5"/>
      <c r="Q3995">
        <f>34-13</f>
        <v>21</v>
      </c>
      <c r="R3995" t="s">
        <v>38</v>
      </c>
      <c r="S3995" t="s">
        <v>39</v>
      </c>
      <c r="T3995">
        <v>29</v>
      </c>
      <c r="W3995">
        <v>13.2</v>
      </c>
      <c r="X3995">
        <v>25.5</v>
      </c>
      <c r="Z3995" t="s">
        <v>39</v>
      </c>
      <c r="AB3995" t="s">
        <v>59</v>
      </c>
      <c r="AC3995" t="s">
        <v>88</v>
      </c>
      <c r="AD3995" t="s">
        <v>704</v>
      </c>
    </row>
    <row r="3996" spans="1:31" x14ac:dyDescent="0.25">
      <c r="A3996" s="4">
        <v>42606</v>
      </c>
      <c r="B3996" t="s">
        <v>30</v>
      </c>
      <c r="C3996">
        <v>401</v>
      </c>
      <c r="D3996">
        <v>10</v>
      </c>
      <c r="E3996">
        <v>2</v>
      </c>
      <c r="F3996" t="s">
        <v>320</v>
      </c>
      <c r="G3996" t="s">
        <v>32</v>
      </c>
      <c r="H3996" t="s">
        <v>33</v>
      </c>
      <c r="I3996" t="s">
        <v>58</v>
      </c>
      <c r="J3996" t="s">
        <v>35</v>
      </c>
      <c r="K3996" t="s">
        <v>36</v>
      </c>
      <c r="L3996" t="s">
        <v>37</v>
      </c>
      <c r="M3996">
        <v>0</v>
      </c>
      <c r="N3996">
        <v>0</v>
      </c>
      <c r="O3996" s="5" t="s">
        <v>1025</v>
      </c>
      <c r="P3996" s="5"/>
      <c r="Q3996">
        <f>40-13</f>
        <v>27</v>
      </c>
      <c r="R3996" t="s">
        <v>74</v>
      </c>
      <c r="S3996" t="s">
        <v>97</v>
      </c>
      <c r="T3996">
        <v>17</v>
      </c>
      <c r="W3996">
        <v>13.1</v>
      </c>
      <c r="X3996">
        <v>26.7</v>
      </c>
      <c r="Z3996" t="s">
        <v>97</v>
      </c>
      <c r="AA3996" t="s">
        <v>199</v>
      </c>
      <c r="AB3996" t="s">
        <v>59</v>
      </c>
      <c r="AC3996" t="s">
        <v>88</v>
      </c>
    </row>
    <row r="3997" spans="1:31" x14ac:dyDescent="0.25">
      <c r="A3997" s="4">
        <v>42606</v>
      </c>
      <c r="B3997" t="s">
        <v>30</v>
      </c>
      <c r="C3997">
        <v>703</v>
      </c>
      <c r="D3997">
        <v>1</v>
      </c>
      <c r="E3997">
        <v>1</v>
      </c>
      <c r="F3997" t="s">
        <v>31</v>
      </c>
      <c r="G3997" t="s">
        <v>32</v>
      </c>
      <c r="H3997" t="s">
        <v>33</v>
      </c>
      <c r="I3997" t="s">
        <v>57</v>
      </c>
      <c r="O3997" s="5"/>
      <c r="P3997" s="5"/>
    </row>
    <row r="3998" spans="1:31" x14ac:dyDescent="0.25">
      <c r="A3998" s="4">
        <v>42606</v>
      </c>
      <c r="B3998" t="s">
        <v>30</v>
      </c>
      <c r="C3998">
        <v>703</v>
      </c>
      <c r="D3998">
        <v>1</v>
      </c>
      <c r="E3998">
        <v>2</v>
      </c>
      <c r="F3998" t="s">
        <v>31</v>
      </c>
      <c r="G3998" t="s">
        <v>32</v>
      </c>
      <c r="H3998" t="s">
        <v>33</v>
      </c>
      <c r="I3998" t="s">
        <v>34</v>
      </c>
      <c r="J3998" t="s">
        <v>35</v>
      </c>
      <c r="K3998" t="s">
        <v>114</v>
      </c>
      <c r="L3998" t="s">
        <v>43</v>
      </c>
      <c r="M3998">
        <v>0</v>
      </c>
      <c r="N3998">
        <v>0</v>
      </c>
      <c r="O3998" s="5" t="s">
        <v>622</v>
      </c>
      <c r="P3998" s="5" t="s">
        <v>623</v>
      </c>
      <c r="Q3998">
        <f>29-14</f>
        <v>15</v>
      </c>
      <c r="R3998" t="s">
        <v>65</v>
      </c>
      <c r="T3998">
        <v>19</v>
      </c>
      <c r="U3998">
        <v>76</v>
      </c>
      <c r="V3998">
        <v>16</v>
      </c>
      <c r="W3998">
        <v>12.9</v>
      </c>
      <c r="X3998">
        <v>25</v>
      </c>
      <c r="AB3998" t="s">
        <v>40</v>
      </c>
      <c r="AC3998" t="s">
        <v>56</v>
      </c>
      <c r="AD3998" t="s">
        <v>1026</v>
      </c>
    </row>
    <row r="3999" spans="1:31" x14ac:dyDescent="0.25">
      <c r="A3999" s="4">
        <v>42606</v>
      </c>
      <c r="B3999" t="s">
        <v>30</v>
      </c>
      <c r="C3999">
        <v>703</v>
      </c>
      <c r="D3999">
        <v>2</v>
      </c>
      <c r="E3999">
        <v>1</v>
      </c>
      <c r="F3999" t="s">
        <v>31</v>
      </c>
      <c r="G3999" t="s">
        <v>32</v>
      </c>
      <c r="H3999" t="s">
        <v>33</v>
      </c>
      <c r="I3999" t="s">
        <v>58</v>
      </c>
      <c r="J3999" t="s">
        <v>35</v>
      </c>
      <c r="K3999" t="s">
        <v>36</v>
      </c>
      <c r="L3999" t="s">
        <v>37</v>
      </c>
      <c r="M3999">
        <v>0</v>
      </c>
      <c r="N3999">
        <v>0</v>
      </c>
      <c r="O3999" s="5" t="s">
        <v>700</v>
      </c>
      <c r="P3999" s="5"/>
      <c r="Q3999">
        <f>33-12.5</f>
        <v>20.5</v>
      </c>
      <c r="R3999" t="s">
        <v>38</v>
      </c>
      <c r="S3999" t="s">
        <v>39</v>
      </c>
      <c r="T3999">
        <v>17</v>
      </c>
      <c r="W3999">
        <v>12.7</v>
      </c>
      <c r="X3999">
        <v>26.1</v>
      </c>
      <c r="AB3999" t="s">
        <v>40</v>
      </c>
      <c r="AC3999" t="s">
        <v>56</v>
      </c>
    </row>
    <row r="4000" spans="1:31" x14ac:dyDescent="0.25">
      <c r="A4000" s="4">
        <v>42606</v>
      </c>
      <c r="B4000" t="s">
        <v>30</v>
      </c>
      <c r="C4000">
        <v>703</v>
      </c>
      <c r="D4000">
        <v>2</v>
      </c>
      <c r="E4000">
        <v>2</v>
      </c>
      <c r="F4000" t="s">
        <v>31</v>
      </c>
      <c r="G4000" t="s">
        <v>32</v>
      </c>
      <c r="H4000" t="s">
        <v>33</v>
      </c>
      <c r="I4000" t="s">
        <v>57</v>
      </c>
      <c r="O4000" s="5"/>
      <c r="P4000" s="5"/>
    </row>
    <row r="4001" spans="1:29" x14ac:dyDescent="0.25">
      <c r="A4001" s="4">
        <v>42606</v>
      </c>
      <c r="B4001" t="s">
        <v>30</v>
      </c>
      <c r="C4001">
        <v>703</v>
      </c>
      <c r="D4001">
        <v>3</v>
      </c>
      <c r="E4001">
        <v>1</v>
      </c>
      <c r="F4001" t="s">
        <v>31</v>
      </c>
      <c r="G4001" t="s">
        <v>32</v>
      </c>
      <c r="H4001" t="s">
        <v>33</v>
      </c>
      <c r="I4001" t="s">
        <v>57</v>
      </c>
      <c r="O4001" s="5"/>
      <c r="P4001" s="5"/>
    </row>
    <row r="4002" spans="1:29" x14ac:dyDescent="0.25">
      <c r="A4002" s="4">
        <v>42606</v>
      </c>
      <c r="B4002" t="s">
        <v>30</v>
      </c>
      <c r="C4002">
        <v>703</v>
      </c>
      <c r="D4002">
        <v>3</v>
      </c>
      <c r="E4002">
        <v>2</v>
      </c>
      <c r="F4002" t="s">
        <v>31</v>
      </c>
      <c r="G4002" t="s">
        <v>32</v>
      </c>
      <c r="H4002" t="s">
        <v>33</v>
      </c>
      <c r="I4002" t="s">
        <v>34</v>
      </c>
      <c r="J4002" t="s">
        <v>35</v>
      </c>
      <c r="K4002" t="s">
        <v>114</v>
      </c>
      <c r="L4002" t="s">
        <v>37</v>
      </c>
      <c r="M4002">
        <v>0</v>
      </c>
      <c r="N4002">
        <v>0</v>
      </c>
      <c r="O4002" s="5" t="s">
        <v>612</v>
      </c>
      <c r="P4002" s="5" t="s">
        <v>613</v>
      </c>
      <c r="Q4002">
        <f>29-15</f>
        <v>14</v>
      </c>
      <c r="R4002" t="s">
        <v>38</v>
      </c>
      <c r="S4002" t="s">
        <v>39</v>
      </c>
      <c r="T4002">
        <v>17</v>
      </c>
      <c r="U4002">
        <v>79</v>
      </c>
      <c r="V4002">
        <v>16</v>
      </c>
      <c r="W4002">
        <v>13</v>
      </c>
      <c r="X4002">
        <v>26</v>
      </c>
      <c r="AB4002" t="s">
        <v>40</v>
      </c>
      <c r="AC4002" t="s">
        <v>56</v>
      </c>
    </row>
    <row r="4003" spans="1:29" x14ac:dyDescent="0.25">
      <c r="A4003" s="4">
        <v>42606</v>
      </c>
      <c r="B4003" t="s">
        <v>30</v>
      </c>
      <c r="C4003">
        <v>703</v>
      </c>
      <c r="D4003">
        <v>4</v>
      </c>
      <c r="E4003">
        <v>1</v>
      </c>
      <c r="F4003" t="s">
        <v>31</v>
      </c>
      <c r="G4003" t="s">
        <v>32</v>
      </c>
      <c r="H4003" t="s">
        <v>33</v>
      </c>
      <c r="I4003" t="s">
        <v>57</v>
      </c>
      <c r="O4003" s="5"/>
      <c r="P4003" s="5"/>
    </row>
    <row r="4004" spans="1:29" x14ac:dyDescent="0.25">
      <c r="A4004" s="4">
        <v>42606</v>
      </c>
      <c r="B4004" t="s">
        <v>30</v>
      </c>
      <c r="C4004">
        <v>703</v>
      </c>
      <c r="D4004">
        <v>4</v>
      </c>
      <c r="E4004">
        <v>2</v>
      </c>
      <c r="F4004" t="s">
        <v>31</v>
      </c>
      <c r="G4004" t="s">
        <v>32</v>
      </c>
      <c r="H4004" t="s">
        <v>33</v>
      </c>
      <c r="I4004" t="s">
        <v>57</v>
      </c>
      <c r="O4004" s="5"/>
      <c r="P4004" s="5"/>
    </row>
    <row r="4005" spans="1:29" x14ac:dyDescent="0.25">
      <c r="A4005" s="4">
        <v>42606</v>
      </c>
      <c r="B4005" t="s">
        <v>30</v>
      </c>
      <c r="C4005">
        <v>703</v>
      </c>
      <c r="D4005">
        <v>5</v>
      </c>
      <c r="E4005">
        <v>1</v>
      </c>
      <c r="F4005" t="s">
        <v>31</v>
      </c>
      <c r="G4005" t="s">
        <v>32</v>
      </c>
      <c r="H4005" t="s">
        <v>33</v>
      </c>
      <c r="I4005" t="s">
        <v>57</v>
      </c>
      <c r="O4005" s="5"/>
      <c r="P4005" s="5"/>
    </row>
    <row r="4006" spans="1:29" x14ac:dyDescent="0.25">
      <c r="A4006" s="4">
        <v>42606</v>
      </c>
      <c r="B4006" t="s">
        <v>30</v>
      </c>
      <c r="C4006">
        <v>703</v>
      </c>
      <c r="D4006">
        <v>5</v>
      </c>
      <c r="E4006">
        <v>2</v>
      </c>
      <c r="F4006" t="s">
        <v>31</v>
      </c>
      <c r="G4006" t="s">
        <v>32</v>
      </c>
      <c r="H4006" t="s">
        <v>33</v>
      </c>
      <c r="I4006" t="s">
        <v>58</v>
      </c>
      <c r="J4006" t="s">
        <v>35</v>
      </c>
      <c r="K4006" t="s">
        <v>114</v>
      </c>
      <c r="L4006" t="s">
        <v>43</v>
      </c>
      <c r="M4006">
        <v>0</v>
      </c>
      <c r="N4006">
        <v>0</v>
      </c>
      <c r="O4006" s="5"/>
      <c r="P4006" s="5" t="s">
        <v>617</v>
      </c>
      <c r="Q4006">
        <f>33-16</f>
        <v>17</v>
      </c>
      <c r="R4006" t="s">
        <v>47</v>
      </c>
      <c r="T4006">
        <v>16</v>
      </c>
      <c r="W4006">
        <v>12.5</v>
      </c>
      <c r="X4006">
        <v>24.9</v>
      </c>
      <c r="Z4006" t="s">
        <v>97</v>
      </c>
      <c r="AB4006" t="s">
        <v>40</v>
      </c>
      <c r="AC4006" t="s">
        <v>56</v>
      </c>
    </row>
    <row r="4007" spans="1:29" x14ac:dyDescent="0.25">
      <c r="A4007" s="4">
        <v>42606</v>
      </c>
      <c r="B4007" t="s">
        <v>30</v>
      </c>
      <c r="C4007">
        <v>703</v>
      </c>
      <c r="D4007">
        <v>6</v>
      </c>
      <c r="E4007">
        <v>1</v>
      </c>
      <c r="F4007" t="s">
        <v>31</v>
      </c>
      <c r="G4007" t="s">
        <v>32</v>
      </c>
      <c r="H4007" t="s">
        <v>33</v>
      </c>
      <c r="I4007" t="s">
        <v>58</v>
      </c>
      <c r="J4007" t="s">
        <v>35</v>
      </c>
      <c r="K4007" t="s">
        <v>114</v>
      </c>
      <c r="L4007" t="s">
        <v>37</v>
      </c>
      <c r="M4007">
        <v>0</v>
      </c>
      <c r="N4007">
        <v>0</v>
      </c>
      <c r="O4007" s="5" t="s">
        <v>575</v>
      </c>
      <c r="P4007" s="5"/>
      <c r="Q4007">
        <f>31.5-12.5</f>
        <v>19</v>
      </c>
      <c r="R4007" t="s">
        <v>83</v>
      </c>
      <c r="S4007" t="s">
        <v>39</v>
      </c>
      <c r="T4007">
        <v>16</v>
      </c>
      <c r="W4007">
        <v>12.5</v>
      </c>
      <c r="X4007">
        <v>25.9</v>
      </c>
      <c r="AB4007" t="s">
        <v>40</v>
      </c>
      <c r="AC4007" t="s">
        <v>56</v>
      </c>
    </row>
    <row r="4008" spans="1:29" x14ac:dyDescent="0.25">
      <c r="A4008" s="4">
        <v>42606</v>
      </c>
      <c r="B4008" t="s">
        <v>30</v>
      </c>
      <c r="C4008">
        <v>703</v>
      </c>
      <c r="D4008">
        <v>6</v>
      </c>
      <c r="E4008">
        <v>2</v>
      </c>
      <c r="F4008" t="s">
        <v>31</v>
      </c>
      <c r="G4008" t="s">
        <v>32</v>
      </c>
      <c r="H4008" t="s">
        <v>33</v>
      </c>
      <c r="I4008" t="s">
        <v>34</v>
      </c>
      <c r="J4008" t="s">
        <v>35</v>
      </c>
      <c r="K4008" t="s">
        <v>114</v>
      </c>
      <c r="L4008" t="s">
        <v>43</v>
      </c>
      <c r="M4008">
        <v>0</v>
      </c>
      <c r="N4008">
        <v>0</v>
      </c>
      <c r="O4008" s="5" t="s">
        <v>579</v>
      </c>
      <c r="P4008" s="5" t="s">
        <v>580</v>
      </c>
      <c r="Q4008">
        <f>30-13</f>
        <v>17</v>
      </c>
      <c r="R4008" t="s">
        <v>65</v>
      </c>
      <c r="T4008">
        <v>19</v>
      </c>
      <c r="U4008">
        <v>85</v>
      </c>
      <c r="V4008">
        <v>18</v>
      </c>
      <c r="W4008">
        <v>12.9</v>
      </c>
      <c r="X4008">
        <v>28.3</v>
      </c>
      <c r="AB4008" t="s">
        <v>40</v>
      </c>
      <c r="AC4008" t="s">
        <v>56</v>
      </c>
    </row>
    <row r="4009" spans="1:29" x14ac:dyDescent="0.25">
      <c r="A4009" s="4">
        <v>42606</v>
      </c>
      <c r="B4009" t="s">
        <v>30</v>
      </c>
      <c r="C4009">
        <v>703</v>
      </c>
      <c r="D4009">
        <v>7</v>
      </c>
      <c r="E4009">
        <v>1</v>
      </c>
      <c r="F4009" t="s">
        <v>31</v>
      </c>
      <c r="G4009" t="s">
        <v>32</v>
      </c>
      <c r="H4009" t="s">
        <v>33</v>
      </c>
      <c r="I4009" t="s">
        <v>58</v>
      </c>
      <c r="J4009" t="s">
        <v>35</v>
      </c>
      <c r="K4009" t="s">
        <v>114</v>
      </c>
      <c r="L4009" t="s">
        <v>43</v>
      </c>
      <c r="M4009">
        <v>0</v>
      </c>
      <c r="N4009">
        <v>0</v>
      </c>
      <c r="O4009" s="5" t="s">
        <v>620</v>
      </c>
      <c r="P4009" s="5"/>
      <c r="Q4009">
        <f>29-13</f>
        <v>16</v>
      </c>
      <c r="R4009" t="s">
        <v>65</v>
      </c>
      <c r="T4009">
        <v>17</v>
      </c>
      <c r="W4009">
        <v>12.6</v>
      </c>
      <c r="X4009">
        <v>27.9</v>
      </c>
      <c r="AB4009" t="s">
        <v>40</v>
      </c>
      <c r="AC4009" t="s">
        <v>56</v>
      </c>
    </row>
    <row r="4010" spans="1:29" x14ac:dyDescent="0.25">
      <c r="A4010" s="4">
        <v>42606</v>
      </c>
      <c r="B4010" t="s">
        <v>30</v>
      </c>
      <c r="C4010">
        <v>703</v>
      </c>
      <c r="D4010">
        <v>7</v>
      </c>
      <c r="E4010">
        <v>2</v>
      </c>
      <c r="F4010" t="s">
        <v>31</v>
      </c>
      <c r="G4010" t="s">
        <v>32</v>
      </c>
      <c r="H4010" t="s">
        <v>33</v>
      </c>
      <c r="I4010" t="s">
        <v>53</v>
      </c>
      <c r="J4010" t="s">
        <v>62</v>
      </c>
      <c r="O4010" s="5"/>
      <c r="P4010" s="5"/>
    </row>
    <row r="4011" spans="1:29" x14ac:dyDescent="0.25">
      <c r="A4011" s="4">
        <v>42606</v>
      </c>
      <c r="B4011" t="s">
        <v>30</v>
      </c>
      <c r="C4011">
        <v>703</v>
      </c>
      <c r="D4011">
        <v>8</v>
      </c>
      <c r="E4011">
        <v>1</v>
      </c>
      <c r="F4011" t="s">
        <v>31</v>
      </c>
      <c r="G4011" t="s">
        <v>32</v>
      </c>
      <c r="H4011" t="s">
        <v>33</v>
      </c>
      <c r="I4011" t="s">
        <v>57</v>
      </c>
      <c r="O4011" s="5"/>
      <c r="P4011" s="5"/>
    </row>
    <row r="4012" spans="1:29" x14ac:dyDescent="0.25">
      <c r="A4012" s="4">
        <v>42606</v>
      </c>
      <c r="B4012" t="s">
        <v>30</v>
      </c>
      <c r="C4012">
        <v>703</v>
      </c>
      <c r="D4012">
        <v>8</v>
      </c>
      <c r="E4012">
        <v>2</v>
      </c>
      <c r="F4012" t="s">
        <v>31</v>
      </c>
      <c r="G4012" t="s">
        <v>32</v>
      </c>
      <c r="H4012" t="s">
        <v>33</v>
      </c>
      <c r="I4012" t="s">
        <v>57</v>
      </c>
      <c r="O4012" s="5"/>
      <c r="P4012" s="5"/>
    </row>
    <row r="4013" spans="1:29" x14ac:dyDescent="0.25">
      <c r="A4013" s="4">
        <v>42606</v>
      </c>
      <c r="B4013" t="s">
        <v>30</v>
      </c>
      <c r="C4013">
        <v>703</v>
      </c>
      <c r="D4013">
        <v>9</v>
      </c>
      <c r="E4013">
        <v>1</v>
      </c>
      <c r="F4013" t="s">
        <v>31</v>
      </c>
      <c r="G4013" t="s">
        <v>32</v>
      </c>
      <c r="H4013" t="s">
        <v>33</v>
      </c>
      <c r="I4013" t="s">
        <v>34</v>
      </c>
      <c r="J4013" t="s">
        <v>35</v>
      </c>
      <c r="K4013" t="s">
        <v>114</v>
      </c>
      <c r="L4013" t="s">
        <v>37</v>
      </c>
      <c r="M4013">
        <v>0</v>
      </c>
      <c r="N4013">
        <v>0</v>
      </c>
      <c r="O4013" s="5" t="s">
        <v>1027</v>
      </c>
      <c r="P4013" s="5" t="s">
        <v>1028</v>
      </c>
      <c r="Q4013">
        <f>32-16</f>
        <v>16</v>
      </c>
      <c r="R4013" t="s">
        <v>38</v>
      </c>
      <c r="S4013" t="s">
        <v>39</v>
      </c>
      <c r="T4013">
        <v>18</v>
      </c>
      <c r="U4013">
        <v>74</v>
      </c>
      <c r="V4013">
        <v>15</v>
      </c>
      <c r="W4013">
        <v>12.9</v>
      </c>
      <c r="X4013">
        <v>24.6</v>
      </c>
      <c r="AB4013" t="s">
        <v>40</v>
      </c>
      <c r="AC4013" t="s">
        <v>56</v>
      </c>
    </row>
    <row r="4014" spans="1:29" x14ac:dyDescent="0.25">
      <c r="A4014" s="4">
        <v>42606</v>
      </c>
      <c r="B4014" t="s">
        <v>30</v>
      </c>
      <c r="C4014">
        <v>703</v>
      </c>
      <c r="D4014">
        <v>9</v>
      </c>
      <c r="E4014">
        <v>2</v>
      </c>
      <c r="F4014" t="s">
        <v>31</v>
      </c>
      <c r="G4014" t="s">
        <v>32</v>
      </c>
      <c r="H4014" t="s">
        <v>33</v>
      </c>
      <c r="I4014" t="s">
        <v>34</v>
      </c>
      <c r="J4014" t="s">
        <v>35</v>
      </c>
      <c r="K4014" t="s">
        <v>36</v>
      </c>
      <c r="L4014" t="s">
        <v>43</v>
      </c>
      <c r="M4014">
        <v>0</v>
      </c>
      <c r="N4014">
        <v>0</v>
      </c>
      <c r="O4014" s="5" t="s">
        <v>1029</v>
      </c>
      <c r="P4014" s="5" t="s">
        <v>1030</v>
      </c>
      <c r="Q4014">
        <f>34-12.5</f>
        <v>21.5</v>
      </c>
      <c r="R4014" t="s">
        <v>65</v>
      </c>
      <c r="T4014">
        <v>19</v>
      </c>
      <c r="U4014">
        <v>95</v>
      </c>
      <c r="V4014">
        <v>17.5</v>
      </c>
      <c r="W4014">
        <v>13</v>
      </c>
      <c r="X4014">
        <v>26.8</v>
      </c>
      <c r="AB4014" t="s">
        <v>40</v>
      </c>
      <c r="AC4014" t="s">
        <v>56</v>
      </c>
    </row>
    <row r="4015" spans="1:29" x14ac:dyDescent="0.25">
      <c r="A4015" s="4">
        <v>42606</v>
      </c>
      <c r="B4015" t="s">
        <v>30</v>
      </c>
      <c r="C4015">
        <v>703</v>
      </c>
      <c r="D4015">
        <v>10</v>
      </c>
      <c r="E4015">
        <v>1</v>
      </c>
      <c r="F4015" t="s">
        <v>31</v>
      </c>
      <c r="G4015" t="s">
        <v>32</v>
      </c>
      <c r="H4015" t="s">
        <v>33</v>
      </c>
      <c r="I4015" t="s">
        <v>57</v>
      </c>
      <c r="O4015" s="5"/>
      <c r="P4015" s="5"/>
    </row>
    <row r="4016" spans="1:29" x14ac:dyDescent="0.25">
      <c r="A4016" s="4">
        <v>42606</v>
      </c>
      <c r="B4016" t="s">
        <v>30</v>
      </c>
      <c r="C4016">
        <v>703</v>
      </c>
      <c r="D4016">
        <v>10</v>
      </c>
      <c r="E4016">
        <v>2</v>
      </c>
      <c r="F4016" t="s">
        <v>31</v>
      </c>
      <c r="G4016" t="s">
        <v>32</v>
      </c>
      <c r="H4016" t="s">
        <v>33</v>
      </c>
      <c r="I4016" t="s">
        <v>34</v>
      </c>
      <c r="J4016" t="s">
        <v>35</v>
      </c>
      <c r="K4016" t="s">
        <v>114</v>
      </c>
      <c r="L4016" t="s">
        <v>37</v>
      </c>
      <c r="M4016">
        <v>0</v>
      </c>
      <c r="N4016">
        <v>0</v>
      </c>
      <c r="O4016" s="5" t="s">
        <v>614</v>
      </c>
      <c r="P4016" s="5" t="s">
        <v>615</v>
      </c>
      <c r="Q4016">
        <f>27-13</f>
        <v>14</v>
      </c>
      <c r="R4016" t="s">
        <v>38</v>
      </c>
      <c r="S4016" t="s">
        <v>39</v>
      </c>
      <c r="T4016">
        <v>18</v>
      </c>
      <c r="U4016">
        <v>75</v>
      </c>
      <c r="V4016">
        <v>15</v>
      </c>
      <c r="W4016">
        <v>12.65</v>
      </c>
      <c r="X4016">
        <v>25.1</v>
      </c>
      <c r="AB4016" t="s">
        <v>40</v>
      </c>
      <c r="AC4016" t="s">
        <v>56</v>
      </c>
    </row>
    <row r="4017" spans="1:29" x14ac:dyDescent="0.25">
      <c r="A4017" s="4">
        <v>42606</v>
      </c>
      <c r="B4017" t="s">
        <v>30</v>
      </c>
      <c r="C4017">
        <v>701</v>
      </c>
      <c r="D4017">
        <v>1</v>
      </c>
      <c r="E4017">
        <v>1</v>
      </c>
      <c r="F4017" t="s">
        <v>31</v>
      </c>
      <c r="G4017" t="s">
        <v>32</v>
      </c>
      <c r="H4017" t="s">
        <v>33</v>
      </c>
      <c r="I4017" t="s">
        <v>57</v>
      </c>
      <c r="O4017" s="5"/>
      <c r="P4017" s="5"/>
    </row>
    <row r="4018" spans="1:29" x14ac:dyDescent="0.25">
      <c r="A4018" s="4">
        <v>42606</v>
      </c>
      <c r="B4018" t="s">
        <v>30</v>
      </c>
      <c r="C4018">
        <v>701</v>
      </c>
      <c r="D4018">
        <v>1</v>
      </c>
      <c r="E4018">
        <v>2</v>
      </c>
      <c r="F4018" t="s">
        <v>31</v>
      </c>
      <c r="G4018" t="s">
        <v>32</v>
      </c>
      <c r="H4018" t="s">
        <v>33</v>
      </c>
      <c r="I4018" t="s">
        <v>57</v>
      </c>
      <c r="O4018" s="5"/>
      <c r="P4018" s="5"/>
    </row>
    <row r="4019" spans="1:29" x14ac:dyDescent="0.25">
      <c r="A4019" s="4">
        <v>42606</v>
      </c>
      <c r="B4019" t="s">
        <v>30</v>
      </c>
      <c r="C4019">
        <v>701</v>
      </c>
      <c r="D4019">
        <v>2</v>
      </c>
      <c r="E4019">
        <v>1</v>
      </c>
      <c r="F4019" t="s">
        <v>31</v>
      </c>
      <c r="G4019" t="s">
        <v>32</v>
      </c>
      <c r="H4019" t="s">
        <v>33</v>
      </c>
      <c r="I4019" t="s">
        <v>57</v>
      </c>
      <c r="O4019" s="5"/>
      <c r="P4019" s="5"/>
    </row>
    <row r="4020" spans="1:29" x14ac:dyDescent="0.25">
      <c r="A4020" s="4">
        <v>42606</v>
      </c>
      <c r="B4020" t="s">
        <v>30</v>
      </c>
      <c r="C4020">
        <v>701</v>
      </c>
      <c r="D4020">
        <v>2</v>
      </c>
      <c r="E4020">
        <v>2</v>
      </c>
      <c r="F4020" t="s">
        <v>31</v>
      </c>
      <c r="G4020" t="s">
        <v>32</v>
      </c>
      <c r="H4020" t="s">
        <v>33</v>
      </c>
      <c r="I4020" t="s">
        <v>34</v>
      </c>
      <c r="J4020" t="s">
        <v>35</v>
      </c>
      <c r="K4020" t="s">
        <v>36</v>
      </c>
      <c r="L4020" t="s">
        <v>43</v>
      </c>
      <c r="M4020">
        <v>0</v>
      </c>
      <c r="N4020">
        <v>0</v>
      </c>
      <c r="O4020" s="5" t="s">
        <v>585</v>
      </c>
      <c r="P4020" s="5" t="s">
        <v>586</v>
      </c>
      <c r="Q4020">
        <f>32-12.5</f>
        <v>19.5</v>
      </c>
      <c r="R4020" t="s">
        <v>65</v>
      </c>
      <c r="T4020">
        <v>20</v>
      </c>
      <c r="U4020">
        <v>85</v>
      </c>
      <c r="V4020">
        <v>16</v>
      </c>
      <c r="W4020">
        <v>13</v>
      </c>
      <c r="X4020">
        <v>25</v>
      </c>
      <c r="AB4020" t="s">
        <v>40</v>
      </c>
      <c r="AC4020" t="s">
        <v>56</v>
      </c>
    </row>
    <row r="4021" spans="1:29" x14ac:dyDescent="0.25">
      <c r="A4021" s="4">
        <v>42606</v>
      </c>
      <c r="B4021" t="s">
        <v>30</v>
      </c>
      <c r="C4021">
        <v>701</v>
      </c>
      <c r="D4021">
        <v>3</v>
      </c>
      <c r="E4021">
        <v>1</v>
      </c>
      <c r="F4021" t="s">
        <v>31</v>
      </c>
      <c r="G4021" t="s">
        <v>32</v>
      </c>
      <c r="H4021" t="s">
        <v>33</v>
      </c>
      <c r="I4021" t="s">
        <v>57</v>
      </c>
      <c r="O4021" s="5"/>
      <c r="P4021" s="5"/>
    </row>
    <row r="4022" spans="1:29" x14ac:dyDescent="0.25">
      <c r="A4022" s="4">
        <v>42606</v>
      </c>
      <c r="B4022" t="s">
        <v>30</v>
      </c>
      <c r="C4022">
        <v>701</v>
      </c>
      <c r="D4022">
        <v>3</v>
      </c>
      <c r="E4022">
        <v>2</v>
      </c>
      <c r="F4022" t="s">
        <v>31</v>
      </c>
      <c r="G4022" t="s">
        <v>32</v>
      </c>
      <c r="H4022" t="s">
        <v>33</v>
      </c>
      <c r="I4022" t="s">
        <v>34</v>
      </c>
      <c r="J4022" t="s">
        <v>35</v>
      </c>
      <c r="K4022" t="s">
        <v>114</v>
      </c>
      <c r="L4022" t="s">
        <v>43</v>
      </c>
      <c r="M4022">
        <v>0</v>
      </c>
      <c r="N4022">
        <v>0</v>
      </c>
      <c r="O4022" s="5" t="s">
        <v>706</v>
      </c>
      <c r="P4022" s="5" t="s">
        <v>707</v>
      </c>
      <c r="Q4022">
        <f>32-16.5</f>
        <v>15.5</v>
      </c>
      <c r="R4022" t="s">
        <v>65</v>
      </c>
      <c r="T4022">
        <v>18</v>
      </c>
      <c r="U4022">
        <v>81</v>
      </c>
      <c r="V4022">
        <v>16.5</v>
      </c>
      <c r="W4022">
        <v>13.3</v>
      </c>
      <c r="X4022">
        <v>26.5</v>
      </c>
      <c r="Y4022" t="s">
        <v>1031</v>
      </c>
      <c r="AB4022" t="s">
        <v>40</v>
      </c>
      <c r="AC4022" t="s">
        <v>56</v>
      </c>
    </row>
    <row r="4023" spans="1:29" x14ac:dyDescent="0.25">
      <c r="A4023" s="4">
        <v>42606</v>
      </c>
      <c r="B4023" t="s">
        <v>30</v>
      </c>
      <c r="C4023">
        <v>701</v>
      </c>
      <c r="D4023">
        <v>4</v>
      </c>
      <c r="E4023">
        <v>1</v>
      </c>
      <c r="F4023" t="s">
        <v>31</v>
      </c>
      <c r="G4023" t="s">
        <v>32</v>
      </c>
      <c r="H4023" t="s">
        <v>33</v>
      </c>
      <c r="I4023" t="s">
        <v>34</v>
      </c>
      <c r="J4023" t="s">
        <v>35</v>
      </c>
      <c r="K4023" t="s">
        <v>36</v>
      </c>
      <c r="L4023" t="s">
        <v>37</v>
      </c>
      <c r="M4023">
        <v>0</v>
      </c>
      <c r="N4023">
        <v>0</v>
      </c>
      <c r="O4023" s="5" t="s">
        <v>591</v>
      </c>
      <c r="P4023" s="5" t="s">
        <v>592</v>
      </c>
      <c r="Q4023">
        <f>34-14</f>
        <v>20</v>
      </c>
      <c r="R4023" t="s">
        <v>38</v>
      </c>
      <c r="S4023" t="s">
        <v>39</v>
      </c>
      <c r="T4023">
        <v>19</v>
      </c>
      <c r="U4023">
        <v>87</v>
      </c>
      <c r="V4023">
        <v>15</v>
      </c>
      <c r="W4023">
        <v>13.1</v>
      </c>
      <c r="X4023">
        <v>28</v>
      </c>
      <c r="Z4023" t="s">
        <v>97</v>
      </c>
      <c r="AB4023" t="s">
        <v>40</v>
      </c>
      <c r="AC4023" t="s">
        <v>56</v>
      </c>
    </row>
    <row r="4024" spans="1:29" x14ac:dyDescent="0.25">
      <c r="A4024" s="4">
        <v>42606</v>
      </c>
      <c r="B4024" t="s">
        <v>30</v>
      </c>
      <c r="C4024">
        <v>701</v>
      </c>
      <c r="D4024">
        <v>4</v>
      </c>
      <c r="E4024">
        <v>2</v>
      </c>
      <c r="F4024" t="s">
        <v>31</v>
      </c>
      <c r="G4024" t="s">
        <v>32</v>
      </c>
      <c r="H4024" t="s">
        <v>33</v>
      </c>
      <c r="I4024" t="s">
        <v>34</v>
      </c>
      <c r="J4024" t="s">
        <v>35</v>
      </c>
      <c r="K4024" t="s">
        <v>114</v>
      </c>
      <c r="L4024" t="s">
        <v>43</v>
      </c>
      <c r="M4024">
        <v>0</v>
      </c>
      <c r="N4024">
        <v>0</v>
      </c>
      <c r="O4024" s="5" t="s">
        <v>588</v>
      </c>
      <c r="P4024" s="5" t="s">
        <v>589</v>
      </c>
      <c r="Q4024">
        <f>32-14</f>
        <v>18</v>
      </c>
      <c r="R4024" t="s">
        <v>65</v>
      </c>
      <c r="T4024">
        <v>18</v>
      </c>
      <c r="U4024">
        <v>89</v>
      </c>
      <c r="V4024">
        <v>17.5</v>
      </c>
      <c r="W4024">
        <v>13.2</v>
      </c>
      <c r="X4024">
        <v>25.6</v>
      </c>
      <c r="AB4024" t="s">
        <v>40</v>
      </c>
      <c r="AC4024" t="s">
        <v>56</v>
      </c>
    </row>
    <row r="4025" spans="1:29" x14ac:dyDescent="0.25">
      <c r="A4025" s="4">
        <v>42606</v>
      </c>
      <c r="B4025" t="s">
        <v>30</v>
      </c>
      <c r="C4025">
        <v>701</v>
      </c>
      <c r="D4025">
        <v>5</v>
      </c>
      <c r="E4025">
        <v>1</v>
      </c>
      <c r="F4025" t="s">
        <v>31</v>
      </c>
      <c r="G4025" t="s">
        <v>32</v>
      </c>
      <c r="H4025" t="s">
        <v>33</v>
      </c>
      <c r="I4025" t="s">
        <v>91</v>
      </c>
      <c r="J4025" t="s">
        <v>35</v>
      </c>
      <c r="K4025" t="s">
        <v>36</v>
      </c>
      <c r="L4025" t="s">
        <v>43</v>
      </c>
      <c r="M4025">
        <v>0</v>
      </c>
      <c r="N4025">
        <v>0</v>
      </c>
      <c r="O4025" s="5" t="s">
        <v>920</v>
      </c>
      <c r="P4025" s="5"/>
      <c r="Q4025">
        <f>34.5-13</f>
        <v>21.5</v>
      </c>
      <c r="R4025" t="s">
        <v>65</v>
      </c>
      <c r="T4025">
        <v>30</v>
      </c>
      <c r="W4025">
        <v>12.6</v>
      </c>
      <c r="X4025">
        <v>26</v>
      </c>
      <c r="Z4025" t="s">
        <v>97</v>
      </c>
      <c r="AB4025" t="s">
        <v>40</v>
      </c>
      <c r="AC4025" t="s">
        <v>56</v>
      </c>
    </row>
    <row r="4026" spans="1:29" x14ac:dyDescent="0.25">
      <c r="A4026" s="4">
        <v>42606</v>
      </c>
      <c r="B4026" t="s">
        <v>30</v>
      </c>
      <c r="C4026">
        <v>701</v>
      </c>
      <c r="D4026">
        <v>5</v>
      </c>
      <c r="E4026">
        <v>2</v>
      </c>
      <c r="F4026" t="s">
        <v>31</v>
      </c>
      <c r="G4026" t="s">
        <v>32</v>
      </c>
      <c r="H4026" t="s">
        <v>33</v>
      </c>
      <c r="I4026" t="s">
        <v>34</v>
      </c>
      <c r="J4026" t="s">
        <v>35</v>
      </c>
      <c r="K4026" t="s">
        <v>114</v>
      </c>
      <c r="L4026" t="s">
        <v>43</v>
      </c>
      <c r="M4026">
        <v>0</v>
      </c>
      <c r="N4026">
        <v>0</v>
      </c>
      <c r="O4026" s="5" t="s">
        <v>593</v>
      </c>
      <c r="P4026" s="5" t="s">
        <v>594</v>
      </c>
      <c r="Q4026">
        <f>31.5-15</f>
        <v>16.5</v>
      </c>
      <c r="R4026" t="s">
        <v>65</v>
      </c>
      <c r="T4026">
        <v>19</v>
      </c>
      <c r="U4026">
        <v>85</v>
      </c>
      <c r="V4026">
        <v>17.5</v>
      </c>
      <c r="W4026">
        <v>13.3</v>
      </c>
      <c r="X4026">
        <v>25</v>
      </c>
      <c r="AB4026" t="s">
        <v>40</v>
      </c>
      <c r="AC4026" t="s">
        <v>56</v>
      </c>
    </row>
    <row r="4027" spans="1:29" x14ac:dyDescent="0.25">
      <c r="A4027" s="4">
        <v>42606</v>
      </c>
      <c r="B4027" t="s">
        <v>30</v>
      </c>
      <c r="C4027">
        <v>701</v>
      </c>
      <c r="D4027">
        <v>6</v>
      </c>
      <c r="E4027">
        <v>1</v>
      </c>
      <c r="F4027" t="s">
        <v>31</v>
      </c>
      <c r="G4027" t="s">
        <v>32</v>
      </c>
      <c r="H4027" t="s">
        <v>33</v>
      </c>
      <c r="I4027" t="s">
        <v>57</v>
      </c>
      <c r="O4027" s="5"/>
      <c r="P4027" s="5"/>
    </row>
    <row r="4028" spans="1:29" x14ac:dyDescent="0.25">
      <c r="A4028" s="4">
        <v>42606</v>
      </c>
      <c r="B4028" t="s">
        <v>30</v>
      </c>
      <c r="C4028">
        <v>701</v>
      </c>
      <c r="D4028">
        <v>6</v>
      </c>
      <c r="E4028">
        <v>2</v>
      </c>
      <c r="F4028" t="s">
        <v>31</v>
      </c>
      <c r="G4028" t="s">
        <v>32</v>
      </c>
      <c r="H4028" t="s">
        <v>33</v>
      </c>
      <c r="I4028" t="s">
        <v>57</v>
      </c>
      <c r="O4028" s="5"/>
      <c r="P4028" s="5"/>
    </row>
    <row r="4029" spans="1:29" x14ac:dyDescent="0.25">
      <c r="A4029" s="4">
        <v>42606</v>
      </c>
      <c r="B4029" t="s">
        <v>30</v>
      </c>
      <c r="C4029">
        <v>701</v>
      </c>
      <c r="D4029">
        <v>7</v>
      </c>
      <c r="E4029">
        <v>1</v>
      </c>
      <c r="F4029" t="s">
        <v>31</v>
      </c>
      <c r="G4029" t="s">
        <v>32</v>
      </c>
      <c r="H4029" t="s">
        <v>33</v>
      </c>
      <c r="I4029" t="s">
        <v>34</v>
      </c>
      <c r="J4029" t="s">
        <v>35</v>
      </c>
      <c r="K4029" t="s">
        <v>114</v>
      </c>
      <c r="L4029" t="s">
        <v>43</v>
      </c>
      <c r="M4029">
        <v>0</v>
      </c>
      <c r="N4029">
        <v>0</v>
      </c>
      <c r="O4029" s="5" t="s">
        <v>713</v>
      </c>
      <c r="P4029" s="5" t="s">
        <v>714</v>
      </c>
      <c r="Q4029">
        <f>34-16.5</f>
        <v>17.5</v>
      </c>
      <c r="R4029" t="s">
        <v>65</v>
      </c>
      <c r="T4029">
        <v>20</v>
      </c>
      <c r="U4029">
        <v>84</v>
      </c>
      <c r="V4029">
        <v>16</v>
      </c>
      <c r="W4029">
        <v>12.85</v>
      </c>
      <c r="X4029">
        <v>27.6</v>
      </c>
      <c r="Z4029" t="s">
        <v>97</v>
      </c>
      <c r="AB4029" t="s">
        <v>40</v>
      </c>
      <c r="AC4029" t="s">
        <v>56</v>
      </c>
    </row>
    <row r="4030" spans="1:29" x14ac:dyDescent="0.25">
      <c r="A4030" s="4">
        <v>42606</v>
      </c>
      <c r="B4030" t="s">
        <v>30</v>
      </c>
      <c r="C4030">
        <v>701</v>
      </c>
      <c r="D4030">
        <v>7</v>
      </c>
      <c r="E4030">
        <v>2</v>
      </c>
      <c r="F4030" t="s">
        <v>31</v>
      </c>
      <c r="G4030" t="s">
        <v>32</v>
      </c>
      <c r="H4030" t="s">
        <v>33</v>
      </c>
      <c r="I4030" t="s">
        <v>34</v>
      </c>
      <c r="J4030" t="s">
        <v>35</v>
      </c>
      <c r="K4030" t="s">
        <v>114</v>
      </c>
      <c r="L4030" t="s">
        <v>43</v>
      </c>
      <c r="M4030">
        <v>0</v>
      </c>
      <c r="N4030">
        <v>0</v>
      </c>
      <c r="O4030" s="5" t="s">
        <v>629</v>
      </c>
      <c r="P4030" s="5" t="s">
        <v>630</v>
      </c>
      <c r="Q4030">
        <f>27-13</f>
        <v>14</v>
      </c>
      <c r="R4030" t="s">
        <v>65</v>
      </c>
      <c r="T4030">
        <v>19.5</v>
      </c>
      <c r="U4030">
        <v>88</v>
      </c>
      <c r="V4030">
        <v>16</v>
      </c>
      <c r="W4030">
        <v>12.7</v>
      </c>
      <c r="X4030">
        <v>25.5</v>
      </c>
      <c r="AB4030" t="s">
        <v>40</v>
      </c>
      <c r="AC4030" t="s">
        <v>56</v>
      </c>
    </row>
    <row r="4031" spans="1:29" x14ac:dyDescent="0.25">
      <c r="A4031" s="4">
        <v>42606</v>
      </c>
      <c r="B4031" t="s">
        <v>30</v>
      </c>
      <c r="C4031">
        <v>701</v>
      </c>
      <c r="D4031">
        <v>8</v>
      </c>
      <c r="E4031">
        <v>1</v>
      </c>
      <c r="F4031" t="s">
        <v>31</v>
      </c>
      <c r="G4031" t="s">
        <v>32</v>
      </c>
      <c r="H4031" t="s">
        <v>33</v>
      </c>
      <c r="I4031" t="s">
        <v>53</v>
      </c>
      <c r="J4031" t="s">
        <v>62</v>
      </c>
      <c r="O4031" s="5"/>
      <c r="P4031" s="5"/>
      <c r="AB4031" t="s">
        <v>40</v>
      </c>
      <c r="AC4031" t="s">
        <v>56</v>
      </c>
    </row>
    <row r="4032" spans="1:29" x14ac:dyDescent="0.25">
      <c r="A4032" s="4">
        <v>42606</v>
      </c>
      <c r="B4032" t="s">
        <v>30</v>
      </c>
      <c r="C4032">
        <v>701</v>
      </c>
      <c r="D4032">
        <v>8</v>
      </c>
      <c r="E4032">
        <v>2</v>
      </c>
      <c r="F4032" t="s">
        <v>31</v>
      </c>
      <c r="G4032" t="s">
        <v>32</v>
      </c>
      <c r="H4032" t="s">
        <v>33</v>
      </c>
      <c r="I4032" t="s">
        <v>73</v>
      </c>
      <c r="J4032" t="s">
        <v>35</v>
      </c>
      <c r="K4032" t="s">
        <v>36</v>
      </c>
      <c r="L4032" t="s">
        <v>37</v>
      </c>
      <c r="M4032">
        <v>0</v>
      </c>
      <c r="N4032">
        <v>0</v>
      </c>
      <c r="O4032" s="5"/>
      <c r="P4032" s="5" t="s">
        <v>94</v>
      </c>
      <c r="Q4032">
        <f>185-95</f>
        <v>90</v>
      </c>
      <c r="R4032" t="s">
        <v>38</v>
      </c>
      <c r="S4032" t="s">
        <v>39</v>
      </c>
      <c r="T4032">
        <v>29</v>
      </c>
      <c r="W4032">
        <v>22.9</v>
      </c>
      <c r="X4032">
        <v>41.8</v>
      </c>
      <c r="AB4032" t="s">
        <v>40</v>
      </c>
      <c r="AC4032" t="s">
        <v>56</v>
      </c>
    </row>
    <row r="4033" spans="1:30" x14ac:dyDescent="0.25">
      <c r="A4033" s="4">
        <v>42606</v>
      </c>
      <c r="B4033" t="s">
        <v>30</v>
      </c>
      <c r="C4033">
        <v>701</v>
      </c>
      <c r="D4033">
        <v>9</v>
      </c>
      <c r="E4033">
        <v>1</v>
      </c>
      <c r="F4033" t="s">
        <v>31</v>
      </c>
      <c r="G4033" t="s">
        <v>32</v>
      </c>
      <c r="H4033" t="s">
        <v>33</v>
      </c>
      <c r="I4033" t="s">
        <v>57</v>
      </c>
      <c r="O4033" s="5"/>
      <c r="P4033" s="5"/>
    </row>
    <row r="4034" spans="1:30" x14ac:dyDescent="0.25">
      <c r="A4034" s="4">
        <v>42606</v>
      </c>
      <c r="B4034" t="s">
        <v>30</v>
      </c>
      <c r="C4034">
        <v>701</v>
      </c>
      <c r="D4034">
        <v>9</v>
      </c>
      <c r="E4034">
        <v>2</v>
      </c>
      <c r="F4034" t="s">
        <v>31</v>
      </c>
      <c r="G4034" t="s">
        <v>32</v>
      </c>
      <c r="H4034" t="s">
        <v>33</v>
      </c>
      <c r="I4034" t="s">
        <v>34</v>
      </c>
      <c r="J4034" t="s">
        <v>35</v>
      </c>
      <c r="K4034" t="s">
        <v>114</v>
      </c>
      <c r="L4034" t="s">
        <v>43</v>
      </c>
      <c r="M4034">
        <v>0</v>
      </c>
      <c r="N4034">
        <v>0</v>
      </c>
      <c r="O4034" s="5" t="s">
        <v>597</v>
      </c>
      <c r="P4034" s="5" t="s">
        <v>598</v>
      </c>
      <c r="Q4034">
        <f>30.5-13</f>
        <v>17.5</v>
      </c>
      <c r="R4034" t="s">
        <v>65</v>
      </c>
      <c r="T4034">
        <v>20</v>
      </c>
      <c r="U4034">
        <v>83</v>
      </c>
      <c r="V4034">
        <v>15.5</v>
      </c>
      <c r="W4034">
        <v>13</v>
      </c>
      <c r="X4034">
        <v>27.1</v>
      </c>
      <c r="AB4034" t="s">
        <v>40</v>
      </c>
      <c r="AC4034" t="s">
        <v>56</v>
      </c>
    </row>
    <row r="4035" spans="1:30" x14ac:dyDescent="0.25">
      <c r="A4035" s="4">
        <v>42606</v>
      </c>
      <c r="B4035" t="s">
        <v>30</v>
      </c>
      <c r="C4035">
        <v>801</v>
      </c>
      <c r="D4035">
        <v>1</v>
      </c>
      <c r="E4035">
        <v>1</v>
      </c>
      <c r="F4035" t="s">
        <v>31</v>
      </c>
      <c r="G4035" t="s">
        <v>32</v>
      </c>
      <c r="H4035" t="s">
        <v>33</v>
      </c>
      <c r="I4035" t="s">
        <v>57</v>
      </c>
      <c r="O4035" s="5"/>
      <c r="P4035" s="5"/>
    </row>
    <row r="4036" spans="1:30" x14ac:dyDescent="0.25">
      <c r="A4036" s="4">
        <v>42606</v>
      </c>
      <c r="B4036" t="s">
        <v>30</v>
      </c>
      <c r="C4036">
        <v>801</v>
      </c>
      <c r="D4036">
        <v>2</v>
      </c>
      <c r="E4036">
        <v>1</v>
      </c>
      <c r="F4036" t="s">
        <v>31</v>
      </c>
      <c r="G4036" t="s">
        <v>32</v>
      </c>
      <c r="H4036" t="s">
        <v>33</v>
      </c>
      <c r="I4036" t="s">
        <v>73</v>
      </c>
      <c r="J4036" t="s">
        <v>42</v>
      </c>
      <c r="K4036" t="s">
        <v>36</v>
      </c>
      <c r="L4036" t="s">
        <v>43</v>
      </c>
      <c r="M4036">
        <v>0</v>
      </c>
      <c r="N4036">
        <v>1</v>
      </c>
      <c r="O4036" s="5" t="s">
        <v>1032</v>
      </c>
      <c r="P4036" s="5"/>
      <c r="Q4036">
        <f>185-95</f>
        <v>90</v>
      </c>
      <c r="R4036" t="s">
        <v>65</v>
      </c>
      <c r="T4036">
        <v>32</v>
      </c>
      <c r="W4036">
        <v>21.9</v>
      </c>
      <c r="X4036">
        <v>43</v>
      </c>
      <c r="AB4036" t="s">
        <v>40</v>
      </c>
      <c r="AC4036" t="s">
        <v>56</v>
      </c>
      <c r="AD4036" t="s">
        <v>497</v>
      </c>
    </row>
    <row r="4037" spans="1:30" x14ac:dyDescent="0.25">
      <c r="A4037" s="4">
        <v>42606</v>
      </c>
      <c r="B4037" t="s">
        <v>30</v>
      </c>
      <c r="C4037">
        <v>801</v>
      </c>
      <c r="D4037">
        <v>2</v>
      </c>
      <c r="E4037">
        <v>2</v>
      </c>
      <c r="F4037" t="s">
        <v>31</v>
      </c>
      <c r="G4037" t="s">
        <v>32</v>
      </c>
      <c r="H4037" t="s">
        <v>33</v>
      </c>
      <c r="I4037" t="s">
        <v>70</v>
      </c>
      <c r="J4037" t="s">
        <v>123</v>
      </c>
      <c r="O4037" s="5"/>
      <c r="P4037" s="5"/>
    </row>
    <row r="4038" spans="1:30" x14ac:dyDescent="0.25">
      <c r="A4038" s="4">
        <v>42606</v>
      </c>
      <c r="B4038" t="s">
        <v>30</v>
      </c>
      <c r="C4038">
        <v>801</v>
      </c>
      <c r="D4038">
        <v>3</v>
      </c>
      <c r="E4038">
        <v>1</v>
      </c>
      <c r="F4038" t="s">
        <v>31</v>
      </c>
      <c r="G4038" t="s">
        <v>32</v>
      </c>
      <c r="H4038" t="s">
        <v>33</v>
      </c>
      <c r="I4038" t="s">
        <v>57</v>
      </c>
      <c r="O4038" s="5"/>
      <c r="P4038" s="5"/>
    </row>
    <row r="4039" spans="1:30" x14ac:dyDescent="0.25">
      <c r="A4039" s="4">
        <v>42606</v>
      </c>
      <c r="B4039" t="s">
        <v>30</v>
      </c>
      <c r="C4039">
        <v>801</v>
      </c>
      <c r="D4039">
        <v>3</v>
      </c>
      <c r="E4039">
        <v>2</v>
      </c>
      <c r="F4039" t="s">
        <v>31</v>
      </c>
      <c r="G4039" t="s">
        <v>32</v>
      </c>
      <c r="H4039" t="s">
        <v>33</v>
      </c>
      <c r="I4039" t="s">
        <v>91</v>
      </c>
      <c r="J4039" t="s">
        <v>42</v>
      </c>
      <c r="K4039" t="s">
        <v>36</v>
      </c>
      <c r="L4039" t="s">
        <v>43</v>
      </c>
      <c r="M4039">
        <v>0</v>
      </c>
      <c r="N4039">
        <v>1</v>
      </c>
      <c r="O4039" s="5" t="s">
        <v>1033</v>
      </c>
      <c r="P4039" s="5"/>
      <c r="Q4039">
        <f>33-13.5</f>
        <v>19.5</v>
      </c>
      <c r="R4039" t="s">
        <v>65</v>
      </c>
      <c r="T4039">
        <v>27</v>
      </c>
      <c r="W4039">
        <v>12.4</v>
      </c>
      <c r="X4039">
        <v>25.2</v>
      </c>
      <c r="AB4039" t="s">
        <v>40</v>
      </c>
      <c r="AC4039" t="s">
        <v>56</v>
      </c>
    </row>
    <row r="4040" spans="1:30" x14ac:dyDescent="0.25">
      <c r="A4040" s="4">
        <v>42606</v>
      </c>
      <c r="B4040" t="s">
        <v>30</v>
      </c>
      <c r="C4040">
        <v>801</v>
      </c>
      <c r="D4040">
        <v>4</v>
      </c>
      <c r="E4040">
        <v>1</v>
      </c>
      <c r="F4040" t="s">
        <v>31</v>
      </c>
      <c r="G4040" t="s">
        <v>32</v>
      </c>
      <c r="H4040" t="s">
        <v>33</v>
      </c>
      <c r="I4040" t="s">
        <v>58</v>
      </c>
      <c r="J4040" t="s">
        <v>35</v>
      </c>
      <c r="K4040" t="s">
        <v>36</v>
      </c>
      <c r="L4040" t="s">
        <v>43</v>
      </c>
      <c r="M4040">
        <v>0</v>
      </c>
      <c r="N4040">
        <v>0</v>
      </c>
      <c r="O4040" s="5" t="s">
        <v>600</v>
      </c>
      <c r="P4040" s="5"/>
      <c r="Q4040">
        <f>34.5-15.5</f>
        <v>19</v>
      </c>
      <c r="R4040" t="s">
        <v>65</v>
      </c>
      <c r="T4040">
        <v>15.5</v>
      </c>
      <c r="W4040">
        <v>12.85</v>
      </c>
      <c r="X4040">
        <v>26.7</v>
      </c>
      <c r="AB4040" t="s">
        <v>40</v>
      </c>
      <c r="AC4040" t="s">
        <v>56</v>
      </c>
    </row>
    <row r="4041" spans="1:30" x14ac:dyDescent="0.25">
      <c r="A4041" s="4">
        <v>42606</v>
      </c>
      <c r="B4041" t="s">
        <v>30</v>
      </c>
      <c r="C4041">
        <v>801</v>
      </c>
      <c r="D4041">
        <v>4</v>
      </c>
      <c r="E4041">
        <v>2</v>
      </c>
      <c r="F4041" t="s">
        <v>31</v>
      </c>
      <c r="G4041" t="s">
        <v>32</v>
      </c>
      <c r="H4041" t="s">
        <v>33</v>
      </c>
      <c r="I4041" t="s">
        <v>57</v>
      </c>
      <c r="O4041" s="5"/>
      <c r="P4041" s="5"/>
    </row>
    <row r="4042" spans="1:30" x14ac:dyDescent="0.25">
      <c r="A4042" s="4">
        <v>42606</v>
      </c>
      <c r="B4042" t="s">
        <v>30</v>
      </c>
      <c r="C4042">
        <v>801</v>
      </c>
      <c r="D4042">
        <v>5</v>
      </c>
      <c r="E4042">
        <v>1</v>
      </c>
      <c r="F4042" t="s">
        <v>31</v>
      </c>
      <c r="G4042" t="s">
        <v>32</v>
      </c>
      <c r="H4042" t="s">
        <v>33</v>
      </c>
      <c r="I4042" t="s">
        <v>57</v>
      </c>
      <c r="O4042" s="5"/>
      <c r="P4042" s="5"/>
    </row>
    <row r="4043" spans="1:30" x14ac:dyDescent="0.25">
      <c r="A4043" s="4">
        <v>42606</v>
      </c>
      <c r="B4043" t="s">
        <v>30</v>
      </c>
      <c r="C4043">
        <v>801</v>
      </c>
      <c r="D4043">
        <v>5</v>
      </c>
      <c r="E4043">
        <v>2</v>
      </c>
      <c r="F4043" t="s">
        <v>31</v>
      </c>
      <c r="G4043" t="s">
        <v>32</v>
      </c>
      <c r="H4043" t="s">
        <v>33</v>
      </c>
      <c r="I4043" t="s">
        <v>70</v>
      </c>
      <c r="J4043" t="s">
        <v>62</v>
      </c>
      <c r="O4043" s="5"/>
      <c r="P4043" s="5"/>
    </row>
    <row r="4044" spans="1:30" x14ac:dyDescent="0.25">
      <c r="A4044" s="4">
        <v>42606</v>
      </c>
      <c r="B4044" t="s">
        <v>30</v>
      </c>
      <c r="C4044">
        <v>801</v>
      </c>
      <c r="D4044">
        <v>6</v>
      </c>
      <c r="E4044">
        <v>1</v>
      </c>
      <c r="F4044" t="s">
        <v>31</v>
      </c>
      <c r="G4044" t="s">
        <v>32</v>
      </c>
      <c r="H4044" t="s">
        <v>33</v>
      </c>
      <c r="I4044" t="s">
        <v>58</v>
      </c>
      <c r="J4044" t="s">
        <v>35</v>
      </c>
      <c r="K4044" t="s">
        <v>36</v>
      </c>
      <c r="L4044" t="s">
        <v>37</v>
      </c>
      <c r="M4044">
        <v>0</v>
      </c>
      <c r="N4044">
        <v>0</v>
      </c>
      <c r="O4044" s="5" t="s">
        <v>601</v>
      </c>
      <c r="P4044" s="5"/>
      <c r="Q4044">
        <f>44-14</f>
        <v>30</v>
      </c>
      <c r="R4044" t="s">
        <v>74</v>
      </c>
      <c r="S4044" t="s">
        <v>97</v>
      </c>
      <c r="T4044">
        <v>17</v>
      </c>
      <c r="W4044">
        <v>14</v>
      </c>
      <c r="X4044">
        <v>28</v>
      </c>
      <c r="AB4044" t="s">
        <v>40</v>
      </c>
      <c r="AC4044" t="s">
        <v>56</v>
      </c>
    </row>
    <row r="4045" spans="1:30" x14ac:dyDescent="0.25">
      <c r="A4045" s="4">
        <v>42606</v>
      </c>
      <c r="B4045" t="s">
        <v>30</v>
      </c>
      <c r="C4045">
        <v>801</v>
      </c>
      <c r="D4045">
        <v>6</v>
      </c>
      <c r="E4045">
        <v>2</v>
      </c>
      <c r="F4045" t="s">
        <v>31</v>
      </c>
      <c r="G4045" t="s">
        <v>32</v>
      </c>
      <c r="H4045" t="s">
        <v>33</v>
      </c>
      <c r="I4045" t="s">
        <v>34</v>
      </c>
      <c r="J4045" t="s">
        <v>35</v>
      </c>
      <c r="K4045" t="s">
        <v>114</v>
      </c>
      <c r="L4045" t="s">
        <v>37</v>
      </c>
      <c r="M4045">
        <v>0</v>
      </c>
      <c r="N4045">
        <v>0</v>
      </c>
      <c r="O4045" s="5" t="s">
        <v>730</v>
      </c>
      <c r="P4045" s="5" t="s">
        <v>731</v>
      </c>
      <c r="Q4045">
        <f>32.5-16</f>
        <v>16.5</v>
      </c>
      <c r="T4045">
        <v>19</v>
      </c>
      <c r="U4045">
        <v>88</v>
      </c>
      <c r="V4045">
        <v>19</v>
      </c>
      <c r="W4045">
        <v>12.9</v>
      </c>
      <c r="X4045">
        <v>27.3</v>
      </c>
      <c r="Z4045" t="s">
        <v>97</v>
      </c>
      <c r="AB4045" t="s">
        <v>40</v>
      </c>
      <c r="AC4045" t="s">
        <v>56</v>
      </c>
    </row>
    <row r="4046" spans="1:30" x14ac:dyDescent="0.25">
      <c r="A4046" s="4">
        <v>42606</v>
      </c>
      <c r="B4046" t="s">
        <v>30</v>
      </c>
      <c r="C4046">
        <v>801</v>
      </c>
      <c r="D4046">
        <v>7</v>
      </c>
      <c r="E4046">
        <v>1</v>
      </c>
      <c r="F4046" t="s">
        <v>31</v>
      </c>
      <c r="G4046" t="s">
        <v>32</v>
      </c>
      <c r="H4046" t="s">
        <v>33</v>
      </c>
      <c r="I4046" t="s">
        <v>57</v>
      </c>
      <c r="O4046" s="5"/>
      <c r="P4046" s="5"/>
    </row>
    <row r="4047" spans="1:30" x14ac:dyDescent="0.25">
      <c r="A4047" s="4">
        <v>42606</v>
      </c>
      <c r="B4047" t="s">
        <v>30</v>
      </c>
      <c r="C4047">
        <v>801</v>
      </c>
      <c r="D4047">
        <v>7</v>
      </c>
      <c r="E4047">
        <v>2</v>
      </c>
      <c r="F4047" t="s">
        <v>31</v>
      </c>
      <c r="G4047" t="s">
        <v>32</v>
      </c>
      <c r="H4047" t="s">
        <v>33</v>
      </c>
      <c r="I4047" t="s">
        <v>34</v>
      </c>
      <c r="J4047" t="s">
        <v>35</v>
      </c>
      <c r="K4047" t="s">
        <v>114</v>
      </c>
      <c r="L4047" t="s">
        <v>37</v>
      </c>
      <c r="M4047">
        <v>0</v>
      </c>
      <c r="N4047">
        <v>0</v>
      </c>
      <c r="O4047" s="5" t="s">
        <v>982</v>
      </c>
      <c r="P4047" s="5" t="s">
        <v>983</v>
      </c>
      <c r="Q4047">
        <f>31-14</f>
        <v>17</v>
      </c>
      <c r="R4047" t="s">
        <v>38</v>
      </c>
      <c r="S4047" t="s">
        <v>39</v>
      </c>
      <c r="T4047">
        <v>20</v>
      </c>
      <c r="U4047">
        <v>90</v>
      </c>
      <c r="V4047">
        <v>17</v>
      </c>
      <c r="W4047">
        <v>12.8</v>
      </c>
      <c r="X4047">
        <v>25.05</v>
      </c>
      <c r="AB4047" t="s">
        <v>40</v>
      </c>
      <c r="AC4047" t="s">
        <v>56</v>
      </c>
      <c r="AD4047" t="s">
        <v>537</v>
      </c>
    </row>
    <row r="4048" spans="1:30" x14ac:dyDescent="0.25">
      <c r="A4048" s="4">
        <v>42606</v>
      </c>
      <c r="B4048" t="s">
        <v>30</v>
      </c>
      <c r="C4048">
        <v>801</v>
      </c>
      <c r="D4048">
        <v>8</v>
      </c>
      <c r="E4048">
        <v>1</v>
      </c>
      <c r="F4048" t="s">
        <v>31</v>
      </c>
      <c r="G4048" t="s">
        <v>32</v>
      </c>
      <c r="H4048" t="s">
        <v>33</v>
      </c>
      <c r="I4048" t="s">
        <v>73</v>
      </c>
      <c r="J4048" t="s">
        <v>35</v>
      </c>
      <c r="K4048" t="s">
        <v>89</v>
      </c>
      <c r="L4048" t="s">
        <v>43</v>
      </c>
      <c r="M4048">
        <v>0</v>
      </c>
      <c r="N4048">
        <v>0</v>
      </c>
      <c r="O4048" s="5" t="s">
        <v>642</v>
      </c>
      <c r="P4048" s="5"/>
      <c r="Q4048">
        <f>172-95</f>
        <v>77</v>
      </c>
      <c r="R4048" t="s">
        <v>65</v>
      </c>
      <c r="T4048">
        <v>29</v>
      </c>
      <c r="W4048">
        <v>21.6</v>
      </c>
      <c r="X4048">
        <v>41.5</v>
      </c>
      <c r="AB4048" t="s">
        <v>40</v>
      </c>
      <c r="AC4048" t="s">
        <v>56</v>
      </c>
      <c r="AD4048" t="s">
        <v>1034</v>
      </c>
    </row>
    <row r="4049" spans="1:29" x14ac:dyDescent="0.25">
      <c r="A4049" s="4">
        <v>42606</v>
      </c>
      <c r="B4049" t="s">
        <v>30</v>
      </c>
      <c r="C4049">
        <v>801</v>
      </c>
      <c r="D4049">
        <v>9</v>
      </c>
      <c r="E4049">
        <v>1</v>
      </c>
      <c r="F4049" t="s">
        <v>31</v>
      </c>
      <c r="G4049" t="s">
        <v>32</v>
      </c>
      <c r="H4049" t="s">
        <v>33</v>
      </c>
      <c r="I4049" t="s">
        <v>91</v>
      </c>
      <c r="J4049" t="s">
        <v>35</v>
      </c>
      <c r="K4049" t="s">
        <v>36</v>
      </c>
      <c r="L4049" t="s">
        <v>43</v>
      </c>
      <c r="M4049">
        <v>0</v>
      </c>
      <c r="N4049">
        <v>0</v>
      </c>
      <c r="O4049" s="5" t="s">
        <v>633</v>
      </c>
      <c r="P4049" s="5"/>
      <c r="Q4049">
        <f>38-13</f>
        <v>25</v>
      </c>
      <c r="R4049" t="s">
        <v>65</v>
      </c>
      <c r="T4049">
        <v>30</v>
      </c>
      <c r="W4049">
        <v>13.75</v>
      </c>
      <c r="X4049">
        <v>26.9</v>
      </c>
      <c r="AB4049" t="s">
        <v>40</v>
      </c>
      <c r="AC4049" t="s">
        <v>56</v>
      </c>
    </row>
    <row r="4050" spans="1:29" x14ac:dyDescent="0.25">
      <c r="A4050" s="4">
        <v>42606</v>
      </c>
      <c r="B4050" t="s">
        <v>30</v>
      </c>
      <c r="C4050">
        <v>801</v>
      </c>
      <c r="D4050">
        <v>9</v>
      </c>
      <c r="E4050">
        <v>2</v>
      </c>
      <c r="F4050" t="s">
        <v>31</v>
      </c>
      <c r="G4050" t="s">
        <v>32</v>
      </c>
      <c r="H4050" t="s">
        <v>33</v>
      </c>
      <c r="I4050" t="s">
        <v>73</v>
      </c>
      <c r="J4050" t="s">
        <v>35</v>
      </c>
      <c r="K4050" t="s">
        <v>36</v>
      </c>
      <c r="L4050" t="s">
        <v>43</v>
      </c>
      <c r="M4050">
        <v>0</v>
      </c>
      <c r="N4050">
        <v>0</v>
      </c>
      <c r="O4050" s="5"/>
      <c r="P4050" s="5" t="s">
        <v>605</v>
      </c>
      <c r="Q4050">
        <f>195-95</f>
        <v>100</v>
      </c>
      <c r="R4050" t="s">
        <v>65</v>
      </c>
      <c r="T4050">
        <v>33</v>
      </c>
      <c r="W4050">
        <v>23.3</v>
      </c>
      <c r="X4050">
        <v>43.4</v>
      </c>
      <c r="AB4050" t="s">
        <v>40</v>
      </c>
      <c r="AC4050" t="s">
        <v>56</v>
      </c>
    </row>
    <row r="4051" spans="1:29" x14ac:dyDescent="0.25">
      <c r="A4051" s="4">
        <v>42606</v>
      </c>
      <c r="B4051" t="s">
        <v>30</v>
      </c>
      <c r="C4051">
        <v>801</v>
      </c>
      <c r="D4051">
        <v>10</v>
      </c>
      <c r="E4051">
        <v>1</v>
      </c>
      <c r="F4051" t="s">
        <v>31</v>
      </c>
      <c r="G4051" t="s">
        <v>32</v>
      </c>
      <c r="H4051" t="s">
        <v>33</v>
      </c>
      <c r="I4051" t="s">
        <v>53</v>
      </c>
      <c r="J4051" t="s">
        <v>62</v>
      </c>
      <c r="O4051" s="5"/>
      <c r="P4051" s="5"/>
      <c r="AB4051" t="s">
        <v>40</v>
      </c>
      <c r="AC4051" t="s">
        <v>56</v>
      </c>
    </row>
    <row r="4052" spans="1:29" x14ac:dyDescent="0.25">
      <c r="A4052" s="4">
        <v>42606</v>
      </c>
      <c r="B4052" t="s">
        <v>30</v>
      </c>
      <c r="C4052">
        <v>801</v>
      </c>
      <c r="D4052">
        <v>10</v>
      </c>
      <c r="E4052">
        <v>2</v>
      </c>
      <c r="F4052" t="s">
        <v>31</v>
      </c>
      <c r="G4052" t="s">
        <v>32</v>
      </c>
      <c r="H4052" t="s">
        <v>33</v>
      </c>
      <c r="I4052" t="s">
        <v>57</v>
      </c>
      <c r="O4052" s="5"/>
      <c r="P4052" s="5"/>
    </row>
    <row r="4053" spans="1:29" x14ac:dyDescent="0.25">
      <c r="A4053" s="4">
        <v>42606</v>
      </c>
      <c r="B4053" t="s">
        <v>30</v>
      </c>
      <c r="C4053">
        <v>803</v>
      </c>
      <c r="D4053">
        <v>10</v>
      </c>
      <c r="E4053">
        <v>1</v>
      </c>
      <c r="F4053" t="s">
        <v>31</v>
      </c>
      <c r="G4053" t="s">
        <v>32</v>
      </c>
      <c r="H4053" t="s">
        <v>33</v>
      </c>
      <c r="I4053" t="s">
        <v>57</v>
      </c>
      <c r="O4053" s="5"/>
      <c r="P4053" s="5"/>
    </row>
    <row r="4054" spans="1:29" x14ac:dyDescent="0.25">
      <c r="A4054" s="4">
        <v>42606</v>
      </c>
      <c r="B4054" t="s">
        <v>30</v>
      </c>
      <c r="C4054">
        <v>803</v>
      </c>
      <c r="D4054">
        <v>9</v>
      </c>
      <c r="E4054">
        <v>1</v>
      </c>
      <c r="F4054" t="s">
        <v>31</v>
      </c>
      <c r="G4054" t="s">
        <v>32</v>
      </c>
      <c r="H4054" t="s">
        <v>33</v>
      </c>
      <c r="I4054" t="s">
        <v>91</v>
      </c>
      <c r="J4054" t="s">
        <v>42</v>
      </c>
      <c r="K4054" t="s">
        <v>36</v>
      </c>
      <c r="L4054" t="s">
        <v>43</v>
      </c>
      <c r="M4054">
        <v>0</v>
      </c>
      <c r="N4054">
        <v>1</v>
      </c>
      <c r="O4054" s="5" t="s">
        <v>1035</v>
      </c>
      <c r="P4054" s="5"/>
      <c r="Q4054">
        <f>34-14</f>
        <v>20</v>
      </c>
      <c r="R4054" t="s">
        <v>65</v>
      </c>
      <c r="T4054">
        <v>29</v>
      </c>
      <c r="W4054">
        <v>13.1</v>
      </c>
      <c r="X4054">
        <v>22.5</v>
      </c>
      <c r="AB4054" t="s">
        <v>40</v>
      </c>
      <c r="AC4054" t="s">
        <v>56</v>
      </c>
    </row>
    <row r="4055" spans="1:29" x14ac:dyDescent="0.25">
      <c r="A4055" s="4">
        <v>42606</v>
      </c>
      <c r="B4055" t="s">
        <v>30</v>
      </c>
      <c r="C4055">
        <v>803</v>
      </c>
      <c r="D4055">
        <v>9</v>
      </c>
      <c r="E4055">
        <v>2</v>
      </c>
      <c r="F4055" t="s">
        <v>31</v>
      </c>
      <c r="G4055" t="s">
        <v>32</v>
      </c>
      <c r="H4055" t="s">
        <v>33</v>
      </c>
      <c r="I4055" t="s">
        <v>73</v>
      </c>
      <c r="J4055" t="s">
        <v>35</v>
      </c>
      <c r="K4055" t="s">
        <v>36</v>
      </c>
      <c r="L4055" t="s">
        <v>43</v>
      </c>
      <c r="M4055">
        <v>0</v>
      </c>
      <c r="N4055">
        <v>0</v>
      </c>
      <c r="O4055" s="5" t="s">
        <v>656</v>
      </c>
      <c r="P4055" s="5"/>
      <c r="Q4055">
        <f>185-95</f>
        <v>90</v>
      </c>
      <c r="R4055" t="s">
        <v>65</v>
      </c>
      <c r="T4055">
        <v>29</v>
      </c>
      <c r="W4055">
        <v>12.55</v>
      </c>
      <c r="X4055">
        <v>42.5</v>
      </c>
      <c r="AB4055" t="s">
        <v>40</v>
      </c>
      <c r="AC4055" t="s">
        <v>56</v>
      </c>
    </row>
    <row r="4056" spans="1:29" x14ac:dyDescent="0.25">
      <c r="A4056" s="4">
        <v>42606</v>
      </c>
      <c r="B4056" t="s">
        <v>30</v>
      </c>
      <c r="C4056">
        <v>803</v>
      </c>
      <c r="D4056">
        <v>8</v>
      </c>
      <c r="E4056">
        <v>1</v>
      </c>
      <c r="F4056" t="s">
        <v>31</v>
      </c>
      <c r="G4056" t="s">
        <v>32</v>
      </c>
      <c r="H4056" t="s">
        <v>33</v>
      </c>
      <c r="I4056" t="s">
        <v>53</v>
      </c>
      <c r="J4056" t="s">
        <v>62</v>
      </c>
      <c r="O4056" s="5"/>
      <c r="P4056" s="5"/>
      <c r="AB4056" t="s">
        <v>40</v>
      </c>
      <c r="AC4056" t="s">
        <v>56</v>
      </c>
    </row>
    <row r="4057" spans="1:29" x14ac:dyDescent="0.25">
      <c r="A4057" s="4">
        <v>42606</v>
      </c>
      <c r="B4057" t="s">
        <v>30</v>
      </c>
      <c r="C4057">
        <v>803</v>
      </c>
      <c r="D4057">
        <v>8</v>
      </c>
      <c r="E4057">
        <v>2</v>
      </c>
      <c r="F4057" t="s">
        <v>31</v>
      </c>
      <c r="G4057" t="s">
        <v>32</v>
      </c>
      <c r="H4057" t="s">
        <v>33</v>
      </c>
      <c r="I4057" t="s">
        <v>53</v>
      </c>
      <c r="J4057" t="s">
        <v>62</v>
      </c>
      <c r="O4057" s="5"/>
      <c r="P4057" s="5"/>
      <c r="AB4057" t="s">
        <v>40</v>
      </c>
      <c r="AC4057" t="s">
        <v>56</v>
      </c>
    </row>
    <row r="4058" spans="1:29" x14ac:dyDescent="0.25">
      <c r="A4058" s="4">
        <v>42606</v>
      </c>
      <c r="B4058" t="s">
        <v>30</v>
      </c>
      <c r="C4058">
        <v>803</v>
      </c>
      <c r="D4058">
        <v>6</v>
      </c>
      <c r="E4058">
        <v>1</v>
      </c>
      <c r="F4058" t="s">
        <v>31</v>
      </c>
      <c r="G4058" t="s">
        <v>32</v>
      </c>
      <c r="H4058" t="s">
        <v>33</v>
      </c>
      <c r="I4058" t="s">
        <v>57</v>
      </c>
      <c r="O4058" s="5"/>
      <c r="P4058" s="5"/>
    </row>
    <row r="4059" spans="1:29" x14ac:dyDescent="0.25">
      <c r="A4059" s="4">
        <v>42606</v>
      </c>
      <c r="B4059" t="s">
        <v>30</v>
      </c>
      <c r="C4059">
        <v>803</v>
      </c>
      <c r="D4059">
        <v>6</v>
      </c>
      <c r="E4059">
        <v>2</v>
      </c>
      <c r="F4059" t="s">
        <v>31</v>
      </c>
      <c r="G4059" t="s">
        <v>32</v>
      </c>
      <c r="H4059" t="s">
        <v>33</v>
      </c>
      <c r="I4059" t="s">
        <v>58</v>
      </c>
      <c r="J4059" t="s">
        <v>35</v>
      </c>
      <c r="K4059" t="s">
        <v>36</v>
      </c>
      <c r="L4059" t="s">
        <v>43</v>
      </c>
      <c r="M4059">
        <v>0</v>
      </c>
      <c r="N4059">
        <v>0</v>
      </c>
      <c r="O4059" s="5" t="s">
        <v>652</v>
      </c>
      <c r="P4059" s="5"/>
      <c r="Q4059">
        <f>36-15</f>
        <v>21</v>
      </c>
      <c r="R4059" t="s">
        <v>65</v>
      </c>
      <c r="T4059">
        <v>16</v>
      </c>
      <c r="W4059">
        <v>13.1</v>
      </c>
      <c r="X4059">
        <v>28</v>
      </c>
      <c r="AB4059" t="s">
        <v>40</v>
      </c>
      <c r="AC4059" t="s">
        <v>56</v>
      </c>
    </row>
    <row r="4060" spans="1:29" x14ac:dyDescent="0.25">
      <c r="A4060" s="4">
        <v>42606</v>
      </c>
      <c r="B4060" t="s">
        <v>30</v>
      </c>
      <c r="C4060">
        <v>803</v>
      </c>
      <c r="D4060">
        <v>5</v>
      </c>
      <c r="E4060">
        <v>1</v>
      </c>
      <c r="F4060" t="s">
        <v>31</v>
      </c>
      <c r="G4060" t="s">
        <v>32</v>
      </c>
      <c r="H4060" t="s">
        <v>33</v>
      </c>
      <c r="I4060" t="s">
        <v>91</v>
      </c>
      <c r="J4060" t="s">
        <v>35</v>
      </c>
      <c r="K4060" t="s">
        <v>36</v>
      </c>
      <c r="L4060" t="s">
        <v>37</v>
      </c>
      <c r="M4060">
        <v>0</v>
      </c>
      <c r="N4060">
        <v>0</v>
      </c>
      <c r="O4060" s="5" t="s">
        <v>606</v>
      </c>
      <c r="P4060" s="5"/>
      <c r="Q4060">
        <f>36-16</f>
        <v>20</v>
      </c>
      <c r="R4060" t="s">
        <v>65</v>
      </c>
      <c r="S4060" t="s">
        <v>39</v>
      </c>
      <c r="T4060">
        <v>28</v>
      </c>
      <c r="W4060">
        <v>13.05</v>
      </c>
      <c r="X4060">
        <v>25.2</v>
      </c>
      <c r="AB4060" t="s">
        <v>40</v>
      </c>
      <c r="AC4060" t="s">
        <v>56</v>
      </c>
    </row>
    <row r="4061" spans="1:29" x14ac:dyDescent="0.25">
      <c r="A4061" s="4">
        <v>42606</v>
      </c>
      <c r="B4061" t="s">
        <v>30</v>
      </c>
      <c r="C4061">
        <v>803</v>
      </c>
      <c r="D4061">
        <v>4</v>
      </c>
      <c r="E4061">
        <v>1</v>
      </c>
      <c r="F4061" t="s">
        <v>31</v>
      </c>
      <c r="G4061" t="s">
        <v>32</v>
      </c>
      <c r="H4061" t="s">
        <v>33</v>
      </c>
      <c r="I4061" t="s">
        <v>57</v>
      </c>
      <c r="O4061" s="5"/>
      <c r="P4061" s="5"/>
    </row>
    <row r="4062" spans="1:29" x14ac:dyDescent="0.25">
      <c r="A4062" s="4">
        <v>42606</v>
      </c>
      <c r="B4062" t="s">
        <v>30</v>
      </c>
      <c r="C4062">
        <v>803</v>
      </c>
      <c r="D4062">
        <v>4</v>
      </c>
      <c r="E4062">
        <v>2</v>
      </c>
      <c r="F4062" t="s">
        <v>31</v>
      </c>
      <c r="G4062" t="s">
        <v>32</v>
      </c>
      <c r="H4062" t="s">
        <v>33</v>
      </c>
      <c r="I4062" t="s">
        <v>57</v>
      </c>
      <c r="O4062" s="5"/>
      <c r="P4062" s="5"/>
    </row>
    <row r="4063" spans="1:29" x14ac:dyDescent="0.25">
      <c r="A4063" s="4">
        <v>42606</v>
      </c>
      <c r="B4063" t="s">
        <v>30</v>
      </c>
      <c r="C4063">
        <v>803</v>
      </c>
      <c r="D4063">
        <v>3</v>
      </c>
      <c r="E4063">
        <v>1</v>
      </c>
      <c r="F4063" t="s">
        <v>31</v>
      </c>
      <c r="G4063" t="s">
        <v>32</v>
      </c>
      <c r="H4063" t="s">
        <v>33</v>
      </c>
      <c r="I4063" t="s">
        <v>57</v>
      </c>
      <c r="O4063" s="5"/>
      <c r="P4063" s="5"/>
    </row>
    <row r="4064" spans="1:29" x14ac:dyDescent="0.25">
      <c r="A4064" s="4">
        <v>42606</v>
      </c>
      <c r="B4064" t="s">
        <v>30</v>
      </c>
      <c r="C4064">
        <v>803</v>
      </c>
      <c r="D4064">
        <v>3</v>
      </c>
      <c r="E4064">
        <v>2</v>
      </c>
      <c r="F4064" t="s">
        <v>31</v>
      </c>
      <c r="G4064" t="s">
        <v>32</v>
      </c>
      <c r="H4064" t="s">
        <v>33</v>
      </c>
      <c r="I4064" t="s">
        <v>53</v>
      </c>
      <c r="J4064" t="s">
        <v>62</v>
      </c>
      <c r="O4064" s="5"/>
      <c r="P4064" s="5"/>
      <c r="AB4064" t="s">
        <v>40</v>
      </c>
      <c r="AC4064" t="s">
        <v>56</v>
      </c>
    </row>
    <row r="4065" spans="1:30" x14ac:dyDescent="0.25">
      <c r="A4065" s="4">
        <v>42606</v>
      </c>
      <c r="B4065" t="s">
        <v>30</v>
      </c>
      <c r="C4065">
        <v>803</v>
      </c>
      <c r="D4065">
        <v>1</v>
      </c>
      <c r="E4065">
        <v>1</v>
      </c>
      <c r="F4065" t="s">
        <v>31</v>
      </c>
      <c r="G4065" t="s">
        <v>32</v>
      </c>
      <c r="H4065" t="s">
        <v>33</v>
      </c>
      <c r="I4065" t="s">
        <v>58</v>
      </c>
      <c r="J4065" t="s">
        <v>35</v>
      </c>
      <c r="K4065" t="s">
        <v>36</v>
      </c>
      <c r="L4065" t="s">
        <v>37</v>
      </c>
      <c r="M4065">
        <v>0</v>
      </c>
      <c r="N4065">
        <v>0</v>
      </c>
      <c r="O4065" s="5" t="s">
        <v>935</v>
      </c>
      <c r="P4065" s="5"/>
      <c r="Q4065">
        <f>45.5-14.5</f>
        <v>31</v>
      </c>
      <c r="R4065" t="s">
        <v>263</v>
      </c>
      <c r="T4065">
        <v>17</v>
      </c>
      <c r="W4065">
        <v>13.2</v>
      </c>
      <c r="X4065">
        <v>23.9</v>
      </c>
      <c r="AB4065" t="s">
        <v>40</v>
      </c>
      <c r="AC4065" t="s">
        <v>56</v>
      </c>
    </row>
    <row r="4066" spans="1:30" x14ac:dyDescent="0.25">
      <c r="A4066" s="4">
        <v>42606</v>
      </c>
      <c r="B4066" t="s">
        <v>30</v>
      </c>
      <c r="C4066">
        <v>901</v>
      </c>
      <c r="D4066">
        <v>10</v>
      </c>
      <c r="E4066">
        <v>1</v>
      </c>
      <c r="F4066" t="s">
        <v>31</v>
      </c>
      <c r="G4066" t="s">
        <v>32</v>
      </c>
      <c r="H4066" t="s">
        <v>33</v>
      </c>
      <c r="I4066" t="s">
        <v>57</v>
      </c>
      <c r="O4066" s="5"/>
      <c r="P4066" s="5"/>
    </row>
    <row r="4067" spans="1:30" x14ac:dyDescent="0.25">
      <c r="A4067" s="4">
        <v>42606</v>
      </c>
      <c r="B4067" t="s">
        <v>30</v>
      </c>
      <c r="C4067">
        <v>901</v>
      </c>
      <c r="D4067">
        <v>7</v>
      </c>
      <c r="E4067">
        <v>2</v>
      </c>
      <c r="F4067" t="s">
        <v>31</v>
      </c>
      <c r="G4067" t="s">
        <v>32</v>
      </c>
      <c r="H4067" t="s">
        <v>33</v>
      </c>
      <c r="I4067" t="s">
        <v>57</v>
      </c>
      <c r="O4067" s="5"/>
      <c r="P4067" s="5"/>
    </row>
    <row r="4068" spans="1:30" x14ac:dyDescent="0.25">
      <c r="A4068" s="4">
        <v>42606</v>
      </c>
      <c r="B4068" t="s">
        <v>30</v>
      </c>
      <c r="C4068">
        <v>901</v>
      </c>
      <c r="D4068">
        <v>7</v>
      </c>
      <c r="E4068">
        <v>1</v>
      </c>
      <c r="F4068" t="s">
        <v>31</v>
      </c>
      <c r="G4068" t="s">
        <v>32</v>
      </c>
      <c r="H4068" t="s">
        <v>33</v>
      </c>
      <c r="I4068" t="s">
        <v>73</v>
      </c>
      <c r="J4068" t="s">
        <v>35</v>
      </c>
      <c r="K4068" t="s">
        <v>36</v>
      </c>
      <c r="L4068" t="s">
        <v>43</v>
      </c>
      <c r="M4068">
        <v>0</v>
      </c>
      <c r="N4068">
        <v>0</v>
      </c>
      <c r="O4068" s="5" t="s">
        <v>1036</v>
      </c>
      <c r="P4068" s="5"/>
      <c r="Q4068">
        <f>190-95</f>
        <v>95</v>
      </c>
      <c r="R4068" t="s">
        <v>65</v>
      </c>
      <c r="AB4068" t="s">
        <v>40</v>
      </c>
      <c r="AC4068" t="s">
        <v>56</v>
      </c>
      <c r="AD4068" t="s">
        <v>1037</v>
      </c>
    </row>
    <row r="4069" spans="1:30" x14ac:dyDescent="0.25">
      <c r="A4069" s="4">
        <v>42606</v>
      </c>
      <c r="B4069" t="s">
        <v>30</v>
      </c>
      <c r="C4069">
        <v>901</v>
      </c>
      <c r="D4069">
        <v>2</v>
      </c>
      <c r="E4069">
        <v>1</v>
      </c>
      <c r="F4069" t="s">
        <v>31</v>
      </c>
      <c r="G4069" t="s">
        <v>32</v>
      </c>
      <c r="H4069" t="s">
        <v>33</v>
      </c>
      <c r="I4069" t="s">
        <v>34</v>
      </c>
      <c r="J4069" t="s">
        <v>35</v>
      </c>
      <c r="K4069" t="s">
        <v>114</v>
      </c>
      <c r="L4069" t="s">
        <v>43</v>
      </c>
      <c r="M4069">
        <v>0</v>
      </c>
      <c r="N4069">
        <v>0</v>
      </c>
      <c r="O4069" s="5" t="s">
        <v>985</v>
      </c>
      <c r="P4069" s="5" t="s">
        <v>986</v>
      </c>
      <c r="Q4069">
        <f>31-14.5</f>
        <v>16.5</v>
      </c>
      <c r="R4069" t="s">
        <v>65</v>
      </c>
      <c r="AB4069" t="s">
        <v>40</v>
      </c>
      <c r="AC4069" t="s">
        <v>56</v>
      </c>
      <c r="AD4069" t="s">
        <v>1037</v>
      </c>
    </row>
    <row r="4070" spans="1:30" x14ac:dyDescent="0.25">
      <c r="A4070" s="4">
        <v>42606</v>
      </c>
      <c r="B4070" t="s">
        <v>30</v>
      </c>
      <c r="C4070">
        <v>901</v>
      </c>
      <c r="D4070">
        <v>1</v>
      </c>
      <c r="E4070">
        <v>1</v>
      </c>
      <c r="F4070" t="s">
        <v>31</v>
      </c>
      <c r="G4070" t="s">
        <v>32</v>
      </c>
      <c r="H4070" t="s">
        <v>33</v>
      </c>
      <c r="I4070" t="s">
        <v>57</v>
      </c>
      <c r="O4070" s="5"/>
      <c r="P4070" s="5"/>
    </row>
    <row r="4071" spans="1:30" x14ac:dyDescent="0.25">
      <c r="A4071" s="4">
        <v>42606</v>
      </c>
      <c r="B4071" t="s">
        <v>30</v>
      </c>
      <c r="C4071">
        <v>901</v>
      </c>
      <c r="D4071">
        <v>1</v>
      </c>
      <c r="E4071">
        <v>1</v>
      </c>
      <c r="F4071" t="s">
        <v>31</v>
      </c>
      <c r="G4071" t="s">
        <v>32</v>
      </c>
      <c r="H4071" t="s">
        <v>33</v>
      </c>
      <c r="I4071" t="s">
        <v>57</v>
      </c>
      <c r="O4071" s="5"/>
      <c r="P4071" s="5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06"/>
  <sheetViews>
    <sheetView workbookViewId="0">
      <pane ySplit="1" topLeftCell="A1996" activePane="bottomLeft" state="frozen"/>
      <selection pane="bottomLeft" activeCell="J2015" sqref="J2015"/>
    </sheetView>
  </sheetViews>
  <sheetFormatPr defaultRowHeight="15" x14ac:dyDescent="0.25"/>
  <cols>
    <col min="1" max="1" width="10" customWidth="1"/>
    <col min="10" max="10" width="14.42578125" customWidth="1"/>
  </cols>
  <sheetData>
    <row r="1" spans="1:13" ht="14.1" customHeight="1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11</v>
      </c>
      <c r="H1" s="2" t="s">
        <v>14</v>
      </c>
      <c r="I1" s="2" t="s">
        <v>15</v>
      </c>
      <c r="J1" s="1" t="s">
        <v>25</v>
      </c>
      <c r="K1" s="1" t="s">
        <v>16</v>
      </c>
      <c r="L1" s="1" t="s">
        <v>17</v>
      </c>
      <c r="M1" s="8" t="s">
        <v>1038</v>
      </c>
    </row>
    <row r="2" spans="1:13" x14ac:dyDescent="0.25">
      <c r="A2" s="4">
        <v>43298</v>
      </c>
      <c r="B2" t="s">
        <v>30</v>
      </c>
      <c r="C2">
        <v>5</v>
      </c>
      <c r="D2">
        <v>1</v>
      </c>
      <c r="E2" t="s">
        <v>35</v>
      </c>
      <c r="F2" t="s">
        <v>114</v>
      </c>
      <c r="G2">
        <v>2</v>
      </c>
      <c r="H2">
        <v>1002</v>
      </c>
      <c r="I2">
        <v>1001</v>
      </c>
      <c r="J2">
        <v>0</v>
      </c>
      <c r="K2">
        <f>37-21</f>
        <v>16</v>
      </c>
      <c r="L2" t="s">
        <v>38</v>
      </c>
      <c r="M2">
        <v>3</v>
      </c>
    </row>
    <row r="3" spans="1:13" x14ac:dyDescent="0.25">
      <c r="A3" s="4">
        <v>43299</v>
      </c>
      <c r="B3" t="s">
        <v>30</v>
      </c>
      <c r="C3">
        <v>3</v>
      </c>
      <c r="D3">
        <v>1</v>
      </c>
      <c r="E3" t="s">
        <v>35</v>
      </c>
      <c r="F3" t="s">
        <v>114</v>
      </c>
      <c r="G3">
        <v>1</v>
      </c>
      <c r="H3">
        <v>1004</v>
      </c>
      <c r="I3">
        <v>1003</v>
      </c>
      <c r="J3">
        <v>0</v>
      </c>
      <c r="K3">
        <f>31-18</f>
        <v>13</v>
      </c>
      <c r="L3" t="s">
        <v>38</v>
      </c>
      <c r="M3">
        <v>3</v>
      </c>
    </row>
    <row r="4" spans="1:13" x14ac:dyDescent="0.25">
      <c r="A4" s="4">
        <v>43298</v>
      </c>
      <c r="B4" t="s">
        <v>30</v>
      </c>
      <c r="C4">
        <v>3</v>
      </c>
      <c r="D4">
        <v>1</v>
      </c>
      <c r="E4" t="s">
        <v>35</v>
      </c>
      <c r="F4" t="s">
        <v>89</v>
      </c>
      <c r="G4">
        <v>2</v>
      </c>
      <c r="H4">
        <v>1006</v>
      </c>
      <c r="I4">
        <v>1005</v>
      </c>
      <c r="J4">
        <v>0</v>
      </c>
      <c r="K4">
        <f>36-24</f>
        <v>12</v>
      </c>
      <c r="L4" t="s">
        <v>38</v>
      </c>
      <c r="M4">
        <v>3</v>
      </c>
    </row>
    <row r="5" spans="1:13" x14ac:dyDescent="0.25">
      <c r="A5" s="4">
        <v>43299</v>
      </c>
      <c r="B5" t="s">
        <v>30</v>
      </c>
      <c r="C5">
        <v>3</v>
      </c>
      <c r="D5">
        <v>1</v>
      </c>
      <c r="E5" t="s">
        <v>35</v>
      </c>
      <c r="F5" t="s">
        <v>89</v>
      </c>
      <c r="G5">
        <v>2</v>
      </c>
      <c r="H5">
        <v>1006</v>
      </c>
      <c r="I5">
        <v>1005</v>
      </c>
      <c r="J5">
        <v>0</v>
      </c>
      <c r="K5">
        <f>28-19</f>
        <v>9</v>
      </c>
      <c r="L5" t="s">
        <v>38</v>
      </c>
      <c r="M5">
        <v>3</v>
      </c>
    </row>
    <row r="6" spans="1:13" x14ac:dyDescent="0.25">
      <c r="A6" s="4">
        <v>43311</v>
      </c>
      <c r="B6" t="s">
        <v>30</v>
      </c>
      <c r="C6">
        <v>3</v>
      </c>
      <c r="D6">
        <v>1</v>
      </c>
      <c r="E6" t="s">
        <v>35</v>
      </c>
      <c r="F6" t="s">
        <v>89</v>
      </c>
      <c r="G6">
        <v>2</v>
      </c>
      <c r="H6">
        <v>1006</v>
      </c>
      <c r="I6">
        <v>1005</v>
      </c>
      <c r="J6">
        <v>0</v>
      </c>
      <c r="K6">
        <f>25-11</f>
        <v>14</v>
      </c>
      <c r="L6" t="s">
        <v>38</v>
      </c>
      <c r="M6">
        <v>3</v>
      </c>
    </row>
    <row r="7" spans="1:13" x14ac:dyDescent="0.25">
      <c r="A7" s="4">
        <v>43312</v>
      </c>
      <c r="B7" t="s">
        <v>30</v>
      </c>
      <c r="C7">
        <v>3</v>
      </c>
      <c r="D7">
        <v>1</v>
      </c>
      <c r="E7" t="s">
        <v>35</v>
      </c>
      <c r="F7" t="s">
        <v>89</v>
      </c>
      <c r="G7">
        <v>2</v>
      </c>
      <c r="H7">
        <v>1006</v>
      </c>
      <c r="I7">
        <v>1005</v>
      </c>
      <c r="J7">
        <v>0</v>
      </c>
      <c r="K7">
        <f>23-11</f>
        <v>12</v>
      </c>
      <c r="L7" t="s">
        <v>38</v>
      </c>
      <c r="M7">
        <v>3</v>
      </c>
    </row>
    <row r="8" spans="1:13" x14ac:dyDescent="0.25">
      <c r="A8" s="4">
        <v>43313</v>
      </c>
      <c r="B8" t="s">
        <v>30</v>
      </c>
      <c r="C8">
        <v>3</v>
      </c>
      <c r="D8">
        <v>1</v>
      </c>
      <c r="E8" t="s">
        <v>35</v>
      </c>
      <c r="F8" t="s">
        <v>89</v>
      </c>
      <c r="G8">
        <v>2</v>
      </c>
      <c r="H8">
        <v>1006</v>
      </c>
      <c r="I8">
        <v>1005</v>
      </c>
      <c r="J8">
        <v>0</v>
      </c>
      <c r="K8">
        <f>25-11</f>
        <v>14</v>
      </c>
      <c r="L8" t="s">
        <v>38</v>
      </c>
      <c r="M8">
        <v>3</v>
      </c>
    </row>
    <row r="9" spans="1:13" x14ac:dyDescent="0.25">
      <c r="A9" s="4">
        <v>43325</v>
      </c>
      <c r="B9" t="s">
        <v>30</v>
      </c>
      <c r="C9">
        <v>3</v>
      </c>
      <c r="D9">
        <v>1</v>
      </c>
      <c r="E9" t="s">
        <v>35</v>
      </c>
      <c r="F9" t="s">
        <v>89</v>
      </c>
      <c r="G9">
        <v>2</v>
      </c>
      <c r="H9">
        <v>1006</v>
      </c>
      <c r="I9">
        <v>1005</v>
      </c>
      <c r="J9">
        <v>0</v>
      </c>
      <c r="K9">
        <f>30-13</f>
        <v>17</v>
      </c>
      <c r="L9" t="s">
        <v>38</v>
      </c>
      <c r="M9">
        <v>3</v>
      </c>
    </row>
    <row r="10" spans="1:13" x14ac:dyDescent="0.25">
      <c r="A10" s="4">
        <v>43326</v>
      </c>
      <c r="B10" t="s">
        <v>30</v>
      </c>
      <c r="C10">
        <v>3</v>
      </c>
      <c r="D10">
        <v>1</v>
      </c>
      <c r="E10" t="s">
        <v>35</v>
      </c>
      <c r="F10" t="s">
        <v>89</v>
      </c>
      <c r="G10">
        <v>2</v>
      </c>
      <c r="H10">
        <v>1006</v>
      </c>
      <c r="I10">
        <v>1005</v>
      </c>
      <c r="J10">
        <v>0</v>
      </c>
      <c r="K10">
        <f>28.25-14</f>
        <v>14.25</v>
      </c>
      <c r="L10" t="s">
        <v>38</v>
      </c>
      <c r="M10">
        <v>3</v>
      </c>
    </row>
    <row r="11" spans="1:13" x14ac:dyDescent="0.25">
      <c r="A11" s="4">
        <v>43327</v>
      </c>
      <c r="B11" t="s">
        <v>30</v>
      </c>
      <c r="C11">
        <v>3</v>
      </c>
      <c r="D11">
        <v>1</v>
      </c>
      <c r="E11" t="s">
        <v>35</v>
      </c>
      <c r="F11" t="s">
        <v>89</v>
      </c>
      <c r="G11">
        <v>2</v>
      </c>
      <c r="H11">
        <v>1006</v>
      </c>
      <c r="I11">
        <v>1005</v>
      </c>
      <c r="J11">
        <v>0</v>
      </c>
      <c r="K11">
        <f>34-19</f>
        <v>15</v>
      </c>
      <c r="L11" t="s">
        <v>38</v>
      </c>
      <c r="M11">
        <v>3</v>
      </c>
    </row>
    <row r="12" spans="1:13" x14ac:dyDescent="0.25">
      <c r="A12" s="4">
        <v>43298</v>
      </c>
      <c r="B12" t="s">
        <v>30</v>
      </c>
      <c r="C12">
        <v>5</v>
      </c>
      <c r="D12">
        <v>1</v>
      </c>
      <c r="E12" t="s">
        <v>42</v>
      </c>
      <c r="F12" t="s">
        <v>114</v>
      </c>
      <c r="G12">
        <v>1</v>
      </c>
      <c r="H12">
        <v>1018</v>
      </c>
      <c r="I12">
        <v>1014</v>
      </c>
      <c r="J12">
        <v>0</v>
      </c>
      <c r="L12" t="s">
        <v>65</v>
      </c>
      <c r="M12">
        <v>3</v>
      </c>
    </row>
    <row r="13" spans="1:13" x14ac:dyDescent="0.25">
      <c r="A13" s="4">
        <v>43297</v>
      </c>
      <c r="B13" t="s">
        <v>30</v>
      </c>
      <c r="C13">
        <v>4</v>
      </c>
      <c r="D13">
        <v>1</v>
      </c>
      <c r="E13" t="s">
        <v>35</v>
      </c>
      <c r="F13" t="s">
        <v>36</v>
      </c>
      <c r="G13">
        <v>1</v>
      </c>
      <c r="H13">
        <v>1022</v>
      </c>
      <c r="I13">
        <v>2812</v>
      </c>
      <c r="J13">
        <v>1</v>
      </c>
      <c r="K13">
        <f>41.5-24</f>
        <v>17.5</v>
      </c>
      <c r="L13" t="s">
        <v>47</v>
      </c>
      <c r="M13">
        <v>3</v>
      </c>
    </row>
    <row r="14" spans="1:13" x14ac:dyDescent="0.25">
      <c r="A14" s="4">
        <v>43298</v>
      </c>
      <c r="B14" t="s">
        <v>30</v>
      </c>
      <c r="C14">
        <v>4</v>
      </c>
      <c r="D14">
        <v>1</v>
      </c>
      <c r="E14" t="s">
        <v>35</v>
      </c>
      <c r="F14" t="s">
        <v>36</v>
      </c>
      <c r="G14">
        <v>1</v>
      </c>
      <c r="H14">
        <v>1022</v>
      </c>
      <c r="I14">
        <v>2812</v>
      </c>
      <c r="J14">
        <v>1</v>
      </c>
      <c r="L14" t="s">
        <v>47</v>
      </c>
      <c r="M14">
        <v>3</v>
      </c>
    </row>
    <row r="15" spans="1:13" x14ac:dyDescent="0.25">
      <c r="A15" s="4">
        <v>43299</v>
      </c>
      <c r="B15" t="s">
        <v>30</v>
      </c>
      <c r="C15">
        <v>4</v>
      </c>
      <c r="D15">
        <v>1</v>
      </c>
      <c r="E15" t="s">
        <v>35</v>
      </c>
      <c r="F15" t="s">
        <v>36</v>
      </c>
      <c r="G15">
        <v>1</v>
      </c>
      <c r="H15">
        <v>1022</v>
      </c>
      <c r="I15">
        <v>2812</v>
      </c>
      <c r="J15">
        <v>1</v>
      </c>
      <c r="L15" t="s">
        <v>47</v>
      </c>
      <c r="M15">
        <v>3</v>
      </c>
    </row>
    <row r="16" spans="1:13" x14ac:dyDescent="0.25">
      <c r="A16" s="4">
        <v>43300</v>
      </c>
      <c r="B16" t="s">
        <v>30</v>
      </c>
      <c r="C16">
        <v>7</v>
      </c>
      <c r="D16">
        <v>1</v>
      </c>
      <c r="E16" t="s">
        <v>35</v>
      </c>
      <c r="F16" t="s">
        <v>89</v>
      </c>
      <c r="G16">
        <v>1</v>
      </c>
      <c r="H16">
        <v>1029</v>
      </c>
      <c r="I16">
        <v>1028</v>
      </c>
      <c r="J16">
        <v>0</v>
      </c>
      <c r="K16">
        <f>30-14.5</f>
        <v>15.5</v>
      </c>
      <c r="L16" t="s">
        <v>65</v>
      </c>
      <c r="M16">
        <v>3</v>
      </c>
    </row>
    <row r="17" spans="1:13" x14ac:dyDescent="0.25">
      <c r="A17" s="4">
        <v>43301</v>
      </c>
      <c r="B17" t="s">
        <v>30</v>
      </c>
      <c r="C17">
        <v>7</v>
      </c>
      <c r="D17">
        <v>1</v>
      </c>
      <c r="E17" t="s">
        <v>35</v>
      </c>
      <c r="F17" t="s">
        <v>89</v>
      </c>
      <c r="G17">
        <v>1</v>
      </c>
      <c r="H17">
        <v>1029</v>
      </c>
      <c r="I17">
        <v>1028</v>
      </c>
      <c r="J17">
        <v>0</v>
      </c>
      <c r="K17">
        <f>28-14</f>
        <v>14</v>
      </c>
      <c r="L17" t="s">
        <v>65</v>
      </c>
      <c r="M17">
        <v>3</v>
      </c>
    </row>
    <row r="18" spans="1:13" x14ac:dyDescent="0.25">
      <c r="A18" s="4">
        <v>43302</v>
      </c>
      <c r="B18" t="s">
        <v>30</v>
      </c>
      <c r="C18">
        <v>7</v>
      </c>
      <c r="D18">
        <v>1</v>
      </c>
      <c r="E18" t="s">
        <v>35</v>
      </c>
      <c r="F18" t="s">
        <v>89</v>
      </c>
      <c r="G18">
        <v>1</v>
      </c>
      <c r="H18">
        <v>1029</v>
      </c>
      <c r="I18">
        <v>1028</v>
      </c>
      <c r="J18">
        <v>0</v>
      </c>
      <c r="K18">
        <f>27.5-14</f>
        <v>13.5</v>
      </c>
      <c r="L18" t="s">
        <v>65</v>
      </c>
      <c r="M18">
        <v>3</v>
      </c>
    </row>
    <row r="19" spans="1:13" x14ac:dyDescent="0.25">
      <c r="A19" s="4">
        <v>43317</v>
      </c>
      <c r="B19" t="s">
        <v>30</v>
      </c>
      <c r="C19">
        <v>7</v>
      </c>
      <c r="D19">
        <v>1</v>
      </c>
      <c r="E19" t="s">
        <v>35</v>
      </c>
      <c r="F19" t="s">
        <v>114</v>
      </c>
      <c r="G19">
        <v>1</v>
      </c>
      <c r="H19">
        <v>1029</v>
      </c>
      <c r="I19">
        <v>1028</v>
      </c>
      <c r="J19">
        <v>0</v>
      </c>
      <c r="K19">
        <f>25.25-11</f>
        <v>14.25</v>
      </c>
      <c r="L19" t="s">
        <v>65</v>
      </c>
      <c r="M19">
        <v>3</v>
      </c>
    </row>
    <row r="20" spans="1:13" x14ac:dyDescent="0.25">
      <c r="A20" s="4">
        <v>43318</v>
      </c>
      <c r="B20" t="s">
        <v>30</v>
      </c>
      <c r="C20">
        <v>7</v>
      </c>
      <c r="D20">
        <v>1</v>
      </c>
      <c r="E20" t="s">
        <v>35</v>
      </c>
      <c r="F20" t="s">
        <v>114</v>
      </c>
      <c r="G20">
        <v>1</v>
      </c>
      <c r="H20">
        <v>1029</v>
      </c>
      <c r="I20">
        <v>1028</v>
      </c>
      <c r="J20">
        <v>0</v>
      </c>
      <c r="K20">
        <f>28-14.5</f>
        <v>13.5</v>
      </c>
      <c r="L20" t="s">
        <v>65</v>
      </c>
      <c r="M20">
        <v>3</v>
      </c>
    </row>
    <row r="21" spans="1:13" x14ac:dyDescent="0.25">
      <c r="A21" s="4">
        <v>43326</v>
      </c>
      <c r="B21" t="s">
        <v>30</v>
      </c>
      <c r="C21">
        <v>7</v>
      </c>
      <c r="D21">
        <v>1</v>
      </c>
      <c r="E21" t="s">
        <v>35</v>
      </c>
      <c r="F21" t="s">
        <v>114</v>
      </c>
      <c r="G21">
        <v>1</v>
      </c>
      <c r="H21">
        <v>1029</v>
      </c>
      <c r="I21">
        <v>1028</v>
      </c>
      <c r="J21">
        <v>1</v>
      </c>
      <c r="K21">
        <f>34-20</f>
        <v>14</v>
      </c>
      <c r="L21" t="s">
        <v>65</v>
      </c>
      <c r="M21">
        <v>3</v>
      </c>
    </row>
    <row r="22" spans="1:13" x14ac:dyDescent="0.25">
      <c r="A22" s="4">
        <v>43327</v>
      </c>
      <c r="B22" t="s">
        <v>30</v>
      </c>
      <c r="C22">
        <v>7</v>
      </c>
      <c r="D22">
        <v>1</v>
      </c>
      <c r="E22" t="s">
        <v>35</v>
      </c>
      <c r="F22" t="s">
        <v>36</v>
      </c>
      <c r="G22">
        <v>1</v>
      </c>
      <c r="H22">
        <v>1029</v>
      </c>
      <c r="I22">
        <v>1028</v>
      </c>
      <c r="J22">
        <v>1</v>
      </c>
      <c r="K22">
        <f>25.5-10.75</f>
        <v>14.75</v>
      </c>
      <c r="L22" t="s">
        <v>65</v>
      </c>
      <c r="M22">
        <v>3</v>
      </c>
    </row>
    <row r="23" spans="1:13" x14ac:dyDescent="0.25">
      <c r="A23" s="4">
        <v>43304</v>
      </c>
      <c r="B23" t="s">
        <v>30</v>
      </c>
      <c r="C23">
        <v>1</v>
      </c>
      <c r="D23">
        <v>1</v>
      </c>
      <c r="E23" t="s">
        <v>35</v>
      </c>
      <c r="F23" t="s">
        <v>36</v>
      </c>
      <c r="G23">
        <v>2</v>
      </c>
      <c r="H23">
        <v>1038</v>
      </c>
      <c r="I23">
        <v>1037</v>
      </c>
      <c r="J23">
        <v>0</v>
      </c>
      <c r="K23">
        <f>29-9</f>
        <v>20</v>
      </c>
      <c r="L23" t="s">
        <v>38</v>
      </c>
      <c r="M23">
        <v>3</v>
      </c>
    </row>
    <row r="24" spans="1:13" x14ac:dyDescent="0.25">
      <c r="A24" s="4">
        <v>43300</v>
      </c>
      <c r="B24" t="s">
        <v>30</v>
      </c>
      <c r="C24">
        <v>7</v>
      </c>
      <c r="D24">
        <v>1</v>
      </c>
      <c r="E24" t="s">
        <v>35</v>
      </c>
      <c r="F24" t="s">
        <v>89</v>
      </c>
      <c r="G24">
        <v>2</v>
      </c>
      <c r="H24">
        <v>1043</v>
      </c>
      <c r="I24">
        <v>1042</v>
      </c>
      <c r="J24">
        <v>0</v>
      </c>
      <c r="K24">
        <f>26.5-15.5</f>
        <v>11</v>
      </c>
      <c r="L24" t="s">
        <v>38</v>
      </c>
      <c r="M24">
        <v>3</v>
      </c>
    </row>
    <row r="25" spans="1:13" x14ac:dyDescent="0.25">
      <c r="A25" s="4">
        <v>43301</v>
      </c>
      <c r="B25" t="s">
        <v>30</v>
      </c>
      <c r="C25">
        <v>7</v>
      </c>
      <c r="D25">
        <v>1</v>
      </c>
      <c r="E25" t="s">
        <v>35</v>
      </c>
      <c r="F25" t="s">
        <v>114</v>
      </c>
      <c r="G25">
        <v>2</v>
      </c>
      <c r="H25">
        <v>1043</v>
      </c>
      <c r="I25">
        <v>1042</v>
      </c>
      <c r="J25">
        <v>0</v>
      </c>
      <c r="K25">
        <f>34-20</f>
        <v>14</v>
      </c>
      <c r="L25" t="s">
        <v>81</v>
      </c>
      <c r="M25">
        <v>3</v>
      </c>
    </row>
    <row r="26" spans="1:13" x14ac:dyDescent="0.25">
      <c r="A26" s="4">
        <v>43317</v>
      </c>
      <c r="B26" t="s">
        <v>30</v>
      </c>
      <c r="C26">
        <v>7</v>
      </c>
      <c r="D26">
        <v>1</v>
      </c>
      <c r="E26" t="s">
        <v>35</v>
      </c>
      <c r="F26" t="s">
        <v>114</v>
      </c>
      <c r="G26">
        <v>2</v>
      </c>
      <c r="H26">
        <v>1043</v>
      </c>
      <c r="I26">
        <v>1042</v>
      </c>
      <c r="J26">
        <v>1</v>
      </c>
      <c r="K26">
        <f>25-10.25</f>
        <v>14.75</v>
      </c>
      <c r="L26" t="s">
        <v>83</v>
      </c>
      <c r="M26">
        <v>3</v>
      </c>
    </row>
    <row r="27" spans="1:13" x14ac:dyDescent="0.25">
      <c r="A27" s="4">
        <v>43326</v>
      </c>
      <c r="B27" t="s">
        <v>30</v>
      </c>
      <c r="C27">
        <v>7</v>
      </c>
      <c r="D27">
        <v>1</v>
      </c>
      <c r="E27" t="s">
        <v>35</v>
      </c>
      <c r="F27" t="s">
        <v>114</v>
      </c>
      <c r="G27">
        <v>2</v>
      </c>
      <c r="H27">
        <v>1043</v>
      </c>
      <c r="I27">
        <v>1042</v>
      </c>
      <c r="J27">
        <v>1</v>
      </c>
      <c r="K27">
        <f>30-12</f>
        <v>18</v>
      </c>
      <c r="L27" t="s">
        <v>38</v>
      </c>
      <c r="M27">
        <v>3</v>
      </c>
    </row>
    <row r="28" spans="1:13" x14ac:dyDescent="0.25">
      <c r="A28" s="4">
        <v>43327</v>
      </c>
      <c r="B28" t="s">
        <v>30</v>
      </c>
      <c r="C28">
        <v>7</v>
      </c>
      <c r="D28">
        <v>1</v>
      </c>
      <c r="E28" t="s">
        <v>35</v>
      </c>
      <c r="F28" t="s">
        <v>114</v>
      </c>
      <c r="G28">
        <v>2</v>
      </c>
      <c r="H28">
        <v>1043</v>
      </c>
      <c r="I28">
        <v>1042</v>
      </c>
      <c r="J28">
        <v>1</v>
      </c>
      <c r="K28">
        <f>26-10</f>
        <v>16</v>
      </c>
      <c r="L28" t="s">
        <v>38</v>
      </c>
      <c r="M28">
        <v>3</v>
      </c>
    </row>
    <row r="29" spans="1:13" x14ac:dyDescent="0.25">
      <c r="A29" s="4">
        <v>43301</v>
      </c>
      <c r="B29" t="s">
        <v>30</v>
      </c>
      <c r="C29">
        <v>7</v>
      </c>
      <c r="D29">
        <v>1</v>
      </c>
      <c r="E29" t="s">
        <v>35</v>
      </c>
      <c r="F29" t="s">
        <v>36</v>
      </c>
      <c r="G29">
        <v>2</v>
      </c>
      <c r="H29">
        <v>1045</v>
      </c>
      <c r="I29">
        <v>1044</v>
      </c>
      <c r="J29">
        <v>0</v>
      </c>
      <c r="K29">
        <f>41-25</f>
        <v>16</v>
      </c>
      <c r="L29" t="s">
        <v>38</v>
      </c>
      <c r="M29">
        <v>3</v>
      </c>
    </row>
    <row r="30" spans="1:13" x14ac:dyDescent="0.25">
      <c r="A30" s="4">
        <v>43302</v>
      </c>
      <c r="B30" t="s">
        <v>30</v>
      </c>
      <c r="C30">
        <v>7</v>
      </c>
      <c r="D30">
        <v>1</v>
      </c>
      <c r="E30" t="s">
        <v>35</v>
      </c>
      <c r="F30" t="s">
        <v>114</v>
      </c>
      <c r="G30">
        <v>2</v>
      </c>
      <c r="H30">
        <v>1045</v>
      </c>
      <c r="I30">
        <v>1044</v>
      </c>
      <c r="J30">
        <v>0</v>
      </c>
      <c r="K30">
        <f>26-13</f>
        <v>13</v>
      </c>
      <c r="L30" t="s">
        <v>38</v>
      </c>
      <c r="M30">
        <v>3</v>
      </c>
    </row>
    <row r="31" spans="1:13" x14ac:dyDescent="0.25">
      <c r="A31" s="4">
        <v>43302</v>
      </c>
      <c r="B31" t="s">
        <v>30</v>
      </c>
      <c r="C31">
        <v>8</v>
      </c>
      <c r="D31">
        <v>1</v>
      </c>
      <c r="E31" t="s">
        <v>35</v>
      </c>
      <c r="F31" t="s">
        <v>36</v>
      </c>
      <c r="G31">
        <v>2</v>
      </c>
      <c r="H31">
        <v>1050</v>
      </c>
      <c r="I31">
        <v>1049</v>
      </c>
      <c r="J31">
        <v>0</v>
      </c>
      <c r="K31">
        <f>32-10</f>
        <v>22</v>
      </c>
      <c r="L31" t="s">
        <v>1041</v>
      </c>
      <c r="M31">
        <v>3</v>
      </c>
    </row>
    <row r="32" spans="1:13" x14ac:dyDescent="0.25">
      <c r="A32" s="4">
        <v>43292</v>
      </c>
      <c r="B32" t="s">
        <v>30</v>
      </c>
      <c r="C32">
        <v>1</v>
      </c>
      <c r="D32">
        <v>1</v>
      </c>
      <c r="E32" t="s">
        <v>35</v>
      </c>
      <c r="F32" t="s">
        <v>36</v>
      </c>
      <c r="G32">
        <v>2</v>
      </c>
      <c r="H32">
        <v>1061</v>
      </c>
      <c r="I32">
        <v>1060</v>
      </c>
      <c r="J32">
        <v>0</v>
      </c>
      <c r="K32">
        <f>31-10.5</f>
        <v>20.5</v>
      </c>
      <c r="L32" t="s">
        <v>38</v>
      </c>
      <c r="M32">
        <v>3</v>
      </c>
    </row>
    <row r="33" spans="1:13" x14ac:dyDescent="0.25">
      <c r="A33" s="4">
        <v>43320</v>
      </c>
      <c r="B33" t="s">
        <v>30</v>
      </c>
      <c r="C33">
        <v>1</v>
      </c>
      <c r="D33">
        <v>1</v>
      </c>
      <c r="E33" t="s">
        <v>35</v>
      </c>
      <c r="F33" t="s">
        <v>36</v>
      </c>
      <c r="G33">
        <v>2</v>
      </c>
      <c r="H33">
        <v>1061</v>
      </c>
      <c r="I33">
        <v>1060</v>
      </c>
      <c r="J33">
        <v>0</v>
      </c>
      <c r="K33">
        <f>30.5-11</f>
        <v>19.5</v>
      </c>
      <c r="L33" t="s">
        <v>38</v>
      </c>
      <c r="M33">
        <v>3</v>
      </c>
    </row>
    <row r="34" spans="1:13" x14ac:dyDescent="0.25">
      <c r="A34" s="4">
        <v>43321</v>
      </c>
      <c r="B34" t="s">
        <v>30</v>
      </c>
      <c r="C34">
        <v>1</v>
      </c>
      <c r="D34">
        <v>1</v>
      </c>
      <c r="E34" t="s">
        <v>35</v>
      </c>
      <c r="F34" t="s">
        <v>36</v>
      </c>
      <c r="G34">
        <v>2</v>
      </c>
      <c r="H34">
        <v>1061</v>
      </c>
      <c r="I34">
        <v>1060</v>
      </c>
      <c r="J34">
        <v>0</v>
      </c>
      <c r="K34">
        <f>30-10</f>
        <v>20</v>
      </c>
      <c r="L34" t="s">
        <v>38</v>
      </c>
      <c r="M34">
        <v>3</v>
      </c>
    </row>
    <row r="35" spans="1:13" x14ac:dyDescent="0.25">
      <c r="A35" s="4">
        <v>43292</v>
      </c>
      <c r="B35" t="s">
        <v>30</v>
      </c>
      <c r="C35">
        <v>1</v>
      </c>
      <c r="D35">
        <v>1</v>
      </c>
      <c r="E35" t="s">
        <v>35</v>
      </c>
      <c r="F35" t="s">
        <v>89</v>
      </c>
      <c r="G35">
        <v>2</v>
      </c>
      <c r="H35">
        <v>1063</v>
      </c>
      <c r="I35">
        <v>1062</v>
      </c>
      <c r="J35">
        <v>0</v>
      </c>
      <c r="K35">
        <f>23.5-10.75</f>
        <v>12.75</v>
      </c>
      <c r="L35" t="s">
        <v>38</v>
      </c>
      <c r="M35">
        <v>3</v>
      </c>
    </row>
    <row r="36" spans="1:13" x14ac:dyDescent="0.25">
      <c r="A36" s="4">
        <v>43304</v>
      </c>
      <c r="B36" t="s">
        <v>30</v>
      </c>
      <c r="C36">
        <v>1</v>
      </c>
      <c r="D36">
        <v>1</v>
      </c>
      <c r="E36" t="s">
        <v>35</v>
      </c>
      <c r="F36" t="s">
        <v>114</v>
      </c>
      <c r="G36">
        <v>2</v>
      </c>
      <c r="H36">
        <v>1063</v>
      </c>
      <c r="I36">
        <v>1062</v>
      </c>
      <c r="J36">
        <v>0</v>
      </c>
      <c r="K36">
        <f>25-10</f>
        <v>15</v>
      </c>
      <c r="L36" t="s">
        <v>1039</v>
      </c>
      <c r="M36">
        <v>3</v>
      </c>
    </row>
    <row r="37" spans="1:13" x14ac:dyDescent="0.25">
      <c r="A37" s="4">
        <v>43305</v>
      </c>
      <c r="B37" t="s">
        <v>30</v>
      </c>
      <c r="C37">
        <v>1</v>
      </c>
      <c r="D37">
        <v>1</v>
      </c>
      <c r="E37" t="s">
        <v>35</v>
      </c>
      <c r="F37" t="s">
        <v>114</v>
      </c>
      <c r="G37">
        <v>2</v>
      </c>
      <c r="H37">
        <v>1063</v>
      </c>
      <c r="I37">
        <v>1062</v>
      </c>
      <c r="J37">
        <v>0</v>
      </c>
      <c r="K37">
        <f>27.5-11</f>
        <v>16.5</v>
      </c>
      <c r="L37" t="s">
        <v>38</v>
      </c>
      <c r="M37">
        <v>3</v>
      </c>
    </row>
    <row r="38" spans="1:13" x14ac:dyDescent="0.25">
      <c r="A38" s="4">
        <v>43319</v>
      </c>
      <c r="B38" t="s">
        <v>30</v>
      </c>
      <c r="C38">
        <v>1</v>
      </c>
      <c r="D38">
        <v>1</v>
      </c>
      <c r="E38" t="s">
        <v>35</v>
      </c>
      <c r="F38" t="s">
        <v>114</v>
      </c>
      <c r="G38">
        <v>2</v>
      </c>
      <c r="H38">
        <v>1063</v>
      </c>
      <c r="I38">
        <v>1062</v>
      </c>
      <c r="J38">
        <v>0</v>
      </c>
      <c r="K38">
        <f>27.25-12</f>
        <v>15.25</v>
      </c>
      <c r="L38" t="s">
        <v>38</v>
      </c>
      <c r="M38">
        <v>3</v>
      </c>
    </row>
    <row r="39" spans="1:13" x14ac:dyDescent="0.25">
      <c r="A39" s="4">
        <v>43321</v>
      </c>
      <c r="B39" t="s">
        <v>30</v>
      </c>
      <c r="C39">
        <v>1</v>
      </c>
      <c r="D39">
        <v>1</v>
      </c>
      <c r="E39" t="s">
        <v>35</v>
      </c>
      <c r="F39" t="s">
        <v>114</v>
      </c>
      <c r="G39">
        <v>2</v>
      </c>
      <c r="H39">
        <v>1063</v>
      </c>
      <c r="I39">
        <v>1062</v>
      </c>
      <c r="J39">
        <v>0</v>
      </c>
      <c r="K39">
        <f>22-11.5</f>
        <v>10.5</v>
      </c>
      <c r="L39" t="s">
        <v>38</v>
      </c>
      <c r="M39">
        <v>3</v>
      </c>
    </row>
    <row r="40" spans="1:13" x14ac:dyDescent="0.25">
      <c r="A40" s="4">
        <v>43300</v>
      </c>
      <c r="B40" t="s">
        <v>30</v>
      </c>
      <c r="C40">
        <v>7</v>
      </c>
      <c r="D40">
        <v>1</v>
      </c>
      <c r="E40" t="s">
        <v>35</v>
      </c>
      <c r="F40" t="s">
        <v>114</v>
      </c>
      <c r="G40">
        <v>1</v>
      </c>
      <c r="H40">
        <v>1068</v>
      </c>
      <c r="I40">
        <v>1067</v>
      </c>
      <c r="J40">
        <v>0</v>
      </c>
      <c r="K40">
        <f>20.5-9</f>
        <v>11.5</v>
      </c>
      <c r="L40" t="s">
        <v>65</v>
      </c>
      <c r="M40">
        <v>3</v>
      </c>
    </row>
    <row r="41" spans="1:13" x14ac:dyDescent="0.25">
      <c r="A41" s="4">
        <v>43301</v>
      </c>
      <c r="B41" t="s">
        <v>30</v>
      </c>
      <c r="C41">
        <v>7</v>
      </c>
      <c r="D41">
        <v>1</v>
      </c>
      <c r="E41" t="s">
        <v>35</v>
      </c>
      <c r="F41" t="s">
        <v>114</v>
      </c>
      <c r="G41">
        <v>1</v>
      </c>
      <c r="H41">
        <v>1068</v>
      </c>
      <c r="I41">
        <v>1067</v>
      </c>
      <c r="J41">
        <v>0</v>
      </c>
      <c r="K41">
        <f>28-20</f>
        <v>8</v>
      </c>
      <c r="L41" t="s">
        <v>47</v>
      </c>
      <c r="M41">
        <v>3</v>
      </c>
    </row>
    <row r="42" spans="1:13" x14ac:dyDescent="0.25">
      <c r="A42" s="4">
        <v>43302</v>
      </c>
      <c r="B42" t="s">
        <v>30</v>
      </c>
      <c r="C42">
        <v>7</v>
      </c>
      <c r="D42">
        <v>1</v>
      </c>
      <c r="E42" t="s">
        <v>35</v>
      </c>
      <c r="F42" t="s">
        <v>36</v>
      </c>
      <c r="G42">
        <v>1</v>
      </c>
      <c r="H42">
        <v>1068</v>
      </c>
      <c r="I42">
        <v>1067</v>
      </c>
      <c r="J42">
        <v>0</v>
      </c>
      <c r="K42">
        <f>24-11</f>
        <v>13</v>
      </c>
      <c r="L42" t="s">
        <v>65</v>
      </c>
      <c r="M42">
        <v>3</v>
      </c>
    </row>
    <row r="43" spans="1:13" x14ac:dyDescent="0.25">
      <c r="A43" s="4">
        <v>43301</v>
      </c>
      <c r="B43" t="s">
        <v>30</v>
      </c>
      <c r="C43">
        <v>8</v>
      </c>
      <c r="D43">
        <v>1</v>
      </c>
      <c r="E43" t="s">
        <v>35</v>
      </c>
      <c r="F43" t="s">
        <v>36</v>
      </c>
      <c r="G43">
        <v>2</v>
      </c>
      <c r="H43">
        <v>1070</v>
      </c>
      <c r="I43">
        <v>1069</v>
      </c>
      <c r="J43">
        <v>0</v>
      </c>
      <c r="K43">
        <f>28-11</f>
        <v>17</v>
      </c>
      <c r="L43" t="s">
        <v>83</v>
      </c>
      <c r="M43">
        <v>3</v>
      </c>
    </row>
    <row r="44" spans="1:13" x14ac:dyDescent="0.25">
      <c r="A44" s="4">
        <v>43300</v>
      </c>
      <c r="B44" t="s">
        <v>30</v>
      </c>
      <c r="C44">
        <v>8</v>
      </c>
      <c r="D44">
        <v>1</v>
      </c>
      <c r="E44" t="s">
        <v>35</v>
      </c>
      <c r="F44" t="s">
        <v>36</v>
      </c>
      <c r="G44">
        <v>1</v>
      </c>
      <c r="H44">
        <v>1072</v>
      </c>
      <c r="I44">
        <v>1071</v>
      </c>
      <c r="J44">
        <v>0</v>
      </c>
      <c r="K44">
        <f>38-20</f>
        <v>18</v>
      </c>
      <c r="L44" t="s">
        <v>47</v>
      </c>
      <c r="M44">
        <v>3</v>
      </c>
    </row>
    <row r="45" spans="1:13" x14ac:dyDescent="0.25">
      <c r="A45" s="4">
        <v>43302</v>
      </c>
      <c r="B45" t="s">
        <v>30</v>
      </c>
      <c r="C45">
        <v>8</v>
      </c>
      <c r="D45">
        <v>1</v>
      </c>
      <c r="E45" t="s">
        <v>35</v>
      </c>
      <c r="F45" t="s">
        <v>36</v>
      </c>
      <c r="G45">
        <v>1</v>
      </c>
      <c r="H45">
        <v>1072</v>
      </c>
      <c r="I45">
        <v>1071</v>
      </c>
      <c r="J45">
        <v>0</v>
      </c>
      <c r="K45">
        <f>32-13.5</f>
        <v>18.5</v>
      </c>
      <c r="L45" t="s">
        <v>47</v>
      </c>
      <c r="M45">
        <v>3</v>
      </c>
    </row>
    <row r="46" spans="1:13" x14ac:dyDescent="0.25">
      <c r="A46" s="4">
        <v>43302</v>
      </c>
      <c r="B46" t="s">
        <v>30</v>
      </c>
      <c r="C46">
        <v>9</v>
      </c>
      <c r="D46">
        <v>1</v>
      </c>
      <c r="E46" t="s">
        <v>35</v>
      </c>
      <c r="F46" t="s">
        <v>36</v>
      </c>
      <c r="G46">
        <v>1</v>
      </c>
      <c r="H46">
        <v>1075</v>
      </c>
      <c r="I46">
        <v>1074</v>
      </c>
      <c r="J46">
        <v>0</v>
      </c>
      <c r="K46">
        <f>31-13</f>
        <v>18</v>
      </c>
      <c r="L46" t="s">
        <v>47</v>
      </c>
      <c r="M46">
        <v>3</v>
      </c>
    </row>
    <row r="47" spans="1:13" x14ac:dyDescent="0.25">
      <c r="A47" s="4">
        <v>43318</v>
      </c>
      <c r="B47" t="s">
        <v>30</v>
      </c>
      <c r="C47">
        <v>9</v>
      </c>
      <c r="D47">
        <v>1</v>
      </c>
      <c r="E47" t="s">
        <v>35</v>
      </c>
      <c r="F47" t="s">
        <v>36</v>
      </c>
      <c r="G47">
        <v>1</v>
      </c>
      <c r="H47">
        <v>1075</v>
      </c>
      <c r="I47">
        <v>1074</v>
      </c>
      <c r="J47">
        <v>0</v>
      </c>
      <c r="K47">
        <f>36-17</f>
        <v>19</v>
      </c>
      <c r="L47" t="s">
        <v>65</v>
      </c>
      <c r="M47">
        <v>3</v>
      </c>
    </row>
    <row r="48" spans="1:13" x14ac:dyDescent="0.25">
      <c r="A48" s="4">
        <v>43326</v>
      </c>
      <c r="B48" t="s">
        <v>30</v>
      </c>
      <c r="C48">
        <v>9</v>
      </c>
      <c r="D48">
        <v>1</v>
      </c>
      <c r="E48" t="s">
        <v>35</v>
      </c>
      <c r="F48" t="s">
        <v>36</v>
      </c>
      <c r="G48">
        <v>1</v>
      </c>
      <c r="H48">
        <v>1075</v>
      </c>
      <c r="I48">
        <v>1074</v>
      </c>
      <c r="J48">
        <v>0</v>
      </c>
      <c r="K48">
        <f>37-17</f>
        <v>20</v>
      </c>
      <c r="L48" t="s">
        <v>47</v>
      </c>
      <c r="M48">
        <v>3</v>
      </c>
    </row>
    <row r="49" spans="1:13" x14ac:dyDescent="0.25">
      <c r="A49" s="4">
        <v>43327</v>
      </c>
      <c r="B49" t="s">
        <v>30</v>
      </c>
      <c r="C49">
        <v>9</v>
      </c>
      <c r="D49">
        <v>1</v>
      </c>
      <c r="E49" t="s">
        <v>35</v>
      </c>
      <c r="F49" t="s">
        <v>36</v>
      </c>
      <c r="G49">
        <v>1</v>
      </c>
      <c r="H49">
        <v>1075</v>
      </c>
      <c r="I49">
        <v>1074</v>
      </c>
      <c r="J49">
        <v>0</v>
      </c>
      <c r="K49">
        <f>28.5-9.75</f>
        <v>18.75</v>
      </c>
      <c r="L49" t="s">
        <v>47</v>
      </c>
      <c r="M49">
        <v>3</v>
      </c>
    </row>
    <row r="50" spans="1:13" x14ac:dyDescent="0.25">
      <c r="A50" s="4">
        <v>43302</v>
      </c>
      <c r="B50" t="s">
        <v>30</v>
      </c>
      <c r="C50">
        <v>7</v>
      </c>
      <c r="D50">
        <v>1</v>
      </c>
      <c r="E50" t="s">
        <v>35</v>
      </c>
      <c r="F50" t="s">
        <v>89</v>
      </c>
      <c r="G50">
        <v>2</v>
      </c>
      <c r="H50">
        <v>1096</v>
      </c>
      <c r="I50">
        <v>1095</v>
      </c>
      <c r="J50">
        <v>0</v>
      </c>
      <c r="K50">
        <f>23-11</f>
        <v>12</v>
      </c>
      <c r="L50" t="s">
        <v>38</v>
      </c>
      <c r="M50">
        <v>3</v>
      </c>
    </row>
    <row r="51" spans="1:13" x14ac:dyDescent="0.25">
      <c r="A51" s="4">
        <v>43300</v>
      </c>
      <c r="B51" t="s">
        <v>30</v>
      </c>
      <c r="C51">
        <v>7</v>
      </c>
      <c r="D51">
        <v>1</v>
      </c>
      <c r="E51" t="s">
        <v>35</v>
      </c>
      <c r="F51" t="s">
        <v>114</v>
      </c>
      <c r="G51">
        <v>1</v>
      </c>
      <c r="H51">
        <v>1100</v>
      </c>
      <c r="I51">
        <v>1099</v>
      </c>
      <c r="J51">
        <v>0</v>
      </c>
      <c r="K51">
        <f>22.5-10</f>
        <v>12.5</v>
      </c>
      <c r="L51" t="s">
        <v>65</v>
      </c>
      <c r="M51">
        <v>3</v>
      </c>
    </row>
    <row r="52" spans="1:13" x14ac:dyDescent="0.25">
      <c r="A52" s="4">
        <v>43301</v>
      </c>
      <c r="B52" t="s">
        <v>30</v>
      </c>
      <c r="C52">
        <v>7</v>
      </c>
      <c r="D52">
        <v>1</v>
      </c>
      <c r="E52" t="s">
        <v>35</v>
      </c>
      <c r="F52" t="s">
        <v>114</v>
      </c>
      <c r="G52">
        <v>1</v>
      </c>
      <c r="H52">
        <v>1100</v>
      </c>
      <c r="I52">
        <v>1099</v>
      </c>
      <c r="J52">
        <v>0</v>
      </c>
      <c r="K52">
        <f>31-21</f>
        <v>10</v>
      </c>
      <c r="L52" t="s">
        <v>65</v>
      </c>
      <c r="M52">
        <v>3</v>
      </c>
    </row>
    <row r="53" spans="1:13" x14ac:dyDescent="0.25">
      <c r="A53" s="4">
        <v>43302</v>
      </c>
      <c r="B53" t="s">
        <v>30</v>
      </c>
      <c r="C53">
        <v>7</v>
      </c>
      <c r="D53">
        <v>1</v>
      </c>
      <c r="E53" t="s">
        <v>35</v>
      </c>
      <c r="F53" t="s">
        <v>114</v>
      </c>
      <c r="G53">
        <v>1</v>
      </c>
      <c r="H53">
        <v>1100</v>
      </c>
      <c r="I53">
        <v>1099</v>
      </c>
      <c r="J53">
        <v>0</v>
      </c>
      <c r="K53">
        <f>28-14</f>
        <v>14</v>
      </c>
      <c r="L53" t="s">
        <v>65</v>
      </c>
      <c r="M53">
        <v>3</v>
      </c>
    </row>
    <row r="54" spans="1:13" x14ac:dyDescent="0.25">
      <c r="A54" s="4">
        <v>43316</v>
      </c>
      <c r="B54" t="s">
        <v>30</v>
      </c>
      <c r="C54">
        <v>7</v>
      </c>
      <c r="D54">
        <v>1</v>
      </c>
      <c r="E54" t="s">
        <v>35</v>
      </c>
      <c r="F54" t="s">
        <v>36</v>
      </c>
      <c r="G54">
        <v>1</v>
      </c>
      <c r="H54">
        <v>1100</v>
      </c>
      <c r="I54">
        <v>1099</v>
      </c>
      <c r="J54">
        <v>0</v>
      </c>
      <c r="K54">
        <f>24-10</f>
        <v>14</v>
      </c>
      <c r="L54" t="s">
        <v>65</v>
      </c>
      <c r="M54">
        <v>3</v>
      </c>
    </row>
    <row r="55" spans="1:13" x14ac:dyDescent="0.25">
      <c r="A55" s="4">
        <v>43317</v>
      </c>
      <c r="B55" t="s">
        <v>30</v>
      </c>
      <c r="C55">
        <v>7</v>
      </c>
      <c r="D55">
        <v>1</v>
      </c>
      <c r="E55" t="s">
        <v>35</v>
      </c>
      <c r="F55" t="s">
        <v>36</v>
      </c>
      <c r="G55">
        <v>1</v>
      </c>
      <c r="H55">
        <v>1100</v>
      </c>
      <c r="I55">
        <v>1099</v>
      </c>
      <c r="J55">
        <v>0</v>
      </c>
      <c r="K55">
        <f>26-11.25</f>
        <v>14.75</v>
      </c>
      <c r="L55" t="s">
        <v>65</v>
      </c>
      <c r="M55">
        <v>3</v>
      </c>
    </row>
    <row r="56" spans="1:13" x14ac:dyDescent="0.25">
      <c r="A56" s="4">
        <v>43318</v>
      </c>
      <c r="B56" t="s">
        <v>30</v>
      </c>
      <c r="C56">
        <v>7</v>
      </c>
      <c r="D56">
        <v>1</v>
      </c>
      <c r="E56" t="s">
        <v>35</v>
      </c>
      <c r="F56" t="s">
        <v>36</v>
      </c>
      <c r="G56">
        <v>1</v>
      </c>
      <c r="H56">
        <v>1100</v>
      </c>
      <c r="I56">
        <v>1099</v>
      </c>
      <c r="J56">
        <v>0</v>
      </c>
      <c r="K56">
        <f>30.5-15.5</f>
        <v>15</v>
      </c>
      <c r="L56" t="s">
        <v>65</v>
      </c>
      <c r="M56">
        <v>3</v>
      </c>
    </row>
    <row r="57" spans="1:13" x14ac:dyDescent="0.25">
      <c r="A57" s="4">
        <v>43325</v>
      </c>
      <c r="B57" t="s">
        <v>30</v>
      </c>
      <c r="C57">
        <v>7</v>
      </c>
      <c r="D57">
        <v>1</v>
      </c>
      <c r="E57" t="s">
        <v>35</v>
      </c>
      <c r="F57" t="s">
        <v>36</v>
      </c>
      <c r="G57">
        <v>1</v>
      </c>
      <c r="H57">
        <v>1100</v>
      </c>
      <c r="I57">
        <v>1099</v>
      </c>
      <c r="J57">
        <v>0</v>
      </c>
      <c r="K57">
        <f>28-12</f>
        <v>16</v>
      </c>
      <c r="L57" t="s">
        <v>65</v>
      </c>
      <c r="M57">
        <v>3</v>
      </c>
    </row>
    <row r="58" spans="1:13" x14ac:dyDescent="0.25">
      <c r="A58" s="4">
        <v>43299</v>
      </c>
      <c r="B58" t="s">
        <v>30</v>
      </c>
      <c r="C58">
        <v>5</v>
      </c>
      <c r="D58">
        <v>1</v>
      </c>
      <c r="E58" t="s">
        <v>35</v>
      </c>
      <c r="F58" t="s">
        <v>89</v>
      </c>
      <c r="G58">
        <v>2</v>
      </c>
      <c r="H58">
        <v>1104</v>
      </c>
      <c r="I58">
        <v>1103</v>
      </c>
      <c r="J58">
        <v>0</v>
      </c>
      <c r="K58">
        <f>23-13</f>
        <v>10</v>
      </c>
      <c r="L58" t="s">
        <v>38</v>
      </c>
      <c r="M58">
        <v>3</v>
      </c>
    </row>
    <row r="59" spans="1:13" x14ac:dyDescent="0.25">
      <c r="A59" s="4">
        <v>43313</v>
      </c>
      <c r="B59" t="s">
        <v>30</v>
      </c>
      <c r="C59">
        <v>5</v>
      </c>
      <c r="D59">
        <v>1</v>
      </c>
      <c r="E59" t="s">
        <v>35</v>
      </c>
      <c r="F59" t="s">
        <v>89</v>
      </c>
      <c r="G59">
        <v>2</v>
      </c>
      <c r="H59">
        <v>1104</v>
      </c>
      <c r="I59">
        <v>1103</v>
      </c>
      <c r="J59">
        <v>0</v>
      </c>
      <c r="K59">
        <f>27-14.5</f>
        <v>12.5</v>
      </c>
      <c r="L59" t="s">
        <v>38</v>
      </c>
      <c r="M59">
        <v>3</v>
      </c>
    </row>
    <row r="60" spans="1:13" x14ac:dyDescent="0.25">
      <c r="A60" s="4">
        <v>43311</v>
      </c>
      <c r="B60" t="s">
        <v>30</v>
      </c>
      <c r="C60">
        <v>5</v>
      </c>
      <c r="D60">
        <v>1</v>
      </c>
      <c r="E60" t="s">
        <v>35</v>
      </c>
      <c r="F60" t="s">
        <v>89</v>
      </c>
      <c r="G60">
        <v>1</v>
      </c>
      <c r="H60">
        <v>1110</v>
      </c>
      <c r="I60">
        <v>1109</v>
      </c>
      <c r="J60">
        <v>0</v>
      </c>
      <c r="K60">
        <f>25-10.5</f>
        <v>14.5</v>
      </c>
      <c r="L60" t="s">
        <v>65</v>
      </c>
      <c r="M60">
        <v>3</v>
      </c>
    </row>
    <row r="61" spans="1:13" x14ac:dyDescent="0.25">
      <c r="A61" s="4">
        <v>43312</v>
      </c>
      <c r="B61" t="s">
        <v>30</v>
      </c>
      <c r="C61">
        <v>5</v>
      </c>
      <c r="D61">
        <v>1</v>
      </c>
      <c r="E61" t="s">
        <v>35</v>
      </c>
      <c r="F61" t="s">
        <v>89</v>
      </c>
      <c r="G61">
        <v>1</v>
      </c>
      <c r="H61">
        <v>1110</v>
      </c>
      <c r="I61">
        <v>1109</v>
      </c>
      <c r="J61">
        <v>0</v>
      </c>
      <c r="K61">
        <f>26-13.5</f>
        <v>12.5</v>
      </c>
      <c r="L61" t="s">
        <v>65</v>
      </c>
      <c r="M61">
        <v>3</v>
      </c>
    </row>
    <row r="62" spans="1:13" x14ac:dyDescent="0.25">
      <c r="A62" s="4">
        <v>43313</v>
      </c>
      <c r="B62" t="s">
        <v>30</v>
      </c>
      <c r="C62">
        <v>5</v>
      </c>
      <c r="D62">
        <v>1</v>
      </c>
      <c r="E62" t="s">
        <v>35</v>
      </c>
      <c r="F62" t="s">
        <v>114</v>
      </c>
      <c r="G62">
        <v>1</v>
      </c>
      <c r="H62">
        <v>1110</v>
      </c>
      <c r="I62">
        <v>1109</v>
      </c>
      <c r="J62">
        <v>0</v>
      </c>
      <c r="K62">
        <f>25-10</f>
        <v>15</v>
      </c>
      <c r="L62" t="s">
        <v>65</v>
      </c>
      <c r="M62">
        <v>3</v>
      </c>
    </row>
    <row r="63" spans="1:13" x14ac:dyDescent="0.25">
      <c r="A63" s="4">
        <v>43311</v>
      </c>
      <c r="B63" t="s">
        <v>30</v>
      </c>
      <c r="C63">
        <v>3</v>
      </c>
      <c r="D63">
        <v>1</v>
      </c>
      <c r="E63" t="s">
        <v>35</v>
      </c>
      <c r="F63" t="s">
        <v>114</v>
      </c>
      <c r="G63">
        <v>2</v>
      </c>
      <c r="H63">
        <v>1116</v>
      </c>
      <c r="I63">
        <v>1183</v>
      </c>
      <c r="J63">
        <v>0</v>
      </c>
      <c r="K63">
        <f>25-10.5</f>
        <v>14.5</v>
      </c>
      <c r="L63" t="s">
        <v>38</v>
      </c>
      <c r="M63">
        <v>3</v>
      </c>
    </row>
    <row r="64" spans="1:13" x14ac:dyDescent="0.25">
      <c r="A64" s="4">
        <v>43312</v>
      </c>
      <c r="B64" t="s">
        <v>30</v>
      </c>
      <c r="C64">
        <v>3</v>
      </c>
      <c r="D64">
        <v>1</v>
      </c>
      <c r="E64" t="s">
        <v>35</v>
      </c>
      <c r="F64" t="s">
        <v>114</v>
      </c>
      <c r="G64">
        <v>2</v>
      </c>
      <c r="H64">
        <v>1116</v>
      </c>
      <c r="I64">
        <v>1183</v>
      </c>
      <c r="J64">
        <v>0</v>
      </c>
      <c r="K64">
        <f>23-12.5</f>
        <v>10.5</v>
      </c>
      <c r="L64" t="s">
        <v>38</v>
      </c>
      <c r="M64">
        <v>3</v>
      </c>
    </row>
    <row r="65" spans="1:13" x14ac:dyDescent="0.25">
      <c r="A65" s="4">
        <v>43313</v>
      </c>
      <c r="B65" t="s">
        <v>30</v>
      </c>
      <c r="C65">
        <v>3</v>
      </c>
      <c r="D65">
        <v>1</v>
      </c>
      <c r="E65" t="s">
        <v>35</v>
      </c>
      <c r="F65" t="s">
        <v>114</v>
      </c>
      <c r="G65">
        <v>2</v>
      </c>
      <c r="H65">
        <v>1116</v>
      </c>
      <c r="I65">
        <v>1183</v>
      </c>
      <c r="J65">
        <v>0</v>
      </c>
      <c r="K65">
        <f>25-11</f>
        <v>14</v>
      </c>
      <c r="L65" t="s">
        <v>38</v>
      </c>
      <c r="M65">
        <v>3</v>
      </c>
    </row>
    <row r="66" spans="1:13" x14ac:dyDescent="0.25">
      <c r="A66" s="4">
        <v>43325</v>
      </c>
      <c r="B66" t="s">
        <v>30</v>
      </c>
      <c r="C66">
        <v>3</v>
      </c>
      <c r="D66">
        <v>1</v>
      </c>
      <c r="E66" t="s">
        <v>35</v>
      </c>
      <c r="F66" t="s">
        <v>114</v>
      </c>
      <c r="G66">
        <v>2</v>
      </c>
      <c r="H66">
        <v>1116</v>
      </c>
      <c r="I66">
        <v>1183</v>
      </c>
      <c r="J66">
        <v>0</v>
      </c>
      <c r="K66">
        <f>36-23</f>
        <v>13</v>
      </c>
      <c r="L66" t="s">
        <v>38</v>
      </c>
      <c r="M66">
        <v>3</v>
      </c>
    </row>
    <row r="67" spans="1:13" x14ac:dyDescent="0.25">
      <c r="A67" s="4">
        <v>43326</v>
      </c>
      <c r="B67" t="s">
        <v>30</v>
      </c>
      <c r="C67">
        <v>3</v>
      </c>
      <c r="D67">
        <v>1</v>
      </c>
      <c r="E67" t="s">
        <v>35</v>
      </c>
      <c r="F67" t="s">
        <v>114</v>
      </c>
      <c r="G67">
        <v>2</v>
      </c>
      <c r="H67">
        <v>1116</v>
      </c>
      <c r="I67">
        <v>1183</v>
      </c>
      <c r="J67">
        <v>0</v>
      </c>
      <c r="K67">
        <f>31-16</f>
        <v>15</v>
      </c>
      <c r="L67" t="s">
        <v>38</v>
      </c>
      <c r="M67">
        <v>3</v>
      </c>
    </row>
    <row r="68" spans="1:13" x14ac:dyDescent="0.25">
      <c r="A68" s="4">
        <v>43327</v>
      </c>
      <c r="B68" t="s">
        <v>30</v>
      </c>
      <c r="C68">
        <v>3</v>
      </c>
      <c r="D68">
        <v>1</v>
      </c>
      <c r="E68" t="s">
        <v>35</v>
      </c>
      <c r="F68" t="s">
        <v>114</v>
      </c>
      <c r="G68">
        <v>2</v>
      </c>
      <c r="H68">
        <v>1116</v>
      </c>
      <c r="I68">
        <v>1183</v>
      </c>
      <c r="J68">
        <v>0</v>
      </c>
      <c r="K68">
        <f>32-18</f>
        <v>14</v>
      </c>
      <c r="L68" t="s">
        <v>1039</v>
      </c>
      <c r="M68">
        <v>3</v>
      </c>
    </row>
    <row r="69" spans="1:13" x14ac:dyDescent="0.25">
      <c r="A69" s="4">
        <v>43292</v>
      </c>
      <c r="B69" t="s">
        <v>30</v>
      </c>
      <c r="C69">
        <v>1</v>
      </c>
      <c r="D69">
        <v>1</v>
      </c>
      <c r="E69" t="s">
        <v>35</v>
      </c>
      <c r="F69" t="s">
        <v>89</v>
      </c>
      <c r="G69">
        <v>1</v>
      </c>
      <c r="H69">
        <v>1121</v>
      </c>
      <c r="I69">
        <v>1120</v>
      </c>
      <c r="J69">
        <v>0</v>
      </c>
      <c r="K69">
        <f>23.5-10.5</f>
        <v>13</v>
      </c>
      <c r="L69" t="s">
        <v>65</v>
      </c>
      <c r="M69">
        <v>3</v>
      </c>
    </row>
    <row r="70" spans="1:13" x14ac:dyDescent="0.25">
      <c r="A70" s="4">
        <v>43304</v>
      </c>
      <c r="B70" t="s">
        <v>30</v>
      </c>
      <c r="C70">
        <v>1</v>
      </c>
      <c r="D70">
        <v>1</v>
      </c>
      <c r="E70" t="s">
        <v>35</v>
      </c>
      <c r="F70" t="s">
        <v>89</v>
      </c>
      <c r="G70">
        <v>1</v>
      </c>
      <c r="H70">
        <v>1121</v>
      </c>
      <c r="I70">
        <v>1120</v>
      </c>
      <c r="J70">
        <v>0</v>
      </c>
      <c r="K70">
        <f>27-12.5</f>
        <v>14.5</v>
      </c>
      <c r="L70" t="s">
        <v>65</v>
      </c>
      <c r="M70">
        <v>3</v>
      </c>
    </row>
    <row r="71" spans="1:13" x14ac:dyDescent="0.25">
      <c r="A71" s="4">
        <v>43292</v>
      </c>
      <c r="B71" t="s">
        <v>30</v>
      </c>
      <c r="C71">
        <v>1</v>
      </c>
      <c r="D71">
        <v>1</v>
      </c>
      <c r="E71" t="s">
        <v>35</v>
      </c>
      <c r="F71" t="s">
        <v>89</v>
      </c>
      <c r="G71">
        <v>2</v>
      </c>
      <c r="H71">
        <v>1124</v>
      </c>
      <c r="I71">
        <v>1123</v>
      </c>
      <c r="J71">
        <v>0</v>
      </c>
      <c r="K71">
        <f>25-11.5</f>
        <v>13.5</v>
      </c>
      <c r="L71" t="s">
        <v>38</v>
      </c>
      <c r="M71">
        <v>3</v>
      </c>
    </row>
    <row r="72" spans="1:13" x14ac:dyDescent="0.25">
      <c r="A72" s="4">
        <v>43304</v>
      </c>
      <c r="B72" t="s">
        <v>30</v>
      </c>
      <c r="C72">
        <v>1</v>
      </c>
      <c r="D72">
        <v>1</v>
      </c>
      <c r="E72" t="s">
        <v>35</v>
      </c>
      <c r="F72" t="s">
        <v>89</v>
      </c>
      <c r="G72">
        <v>2</v>
      </c>
      <c r="H72">
        <v>1124</v>
      </c>
      <c r="I72">
        <v>1123</v>
      </c>
      <c r="J72">
        <v>0</v>
      </c>
      <c r="K72">
        <f>25-10.5</f>
        <v>14.5</v>
      </c>
      <c r="L72" t="s">
        <v>38</v>
      </c>
      <c r="M72">
        <v>3</v>
      </c>
    </row>
    <row r="73" spans="1:13" x14ac:dyDescent="0.25">
      <c r="A73" s="4">
        <v>43305</v>
      </c>
      <c r="B73" t="s">
        <v>30</v>
      </c>
      <c r="C73">
        <v>1</v>
      </c>
      <c r="D73">
        <v>1</v>
      </c>
      <c r="E73" t="s">
        <v>35</v>
      </c>
      <c r="F73" t="s">
        <v>89</v>
      </c>
      <c r="G73">
        <v>2</v>
      </c>
      <c r="H73">
        <v>1124</v>
      </c>
      <c r="I73">
        <v>1123</v>
      </c>
      <c r="J73">
        <v>0</v>
      </c>
      <c r="K73">
        <f>25-11</f>
        <v>14</v>
      </c>
      <c r="L73" t="s">
        <v>38</v>
      </c>
      <c r="M73">
        <v>3</v>
      </c>
    </row>
    <row r="74" spans="1:13" x14ac:dyDescent="0.25">
      <c r="A74" s="4">
        <v>43320</v>
      </c>
      <c r="B74" t="s">
        <v>30</v>
      </c>
      <c r="C74">
        <v>1</v>
      </c>
      <c r="D74">
        <v>1</v>
      </c>
      <c r="E74" t="s">
        <v>35</v>
      </c>
      <c r="F74" t="s">
        <v>89</v>
      </c>
      <c r="G74">
        <v>2</v>
      </c>
      <c r="H74">
        <v>1124</v>
      </c>
      <c r="I74">
        <v>1123</v>
      </c>
      <c r="J74">
        <v>0</v>
      </c>
      <c r="K74">
        <f>24.5-10.5</f>
        <v>14</v>
      </c>
      <c r="L74" t="s">
        <v>38</v>
      </c>
      <c r="M74">
        <v>3</v>
      </c>
    </row>
    <row r="75" spans="1:13" x14ac:dyDescent="0.25">
      <c r="A75" s="4">
        <v>43321</v>
      </c>
      <c r="B75" t="s">
        <v>30</v>
      </c>
      <c r="C75">
        <v>1</v>
      </c>
      <c r="D75">
        <v>1</v>
      </c>
      <c r="E75" t="s">
        <v>35</v>
      </c>
      <c r="F75" t="s">
        <v>89</v>
      </c>
      <c r="G75">
        <v>2</v>
      </c>
      <c r="H75">
        <v>1124</v>
      </c>
      <c r="I75">
        <v>1123</v>
      </c>
      <c r="J75">
        <v>0</v>
      </c>
      <c r="K75">
        <f>22.5-9.5</f>
        <v>13</v>
      </c>
      <c r="L75" t="s">
        <v>38</v>
      </c>
      <c r="M75">
        <v>3</v>
      </c>
    </row>
    <row r="76" spans="1:13" x14ac:dyDescent="0.25">
      <c r="A76" s="4">
        <v>43292</v>
      </c>
      <c r="B76" t="s">
        <v>30</v>
      </c>
      <c r="C76">
        <v>2</v>
      </c>
      <c r="D76">
        <v>1</v>
      </c>
      <c r="E76" t="s">
        <v>35</v>
      </c>
      <c r="F76" t="s">
        <v>114</v>
      </c>
      <c r="G76">
        <v>1</v>
      </c>
      <c r="H76">
        <v>1137</v>
      </c>
      <c r="I76">
        <v>1138</v>
      </c>
      <c r="J76">
        <v>0</v>
      </c>
      <c r="K76">
        <f>25-11</f>
        <v>14</v>
      </c>
      <c r="L76" t="s">
        <v>47</v>
      </c>
      <c r="M76">
        <v>3</v>
      </c>
    </row>
    <row r="77" spans="1:13" x14ac:dyDescent="0.25">
      <c r="A77" s="4">
        <v>43304</v>
      </c>
      <c r="B77" t="s">
        <v>30</v>
      </c>
      <c r="C77">
        <v>2</v>
      </c>
      <c r="D77">
        <v>1</v>
      </c>
      <c r="E77" t="s">
        <v>35</v>
      </c>
      <c r="F77" t="s">
        <v>114</v>
      </c>
      <c r="G77">
        <v>1</v>
      </c>
      <c r="H77">
        <v>1138</v>
      </c>
      <c r="I77">
        <v>1137</v>
      </c>
      <c r="J77">
        <v>0</v>
      </c>
      <c r="K77">
        <f>26-12</f>
        <v>14</v>
      </c>
      <c r="L77" t="s">
        <v>65</v>
      </c>
      <c r="M77">
        <v>3</v>
      </c>
    </row>
    <row r="78" spans="1:13" x14ac:dyDescent="0.25">
      <c r="A78" s="4">
        <v>43305</v>
      </c>
      <c r="B78" t="s">
        <v>30</v>
      </c>
      <c r="C78">
        <v>2</v>
      </c>
      <c r="D78">
        <v>1</v>
      </c>
      <c r="E78" t="s">
        <v>35</v>
      </c>
      <c r="F78" t="s">
        <v>114</v>
      </c>
      <c r="G78">
        <v>1</v>
      </c>
      <c r="H78">
        <v>1138</v>
      </c>
      <c r="I78">
        <v>1137</v>
      </c>
      <c r="J78">
        <v>0</v>
      </c>
      <c r="K78">
        <f>34-20</f>
        <v>14</v>
      </c>
      <c r="L78" t="s">
        <v>38</v>
      </c>
      <c r="M78">
        <v>3</v>
      </c>
    </row>
    <row r="79" spans="1:13" x14ac:dyDescent="0.25">
      <c r="A79" s="4">
        <v>43298</v>
      </c>
      <c r="B79" t="s">
        <v>30</v>
      </c>
      <c r="C79">
        <v>4</v>
      </c>
      <c r="D79">
        <v>1</v>
      </c>
      <c r="E79" t="s">
        <v>42</v>
      </c>
      <c r="F79" t="s">
        <v>89</v>
      </c>
      <c r="G79">
        <v>1</v>
      </c>
      <c r="H79">
        <v>1146</v>
      </c>
      <c r="I79">
        <v>1145</v>
      </c>
      <c r="J79">
        <v>0</v>
      </c>
      <c r="K79">
        <f>33.5-24</f>
        <v>9.5</v>
      </c>
      <c r="L79" t="s">
        <v>65</v>
      </c>
      <c r="M79">
        <v>3</v>
      </c>
    </row>
    <row r="80" spans="1:13" x14ac:dyDescent="0.25">
      <c r="A80" s="4">
        <v>43311</v>
      </c>
      <c r="B80" t="s">
        <v>30</v>
      </c>
      <c r="C80">
        <v>4</v>
      </c>
      <c r="D80">
        <v>1</v>
      </c>
      <c r="E80" t="s">
        <v>35</v>
      </c>
      <c r="F80" t="s">
        <v>114</v>
      </c>
      <c r="G80">
        <v>1</v>
      </c>
      <c r="H80">
        <v>1146</v>
      </c>
      <c r="I80">
        <v>1145</v>
      </c>
      <c r="J80">
        <v>0</v>
      </c>
      <c r="K80">
        <f>23.5-10</f>
        <v>13.5</v>
      </c>
      <c r="L80" t="s">
        <v>65</v>
      </c>
      <c r="M80">
        <v>3</v>
      </c>
    </row>
    <row r="81" spans="1:13" x14ac:dyDescent="0.25">
      <c r="A81" s="4">
        <v>43312</v>
      </c>
      <c r="B81" t="s">
        <v>30</v>
      </c>
      <c r="C81">
        <v>4</v>
      </c>
      <c r="D81">
        <v>1</v>
      </c>
      <c r="E81" t="s">
        <v>35</v>
      </c>
      <c r="F81" t="s">
        <v>114</v>
      </c>
      <c r="G81">
        <v>1</v>
      </c>
      <c r="H81">
        <v>1146</v>
      </c>
      <c r="I81">
        <v>1145</v>
      </c>
      <c r="J81">
        <v>1</v>
      </c>
      <c r="K81">
        <f>23-10.5</f>
        <v>12.5</v>
      </c>
      <c r="L81" t="s">
        <v>65</v>
      </c>
      <c r="M81">
        <v>3</v>
      </c>
    </row>
    <row r="82" spans="1:13" x14ac:dyDescent="0.25">
      <c r="A82" s="4">
        <v>43313</v>
      </c>
      <c r="B82" t="s">
        <v>30</v>
      </c>
      <c r="C82">
        <v>4</v>
      </c>
      <c r="D82">
        <v>1</v>
      </c>
      <c r="E82" t="s">
        <v>35</v>
      </c>
      <c r="F82" t="s">
        <v>114</v>
      </c>
      <c r="G82">
        <v>1</v>
      </c>
      <c r="H82">
        <v>1146</v>
      </c>
      <c r="I82">
        <v>1145</v>
      </c>
      <c r="J82">
        <v>1</v>
      </c>
      <c r="K82">
        <f>28-16</f>
        <v>12</v>
      </c>
      <c r="L82" t="s">
        <v>65</v>
      </c>
      <c r="M82">
        <v>3</v>
      </c>
    </row>
    <row r="83" spans="1:13" x14ac:dyDescent="0.25">
      <c r="A83" s="4">
        <v>43325</v>
      </c>
      <c r="B83" t="s">
        <v>30</v>
      </c>
      <c r="C83">
        <v>4</v>
      </c>
      <c r="D83">
        <v>1</v>
      </c>
      <c r="E83" t="s">
        <v>35</v>
      </c>
      <c r="F83" t="s">
        <v>114</v>
      </c>
      <c r="G83">
        <v>1</v>
      </c>
      <c r="H83">
        <v>1146</v>
      </c>
      <c r="I83">
        <v>1145</v>
      </c>
      <c r="J83">
        <v>1</v>
      </c>
      <c r="K83">
        <f>40-25</f>
        <v>15</v>
      </c>
      <c r="L83" t="s">
        <v>65</v>
      </c>
      <c r="M83">
        <v>3</v>
      </c>
    </row>
    <row r="84" spans="1:13" x14ac:dyDescent="0.25">
      <c r="A84" s="4">
        <v>43326</v>
      </c>
      <c r="B84" t="s">
        <v>30</v>
      </c>
      <c r="C84">
        <v>4</v>
      </c>
      <c r="D84">
        <v>1</v>
      </c>
      <c r="E84" t="s">
        <v>35</v>
      </c>
      <c r="F84" t="s">
        <v>114</v>
      </c>
      <c r="G84">
        <v>1</v>
      </c>
      <c r="H84">
        <v>1146</v>
      </c>
      <c r="I84">
        <v>1145</v>
      </c>
      <c r="J84">
        <v>1</v>
      </c>
      <c r="K84">
        <f>40-25</f>
        <v>15</v>
      </c>
      <c r="L84" t="s">
        <v>65</v>
      </c>
      <c r="M84">
        <v>3</v>
      </c>
    </row>
    <row r="85" spans="1:13" x14ac:dyDescent="0.25">
      <c r="A85" s="4">
        <v>43327</v>
      </c>
      <c r="B85" t="s">
        <v>30</v>
      </c>
      <c r="C85">
        <v>4</v>
      </c>
      <c r="D85">
        <v>1</v>
      </c>
      <c r="E85" t="s">
        <v>35</v>
      </c>
      <c r="F85" t="s">
        <v>114</v>
      </c>
      <c r="G85">
        <v>1</v>
      </c>
      <c r="H85">
        <v>1146</v>
      </c>
      <c r="I85">
        <v>1145</v>
      </c>
      <c r="J85">
        <v>1</v>
      </c>
      <c r="L85" t="s">
        <v>65</v>
      </c>
      <c r="M85">
        <v>3</v>
      </c>
    </row>
    <row r="86" spans="1:13" x14ac:dyDescent="0.25">
      <c r="A86" s="4">
        <v>43291</v>
      </c>
      <c r="B86" t="s">
        <v>30</v>
      </c>
      <c r="C86">
        <v>3</v>
      </c>
      <c r="D86">
        <v>1</v>
      </c>
      <c r="E86" t="s">
        <v>35</v>
      </c>
      <c r="F86" t="s">
        <v>89</v>
      </c>
      <c r="G86">
        <v>1</v>
      </c>
      <c r="H86">
        <v>1148</v>
      </c>
      <c r="I86">
        <v>1147</v>
      </c>
      <c r="J86">
        <v>0</v>
      </c>
      <c r="K86">
        <f>24-10</f>
        <v>14</v>
      </c>
      <c r="L86" t="s">
        <v>65</v>
      </c>
      <c r="M86">
        <v>3</v>
      </c>
    </row>
    <row r="87" spans="1:13" x14ac:dyDescent="0.25">
      <c r="A87" s="4">
        <v>43292</v>
      </c>
      <c r="B87" t="s">
        <v>30</v>
      </c>
      <c r="C87">
        <v>3</v>
      </c>
      <c r="D87">
        <v>1</v>
      </c>
      <c r="E87" t="s">
        <v>35</v>
      </c>
      <c r="F87" t="s">
        <v>89</v>
      </c>
      <c r="G87">
        <v>2</v>
      </c>
      <c r="H87">
        <v>1148</v>
      </c>
      <c r="I87">
        <v>1147</v>
      </c>
      <c r="J87">
        <v>0</v>
      </c>
      <c r="K87">
        <f>27-10</f>
        <v>17</v>
      </c>
      <c r="L87" t="s">
        <v>38</v>
      </c>
      <c r="M87">
        <v>3</v>
      </c>
    </row>
    <row r="88" spans="1:13" x14ac:dyDescent="0.25">
      <c r="A88" s="4">
        <v>43327</v>
      </c>
      <c r="B88" t="s">
        <v>30</v>
      </c>
      <c r="C88">
        <v>7</v>
      </c>
      <c r="D88">
        <v>1</v>
      </c>
      <c r="E88" t="s">
        <v>35</v>
      </c>
      <c r="F88" t="s">
        <v>36</v>
      </c>
      <c r="G88">
        <v>2</v>
      </c>
      <c r="H88">
        <v>1165</v>
      </c>
      <c r="I88">
        <v>1164</v>
      </c>
      <c r="J88">
        <v>1</v>
      </c>
      <c r="K88">
        <f>29.5-11</f>
        <v>18.5</v>
      </c>
      <c r="L88" t="s">
        <v>38</v>
      </c>
      <c r="M88">
        <v>3</v>
      </c>
    </row>
    <row r="89" spans="1:13" x14ac:dyDescent="0.25">
      <c r="A89" s="4">
        <v>43301</v>
      </c>
      <c r="B89" t="s">
        <v>30</v>
      </c>
      <c r="C89">
        <v>8</v>
      </c>
      <c r="D89">
        <v>1</v>
      </c>
      <c r="E89" t="s">
        <v>35</v>
      </c>
      <c r="F89" t="s">
        <v>36</v>
      </c>
      <c r="G89">
        <v>1</v>
      </c>
      <c r="H89">
        <v>1168</v>
      </c>
      <c r="I89">
        <v>1167</v>
      </c>
      <c r="J89">
        <v>1</v>
      </c>
      <c r="L89" t="s">
        <v>47</v>
      </c>
      <c r="M89">
        <v>3</v>
      </c>
    </row>
    <row r="90" spans="1:13" x14ac:dyDescent="0.25">
      <c r="A90" s="4">
        <v>43302</v>
      </c>
      <c r="B90" t="s">
        <v>30</v>
      </c>
      <c r="C90">
        <v>8</v>
      </c>
      <c r="D90">
        <v>1</v>
      </c>
      <c r="E90" t="s">
        <v>35</v>
      </c>
      <c r="F90" t="s">
        <v>36</v>
      </c>
      <c r="G90">
        <v>1</v>
      </c>
      <c r="H90">
        <v>1168</v>
      </c>
      <c r="I90">
        <v>1167</v>
      </c>
      <c r="J90">
        <v>1</v>
      </c>
      <c r="K90">
        <f>30-10.5</f>
        <v>19.5</v>
      </c>
      <c r="L90" t="s">
        <v>47</v>
      </c>
      <c r="M90">
        <v>3</v>
      </c>
    </row>
    <row r="91" spans="1:13" x14ac:dyDescent="0.25">
      <c r="A91" s="4">
        <v>43316</v>
      </c>
      <c r="B91" t="s">
        <v>30</v>
      </c>
      <c r="C91">
        <v>8</v>
      </c>
      <c r="D91">
        <v>1</v>
      </c>
      <c r="E91" t="s">
        <v>35</v>
      </c>
      <c r="F91" t="s">
        <v>36</v>
      </c>
      <c r="G91">
        <v>1</v>
      </c>
      <c r="H91">
        <v>1168</v>
      </c>
      <c r="I91">
        <v>1167</v>
      </c>
      <c r="J91">
        <v>0</v>
      </c>
      <c r="K91">
        <f>31.5-10.5</f>
        <v>21</v>
      </c>
      <c r="L91" t="s">
        <v>65</v>
      </c>
      <c r="M91">
        <v>3</v>
      </c>
    </row>
    <row r="92" spans="1:13" x14ac:dyDescent="0.25">
      <c r="A92" s="4">
        <v>43317</v>
      </c>
      <c r="B92" t="s">
        <v>30</v>
      </c>
      <c r="C92">
        <v>8</v>
      </c>
      <c r="D92">
        <v>1</v>
      </c>
      <c r="E92" t="s">
        <v>35</v>
      </c>
      <c r="F92" t="s">
        <v>36</v>
      </c>
      <c r="G92">
        <v>1</v>
      </c>
      <c r="H92">
        <v>1168</v>
      </c>
      <c r="I92">
        <v>1167</v>
      </c>
      <c r="J92">
        <v>0</v>
      </c>
      <c r="K92">
        <f>30.5-12</f>
        <v>18.5</v>
      </c>
      <c r="L92" t="s">
        <v>65</v>
      </c>
      <c r="M92">
        <v>3</v>
      </c>
    </row>
    <row r="93" spans="1:13" x14ac:dyDescent="0.25">
      <c r="A93" s="4">
        <v>43318</v>
      </c>
      <c r="B93" t="s">
        <v>30</v>
      </c>
      <c r="C93">
        <v>8</v>
      </c>
      <c r="D93">
        <v>1</v>
      </c>
      <c r="E93" t="s">
        <v>35</v>
      </c>
      <c r="F93" t="s">
        <v>36</v>
      </c>
      <c r="G93">
        <v>1</v>
      </c>
      <c r="H93">
        <v>1168</v>
      </c>
      <c r="I93">
        <v>1167</v>
      </c>
      <c r="J93">
        <v>0</v>
      </c>
      <c r="K93">
        <f>33-15</f>
        <v>18</v>
      </c>
      <c r="L93" t="s">
        <v>65</v>
      </c>
      <c r="M93">
        <v>3</v>
      </c>
    </row>
    <row r="94" spans="1:13" x14ac:dyDescent="0.25">
      <c r="A94" s="4">
        <v>43325</v>
      </c>
      <c r="B94" t="s">
        <v>30</v>
      </c>
      <c r="C94">
        <v>8</v>
      </c>
      <c r="D94">
        <v>1</v>
      </c>
      <c r="E94" t="s">
        <v>35</v>
      </c>
      <c r="F94" t="s">
        <v>36</v>
      </c>
      <c r="G94">
        <v>1</v>
      </c>
      <c r="H94">
        <v>1168</v>
      </c>
      <c r="I94">
        <v>1167</v>
      </c>
      <c r="J94">
        <v>0</v>
      </c>
      <c r="K94">
        <f>34.5-14</f>
        <v>20.5</v>
      </c>
      <c r="L94" t="s">
        <v>47</v>
      </c>
      <c r="M94">
        <v>3</v>
      </c>
    </row>
    <row r="95" spans="1:13" x14ac:dyDescent="0.25">
      <c r="A95" s="4">
        <v>43326</v>
      </c>
      <c r="B95" t="s">
        <v>30</v>
      </c>
      <c r="C95">
        <v>8</v>
      </c>
      <c r="D95">
        <v>1</v>
      </c>
      <c r="E95" t="s">
        <v>35</v>
      </c>
      <c r="F95" t="s">
        <v>36</v>
      </c>
      <c r="G95">
        <v>1</v>
      </c>
      <c r="H95">
        <v>1168</v>
      </c>
      <c r="I95">
        <v>1167</v>
      </c>
      <c r="J95">
        <v>0</v>
      </c>
      <c r="K95">
        <f>31-13</f>
        <v>18</v>
      </c>
      <c r="L95" t="s">
        <v>47</v>
      </c>
      <c r="M95">
        <v>3</v>
      </c>
    </row>
    <row r="96" spans="1:13" x14ac:dyDescent="0.25">
      <c r="A96" s="4">
        <v>43327</v>
      </c>
      <c r="B96" t="s">
        <v>30</v>
      </c>
      <c r="C96">
        <v>8</v>
      </c>
      <c r="D96">
        <v>1</v>
      </c>
      <c r="E96" t="s">
        <v>35</v>
      </c>
      <c r="F96" t="s">
        <v>36</v>
      </c>
      <c r="G96">
        <v>1</v>
      </c>
      <c r="H96">
        <v>1168</v>
      </c>
      <c r="I96">
        <v>1167</v>
      </c>
      <c r="J96">
        <v>0</v>
      </c>
      <c r="K96">
        <f>30.5-11</f>
        <v>19.5</v>
      </c>
      <c r="L96" t="s">
        <v>65</v>
      </c>
      <c r="M96">
        <v>3</v>
      </c>
    </row>
    <row r="97" spans="1:13" x14ac:dyDescent="0.25">
      <c r="A97" s="4">
        <v>43300</v>
      </c>
      <c r="B97" t="s">
        <v>30</v>
      </c>
      <c r="C97">
        <v>9</v>
      </c>
      <c r="D97">
        <v>1</v>
      </c>
      <c r="E97" t="s">
        <v>35</v>
      </c>
      <c r="F97" t="s">
        <v>36</v>
      </c>
      <c r="G97">
        <v>1</v>
      </c>
      <c r="H97">
        <v>1174</v>
      </c>
      <c r="I97">
        <v>1173</v>
      </c>
      <c r="J97">
        <v>0</v>
      </c>
      <c r="L97" t="s">
        <v>47</v>
      </c>
      <c r="M97">
        <v>3</v>
      </c>
    </row>
    <row r="98" spans="1:13" x14ac:dyDescent="0.25">
      <c r="A98" s="4">
        <v>43302</v>
      </c>
      <c r="B98" t="s">
        <v>30</v>
      </c>
      <c r="C98">
        <v>9</v>
      </c>
      <c r="D98">
        <v>1</v>
      </c>
      <c r="E98" t="s">
        <v>35</v>
      </c>
      <c r="F98" t="s">
        <v>36</v>
      </c>
      <c r="G98">
        <v>1</v>
      </c>
      <c r="H98">
        <v>1174</v>
      </c>
      <c r="I98">
        <v>1173</v>
      </c>
      <c r="J98">
        <v>0</v>
      </c>
      <c r="K98">
        <f>29-11.5</f>
        <v>17.5</v>
      </c>
      <c r="L98" t="s">
        <v>65</v>
      </c>
      <c r="M98">
        <v>3</v>
      </c>
    </row>
    <row r="99" spans="1:13" x14ac:dyDescent="0.25">
      <c r="A99" s="4">
        <v>43299</v>
      </c>
      <c r="B99" t="s">
        <v>30</v>
      </c>
      <c r="C99">
        <v>3</v>
      </c>
      <c r="D99">
        <v>1</v>
      </c>
      <c r="E99" t="s">
        <v>35</v>
      </c>
      <c r="F99" t="s">
        <v>114</v>
      </c>
      <c r="G99">
        <v>2</v>
      </c>
      <c r="H99">
        <v>1182</v>
      </c>
      <c r="I99">
        <v>1181</v>
      </c>
      <c r="J99">
        <v>0</v>
      </c>
      <c r="K99">
        <f>31-17</f>
        <v>14</v>
      </c>
      <c r="L99" t="s">
        <v>38</v>
      </c>
      <c r="M99">
        <v>3</v>
      </c>
    </row>
    <row r="100" spans="1:13" x14ac:dyDescent="0.25">
      <c r="A100" s="4">
        <v>43292</v>
      </c>
      <c r="B100" t="s">
        <v>30</v>
      </c>
      <c r="C100">
        <v>2</v>
      </c>
      <c r="D100">
        <v>1</v>
      </c>
      <c r="E100" t="s">
        <v>35</v>
      </c>
      <c r="F100" t="s">
        <v>89</v>
      </c>
      <c r="G100">
        <v>1</v>
      </c>
      <c r="H100">
        <v>1190</v>
      </c>
      <c r="I100">
        <v>1189</v>
      </c>
      <c r="J100">
        <v>0</v>
      </c>
      <c r="K100">
        <f>25-10</f>
        <v>15</v>
      </c>
      <c r="L100" t="s">
        <v>65</v>
      </c>
      <c r="M100">
        <v>3</v>
      </c>
    </row>
    <row r="101" spans="1:13" x14ac:dyDescent="0.25">
      <c r="A101" s="4">
        <v>43305</v>
      </c>
      <c r="B101" t="s">
        <v>30</v>
      </c>
      <c r="C101">
        <v>2</v>
      </c>
      <c r="D101">
        <v>1</v>
      </c>
      <c r="E101" t="s">
        <v>35</v>
      </c>
      <c r="F101" t="s">
        <v>89</v>
      </c>
      <c r="G101">
        <v>1</v>
      </c>
      <c r="H101">
        <v>1190</v>
      </c>
      <c r="I101">
        <v>1189</v>
      </c>
      <c r="J101">
        <v>0</v>
      </c>
      <c r="K101">
        <f>32-19</f>
        <v>13</v>
      </c>
      <c r="L101" t="s">
        <v>38</v>
      </c>
      <c r="M101">
        <v>3</v>
      </c>
    </row>
    <row r="102" spans="1:13" x14ac:dyDescent="0.25">
      <c r="A102" s="4">
        <v>43292</v>
      </c>
      <c r="B102" t="s">
        <v>30</v>
      </c>
      <c r="C102">
        <v>2</v>
      </c>
      <c r="D102">
        <v>1</v>
      </c>
      <c r="E102" t="s">
        <v>42</v>
      </c>
      <c r="F102" t="s">
        <v>89</v>
      </c>
      <c r="G102">
        <v>1</v>
      </c>
      <c r="H102">
        <v>1194</v>
      </c>
      <c r="I102">
        <v>1193</v>
      </c>
      <c r="J102">
        <v>0</v>
      </c>
      <c r="K102">
        <f>22-10</f>
        <v>12</v>
      </c>
      <c r="L102" t="s">
        <v>65</v>
      </c>
      <c r="M102">
        <v>3</v>
      </c>
    </row>
    <row r="103" spans="1:13" x14ac:dyDescent="0.25">
      <c r="A103" s="4">
        <v>43305</v>
      </c>
      <c r="B103" t="s">
        <v>30</v>
      </c>
      <c r="C103">
        <v>2</v>
      </c>
      <c r="D103">
        <v>1</v>
      </c>
      <c r="E103" t="s">
        <v>35</v>
      </c>
      <c r="F103" t="s">
        <v>114</v>
      </c>
      <c r="G103">
        <v>1</v>
      </c>
      <c r="H103">
        <v>1196</v>
      </c>
      <c r="I103">
        <v>1195</v>
      </c>
      <c r="J103">
        <v>0</v>
      </c>
      <c r="K103">
        <f>29.5-14</f>
        <v>15.5</v>
      </c>
      <c r="L103" t="s">
        <v>65</v>
      </c>
      <c r="M103">
        <v>3</v>
      </c>
    </row>
    <row r="104" spans="1:13" x14ac:dyDescent="0.25">
      <c r="A104" s="4">
        <v>43319</v>
      </c>
      <c r="B104" t="s">
        <v>30</v>
      </c>
      <c r="C104">
        <v>2</v>
      </c>
      <c r="D104">
        <v>1</v>
      </c>
      <c r="E104" t="s">
        <v>35</v>
      </c>
      <c r="F104" t="s">
        <v>114</v>
      </c>
      <c r="G104">
        <v>1</v>
      </c>
      <c r="H104">
        <v>1196</v>
      </c>
      <c r="I104">
        <v>1195</v>
      </c>
      <c r="J104">
        <v>1</v>
      </c>
      <c r="K104">
        <f>28-14</f>
        <v>14</v>
      </c>
      <c r="L104" t="s">
        <v>65</v>
      </c>
      <c r="M104">
        <v>3</v>
      </c>
    </row>
    <row r="105" spans="1:13" x14ac:dyDescent="0.25">
      <c r="A105" s="4">
        <v>43320</v>
      </c>
      <c r="B105" t="s">
        <v>30</v>
      </c>
      <c r="C105">
        <v>2</v>
      </c>
      <c r="D105">
        <v>1</v>
      </c>
      <c r="E105" t="s">
        <v>35</v>
      </c>
      <c r="F105" t="s">
        <v>114</v>
      </c>
      <c r="G105">
        <v>1</v>
      </c>
      <c r="H105">
        <v>1196</v>
      </c>
      <c r="I105">
        <v>1195</v>
      </c>
      <c r="J105">
        <v>1</v>
      </c>
      <c r="K105">
        <f>25-12</f>
        <v>13</v>
      </c>
      <c r="L105" t="s">
        <v>65</v>
      </c>
      <c r="M105">
        <v>3</v>
      </c>
    </row>
    <row r="106" spans="1:13" x14ac:dyDescent="0.25">
      <c r="A106" s="4">
        <v>43321</v>
      </c>
      <c r="B106" t="s">
        <v>30</v>
      </c>
      <c r="C106">
        <v>2</v>
      </c>
      <c r="D106">
        <v>1</v>
      </c>
      <c r="E106" t="s">
        <v>35</v>
      </c>
      <c r="F106" t="s">
        <v>114</v>
      </c>
      <c r="G106">
        <v>1</v>
      </c>
      <c r="H106">
        <v>1196</v>
      </c>
      <c r="I106">
        <v>1195</v>
      </c>
      <c r="J106">
        <v>1</v>
      </c>
      <c r="K106">
        <f>28-15</f>
        <v>13</v>
      </c>
      <c r="L106" t="s">
        <v>65</v>
      </c>
      <c r="M106">
        <v>3</v>
      </c>
    </row>
    <row r="107" spans="1:13" x14ac:dyDescent="0.25">
      <c r="A107" s="4">
        <v>43292</v>
      </c>
      <c r="B107" t="s">
        <v>30</v>
      </c>
      <c r="C107">
        <v>2</v>
      </c>
      <c r="D107">
        <v>1</v>
      </c>
      <c r="E107" t="s">
        <v>35</v>
      </c>
      <c r="F107" t="s">
        <v>36</v>
      </c>
      <c r="G107">
        <v>2</v>
      </c>
      <c r="H107">
        <v>1198</v>
      </c>
      <c r="I107">
        <v>1197</v>
      </c>
      <c r="J107">
        <v>0</v>
      </c>
      <c r="K107">
        <f>31-11</f>
        <v>20</v>
      </c>
      <c r="L107" t="s">
        <v>1041</v>
      </c>
      <c r="M107">
        <v>3</v>
      </c>
    </row>
    <row r="108" spans="1:13" x14ac:dyDescent="0.25">
      <c r="A108" s="4">
        <v>43320</v>
      </c>
      <c r="B108" t="s">
        <v>30</v>
      </c>
      <c r="C108">
        <v>2</v>
      </c>
      <c r="D108">
        <v>1</v>
      </c>
      <c r="E108" t="s">
        <v>35</v>
      </c>
      <c r="F108" t="s">
        <v>36</v>
      </c>
      <c r="G108">
        <v>2</v>
      </c>
      <c r="H108">
        <v>1198</v>
      </c>
      <c r="I108">
        <v>1197</v>
      </c>
      <c r="J108">
        <v>1</v>
      </c>
      <c r="K108">
        <f>32-13</f>
        <v>19</v>
      </c>
      <c r="L108" t="s">
        <v>81</v>
      </c>
      <c r="M108">
        <v>3</v>
      </c>
    </row>
    <row r="109" spans="1:13" x14ac:dyDescent="0.25">
      <c r="A109" s="4">
        <v>43321</v>
      </c>
      <c r="B109" t="s">
        <v>30</v>
      </c>
      <c r="C109">
        <v>2</v>
      </c>
      <c r="D109">
        <v>1</v>
      </c>
      <c r="E109" t="s">
        <v>35</v>
      </c>
      <c r="F109" t="s">
        <v>36</v>
      </c>
      <c r="G109">
        <v>2</v>
      </c>
      <c r="H109">
        <v>1198</v>
      </c>
      <c r="I109">
        <v>1197</v>
      </c>
      <c r="J109">
        <v>1</v>
      </c>
      <c r="K109">
        <f>31-14</f>
        <v>17</v>
      </c>
      <c r="L109" t="s">
        <v>38</v>
      </c>
      <c r="M109">
        <v>3</v>
      </c>
    </row>
    <row r="110" spans="1:13" x14ac:dyDescent="0.25">
      <c r="A110" s="4">
        <v>43313</v>
      </c>
      <c r="B110" t="s">
        <v>30</v>
      </c>
      <c r="C110">
        <v>3</v>
      </c>
      <c r="D110">
        <v>1</v>
      </c>
      <c r="E110" t="s">
        <v>35</v>
      </c>
      <c r="F110" t="s">
        <v>114</v>
      </c>
      <c r="G110">
        <v>1</v>
      </c>
      <c r="H110">
        <v>1202</v>
      </c>
      <c r="I110">
        <v>1201</v>
      </c>
      <c r="J110">
        <v>0</v>
      </c>
      <c r="K110">
        <f>30-16</f>
        <v>14</v>
      </c>
      <c r="L110" t="s">
        <v>65</v>
      </c>
      <c r="M110">
        <v>3</v>
      </c>
    </row>
    <row r="111" spans="1:13" x14ac:dyDescent="0.25">
      <c r="A111" s="4">
        <v>43325</v>
      </c>
      <c r="B111" t="s">
        <v>30</v>
      </c>
      <c r="C111">
        <v>7</v>
      </c>
      <c r="D111">
        <v>1</v>
      </c>
      <c r="E111" t="s">
        <v>35</v>
      </c>
      <c r="F111" t="s">
        <v>36</v>
      </c>
      <c r="G111">
        <v>1</v>
      </c>
      <c r="H111">
        <v>1209</v>
      </c>
      <c r="I111">
        <v>1208</v>
      </c>
      <c r="J111">
        <v>0</v>
      </c>
      <c r="K111">
        <f>30-10</f>
        <v>20</v>
      </c>
      <c r="L111" t="s">
        <v>65</v>
      </c>
      <c r="M111">
        <v>3</v>
      </c>
    </row>
    <row r="112" spans="1:13" x14ac:dyDescent="0.25">
      <c r="A112" s="4">
        <v>43302</v>
      </c>
      <c r="B112" t="s">
        <v>30</v>
      </c>
      <c r="C112">
        <v>9</v>
      </c>
      <c r="D112">
        <v>1</v>
      </c>
      <c r="E112" t="s">
        <v>35</v>
      </c>
      <c r="F112" t="s">
        <v>36</v>
      </c>
      <c r="G112">
        <v>2</v>
      </c>
      <c r="H112">
        <v>1212</v>
      </c>
      <c r="I112">
        <v>1211</v>
      </c>
      <c r="J112">
        <v>0</v>
      </c>
      <c r="K112">
        <f>31-13.5</f>
        <v>17.5</v>
      </c>
      <c r="L112" t="s">
        <v>1039</v>
      </c>
      <c r="M112">
        <v>3</v>
      </c>
    </row>
    <row r="113" spans="1:13" x14ac:dyDescent="0.25">
      <c r="A113" s="4">
        <v>43301</v>
      </c>
      <c r="B113" t="s">
        <v>30</v>
      </c>
      <c r="C113">
        <v>7</v>
      </c>
      <c r="D113">
        <v>1</v>
      </c>
      <c r="E113" t="s">
        <v>42</v>
      </c>
      <c r="F113" t="s">
        <v>114</v>
      </c>
      <c r="G113">
        <v>1</v>
      </c>
      <c r="H113">
        <v>1215</v>
      </c>
      <c r="I113">
        <v>1214</v>
      </c>
      <c r="J113">
        <v>0</v>
      </c>
      <c r="L113" t="s">
        <v>65</v>
      </c>
      <c r="M113">
        <v>3</v>
      </c>
    </row>
    <row r="114" spans="1:13" x14ac:dyDescent="0.25">
      <c r="A114" s="4">
        <v>43302</v>
      </c>
      <c r="B114" t="s">
        <v>30</v>
      </c>
      <c r="C114">
        <v>7</v>
      </c>
      <c r="D114">
        <v>1</v>
      </c>
      <c r="E114" t="s">
        <v>35</v>
      </c>
      <c r="F114" t="s">
        <v>114</v>
      </c>
      <c r="G114">
        <v>1</v>
      </c>
      <c r="H114">
        <v>1215</v>
      </c>
      <c r="I114">
        <v>1214</v>
      </c>
      <c r="J114">
        <v>0</v>
      </c>
      <c r="K114">
        <f>25-10</f>
        <v>15</v>
      </c>
      <c r="L114" t="s">
        <v>65</v>
      </c>
      <c r="M114">
        <v>3</v>
      </c>
    </row>
    <row r="115" spans="1:13" x14ac:dyDescent="0.25">
      <c r="A115" s="4">
        <v>43316</v>
      </c>
      <c r="B115" t="s">
        <v>30</v>
      </c>
      <c r="C115">
        <v>7</v>
      </c>
      <c r="D115">
        <v>1</v>
      </c>
      <c r="E115" t="s">
        <v>35</v>
      </c>
      <c r="F115" t="s">
        <v>114</v>
      </c>
      <c r="G115">
        <v>1</v>
      </c>
      <c r="H115">
        <v>1215</v>
      </c>
      <c r="I115">
        <v>1214</v>
      </c>
      <c r="J115">
        <v>0</v>
      </c>
      <c r="K115">
        <f>26-10.5</f>
        <v>15.5</v>
      </c>
      <c r="L115" t="s">
        <v>65</v>
      </c>
      <c r="M115">
        <v>3</v>
      </c>
    </row>
    <row r="116" spans="1:13" x14ac:dyDescent="0.25">
      <c r="A116" s="4">
        <v>43317</v>
      </c>
      <c r="B116" t="s">
        <v>30</v>
      </c>
      <c r="C116">
        <v>7</v>
      </c>
      <c r="D116">
        <v>1</v>
      </c>
      <c r="E116" t="s">
        <v>35</v>
      </c>
      <c r="F116" t="s">
        <v>114</v>
      </c>
      <c r="G116">
        <v>1</v>
      </c>
      <c r="H116">
        <v>1215</v>
      </c>
      <c r="I116">
        <v>1214</v>
      </c>
      <c r="J116">
        <v>0</v>
      </c>
      <c r="K116">
        <f>25-10.5</f>
        <v>14.5</v>
      </c>
      <c r="L116" t="s">
        <v>65</v>
      </c>
      <c r="M116">
        <v>3</v>
      </c>
    </row>
    <row r="117" spans="1:13" x14ac:dyDescent="0.25">
      <c r="A117" s="4">
        <v>43318</v>
      </c>
      <c r="B117" t="s">
        <v>30</v>
      </c>
      <c r="C117">
        <v>7</v>
      </c>
      <c r="D117">
        <v>1</v>
      </c>
      <c r="E117" t="s">
        <v>35</v>
      </c>
      <c r="F117" t="s">
        <v>114</v>
      </c>
      <c r="G117">
        <v>1</v>
      </c>
      <c r="H117">
        <v>1215</v>
      </c>
      <c r="I117">
        <v>1214</v>
      </c>
      <c r="J117">
        <v>0</v>
      </c>
      <c r="K117">
        <f>28-13.5</f>
        <v>14.5</v>
      </c>
      <c r="L117" t="s">
        <v>65</v>
      </c>
      <c r="M117">
        <v>3</v>
      </c>
    </row>
    <row r="118" spans="1:13" x14ac:dyDescent="0.25">
      <c r="A118" s="4">
        <v>43325</v>
      </c>
      <c r="B118" t="s">
        <v>30</v>
      </c>
      <c r="C118">
        <v>7</v>
      </c>
      <c r="D118">
        <v>1</v>
      </c>
      <c r="E118" t="s">
        <v>35</v>
      </c>
      <c r="F118" t="s">
        <v>114</v>
      </c>
      <c r="G118">
        <v>1</v>
      </c>
      <c r="H118">
        <v>1215</v>
      </c>
      <c r="I118">
        <v>1214</v>
      </c>
      <c r="J118">
        <v>0</v>
      </c>
      <c r="K118">
        <f>31.5-16</f>
        <v>15.5</v>
      </c>
      <c r="L118" t="s">
        <v>65</v>
      </c>
      <c r="M118">
        <v>3</v>
      </c>
    </row>
    <row r="119" spans="1:13" x14ac:dyDescent="0.25">
      <c r="A119" s="4">
        <v>43326</v>
      </c>
      <c r="B119" t="s">
        <v>30</v>
      </c>
      <c r="C119">
        <v>7</v>
      </c>
      <c r="D119">
        <v>1</v>
      </c>
      <c r="E119" t="s">
        <v>35</v>
      </c>
      <c r="F119" t="s">
        <v>114</v>
      </c>
      <c r="G119">
        <v>1</v>
      </c>
      <c r="H119">
        <v>1215</v>
      </c>
      <c r="I119">
        <v>1214</v>
      </c>
      <c r="J119">
        <v>0</v>
      </c>
      <c r="K119">
        <f>29.5-14</f>
        <v>15.5</v>
      </c>
      <c r="L119" t="s">
        <v>65</v>
      </c>
      <c r="M119">
        <v>3</v>
      </c>
    </row>
    <row r="120" spans="1:13" x14ac:dyDescent="0.25">
      <c r="A120" s="4">
        <v>43327</v>
      </c>
      <c r="B120" t="s">
        <v>30</v>
      </c>
      <c r="C120">
        <v>7</v>
      </c>
      <c r="D120">
        <v>1</v>
      </c>
      <c r="E120" t="s">
        <v>35</v>
      </c>
      <c r="F120" t="s">
        <v>114</v>
      </c>
      <c r="G120">
        <v>1</v>
      </c>
      <c r="H120">
        <v>1215</v>
      </c>
      <c r="I120">
        <v>1214</v>
      </c>
      <c r="J120">
        <v>0</v>
      </c>
      <c r="K120">
        <f>25-10.5</f>
        <v>14.5</v>
      </c>
      <c r="L120" t="s">
        <v>65</v>
      </c>
      <c r="M120">
        <v>3</v>
      </c>
    </row>
    <row r="121" spans="1:13" x14ac:dyDescent="0.25">
      <c r="A121" s="4">
        <v>43300</v>
      </c>
      <c r="B121" t="s">
        <v>30</v>
      </c>
      <c r="C121">
        <v>8</v>
      </c>
      <c r="D121">
        <v>1</v>
      </c>
      <c r="E121" t="s">
        <v>42</v>
      </c>
      <c r="F121" t="s">
        <v>36</v>
      </c>
      <c r="G121">
        <v>2</v>
      </c>
      <c r="H121">
        <v>1217</v>
      </c>
      <c r="I121">
        <v>1216</v>
      </c>
      <c r="J121">
        <v>0</v>
      </c>
      <c r="L121" t="s">
        <v>81</v>
      </c>
      <c r="M121">
        <v>3</v>
      </c>
    </row>
    <row r="122" spans="1:13" x14ac:dyDescent="0.25">
      <c r="A122" s="4">
        <v>43302</v>
      </c>
      <c r="B122" t="s">
        <v>30</v>
      </c>
      <c r="C122">
        <v>8</v>
      </c>
      <c r="D122">
        <v>1</v>
      </c>
      <c r="E122" t="s">
        <v>35</v>
      </c>
      <c r="F122" t="s">
        <v>36</v>
      </c>
      <c r="G122">
        <v>1</v>
      </c>
      <c r="H122">
        <v>1217</v>
      </c>
      <c r="I122">
        <v>1216</v>
      </c>
      <c r="J122">
        <v>0</v>
      </c>
      <c r="K122">
        <f>29-10</f>
        <v>19</v>
      </c>
      <c r="L122" t="s">
        <v>47</v>
      </c>
      <c r="M122">
        <v>3</v>
      </c>
    </row>
    <row r="123" spans="1:13" x14ac:dyDescent="0.25">
      <c r="A123" s="4">
        <v>43300</v>
      </c>
      <c r="B123" t="s">
        <v>30</v>
      </c>
      <c r="C123">
        <v>7</v>
      </c>
      <c r="D123">
        <v>1</v>
      </c>
      <c r="E123" t="s">
        <v>42</v>
      </c>
      <c r="F123" t="s">
        <v>89</v>
      </c>
      <c r="G123">
        <v>2</v>
      </c>
      <c r="H123">
        <v>1219</v>
      </c>
      <c r="I123">
        <v>1218</v>
      </c>
      <c r="J123">
        <v>0</v>
      </c>
      <c r="K123">
        <f>29-20</f>
        <v>9</v>
      </c>
      <c r="L123" t="s">
        <v>38</v>
      </c>
      <c r="M123">
        <v>3</v>
      </c>
    </row>
    <row r="124" spans="1:13" x14ac:dyDescent="0.25">
      <c r="A124" s="4">
        <v>43301</v>
      </c>
      <c r="B124" t="s">
        <v>30</v>
      </c>
      <c r="C124">
        <v>7</v>
      </c>
      <c r="D124">
        <v>1</v>
      </c>
      <c r="E124" t="s">
        <v>35</v>
      </c>
      <c r="F124" t="s">
        <v>89</v>
      </c>
      <c r="G124">
        <v>2</v>
      </c>
      <c r="H124">
        <v>1219</v>
      </c>
      <c r="I124">
        <v>1218</v>
      </c>
      <c r="J124">
        <v>0</v>
      </c>
      <c r="K124">
        <f>40-25</f>
        <v>15</v>
      </c>
      <c r="L124" t="s">
        <v>38</v>
      </c>
      <c r="M124">
        <v>3</v>
      </c>
    </row>
    <row r="125" spans="1:13" x14ac:dyDescent="0.25">
      <c r="A125" s="4">
        <v>43302</v>
      </c>
      <c r="B125" t="s">
        <v>30</v>
      </c>
      <c r="C125">
        <v>7</v>
      </c>
      <c r="D125">
        <v>1</v>
      </c>
      <c r="E125" t="s">
        <v>35</v>
      </c>
      <c r="F125" t="s">
        <v>89</v>
      </c>
      <c r="G125">
        <v>2</v>
      </c>
      <c r="H125">
        <v>1219</v>
      </c>
      <c r="I125">
        <v>1218</v>
      </c>
      <c r="J125">
        <v>0</v>
      </c>
      <c r="K125">
        <f>24-14.5</f>
        <v>9.5</v>
      </c>
      <c r="L125" t="s">
        <v>38</v>
      </c>
      <c r="M125">
        <v>3</v>
      </c>
    </row>
    <row r="126" spans="1:13" x14ac:dyDescent="0.25">
      <c r="A126" s="4">
        <v>43298</v>
      </c>
      <c r="B126" t="s">
        <v>30</v>
      </c>
      <c r="C126">
        <v>3</v>
      </c>
      <c r="D126">
        <v>1</v>
      </c>
      <c r="E126" t="s">
        <v>42</v>
      </c>
      <c r="F126" t="s">
        <v>89</v>
      </c>
      <c r="G126">
        <v>2</v>
      </c>
      <c r="H126">
        <v>1221</v>
      </c>
      <c r="I126">
        <v>1220</v>
      </c>
      <c r="J126">
        <v>0</v>
      </c>
      <c r="K126">
        <f>36-24</f>
        <v>12</v>
      </c>
      <c r="L126" t="s">
        <v>38</v>
      </c>
      <c r="M126">
        <v>3</v>
      </c>
    </row>
    <row r="127" spans="1:13" x14ac:dyDescent="0.25">
      <c r="A127" s="4">
        <v>43299</v>
      </c>
      <c r="B127" t="s">
        <v>30</v>
      </c>
      <c r="C127">
        <v>3</v>
      </c>
      <c r="D127">
        <v>1</v>
      </c>
      <c r="E127" t="s">
        <v>35</v>
      </c>
      <c r="F127" t="s">
        <v>89</v>
      </c>
      <c r="G127">
        <v>2</v>
      </c>
      <c r="H127">
        <v>1221</v>
      </c>
      <c r="I127">
        <v>1220</v>
      </c>
      <c r="J127">
        <v>0</v>
      </c>
      <c r="K127">
        <f>26-18</f>
        <v>8</v>
      </c>
      <c r="L127" t="s">
        <v>38</v>
      </c>
      <c r="M127">
        <v>3</v>
      </c>
    </row>
    <row r="128" spans="1:13" x14ac:dyDescent="0.25">
      <c r="A128" s="4">
        <v>43311</v>
      </c>
      <c r="B128" t="s">
        <v>30</v>
      </c>
      <c r="C128">
        <v>3</v>
      </c>
      <c r="D128">
        <v>1</v>
      </c>
      <c r="E128" t="s">
        <v>35</v>
      </c>
      <c r="F128" t="s">
        <v>89</v>
      </c>
      <c r="G128">
        <v>2</v>
      </c>
      <c r="H128">
        <v>1221</v>
      </c>
      <c r="I128">
        <v>1220</v>
      </c>
      <c r="J128">
        <v>0</v>
      </c>
      <c r="K128">
        <f>24-10.75</f>
        <v>13.25</v>
      </c>
      <c r="L128" t="s">
        <v>38</v>
      </c>
      <c r="M128">
        <v>3</v>
      </c>
    </row>
    <row r="129" spans="1:13" x14ac:dyDescent="0.25">
      <c r="A129" s="4">
        <v>43312</v>
      </c>
      <c r="B129" t="s">
        <v>30</v>
      </c>
      <c r="C129">
        <v>3</v>
      </c>
      <c r="D129">
        <v>1</v>
      </c>
      <c r="E129" t="s">
        <v>35</v>
      </c>
      <c r="F129" t="s">
        <v>89</v>
      </c>
      <c r="G129">
        <v>2</v>
      </c>
      <c r="H129">
        <v>1221</v>
      </c>
      <c r="I129">
        <v>1220</v>
      </c>
      <c r="J129">
        <v>0</v>
      </c>
      <c r="K129">
        <f>23-10.5</f>
        <v>12.5</v>
      </c>
      <c r="L129" t="s">
        <v>38</v>
      </c>
      <c r="M129">
        <v>3</v>
      </c>
    </row>
    <row r="130" spans="1:13" x14ac:dyDescent="0.25">
      <c r="A130" s="4">
        <v>43313</v>
      </c>
      <c r="B130" t="s">
        <v>30</v>
      </c>
      <c r="C130">
        <v>3</v>
      </c>
      <c r="D130">
        <v>1</v>
      </c>
      <c r="E130" t="s">
        <v>35</v>
      </c>
      <c r="F130" t="s">
        <v>89</v>
      </c>
      <c r="G130">
        <v>2</v>
      </c>
      <c r="H130">
        <v>1221</v>
      </c>
      <c r="I130">
        <v>1220</v>
      </c>
      <c r="J130">
        <v>0</v>
      </c>
      <c r="K130">
        <f>39-25.5</f>
        <v>13.5</v>
      </c>
      <c r="L130" t="s">
        <v>38</v>
      </c>
      <c r="M130">
        <v>3</v>
      </c>
    </row>
    <row r="131" spans="1:13" x14ac:dyDescent="0.25">
      <c r="A131" s="4">
        <v>43325</v>
      </c>
      <c r="B131" t="s">
        <v>30</v>
      </c>
      <c r="C131">
        <v>3</v>
      </c>
      <c r="D131">
        <v>1</v>
      </c>
      <c r="E131" t="s">
        <v>35</v>
      </c>
      <c r="F131" t="s">
        <v>89</v>
      </c>
      <c r="G131">
        <v>2</v>
      </c>
      <c r="H131">
        <v>1221</v>
      </c>
      <c r="I131">
        <v>1220</v>
      </c>
      <c r="J131">
        <v>0</v>
      </c>
      <c r="K131">
        <f>25-11</f>
        <v>14</v>
      </c>
      <c r="L131" t="s">
        <v>38</v>
      </c>
      <c r="M131">
        <v>3</v>
      </c>
    </row>
    <row r="132" spans="1:13" x14ac:dyDescent="0.25">
      <c r="A132" s="4">
        <v>43326</v>
      </c>
      <c r="B132" t="s">
        <v>30</v>
      </c>
      <c r="C132">
        <v>3</v>
      </c>
      <c r="D132">
        <v>1</v>
      </c>
      <c r="E132" t="s">
        <v>35</v>
      </c>
      <c r="F132" t="s">
        <v>89</v>
      </c>
      <c r="G132">
        <v>2</v>
      </c>
      <c r="H132">
        <v>1221</v>
      </c>
      <c r="I132">
        <v>1220</v>
      </c>
      <c r="J132">
        <v>0</v>
      </c>
      <c r="K132">
        <f>28-18</f>
        <v>10</v>
      </c>
      <c r="L132" t="s">
        <v>38</v>
      </c>
      <c r="M132">
        <v>3</v>
      </c>
    </row>
    <row r="133" spans="1:13" x14ac:dyDescent="0.25">
      <c r="A133" s="4">
        <v>43327</v>
      </c>
      <c r="B133" t="s">
        <v>30</v>
      </c>
      <c r="C133">
        <v>3</v>
      </c>
      <c r="D133">
        <v>1</v>
      </c>
      <c r="E133" t="s">
        <v>35</v>
      </c>
      <c r="F133" t="s">
        <v>89</v>
      </c>
      <c r="G133">
        <v>2</v>
      </c>
      <c r="H133">
        <v>1221</v>
      </c>
      <c r="I133">
        <v>1220</v>
      </c>
      <c r="J133">
        <v>0</v>
      </c>
      <c r="K133">
        <f>31-17.5</f>
        <v>13.5</v>
      </c>
      <c r="L133" t="s">
        <v>38</v>
      </c>
      <c r="M133">
        <v>3</v>
      </c>
    </row>
    <row r="134" spans="1:13" x14ac:dyDescent="0.25">
      <c r="A134" s="4">
        <v>43298</v>
      </c>
      <c r="B134" t="s">
        <v>30</v>
      </c>
      <c r="C134">
        <v>5</v>
      </c>
      <c r="D134">
        <v>1</v>
      </c>
      <c r="E134" t="s">
        <v>42</v>
      </c>
      <c r="F134" t="s">
        <v>114</v>
      </c>
      <c r="G134">
        <v>1</v>
      </c>
      <c r="H134">
        <v>1223</v>
      </c>
      <c r="I134">
        <v>1222</v>
      </c>
      <c r="J134">
        <v>0</v>
      </c>
      <c r="K134">
        <f>37-23</f>
        <v>14</v>
      </c>
      <c r="L134" t="s">
        <v>65</v>
      </c>
      <c r="M134">
        <v>3</v>
      </c>
    </row>
    <row r="135" spans="1:13" x14ac:dyDescent="0.25">
      <c r="A135" s="4">
        <v>43297</v>
      </c>
      <c r="B135" t="s">
        <v>30</v>
      </c>
      <c r="C135">
        <v>3</v>
      </c>
      <c r="D135">
        <v>1</v>
      </c>
      <c r="E135" t="s">
        <v>42</v>
      </c>
      <c r="F135" t="s">
        <v>89</v>
      </c>
      <c r="G135">
        <v>1</v>
      </c>
      <c r="H135">
        <v>1225</v>
      </c>
      <c r="I135">
        <v>1224</v>
      </c>
      <c r="J135">
        <v>0</v>
      </c>
      <c r="K135">
        <f>31-22</f>
        <v>9</v>
      </c>
      <c r="L135" t="s">
        <v>65</v>
      </c>
      <c r="M135">
        <v>3</v>
      </c>
    </row>
    <row r="136" spans="1:13" x14ac:dyDescent="0.25">
      <c r="A136" s="4">
        <v>43299</v>
      </c>
      <c r="B136" t="s">
        <v>30</v>
      </c>
      <c r="C136">
        <v>3</v>
      </c>
      <c r="D136">
        <v>1</v>
      </c>
      <c r="E136" t="s">
        <v>42</v>
      </c>
      <c r="F136" t="s">
        <v>36</v>
      </c>
      <c r="G136">
        <v>1</v>
      </c>
      <c r="H136">
        <v>1225</v>
      </c>
      <c r="I136">
        <v>1224</v>
      </c>
      <c r="J136">
        <v>0</v>
      </c>
      <c r="K136">
        <f>31-18</f>
        <v>13</v>
      </c>
      <c r="L136" t="s">
        <v>65</v>
      </c>
      <c r="M136">
        <v>3</v>
      </c>
    </row>
    <row r="137" spans="1:13" x14ac:dyDescent="0.25">
      <c r="A137" s="4">
        <v>43327</v>
      </c>
      <c r="B137" t="s">
        <v>30</v>
      </c>
      <c r="C137">
        <v>5</v>
      </c>
      <c r="D137">
        <v>1</v>
      </c>
      <c r="E137" t="s">
        <v>42</v>
      </c>
      <c r="F137" t="s">
        <v>36</v>
      </c>
      <c r="G137">
        <v>2</v>
      </c>
      <c r="H137">
        <v>1228</v>
      </c>
      <c r="I137">
        <v>1226</v>
      </c>
      <c r="J137">
        <v>0</v>
      </c>
      <c r="K137">
        <f>25-13.5</f>
        <v>11.5</v>
      </c>
      <c r="L137" t="s">
        <v>38</v>
      </c>
      <c r="M137">
        <v>3</v>
      </c>
    </row>
    <row r="138" spans="1:13" x14ac:dyDescent="0.25">
      <c r="A138" s="4">
        <v>43327</v>
      </c>
      <c r="B138" t="s">
        <v>30</v>
      </c>
      <c r="C138">
        <v>5</v>
      </c>
      <c r="D138">
        <v>1</v>
      </c>
      <c r="E138" t="s">
        <v>42</v>
      </c>
      <c r="F138" t="s">
        <v>89</v>
      </c>
      <c r="G138">
        <v>1</v>
      </c>
      <c r="H138">
        <v>1230</v>
      </c>
      <c r="I138">
        <v>1229</v>
      </c>
      <c r="J138">
        <v>0</v>
      </c>
      <c r="K138">
        <f>25-13.5</f>
        <v>11.5</v>
      </c>
      <c r="L138" t="s">
        <v>65</v>
      </c>
      <c r="M138">
        <v>3</v>
      </c>
    </row>
    <row r="139" spans="1:13" x14ac:dyDescent="0.25">
      <c r="A139" s="4">
        <v>43327</v>
      </c>
      <c r="B139" t="s">
        <v>30</v>
      </c>
      <c r="C139">
        <v>3</v>
      </c>
      <c r="D139">
        <v>1</v>
      </c>
      <c r="E139" t="s">
        <v>42</v>
      </c>
      <c r="F139" t="s">
        <v>114</v>
      </c>
      <c r="G139">
        <v>1</v>
      </c>
      <c r="H139">
        <v>1234</v>
      </c>
      <c r="I139">
        <v>1233</v>
      </c>
      <c r="J139">
        <v>0</v>
      </c>
      <c r="K139">
        <f>33.5-17</f>
        <v>16.5</v>
      </c>
      <c r="L139" t="s">
        <v>65</v>
      </c>
      <c r="M139">
        <v>3</v>
      </c>
    </row>
    <row r="140" spans="1:13" x14ac:dyDescent="0.25">
      <c r="A140" s="4">
        <v>43327</v>
      </c>
      <c r="B140" t="s">
        <v>30</v>
      </c>
      <c r="C140">
        <v>4</v>
      </c>
      <c r="D140">
        <v>1</v>
      </c>
      <c r="E140" t="s">
        <v>42</v>
      </c>
      <c r="F140" t="s">
        <v>114</v>
      </c>
      <c r="G140">
        <v>2</v>
      </c>
      <c r="H140">
        <v>1236</v>
      </c>
      <c r="I140">
        <v>1235</v>
      </c>
      <c r="J140">
        <v>0</v>
      </c>
      <c r="K140">
        <f>24-11.5</f>
        <v>12.5</v>
      </c>
      <c r="L140" t="s">
        <v>38</v>
      </c>
      <c r="M140">
        <v>3</v>
      </c>
    </row>
    <row r="141" spans="1:13" x14ac:dyDescent="0.25">
      <c r="A141" s="4">
        <v>43327</v>
      </c>
      <c r="B141" t="s">
        <v>30</v>
      </c>
      <c r="C141">
        <v>4</v>
      </c>
      <c r="D141">
        <v>1</v>
      </c>
      <c r="E141" t="s">
        <v>42</v>
      </c>
      <c r="F141" t="s">
        <v>114</v>
      </c>
      <c r="G141">
        <v>1</v>
      </c>
      <c r="H141">
        <v>1238</v>
      </c>
      <c r="I141">
        <v>1237</v>
      </c>
      <c r="J141">
        <v>0</v>
      </c>
      <c r="K141">
        <f>26-14</f>
        <v>12</v>
      </c>
      <c r="L141" t="s">
        <v>47</v>
      </c>
      <c r="M141">
        <v>3</v>
      </c>
    </row>
    <row r="142" spans="1:13" x14ac:dyDescent="0.25">
      <c r="A142" s="4">
        <v>43326</v>
      </c>
      <c r="B142" t="s">
        <v>30</v>
      </c>
      <c r="C142">
        <v>5</v>
      </c>
      <c r="D142">
        <v>1</v>
      </c>
      <c r="E142" t="s">
        <v>42</v>
      </c>
      <c r="F142" t="s">
        <v>36</v>
      </c>
      <c r="G142">
        <v>2</v>
      </c>
      <c r="H142">
        <v>1242</v>
      </c>
      <c r="I142">
        <v>1241</v>
      </c>
      <c r="J142">
        <v>0</v>
      </c>
      <c r="K142">
        <f>30.25-17</f>
        <v>13.25</v>
      </c>
      <c r="L142" t="s">
        <v>81</v>
      </c>
      <c r="M142">
        <v>3</v>
      </c>
    </row>
    <row r="143" spans="1:13" x14ac:dyDescent="0.25">
      <c r="A143" s="4">
        <v>43327</v>
      </c>
      <c r="B143" t="s">
        <v>30</v>
      </c>
      <c r="C143">
        <v>5</v>
      </c>
      <c r="D143">
        <v>1</v>
      </c>
      <c r="E143" t="s">
        <v>42</v>
      </c>
      <c r="F143" t="s">
        <v>114</v>
      </c>
      <c r="G143">
        <v>2</v>
      </c>
      <c r="H143">
        <v>1242</v>
      </c>
      <c r="I143">
        <v>1241</v>
      </c>
      <c r="J143">
        <v>0</v>
      </c>
      <c r="K143">
        <f>36-21.5</f>
        <v>14.5</v>
      </c>
      <c r="L143" t="s">
        <v>38</v>
      </c>
      <c r="M143">
        <v>3</v>
      </c>
    </row>
    <row r="144" spans="1:13" x14ac:dyDescent="0.25">
      <c r="A144" s="4">
        <v>43326</v>
      </c>
      <c r="B144" t="s">
        <v>30</v>
      </c>
      <c r="C144">
        <v>5</v>
      </c>
      <c r="D144">
        <v>1</v>
      </c>
      <c r="E144" t="s">
        <v>42</v>
      </c>
      <c r="F144" t="s">
        <v>89</v>
      </c>
      <c r="G144">
        <v>1</v>
      </c>
      <c r="H144">
        <v>1244</v>
      </c>
      <c r="I144">
        <v>1243</v>
      </c>
      <c r="J144">
        <v>0</v>
      </c>
      <c r="K144">
        <f>28-16</f>
        <v>12</v>
      </c>
      <c r="L144" t="s">
        <v>38</v>
      </c>
      <c r="M144">
        <v>3</v>
      </c>
    </row>
    <row r="145" spans="1:13" x14ac:dyDescent="0.25">
      <c r="A145" s="4">
        <v>43327</v>
      </c>
      <c r="B145" t="s">
        <v>30</v>
      </c>
      <c r="C145">
        <v>5</v>
      </c>
      <c r="D145">
        <v>1</v>
      </c>
      <c r="E145" t="s">
        <v>35</v>
      </c>
      <c r="F145" t="s">
        <v>89</v>
      </c>
      <c r="G145">
        <v>1</v>
      </c>
      <c r="H145">
        <v>1244</v>
      </c>
      <c r="I145">
        <v>1243</v>
      </c>
      <c r="J145">
        <v>0</v>
      </c>
      <c r="L145" t="s">
        <v>38</v>
      </c>
      <c r="M145">
        <v>3</v>
      </c>
    </row>
    <row r="146" spans="1:13" x14ac:dyDescent="0.25">
      <c r="A146" s="4">
        <v>43300</v>
      </c>
      <c r="B146" t="s">
        <v>30</v>
      </c>
      <c r="C146">
        <v>7</v>
      </c>
      <c r="D146">
        <v>1</v>
      </c>
      <c r="E146" t="s">
        <v>35</v>
      </c>
      <c r="F146" t="s">
        <v>89</v>
      </c>
      <c r="G146">
        <v>2</v>
      </c>
      <c r="H146">
        <v>1246</v>
      </c>
      <c r="I146">
        <v>1245</v>
      </c>
      <c r="J146">
        <v>0</v>
      </c>
      <c r="K146">
        <f>40.5-27</f>
        <v>13.5</v>
      </c>
      <c r="L146" t="s">
        <v>38</v>
      </c>
      <c r="M146">
        <v>3</v>
      </c>
    </row>
    <row r="147" spans="1:13" x14ac:dyDescent="0.25">
      <c r="A147" s="4">
        <v>43302</v>
      </c>
      <c r="B147" t="s">
        <v>30</v>
      </c>
      <c r="C147">
        <v>7</v>
      </c>
      <c r="D147">
        <v>1</v>
      </c>
      <c r="E147" t="s">
        <v>35</v>
      </c>
      <c r="F147" t="s">
        <v>89</v>
      </c>
      <c r="G147">
        <v>2</v>
      </c>
      <c r="H147">
        <v>1246</v>
      </c>
      <c r="I147">
        <v>1245</v>
      </c>
      <c r="J147">
        <v>0</v>
      </c>
      <c r="K147">
        <f>24-12</f>
        <v>12</v>
      </c>
      <c r="L147" t="s">
        <v>38</v>
      </c>
      <c r="M147">
        <v>3</v>
      </c>
    </row>
    <row r="148" spans="1:13" x14ac:dyDescent="0.25">
      <c r="A148" s="4">
        <v>43299</v>
      </c>
      <c r="B148" t="s">
        <v>30</v>
      </c>
      <c r="C148">
        <v>5</v>
      </c>
      <c r="D148">
        <v>1</v>
      </c>
      <c r="E148" t="s">
        <v>42</v>
      </c>
      <c r="F148" t="s">
        <v>114</v>
      </c>
      <c r="G148">
        <v>2</v>
      </c>
      <c r="H148">
        <v>1248</v>
      </c>
      <c r="I148">
        <v>1247</v>
      </c>
      <c r="J148">
        <v>0</v>
      </c>
      <c r="K148">
        <f>35.5-20</f>
        <v>15.5</v>
      </c>
      <c r="L148" t="s">
        <v>38</v>
      </c>
      <c r="M148">
        <v>3</v>
      </c>
    </row>
    <row r="149" spans="1:13" x14ac:dyDescent="0.25">
      <c r="A149" s="4">
        <v>43313</v>
      </c>
      <c r="B149" t="s">
        <v>30</v>
      </c>
      <c r="C149">
        <v>5</v>
      </c>
      <c r="D149">
        <v>1</v>
      </c>
      <c r="E149" t="s">
        <v>35</v>
      </c>
      <c r="F149" t="s">
        <v>114</v>
      </c>
      <c r="G149">
        <v>2</v>
      </c>
      <c r="H149">
        <v>1248</v>
      </c>
      <c r="I149">
        <v>1247</v>
      </c>
      <c r="J149">
        <v>0</v>
      </c>
      <c r="K149">
        <f>38-24</f>
        <v>14</v>
      </c>
      <c r="L149" t="s">
        <v>38</v>
      </c>
      <c r="M149">
        <v>3</v>
      </c>
    </row>
    <row r="150" spans="1:13" x14ac:dyDescent="0.25">
      <c r="A150" s="4">
        <v>43326</v>
      </c>
      <c r="B150" t="s">
        <v>30</v>
      </c>
      <c r="C150">
        <v>5</v>
      </c>
      <c r="D150">
        <v>1</v>
      </c>
      <c r="E150" t="s">
        <v>35</v>
      </c>
      <c r="F150" t="s">
        <v>114</v>
      </c>
      <c r="G150">
        <v>2</v>
      </c>
      <c r="H150">
        <v>1248</v>
      </c>
      <c r="I150">
        <v>1247</v>
      </c>
      <c r="J150">
        <v>0</v>
      </c>
      <c r="K150">
        <f>32-18</f>
        <v>14</v>
      </c>
      <c r="L150" t="s">
        <v>81</v>
      </c>
      <c r="M150">
        <v>3</v>
      </c>
    </row>
    <row r="151" spans="1:13" x14ac:dyDescent="0.25">
      <c r="A151" s="4">
        <v>43327</v>
      </c>
      <c r="B151" t="s">
        <v>30</v>
      </c>
      <c r="C151">
        <v>5</v>
      </c>
      <c r="D151">
        <v>1</v>
      </c>
      <c r="E151" t="s">
        <v>35</v>
      </c>
      <c r="F151" t="s">
        <v>114</v>
      </c>
      <c r="G151">
        <v>2</v>
      </c>
      <c r="H151">
        <v>1248</v>
      </c>
      <c r="I151">
        <v>1247</v>
      </c>
      <c r="J151">
        <v>0</v>
      </c>
      <c r="K151">
        <f>34.5-21.5</f>
        <v>13</v>
      </c>
      <c r="L151" t="s">
        <v>38</v>
      </c>
      <c r="M151">
        <v>3</v>
      </c>
    </row>
    <row r="152" spans="1:13" x14ac:dyDescent="0.25">
      <c r="A152" s="4">
        <v>43297</v>
      </c>
      <c r="B152" t="s">
        <v>30</v>
      </c>
      <c r="C152">
        <v>4</v>
      </c>
      <c r="D152">
        <v>1</v>
      </c>
      <c r="E152" t="s">
        <v>42</v>
      </c>
      <c r="F152" t="s">
        <v>89</v>
      </c>
      <c r="G152">
        <v>1</v>
      </c>
      <c r="H152">
        <v>1250</v>
      </c>
      <c r="I152">
        <v>1249</v>
      </c>
      <c r="J152">
        <v>0</v>
      </c>
      <c r="K152">
        <f>37-26</f>
        <v>11</v>
      </c>
      <c r="L152" t="s">
        <v>65</v>
      </c>
      <c r="M152">
        <v>3</v>
      </c>
    </row>
    <row r="153" spans="1:13" x14ac:dyDescent="0.25">
      <c r="A153" s="4">
        <v>43312</v>
      </c>
      <c r="B153" t="s">
        <v>30</v>
      </c>
      <c r="C153">
        <v>4</v>
      </c>
      <c r="D153">
        <v>1</v>
      </c>
      <c r="E153" t="s">
        <v>35</v>
      </c>
      <c r="F153" t="s">
        <v>89</v>
      </c>
      <c r="G153">
        <v>1</v>
      </c>
      <c r="H153">
        <v>1250</v>
      </c>
      <c r="I153">
        <v>1249</v>
      </c>
      <c r="J153">
        <v>1</v>
      </c>
      <c r="K153">
        <f>24-11</f>
        <v>13</v>
      </c>
      <c r="L153" t="s">
        <v>65</v>
      </c>
      <c r="M153">
        <v>3</v>
      </c>
    </row>
    <row r="154" spans="1:13" x14ac:dyDescent="0.25">
      <c r="A154" s="4">
        <v>43313</v>
      </c>
      <c r="B154" t="s">
        <v>30</v>
      </c>
      <c r="C154">
        <v>4</v>
      </c>
      <c r="D154">
        <v>1</v>
      </c>
      <c r="E154" t="s">
        <v>35</v>
      </c>
      <c r="F154" t="s">
        <v>114</v>
      </c>
      <c r="G154">
        <v>1</v>
      </c>
      <c r="H154">
        <v>1250</v>
      </c>
      <c r="I154">
        <v>1249</v>
      </c>
      <c r="J154">
        <v>1</v>
      </c>
      <c r="K154">
        <f>29-16</f>
        <v>13</v>
      </c>
      <c r="L154" t="s">
        <v>65</v>
      </c>
      <c r="M154">
        <v>3</v>
      </c>
    </row>
    <row r="155" spans="1:13" x14ac:dyDescent="0.25">
      <c r="A155" s="4">
        <v>43327</v>
      </c>
      <c r="B155" t="s">
        <v>30</v>
      </c>
      <c r="C155">
        <v>4</v>
      </c>
      <c r="D155">
        <v>1</v>
      </c>
      <c r="E155" t="s">
        <v>35</v>
      </c>
      <c r="F155" t="s">
        <v>114</v>
      </c>
      <c r="G155">
        <v>1</v>
      </c>
      <c r="H155">
        <v>1250</v>
      </c>
      <c r="I155">
        <v>1249</v>
      </c>
      <c r="J155">
        <v>1</v>
      </c>
      <c r="K155">
        <f>26-14.5</f>
        <v>11.5</v>
      </c>
      <c r="L155" t="s">
        <v>65</v>
      </c>
      <c r="M155">
        <v>3</v>
      </c>
    </row>
    <row r="156" spans="1:13" x14ac:dyDescent="0.25">
      <c r="A156" s="4">
        <v>43312</v>
      </c>
      <c r="B156" t="s">
        <v>30</v>
      </c>
      <c r="C156">
        <v>5</v>
      </c>
      <c r="D156">
        <v>1</v>
      </c>
      <c r="E156" t="s">
        <v>35</v>
      </c>
      <c r="F156" t="s">
        <v>114</v>
      </c>
      <c r="G156">
        <v>2</v>
      </c>
      <c r="H156">
        <v>1253</v>
      </c>
      <c r="I156">
        <v>1252</v>
      </c>
      <c r="J156">
        <v>0</v>
      </c>
      <c r="K156">
        <f>26-11</f>
        <v>15</v>
      </c>
      <c r="L156" t="s">
        <v>1039</v>
      </c>
      <c r="M156">
        <v>3</v>
      </c>
    </row>
    <row r="157" spans="1:13" x14ac:dyDescent="0.25">
      <c r="A157" s="4">
        <v>43313</v>
      </c>
      <c r="B157" t="s">
        <v>30</v>
      </c>
      <c r="C157">
        <v>5</v>
      </c>
      <c r="D157">
        <v>1</v>
      </c>
      <c r="E157" t="s">
        <v>35</v>
      </c>
      <c r="F157" t="s">
        <v>114</v>
      </c>
      <c r="G157">
        <v>2</v>
      </c>
      <c r="H157">
        <v>1254</v>
      </c>
      <c r="I157">
        <v>1253</v>
      </c>
      <c r="J157">
        <v>0</v>
      </c>
      <c r="K157">
        <f>37-23</f>
        <v>14</v>
      </c>
      <c r="L157" t="s">
        <v>1039</v>
      </c>
      <c r="M157">
        <v>3</v>
      </c>
    </row>
    <row r="158" spans="1:13" x14ac:dyDescent="0.25">
      <c r="A158" s="4">
        <v>43325</v>
      </c>
      <c r="B158" t="s">
        <v>30</v>
      </c>
      <c r="C158">
        <v>5</v>
      </c>
      <c r="D158">
        <v>1</v>
      </c>
      <c r="E158" t="s">
        <v>35</v>
      </c>
      <c r="F158" t="s">
        <v>114</v>
      </c>
      <c r="G158">
        <v>2</v>
      </c>
      <c r="H158">
        <v>1254</v>
      </c>
      <c r="I158">
        <v>1253</v>
      </c>
      <c r="J158">
        <v>0</v>
      </c>
      <c r="K158">
        <f>30-18</f>
        <v>12</v>
      </c>
      <c r="L158" t="s">
        <v>38</v>
      </c>
      <c r="M158">
        <v>3</v>
      </c>
    </row>
    <row r="159" spans="1:13" x14ac:dyDescent="0.25">
      <c r="A159" s="4">
        <v>43326</v>
      </c>
      <c r="B159" t="s">
        <v>30</v>
      </c>
      <c r="C159">
        <v>5</v>
      </c>
      <c r="D159">
        <v>1</v>
      </c>
      <c r="E159" t="s">
        <v>35</v>
      </c>
      <c r="F159" t="s">
        <v>114</v>
      </c>
      <c r="G159">
        <v>2</v>
      </c>
      <c r="H159">
        <v>1254</v>
      </c>
      <c r="I159">
        <v>1253</v>
      </c>
      <c r="J159">
        <v>0</v>
      </c>
      <c r="K159">
        <f>32-18</f>
        <v>14</v>
      </c>
      <c r="L159" t="s">
        <v>38</v>
      </c>
      <c r="M159">
        <v>3</v>
      </c>
    </row>
    <row r="160" spans="1:13" x14ac:dyDescent="0.25">
      <c r="A160" s="4">
        <v>43299</v>
      </c>
      <c r="B160" t="s">
        <v>30</v>
      </c>
      <c r="C160">
        <v>5</v>
      </c>
      <c r="D160">
        <v>1</v>
      </c>
      <c r="E160" t="s">
        <v>42</v>
      </c>
      <c r="F160" t="s">
        <v>114</v>
      </c>
      <c r="G160">
        <v>2</v>
      </c>
      <c r="H160">
        <v>1255</v>
      </c>
      <c r="I160">
        <v>1254</v>
      </c>
      <c r="J160">
        <v>0</v>
      </c>
      <c r="K160">
        <f>32.5-19.5</f>
        <v>13</v>
      </c>
      <c r="L160" t="s">
        <v>1039</v>
      </c>
      <c r="M160">
        <v>3</v>
      </c>
    </row>
    <row r="161" spans="1:13" x14ac:dyDescent="0.25">
      <c r="A161" s="4">
        <v>43299</v>
      </c>
      <c r="B161" t="s">
        <v>30</v>
      </c>
      <c r="C161">
        <v>3</v>
      </c>
      <c r="D161">
        <v>1</v>
      </c>
      <c r="E161" t="s">
        <v>42</v>
      </c>
      <c r="F161" t="s">
        <v>89</v>
      </c>
      <c r="G161">
        <v>2</v>
      </c>
      <c r="H161">
        <v>1256</v>
      </c>
      <c r="I161">
        <v>1255</v>
      </c>
      <c r="J161">
        <v>0</v>
      </c>
      <c r="K161">
        <f>29-17</f>
        <v>12</v>
      </c>
      <c r="L161" t="s">
        <v>38</v>
      </c>
      <c r="M161">
        <v>3</v>
      </c>
    </row>
    <row r="162" spans="1:13" x14ac:dyDescent="0.25">
      <c r="A162" s="4">
        <v>43305</v>
      </c>
      <c r="B162" t="s">
        <v>30</v>
      </c>
      <c r="C162">
        <v>2</v>
      </c>
      <c r="D162">
        <v>1</v>
      </c>
      <c r="E162" t="s">
        <v>42</v>
      </c>
      <c r="F162" t="s">
        <v>114</v>
      </c>
      <c r="G162">
        <v>1</v>
      </c>
      <c r="H162">
        <v>1258</v>
      </c>
      <c r="I162">
        <v>1257</v>
      </c>
      <c r="J162">
        <v>0</v>
      </c>
      <c r="K162">
        <f>36.5-20</f>
        <v>16.5</v>
      </c>
      <c r="L162" t="s">
        <v>65</v>
      </c>
      <c r="M162">
        <v>3</v>
      </c>
    </row>
    <row r="163" spans="1:13" x14ac:dyDescent="0.25">
      <c r="A163" s="4">
        <v>43321</v>
      </c>
      <c r="B163" t="s">
        <v>30</v>
      </c>
      <c r="C163">
        <v>2</v>
      </c>
      <c r="D163">
        <v>1</v>
      </c>
      <c r="E163" t="s">
        <v>35</v>
      </c>
      <c r="F163" t="s">
        <v>114</v>
      </c>
      <c r="G163">
        <v>1</v>
      </c>
      <c r="H163">
        <v>1258</v>
      </c>
      <c r="I163">
        <v>1257</v>
      </c>
      <c r="J163">
        <v>1</v>
      </c>
      <c r="K163">
        <f>26-11</f>
        <v>15</v>
      </c>
      <c r="L163" t="s">
        <v>65</v>
      </c>
      <c r="M163">
        <v>3</v>
      </c>
    </row>
    <row r="164" spans="1:13" x14ac:dyDescent="0.25">
      <c r="A164" s="4">
        <v>43326</v>
      </c>
      <c r="B164" t="s">
        <v>30</v>
      </c>
      <c r="C164">
        <v>5</v>
      </c>
      <c r="D164">
        <v>1</v>
      </c>
      <c r="E164" t="s">
        <v>35</v>
      </c>
      <c r="F164" t="s">
        <v>89</v>
      </c>
      <c r="G164">
        <v>1</v>
      </c>
      <c r="H164">
        <v>1260</v>
      </c>
      <c r="I164">
        <v>1261</v>
      </c>
      <c r="J164">
        <v>0</v>
      </c>
      <c r="K164">
        <f>26-13</f>
        <v>13</v>
      </c>
      <c r="L164" t="s">
        <v>65</v>
      </c>
      <c r="M164">
        <v>3</v>
      </c>
    </row>
    <row r="165" spans="1:13" x14ac:dyDescent="0.25">
      <c r="A165" s="4">
        <v>43325</v>
      </c>
      <c r="B165" t="s">
        <v>30</v>
      </c>
      <c r="C165">
        <v>5</v>
      </c>
      <c r="D165">
        <v>1</v>
      </c>
      <c r="E165" t="s">
        <v>35</v>
      </c>
      <c r="F165" t="s">
        <v>89</v>
      </c>
      <c r="G165">
        <v>1</v>
      </c>
      <c r="H165">
        <v>1263</v>
      </c>
      <c r="I165">
        <v>1262</v>
      </c>
      <c r="J165">
        <v>1</v>
      </c>
      <c r="K165">
        <f>28-20</f>
        <v>8</v>
      </c>
      <c r="L165" t="s">
        <v>65</v>
      </c>
      <c r="M165">
        <v>3</v>
      </c>
    </row>
    <row r="166" spans="1:13" x14ac:dyDescent="0.25">
      <c r="A166" s="4">
        <v>43326</v>
      </c>
      <c r="B166" t="s">
        <v>30</v>
      </c>
      <c r="C166">
        <v>5</v>
      </c>
      <c r="D166">
        <v>1</v>
      </c>
      <c r="E166" t="s">
        <v>35</v>
      </c>
      <c r="F166" t="s">
        <v>89</v>
      </c>
      <c r="G166">
        <v>1</v>
      </c>
      <c r="H166">
        <v>1263</v>
      </c>
      <c r="I166">
        <v>1262</v>
      </c>
      <c r="J166">
        <v>1</v>
      </c>
      <c r="K166">
        <f>37-26</f>
        <v>11</v>
      </c>
      <c r="L166" t="s">
        <v>65</v>
      </c>
      <c r="M166">
        <v>3</v>
      </c>
    </row>
    <row r="167" spans="1:13" x14ac:dyDescent="0.25">
      <c r="A167" s="4">
        <v>43327</v>
      </c>
      <c r="B167" t="s">
        <v>30</v>
      </c>
      <c r="C167">
        <v>5</v>
      </c>
      <c r="D167">
        <v>1</v>
      </c>
      <c r="E167" t="s">
        <v>35</v>
      </c>
      <c r="F167" t="s">
        <v>89</v>
      </c>
      <c r="G167">
        <v>1</v>
      </c>
      <c r="H167">
        <v>1263</v>
      </c>
      <c r="I167">
        <v>1262</v>
      </c>
      <c r="J167">
        <v>1</v>
      </c>
      <c r="K167">
        <f>31-23</f>
        <v>8</v>
      </c>
      <c r="L167" t="s">
        <v>65</v>
      </c>
      <c r="M167">
        <v>3</v>
      </c>
    </row>
    <row r="168" spans="1:13" x14ac:dyDescent="0.25">
      <c r="A168" s="4">
        <v>43325</v>
      </c>
      <c r="B168" t="s">
        <v>30</v>
      </c>
      <c r="C168">
        <v>5</v>
      </c>
      <c r="D168">
        <v>1</v>
      </c>
      <c r="E168" t="s">
        <v>42</v>
      </c>
      <c r="F168" t="s">
        <v>114</v>
      </c>
      <c r="G168">
        <v>1</v>
      </c>
      <c r="H168">
        <v>1266</v>
      </c>
      <c r="I168">
        <v>1265</v>
      </c>
      <c r="J168">
        <v>0</v>
      </c>
      <c r="K168">
        <f>35-17</f>
        <v>18</v>
      </c>
      <c r="L168" t="s">
        <v>65</v>
      </c>
      <c r="M168">
        <v>3</v>
      </c>
    </row>
    <row r="169" spans="1:13" x14ac:dyDescent="0.25">
      <c r="A169" s="4">
        <v>43326</v>
      </c>
      <c r="B169" t="s">
        <v>30</v>
      </c>
      <c r="C169">
        <v>5</v>
      </c>
      <c r="D169">
        <v>1</v>
      </c>
      <c r="E169" t="s">
        <v>35</v>
      </c>
      <c r="F169" t="s">
        <v>114</v>
      </c>
      <c r="G169">
        <v>1</v>
      </c>
      <c r="H169">
        <v>1266</v>
      </c>
      <c r="I169">
        <v>1265</v>
      </c>
      <c r="J169">
        <v>0</v>
      </c>
      <c r="K169">
        <f>33-17</f>
        <v>16</v>
      </c>
      <c r="L169" t="s">
        <v>65</v>
      </c>
      <c r="M169">
        <v>3</v>
      </c>
    </row>
    <row r="170" spans="1:13" x14ac:dyDescent="0.25">
      <c r="A170" s="4">
        <v>43327</v>
      </c>
      <c r="B170" t="s">
        <v>30</v>
      </c>
      <c r="C170">
        <v>5</v>
      </c>
      <c r="D170">
        <v>1</v>
      </c>
      <c r="E170" t="s">
        <v>35</v>
      </c>
      <c r="F170" t="s">
        <v>114</v>
      </c>
      <c r="G170">
        <v>1</v>
      </c>
      <c r="H170">
        <v>1266</v>
      </c>
      <c r="I170">
        <v>1265</v>
      </c>
      <c r="J170">
        <v>0</v>
      </c>
      <c r="K170">
        <f>24-12.5</f>
        <v>11.5</v>
      </c>
      <c r="L170" t="s">
        <v>65</v>
      </c>
      <c r="M170">
        <v>3</v>
      </c>
    </row>
    <row r="171" spans="1:13" x14ac:dyDescent="0.25">
      <c r="A171" s="4">
        <v>43301</v>
      </c>
      <c r="B171" t="s">
        <v>30</v>
      </c>
      <c r="C171">
        <v>7</v>
      </c>
      <c r="D171">
        <v>1</v>
      </c>
      <c r="E171" t="s">
        <v>42</v>
      </c>
      <c r="F171" t="s">
        <v>89</v>
      </c>
      <c r="G171">
        <v>1</v>
      </c>
      <c r="H171">
        <v>1270</v>
      </c>
      <c r="I171">
        <v>1269</v>
      </c>
      <c r="J171">
        <v>0</v>
      </c>
      <c r="L171" t="s">
        <v>65</v>
      </c>
      <c r="M171">
        <v>3</v>
      </c>
    </row>
    <row r="172" spans="1:13" x14ac:dyDescent="0.25">
      <c r="A172" s="4">
        <v>43302</v>
      </c>
      <c r="B172" t="s">
        <v>30</v>
      </c>
      <c r="C172">
        <v>7</v>
      </c>
      <c r="D172">
        <v>1</v>
      </c>
      <c r="E172" t="s">
        <v>35</v>
      </c>
      <c r="F172" t="s">
        <v>89</v>
      </c>
      <c r="G172">
        <v>1</v>
      </c>
      <c r="H172">
        <v>1270</v>
      </c>
      <c r="I172">
        <v>1269</v>
      </c>
      <c r="J172">
        <v>0</v>
      </c>
      <c r="K172">
        <f>23-10</f>
        <v>13</v>
      </c>
      <c r="L172" t="s">
        <v>65</v>
      </c>
      <c r="M172">
        <v>3</v>
      </c>
    </row>
    <row r="173" spans="1:13" x14ac:dyDescent="0.25">
      <c r="A173" s="4">
        <v>43316</v>
      </c>
      <c r="B173" t="s">
        <v>30</v>
      </c>
      <c r="C173">
        <v>7</v>
      </c>
      <c r="D173">
        <v>1</v>
      </c>
      <c r="E173" t="s">
        <v>35</v>
      </c>
      <c r="F173" t="s">
        <v>89</v>
      </c>
      <c r="G173">
        <v>1</v>
      </c>
      <c r="H173">
        <v>1270</v>
      </c>
      <c r="I173">
        <v>1269</v>
      </c>
      <c r="J173">
        <v>0</v>
      </c>
      <c r="K173">
        <f>24-10</f>
        <v>14</v>
      </c>
      <c r="L173" t="s">
        <v>65</v>
      </c>
      <c r="M173">
        <v>3</v>
      </c>
    </row>
    <row r="174" spans="1:13" x14ac:dyDescent="0.25">
      <c r="A174" s="4">
        <v>43318</v>
      </c>
      <c r="B174" t="s">
        <v>30</v>
      </c>
      <c r="C174">
        <v>7</v>
      </c>
      <c r="D174">
        <v>1</v>
      </c>
      <c r="E174" t="s">
        <v>35</v>
      </c>
      <c r="F174" t="s">
        <v>89</v>
      </c>
      <c r="G174">
        <v>1</v>
      </c>
      <c r="H174">
        <v>1270</v>
      </c>
      <c r="I174">
        <v>1269</v>
      </c>
      <c r="J174">
        <v>0</v>
      </c>
      <c r="K174">
        <f>28.5-16</f>
        <v>12.5</v>
      </c>
      <c r="L174" t="s">
        <v>65</v>
      </c>
      <c r="M174">
        <v>3</v>
      </c>
    </row>
    <row r="175" spans="1:13" x14ac:dyDescent="0.25">
      <c r="A175" s="4">
        <v>43300</v>
      </c>
      <c r="B175" t="s">
        <v>30</v>
      </c>
      <c r="C175">
        <v>7</v>
      </c>
      <c r="D175">
        <v>1</v>
      </c>
      <c r="E175" t="s">
        <v>42</v>
      </c>
      <c r="F175" t="s">
        <v>89</v>
      </c>
      <c r="G175">
        <v>1</v>
      </c>
      <c r="H175">
        <v>1273</v>
      </c>
      <c r="I175">
        <v>1272</v>
      </c>
      <c r="J175">
        <v>0</v>
      </c>
      <c r="K175">
        <f>25.5-11.5</f>
        <v>14</v>
      </c>
      <c r="L175" t="s">
        <v>65</v>
      </c>
      <c r="M175">
        <v>3</v>
      </c>
    </row>
    <row r="176" spans="1:13" x14ac:dyDescent="0.25">
      <c r="A176" s="4">
        <v>43301</v>
      </c>
      <c r="B176" t="s">
        <v>30</v>
      </c>
      <c r="C176">
        <v>7</v>
      </c>
      <c r="D176">
        <v>1</v>
      </c>
      <c r="E176" t="s">
        <v>35</v>
      </c>
      <c r="F176" t="s">
        <v>89</v>
      </c>
      <c r="G176">
        <v>1</v>
      </c>
      <c r="H176">
        <v>1273</v>
      </c>
      <c r="I176">
        <v>1272</v>
      </c>
      <c r="J176">
        <v>0</v>
      </c>
      <c r="L176" t="s">
        <v>65</v>
      </c>
      <c r="M176">
        <v>3</v>
      </c>
    </row>
    <row r="177" spans="1:13" x14ac:dyDescent="0.25">
      <c r="A177" s="4">
        <v>43302</v>
      </c>
      <c r="B177" t="s">
        <v>30</v>
      </c>
      <c r="C177">
        <v>7</v>
      </c>
      <c r="D177">
        <v>1</v>
      </c>
      <c r="E177" t="s">
        <v>35</v>
      </c>
      <c r="F177" t="s">
        <v>89</v>
      </c>
      <c r="G177">
        <v>1</v>
      </c>
      <c r="H177">
        <v>1273</v>
      </c>
      <c r="I177">
        <v>1272</v>
      </c>
      <c r="J177">
        <v>0</v>
      </c>
      <c r="K177">
        <f>28-13</f>
        <v>15</v>
      </c>
      <c r="L177" t="s">
        <v>65</v>
      </c>
      <c r="M177">
        <v>3</v>
      </c>
    </row>
    <row r="178" spans="1:13" x14ac:dyDescent="0.25">
      <c r="A178" s="4">
        <v>43299</v>
      </c>
      <c r="B178" t="s">
        <v>30</v>
      </c>
      <c r="C178">
        <v>3</v>
      </c>
      <c r="D178">
        <v>1</v>
      </c>
      <c r="E178" t="s">
        <v>42</v>
      </c>
      <c r="F178" t="s">
        <v>36</v>
      </c>
      <c r="G178">
        <v>2</v>
      </c>
      <c r="H178">
        <v>1275</v>
      </c>
      <c r="I178">
        <v>1274</v>
      </c>
      <c r="J178">
        <v>0</v>
      </c>
      <c r="L178" t="s">
        <v>38</v>
      </c>
      <c r="M178">
        <v>3</v>
      </c>
    </row>
    <row r="179" spans="1:13" x14ac:dyDescent="0.25">
      <c r="A179" s="4">
        <v>43305</v>
      </c>
      <c r="B179" t="s">
        <v>30</v>
      </c>
      <c r="C179">
        <v>2</v>
      </c>
      <c r="D179">
        <v>1</v>
      </c>
      <c r="E179" t="s">
        <v>35</v>
      </c>
      <c r="F179" t="s">
        <v>36</v>
      </c>
      <c r="G179">
        <v>2</v>
      </c>
      <c r="H179">
        <v>1281</v>
      </c>
      <c r="I179">
        <v>1280</v>
      </c>
      <c r="J179">
        <v>0</v>
      </c>
      <c r="K179">
        <f>42-20.5</f>
        <v>21.5</v>
      </c>
      <c r="L179" t="s">
        <v>81</v>
      </c>
      <c r="M179">
        <v>3</v>
      </c>
    </row>
    <row r="180" spans="1:13" x14ac:dyDescent="0.25">
      <c r="A180" s="4">
        <v>43320</v>
      </c>
      <c r="B180" t="s">
        <v>30</v>
      </c>
      <c r="C180">
        <v>2</v>
      </c>
      <c r="D180">
        <v>1</v>
      </c>
      <c r="E180" t="s">
        <v>35</v>
      </c>
      <c r="F180" t="s">
        <v>36</v>
      </c>
      <c r="G180">
        <v>2</v>
      </c>
      <c r="H180">
        <v>1281</v>
      </c>
      <c r="I180">
        <v>1280</v>
      </c>
      <c r="J180">
        <v>0</v>
      </c>
      <c r="K180">
        <f>31-11</f>
        <v>20</v>
      </c>
      <c r="L180" t="s">
        <v>1039</v>
      </c>
      <c r="M180">
        <v>3</v>
      </c>
    </row>
    <row r="181" spans="1:13" x14ac:dyDescent="0.25">
      <c r="A181" s="4">
        <v>43292</v>
      </c>
      <c r="B181" t="s">
        <v>30</v>
      </c>
      <c r="C181">
        <v>2</v>
      </c>
      <c r="D181">
        <v>1</v>
      </c>
      <c r="E181" t="s">
        <v>42</v>
      </c>
      <c r="F181" t="s">
        <v>89</v>
      </c>
      <c r="G181">
        <v>2</v>
      </c>
      <c r="H181">
        <v>1283</v>
      </c>
      <c r="I181">
        <v>1282</v>
      </c>
      <c r="J181">
        <v>0</v>
      </c>
      <c r="K181">
        <f>27-12.5</f>
        <v>14.5</v>
      </c>
      <c r="L181" t="s">
        <v>38</v>
      </c>
      <c r="M181">
        <v>3</v>
      </c>
    </row>
    <row r="182" spans="1:13" x14ac:dyDescent="0.25">
      <c r="A182" s="4">
        <v>43305</v>
      </c>
      <c r="B182" t="s">
        <v>30</v>
      </c>
      <c r="C182">
        <v>2</v>
      </c>
      <c r="D182">
        <v>1</v>
      </c>
      <c r="E182" t="s">
        <v>35</v>
      </c>
      <c r="F182" t="s">
        <v>114</v>
      </c>
      <c r="G182">
        <v>2</v>
      </c>
      <c r="H182">
        <v>1283</v>
      </c>
      <c r="I182">
        <f>1282</f>
        <v>1282</v>
      </c>
      <c r="J182">
        <v>0</v>
      </c>
      <c r="K182">
        <f>31-14</f>
        <v>17</v>
      </c>
      <c r="L182" t="s">
        <v>38</v>
      </c>
      <c r="M182">
        <v>3</v>
      </c>
    </row>
    <row r="183" spans="1:13" x14ac:dyDescent="0.25">
      <c r="A183" s="4">
        <v>43319</v>
      </c>
      <c r="B183" t="s">
        <v>30</v>
      </c>
      <c r="C183">
        <v>2</v>
      </c>
      <c r="D183">
        <v>1</v>
      </c>
      <c r="E183" t="s">
        <v>35</v>
      </c>
      <c r="F183" t="s">
        <v>36</v>
      </c>
      <c r="G183">
        <v>2</v>
      </c>
      <c r="H183">
        <v>1283</v>
      </c>
      <c r="I183">
        <v>1282</v>
      </c>
      <c r="J183">
        <v>1</v>
      </c>
      <c r="K183">
        <f>33-17.5</f>
        <v>15.5</v>
      </c>
      <c r="L183" t="s">
        <v>38</v>
      </c>
      <c r="M183">
        <v>3</v>
      </c>
    </row>
    <row r="184" spans="1:13" x14ac:dyDescent="0.25">
      <c r="A184" s="4">
        <v>43320</v>
      </c>
      <c r="B184" t="s">
        <v>30</v>
      </c>
      <c r="C184">
        <v>2</v>
      </c>
      <c r="D184">
        <v>1</v>
      </c>
      <c r="E184" t="s">
        <v>35</v>
      </c>
      <c r="F184" t="s">
        <v>36</v>
      </c>
      <c r="G184">
        <v>2</v>
      </c>
      <c r="H184">
        <v>1283</v>
      </c>
      <c r="I184">
        <v>1282</v>
      </c>
      <c r="J184">
        <v>1</v>
      </c>
      <c r="K184">
        <f>26.5-11</f>
        <v>15.5</v>
      </c>
      <c r="L184" t="s">
        <v>38</v>
      </c>
      <c r="M184">
        <v>3</v>
      </c>
    </row>
    <row r="185" spans="1:13" x14ac:dyDescent="0.25">
      <c r="A185" s="4">
        <v>43321</v>
      </c>
      <c r="B185" t="s">
        <v>30</v>
      </c>
      <c r="C185">
        <v>2</v>
      </c>
      <c r="D185">
        <v>1</v>
      </c>
      <c r="E185" t="s">
        <v>35</v>
      </c>
      <c r="F185" t="s">
        <v>36</v>
      </c>
      <c r="G185">
        <v>2</v>
      </c>
      <c r="H185">
        <v>1283</v>
      </c>
      <c r="I185">
        <v>1282</v>
      </c>
      <c r="J185">
        <v>1</v>
      </c>
      <c r="K185">
        <f>29-19</f>
        <v>10</v>
      </c>
      <c r="L185" t="s">
        <v>38</v>
      </c>
      <c r="M185">
        <v>3</v>
      </c>
    </row>
    <row r="186" spans="1:13" x14ac:dyDescent="0.25">
      <c r="A186" s="4">
        <v>43292</v>
      </c>
      <c r="B186" t="s">
        <v>30</v>
      </c>
      <c r="C186">
        <v>2</v>
      </c>
      <c r="D186">
        <v>1</v>
      </c>
      <c r="E186" t="s">
        <v>42</v>
      </c>
      <c r="F186" t="s">
        <v>36</v>
      </c>
      <c r="G186">
        <v>1</v>
      </c>
      <c r="H186">
        <v>1285</v>
      </c>
      <c r="I186">
        <v>1284</v>
      </c>
      <c r="J186">
        <v>0</v>
      </c>
      <c r="K186">
        <f>32-10</f>
        <v>22</v>
      </c>
      <c r="L186" t="s">
        <v>47</v>
      </c>
      <c r="M186">
        <v>3</v>
      </c>
    </row>
    <row r="187" spans="1:13" x14ac:dyDescent="0.25">
      <c r="A187" s="4">
        <v>43292</v>
      </c>
      <c r="B187" t="s">
        <v>30</v>
      </c>
      <c r="C187">
        <v>2</v>
      </c>
      <c r="D187">
        <v>1</v>
      </c>
      <c r="E187" t="s">
        <v>42</v>
      </c>
      <c r="F187" t="s">
        <v>114</v>
      </c>
      <c r="G187">
        <v>2</v>
      </c>
      <c r="H187">
        <v>1287</v>
      </c>
      <c r="I187">
        <v>1286</v>
      </c>
      <c r="J187">
        <v>0</v>
      </c>
      <c r="K187">
        <f>25.5-12</f>
        <v>13.5</v>
      </c>
      <c r="L187" t="s">
        <v>83</v>
      </c>
      <c r="M187">
        <v>3</v>
      </c>
    </row>
    <row r="188" spans="1:13" x14ac:dyDescent="0.25">
      <c r="A188" s="4">
        <v>43320</v>
      </c>
      <c r="B188" t="s">
        <v>30</v>
      </c>
      <c r="C188">
        <v>2</v>
      </c>
      <c r="D188">
        <v>1</v>
      </c>
      <c r="E188" t="s">
        <v>35</v>
      </c>
      <c r="F188" t="s">
        <v>36</v>
      </c>
      <c r="G188">
        <v>2</v>
      </c>
      <c r="H188">
        <v>1287</v>
      </c>
      <c r="I188">
        <v>1286</v>
      </c>
      <c r="J188">
        <v>1</v>
      </c>
      <c r="K188">
        <f>30-15</f>
        <v>15</v>
      </c>
      <c r="L188" t="s">
        <v>38</v>
      </c>
      <c r="M188">
        <v>3</v>
      </c>
    </row>
    <row r="189" spans="1:13" x14ac:dyDescent="0.25">
      <c r="A189" s="4">
        <v>43321</v>
      </c>
      <c r="B189" t="s">
        <v>30</v>
      </c>
      <c r="C189">
        <v>2</v>
      </c>
      <c r="D189">
        <v>1</v>
      </c>
      <c r="E189" t="s">
        <v>35</v>
      </c>
      <c r="F189" t="s">
        <v>114</v>
      </c>
      <c r="G189">
        <v>2</v>
      </c>
      <c r="H189">
        <v>1287</v>
      </c>
      <c r="I189">
        <v>1286</v>
      </c>
      <c r="J189">
        <v>1</v>
      </c>
      <c r="K189">
        <f>26.5-12</f>
        <v>14.5</v>
      </c>
      <c r="L189" t="s">
        <v>38</v>
      </c>
      <c r="M189">
        <v>3</v>
      </c>
    </row>
    <row r="190" spans="1:13" x14ac:dyDescent="0.25">
      <c r="A190" s="4">
        <v>43292</v>
      </c>
      <c r="B190" t="s">
        <v>30</v>
      </c>
      <c r="C190">
        <v>2</v>
      </c>
      <c r="D190">
        <v>1</v>
      </c>
      <c r="E190" t="s">
        <v>42</v>
      </c>
      <c r="F190" t="s">
        <v>89</v>
      </c>
      <c r="G190">
        <v>1</v>
      </c>
      <c r="H190">
        <v>1289</v>
      </c>
      <c r="I190">
        <v>1288</v>
      </c>
      <c r="J190">
        <v>0</v>
      </c>
      <c r="K190">
        <f>21-10</f>
        <v>11</v>
      </c>
      <c r="L190" t="s">
        <v>65</v>
      </c>
      <c r="M190">
        <v>3</v>
      </c>
    </row>
    <row r="191" spans="1:13" x14ac:dyDescent="0.25">
      <c r="A191" s="4">
        <v>43292</v>
      </c>
      <c r="B191" t="s">
        <v>30</v>
      </c>
      <c r="C191">
        <v>2</v>
      </c>
      <c r="D191">
        <v>1</v>
      </c>
      <c r="E191" t="s">
        <v>42</v>
      </c>
      <c r="F191" t="s">
        <v>114</v>
      </c>
      <c r="G191">
        <v>1</v>
      </c>
      <c r="H191">
        <v>1291</v>
      </c>
      <c r="I191">
        <v>1290</v>
      </c>
      <c r="J191">
        <v>0</v>
      </c>
      <c r="K191">
        <f>27-12</f>
        <v>15</v>
      </c>
      <c r="L191" t="s">
        <v>65</v>
      </c>
      <c r="M191">
        <v>3</v>
      </c>
    </row>
    <row r="192" spans="1:13" x14ac:dyDescent="0.25">
      <c r="A192" s="4">
        <v>43292</v>
      </c>
      <c r="B192" t="s">
        <v>30</v>
      </c>
      <c r="C192">
        <v>2</v>
      </c>
      <c r="D192">
        <v>1</v>
      </c>
      <c r="E192" t="s">
        <v>42</v>
      </c>
      <c r="F192" t="s">
        <v>89</v>
      </c>
      <c r="G192">
        <v>1</v>
      </c>
      <c r="H192">
        <v>1293</v>
      </c>
      <c r="I192">
        <v>1292</v>
      </c>
      <c r="J192">
        <v>0</v>
      </c>
      <c r="K192">
        <f>23-10</f>
        <v>13</v>
      </c>
      <c r="L192" t="s">
        <v>65</v>
      </c>
      <c r="M192">
        <v>3</v>
      </c>
    </row>
    <row r="193" spans="1:13" x14ac:dyDescent="0.25">
      <c r="A193" s="4">
        <v>43319</v>
      </c>
      <c r="B193" t="s">
        <v>30</v>
      </c>
      <c r="C193">
        <v>2</v>
      </c>
      <c r="D193">
        <v>1</v>
      </c>
      <c r="E193" t="s">
        <v>35</v>
      </c>
      <c r="F193" t="s">
        <v>114</v>
      </c>
      <c r="G193">
        <v>1</v>
      </c>
      <c r="H193">
        <v>1293</v>
      </c>
      <c r="I193">
        <v>1292</v>
      </c>
      <c r="J193">
        <v>0</v>
      </c>
      <c r="K193">
        <f>29-16</f>
        <v>13</v>
      </c>
      <c r="L193" t="s">
        <v>65</v>
      </c>
      <c r="M193">
        <v>3</v>
      </c>
    </row>
    <row r="194" spans="1:13" x14ac:dyDescent="0.25">
      <c r="A194" s="4">
        <v>43320</v>
      </c>
      <c r="B194" t="s">
        <v>30</v>
      </c>
      <c r="C194">
        <v>2</v>
      </c>
      <c r="D194">
        <v>1</v>
      </c>
      <c r="E194" t="s">
        <v>35</v>
      </c>
      <c r="F194" t="s">
        <v>114</v>
      </c>
      <c r="G194">
        <v>1</v>
      </c>
      <c r="H194">
        <v>1293</v>
      </c>
      <c r="I194">
        <v>1292</v>
      </c>
      <c r="J194">
        <v>0</v>
      </c>
      <c r="K194">
        <f>27.5-14</f>
        <v>13.5</v>
      </c>
      <c r="L194" t="s">
        <v>65</v>
      </c>
      <c r="M194">
        <v>3</v>
      </c>
    </row>
    <row r="195" spans="1:13" x14ac:dyDescent="0.25">
      <c r="A195" s="4">
        <v>43302</v>
      </c>
      <c r="B195" t="s">
        <v>30</v>
      </c>
      <c r="C195">
        <v>8</v>
      </c>
      <c r="D195">
        <v>1</v>
      </c>
      <c r="E195" t="s">
        <v>35</v>
      </c>
      <c r="F195" t="s">
        <v>114</v>
      </c>
      <c r="G195">
        <v>2</v>
      </c>
      <c r="H195">
        <v>1294</v>
      </c>
      <c r="J195">
        <v>0</v>
      </c>
      <c r="K195">
        <f>31-14</f>
        <v>17</v>
      </c>
      <c r="L195" t="s">
        <v>38</v>
      </c>
      <c r="M195">
        <v>3</v>
      </c>
    </row>
    <row r="196" spans="1:13" x14ac:dyDescent="0.25">
      <c r="A196" s="4">
        <v>43292</v>
      </c>
      <c r="B196" t="s">
        <v>30</v>
      </c>
      <c r="C196">
        <v>2</v>
      </c>
      <c r="D196">
        <v>1</v>
      </c>
      <c r="E196" t="s">
        <v>42</v>
      </c>
      <c r="F196" t="s">
        <v>114</v>
      </c>
      <c r="G196">
        <v>1</v>
      </c>
      <c r="H196">
        <v>1296</v>
      </c>
      <c r="I196">
        <v>1295</v>
      </c>
      <c r="J196">
        <v>0</v>
      </c>
      <c r="K196">
        <f>22-10</f>
        <v>12</v>
      </c>
      <c r="L196" t="s">
        <v>65</v>
      </c>
      <c r="M196">
        <v>3</v>
      </c>
    </row>
    <row r="197" spans="1:13" x14ac:dyDescent="0.25">
      <c r="A197" s="4">
        <v>43291</v>
      </c>
      <c r="B197" t="s">
        <v>30</v>
      </c>
      <c r="C197">
        <v>2</v>
      </c>
      <c r="D197">
        <v>1</v>
      </c>
      <c r="E197" t="s">
        <v>42</v>
      </c>
      <c r="F197" t="s">
        <v>89</v>
      </c>
      <c r="G197">
        <v>1</v>
      </c>
      <c r="H197">
        <v>1298</v>
      </c>
      <c r="I197">
        <v>1297</v>
      </c>
      <c r="J197">
        <v>1</v>
      </c>
      <c r="K197">
        <f>26-15</f>
        <v>11</v>
      </c>
      <c r="L197" t="s">
        <v>65</v>
      </c>
      <c r="M197">
        <v>3</v>
      </c>
    </row>
    <row r="198" spans="1:13" x14ac:dyDescent="0.25">
      <c r="A198" s="4">
        <v>43292</v>
      </c>
      <c r="B198" t="s">
        <v>30</v>
      </c>
      <c r="C198">
        <v>2</v>
      </c>
      <c r="D198">
        <v>1</v>
      </c>
      <c r="E198" t="s">
        <v>35</v>
      </c>
      <c r="F198" t="s">
        <v>89</v>
      </c>
      <c r="G198">
        <v>1</v>
      </c>
      <c r="H198">
        <v>1298</v>
      </c>
      <c r="I198">
        <v>1297</v>
      </c>
      <c r="J198">
        <v>1</v>
      </c>
      <c r="K198">
        <f>27-10</f>
        <v>17</v>
      </c>
      <c r="L198" t="s">
        <v>65</v>
      </c>
      <c r="M198">
        <v>3</v>
      </c>
    </row>
    <row r="199" spans="1:13" x14ac:dyDescent="0.25">
      <c r="A199" s="4">
        <v>43292</v>
      </c>
      <c r="B199" t="s">
        <v>30</v>
      </c>
      <c r="C199">
        <v>2</v>
      </c>
      <c r="D199">
        <v>1</v>
      </c>
      <c r="E199" t="s">
        <v>35</v>
      </c>
      <c r="F199" t="s">
        <v>36</v>
      </c>
      <c r="G199">
        <v>2</v>
      </c>
      <c r="H199">
        <v>1300</v>
      </c>
      <c r="I199">
        <v>1299</v>
      </c>
      <c r="J199">
        <v>0</v>
      </c>
      <c r="K199">
        <f>30-10</f>
        <v>20</v>
      </c>
      <c r="L199" t="s">
        <v>1041</v>
      </c>
      <c r="M199">
        <v>3</v>
      </c>
    </row>
    <row r="200" spans="1:13" x14ac:dyDescent="0.25">
      <c r="A200" s="4">
        <v>43320</v>
      </c>
      <c r="B200" t="s">
        <v>30</v>
      </c>
      <c r="C200">
        <v>1</v>
      </c>
      <c r="D200">
        <v>1</v>
      </c>
      <c r="E200" t="s">
        <v>35</v>
      </c>
      <c r="F200" t="s">
        <v>89</v>
      </c>
      <c r="G200">
        <v>2</v>
      </c>
      <c r="H200">
        <v>1302</v>
      </c>
      <c r="I200">
        <v>1301</v>
      </c>
      <c r="J200">
        <v>0</v>
      </c>
      <c r="K200">
        <f>24.5-10.5</f>
        <v>14</v>
      </c>
      <c r="L200" t="s">
        <v>38</v>
      </c>
      <c r="M200">
        <v>3</v>
      </c>
    </row>
    <row r="201" spans="1:13" x14ac:dyDescent="0.25">
      <c r="A201" s="4">
        <v>43321</v>
      </c>
      <c r="B201" t="s">
        <v>30</v>
      </c>
      <c r="C201">
        <v>1</v>
      </c>
      <c r="D201">
        <v>1</v>
      </c>
      <c r="E201" t="s">
        <v>35</v>
      </c>
      <c r="F201" t="s">
        <v>89</v>
      </c>
      <c r="G201">
        <v>2</v>
      </c>
      <c r="H201">
        <v>1302</v>
      </c>
      <c r="I201">
        <v>1301</v>
      </c>
      <c r="J201">
        <v>0</v>
      </c>
      <c r="K201">
        <f>25.5-11.5</f>
        <v>14</v>
      </c>
      <c r="L201" t="s">
        <v>38</v>
      </c>
      <c r="M201">
        <v>3</v>
      </c>
    </row>
    <row r="202" spans="1:13" x14ac:dyDescent="0.25">
      <c r="A202" s="4">
        <v>43320</v>
      </c>
      <c r="B202" t="s">
        <v>30</v>
      </c>
      <c r="C202">
        <v>1</v>
      </c>
      <c r="D202">
        <v>1</v>
      </c>
      <c r="E202" t="s">
        <v>35</v>
      </c>
      <c r="F202" t="s">
        <v>114</v>
      </c>
      <c r="G202">
        <v>1</v>
      </c>
      <c r="H202">
        <v>1304</v>
      </c>
      <c r="I202">
        <v>1303</v>
      </c>
      <c r="J202">
        <v>0</v>
      </c>
      <c r="K202">
        <f>26-10</f>
        <v>16</v>
      </c>
      <c r="L202" t="s">
        <v>65</v>
      </c>
      <c r="M202">
        <v>3</v>
      </c>
    </row>
    <row r="203" spans="1:13" x14ac:dyDescent="0.25">
      <c r="A203" s="4">
        <v>43305</v>
      </c>
      <c r="B203" t="s">
        <v>30</v>
      </c>
      <c r="C203">
        <v>1</v>
      </c>
      <c r="D203">
        <v>1</v>
      </c>
      <c r="E203" t="s">
        <v>35</v>
      </c>
      <c r="F203" t="s">
        <v>89</v>
      </c>
      <c r="G203">
        <v>2</v>
      </c>
      <c r="H203">
        <v>1306</v>
      </c>
      <c r="I203">
        <v>1305</v>
      </c>
      <c r="J203">
        <v>0</v>
      </c>
      <c r="K203">
        <f>27.5-14</f>
        <v>13.5</v>
      </c>
      <c r="L203" t="s">
        <v>38</v>
      </c>
      <c r="M203">
        <v>3</v>
      </c>
    </row>
    <row r="204" spans="1:13" x14ac:dyDescent="0.25">
      <c r="A204" s="4">
        <v>43319</v>
      </c>
      <c r="B204" t="s">
        <v>30</v>
      </c>
      <c r="C204">
        <v>1</v>
      </c>
      <c r="D204">
        <v>1</v>
      </c>
      <c r="E204" t="s">
        <v>35</v>
      </c>
      <c r="F204" t="s">
        <v>89</v>
      </c>
      <c r="G204">
        <v>2</v>
      </c>
      <c r="H204">
        <v>1306</v>
      </c>
      <c r="I204">
        <v>1305</v>
      </c>
      <c r="J204">
        <v>0</v>
      </c>
      <c r="K204">
        <f>23-10</f>
        <v>13</v>
      </c>
      <c r="L204" t="s">
        <v>38</v>
      </c>
      <c r="M204">
        <v>3</v>
      </c>
    </row>
    <row r="205" spans="1:13" x14ac:dyDescent="0.25">
      <c r="A205" s="4">
        <v>43320</v>
      </c>
      <c r="B205" t="s">
        <v>30</v>
      </c>
      <c r="C205">
        <v>1</v>
      </c>
      <c r="D205">
        <v>1</v>
      </c>
      <c r="E205" t="s">
        <v>35</v>
      </c>
      <c r="F205" t="s">
        <v>89</v>
      </c>
      <c r="G205">
        <v>2</v>
      </c>
      <c r="H205">
        <v>1306</v>
      </c>
      <c r="I205">
        <v>1305</v>
      </c>
      <c r="J205">
        <v>0</v>
      </c>
      <c r="K205">
        <f>22.5-10</f>
        <v>12.5</v>
      </c>
      <c r="L205" t="s">
        <v>38</v>
      </c>
      <c r="M205">
        <v>3</v>
      </c>
    </row>
    <row r="206" spans="1:13" x14ac:dyDescent="0.25">
      <c r="A206" s="4">
        <v>43305</v>
      </c>
      <c r="B206" t="s">
        <v>30</v>
      </c>
      <c r="C206">
        <v>1</v>
      </c>
      <c r="D206">
        <v>1</v>
      </c>
      <c r="E206" t="s">
        <v>35</v>
      </c>
      <c r="F206" t="s">
        <v>114</v>
      </c>
      <c r="G206">
        <v>2</v>
      </c>
      <c r="H206">
        <v>1308</v>
      </c>
      <c r="I206">
        <v>1307</v>
      </c>
      <c r="J206">
        <v>0</v>
      </c>
      <c r="K206">
        <f>24-10</f>
        <v>14</v>
      </c>
      <c r="L206" t="s">
        <v>38</v>
      </c>
      <c r="M206">
        <v>3</v>
      </c>
    </row>
    <row r="207" spans="1:13" x14ac:dyDescent="0.25">
      <c r="A207" s="4">
        <v>43319</v>
      </c>
      <c r="B207" t="s">
        <v>30</v>
      </c>
      <c r="C207">
        <v>1</v>
      </c>
      <c r="D207">
        <v>1</v>
      </c>
      <c r="E207" t="s">
        <v>35</v>
      </c>
      <c r="F207" t="s">
        <v>114</v>
      </c>
      <c r="G207">
        <v>2</v>
      </c>
      <c r="H207">
        <v>1308</v>
      </c>
      <c r="I207">
        <v>1307</v>
      </c>
      <c r="J207">
        <v>0</v>
      </c>
      <c r="K207">
        <f>24-10.25</f>
        <v>13.75</v>
      </c>
      <c r="L207" t="s">
        <v>38</v>
      </c>
      <c r="M207">
        <v>3</v>
      </c>
    </row>
    <row r="208" spans="1:13" x14ac:dyDescent="0.25">
      <c r="A208" s="4">
        <v>43320</v>
      </c>
      <c r="B208" t="s">
        <v>30</v>
      </c>
      <c r="C208">
        <v>1</v>
      </c>
      <c r="D208">
        <v>1</v>
      </c>
      <c r="E208" t="s">
        <v>35</v>
      </c>
      <c r="F208" t="s">
        <v>114</v>
      </c>
      <c r="G208">
        <v>2</v>
      </c>
      <c r="H208">
        <v>1308</v>
      </c>
      <c r="I208">
        <v>1307</v>
      </c>
      <c r="J208">
        <v>0</v>
      </c>
      <c r="K208">
        <f>24-10</f>
        <v>14</v>
      </c>
      <c r="L208" t="s">
        <v>38</v>
      </c>
      <c r="M208">
        <v>3</v>
      </c>
    </row>
    <row r="209" spans="1:13" x14ac:dyDescent="0.25">
      <c r="A209" s="4">
        <v>43321</v>
      </c>
      <c r="B209" t="s">
        <v>30</v>
      </c>
      <c r="C209">
        <v>1</v>
      </c>
      <c r="D209">
        <v>1</v>
      </c>
      <c r="E209" t="s">
        <v>35</v>
      </c>
      <c r="F209" t="s">
        <v>114</v>
      </c>
      <c r="G209">
        <v>2</v>
      </c>
      <c r="H209">
        <v>1308</v>
      </c>
      <c r="I209">
        <v>1307</v>
      </c>
      <c r="J209">
        <v>0</v>
      </c>
      <c r="K209">
        <f>24-10</f>
        <v>14</v>
      </c>
      <c r="L209" t="s">
        <v>38</v>
      </c>
      <c r="M209">
        <v>3</v>
      </c>
    </row>
    <row r="210" spans="1:13" x14ac:dyDescent="0.25">
      <c r="A210" s="4">
        <v>43292</v>
      </c>
      <c r="B210" t="s">
        <v>30</v>
      </c>
      <c r="C210">
        <v>1</v>
      </c>
      <c r="D210">
        <v>1</v>
      </c>
      <c r="E210" t="s">
        <v>35</v>
      </c>
      <c r="F210" t="s">
        <v>114</v>
      </c>
      <c r="G210">
        <v>1</v>
      </c>
      <c r="H210">
        <v>1311</v>
      </c>
      <c r="I210">
        <v>1310</v>
      </c>
      <c r="J210">
        <v>0</v>
      </c>
      <c r="K210">
        <f>25-10</f>
        <v>15</v>
      </c>
      <c r="L210" t="s">
        <v>65</v>
      </c>
      <c r="M210">
        <v>3</v>
      </c>
    </row>
    <row r="211" spans="1:13" x14ac:dyDescent="0.25">
      <c r="A211" s="4">
        <v>43321</v>
      </c>
      <c r="B211" t="s">
        <v>30</v>
      </c>
      <c r="C211">
        <v>1</v>
      </c>
      <c r="D211">
        <v>1</v>
      </c>
      <c r="E211" t="s">
        <v>35</v>
      </c>
      <c r="F211" t="s">
        <v>114</v>
      </c>
      <c r="G211">
        <v>2</v>
      </c>
      <c r="H211">
        <v>1311</v>
      </c>
      <c r="I211">
        <v>1310</v>
      </c>
      <c r="J211">
        <v>0</v>
      </c>
      <c r="K211">
        <f>28-11</f>
        <v>17</v>
      </c>
      <c r="L211" t="s">
        <v>38</v>
      </c>
      <c r="M211">
        <v>3</v>
      </c>
    </row>
    <row r="212" spans="1:13" x14ac:dyDescent="0.25">
      <c r="A212" s="4">
        <v>43304</v>
      </c>
      <c r="B212" t="s">
        <v>30</v>
      </c>
      <c r="C212">
        <v>1</v>
      </c>
      <c r="D212">
        <v>1</v>
      </c>
      <c r="E212" t="s">
        <v>35</v>
      </c>
      <c r="F212" t="s">
        <v>89</v>
      </c>
      <c r="G212">
        <v>1</v>
      </c>
      <c r="H212">
        <v>1314</v>
      </c>
      <c r="I212">
        <v>1313</v>
      </c>
      <c r="J212">
        <v>0</v>
      </c>
      <c r="K212">
        <f>26-11</f>
        <v>15</v>
      </c>
      <c r="L212" t="s">
        <v>65</v>
      </c>
      <c r="M212">
        <v>3</v>
      </c>
    </row>
    <row r="213" spans="1:13" x14ac:dyDescent="0.25">
      <c r="A213" s="4">
        <v>43305</v>
      </c>
      <c r="B213" t="s">
        <v>30</v>
      </c>
      <c r="C213">
        <v>1</v>
      </c>
      <c r="D213">
        <v>1</v>
      </c>
      <c r="E213" t="s">
        <v>35</v>
      </c>
      <c r="F213" t="s">
        <v>89</v>
      </c>
      <c r="G213">
        <v>1</v>
      </c>
      <c r="H213">
        <v>1314</v>
      </c>
      <c r="I213">
        <v>1313</v>
      </c>
      <c r="J213">
        <v>0</v>
      </c>
      <c r="K213">
        <f>24-10.5</f>
        <v>13.5</v>
      </c>
      <c r="L213" t="s">
        <v>65</v>
      </c>
      <c r="M213">
        <v>3</v>
      </c>
    </row>
    <row r="214" spans="1:13" x14ac:dyDescent="0.25">
      <c r="A214" s="4">
        <v>43319</v>
      </c>
      <c r="B214" t="s">
        <v>30</v>
      </c>
      <c r="C214">
        <v>1</v>
      </c>
      <c r="D214">
        <v>1</v>
      </c>
      <c r="E214" t="s">
        <v>35</v>
      </c>
      <c r="F214" t="s">
        <v>89</v>
      </c>
      <c r="G214">
        <v>1</v>
      </c>
      <c r="H214">
        <v>1314</v>
      </c>
      <c r="I214">
        <v>1313</v>
      </c>
      <c r="J214">
        <v>0</v>
      </c>
      <c r="K214">
        <f>25-10.5</f>
        <v>14.5</v>
      </c>
      <c r="L214" t="s">
        <v>65</v>
      </c>
      <c r="M214">
        <v>3</v>
      </c>
    </row>
    <row r="215" spans="1:13" x14ac:dyDescent="0.25">
      <c r="A215" s="4">
        <v>43320</v>
      </c>
      <c r="B215" t="s">
        <v>30</v>
      </c>
      <c r="C215">
        <v>1</v>
      </c>
      <c r="D215">
        <v>1</v>
      </c>
      <c r="E215" t="s">
        <v>35</v>
      </c>
      <c r="F215" t="s">
        <v>89</v>
      </c>
      <c r="G215">
        <v>1</v>
      </c>
      <c r="H215">
        <v>1314</v>
      </c>
      <c r="I215">
        <v>1313</v>
      </c>
      <c r="J215">
        <v>0</v>
      </c>
      <c r="K215">
        <f>23-9.5</f>
        <v>13.5</v>
      </c>
      <c r="L215" t="s">
        <v>65</v>
      </c>
      <c r="M215">
        <v>3</v>
      </c>
    </row>
    <row r="216" spans="1:13" x14ac:dyDescent="0.25">
      <c r="A216" s="4">
        <v>43321</v>
      </c>
      <c r="B216" t="s">
        <v>30</v>
      </c>
      <c r="C216">
        <v>1</v>
      </c>
      <c r="D216">
        <v>1</v>
      </c>
      <c r="E216" t="s">
        <v>35</v>
      </c>
      <c r="F216" t="s">
        <v>89</v>
      </c>
      <c r="G216">
        <v>1</v>
      </c>
      <c r="H216">
        <v>1314</v>
      </c>
      <c r="I216">
        <v>1313</v>
      </c>
      <c r="J216">
        <v>0</v>
      </c>
      <c r="K216">
        <f>26-10</f>
        <v>16</v>
      </c>
      <c r="L216" t="s">
        <v>65</v>
      </c>
      <c r="M216">
        <v>3</v>
      </c>
    </row>
    <row r="217" spans="1:13" x14ac:dyDescent="0.25">
      <c r="A217" s="4">
        <v>43304</v>
      </c>
      <c r="B217" t="s">
        <v>30</v>
      </c>
      <c r="C217">
        <v>1</v>
      </c>
      <c r="D217">
        <v>1</v>
      </c>
      <c r="E217" t="s">
        <v>35</v>
      </c>
      <c r="F217" t="s">
        <v>89</v>
      </c>
      <c r="G217">
        <v>1</v>
      </c>
      <c r="H217">
        <v>1315</v>
      </c>
      <c r="I217">
        <v>1316</v>
      </c>
      <c r="J217">
        <v>0</v>
      </c>
      <c r="K217">
        <f>23-9.5</f>
        <v>13.5</v>
      </c>
      <c r="L217" t="s">
        <v>65</v>
      </c>
      <c r="M217">
        <v>3</v>
      </c>
    </row>
    <row r="218" spans="1:13" x14ac:dyDescent="0.25">
      <c r="A218" s="4">
        <v>43305</v>
      </c>
      <c r="B218" t="s">
        <v>30</v>
      </c>
      <c r="C218">
        <v>1</v>
      </c>
      <c r="D218">
        <v>1</v>
      </c>
      <c r="E218" t="s">
        <v>35</v>
      </c>
      <c r="F218" t="s">
        <v>89</v>
      </c>
      <c r="G218">
        <v>1</v>
      </c>
      <c r="H218">
        <v>1315</v>
      </c>
      <c r="I218">
        <v>1316</v>
      </c>
      <c r="J218">
        <v>0</v>
      </c>
      <c r="K218">
        <f>23-9.5</f>
        <v>13.5</v>
      </c>
      <c r="L218" t="s">
        <v>65</v>
      </c>
      <c r="M218">
        <v>3</v>
      </c>
    </row>
    <row r="219" spans="1:13" x14ac:dyDescent="0.25">
      <c r="A219" s="4">
        <v>43319</v>
      </c>
      <c r="B219" t="s">
        <v>30</v>
      </c>
      <c r="C219">
        <v>1</v>
      </c>
      <c r="D219">
        <v>1</v>
      </c>
      <c r="E219" t="s">
        <v>35</v>
      </c>
      <c r="F219" t="s">
        <v>89</v>
      </c>
      <c r="G219">
        <v>1</v>
      </c>
      <c r="H219">
        <v>1316</v>
      </c>
      <c r="I219">
        <v>1315</v>
      </c>
      <c r="J219">
        <v>0</v>
      </c>
      <c r="K219">
        <f>23-9.5</f>
        <v>13.5</v>
      </c>
      <c r="L219" t="s">
        <v>65</v>
      </c>
      <c r="M219">
        <v>3</v>
      </c>
    </row>
    <row r="220" spans="1:13" x14ac:dyDescent="0.25">
      <c r="A220" s="4">
        <v>43320</v>
      </c>
      <c r="B220" t="s">
        <v>30</v>
      </c>
      <c r="C220">
        <v>1</v>
      </c>
      <c r="D220">
        <v>1</v>
      </c>
      <c r="E220" t="s">
        <v>35</v>
      </c>
      <c r="F220" t="s">
        <v>89</v>
      </c>
      <c r="G220">
        <v>1</v>
      </c>
      <c r="H220">
        <v>1316</v>
      </c>
      <c r="I220">
        <v>1315</v>
      </c>
      <c r="J220">
        <v>0</v>
      </c>
      <c r="K220">
        <f>22-9.5</f>
        <v>12.5</v>
      </c>
      <c r="L220" t="s">
        <v>65</v>
      </c>
      <c r="M220">
        <v>3</v>
      </c>
    </row>
    <row r="221" spans="1:13" x14ac:dyDescent="0.25">
      <c r="A221" s="4">
        <v>43321</v>
      </c>
      <c r="B221" t="s">
        <v>30</v>
      </c>
      <c r="C221">
        <v>1</v>
      </c>
      <c r="D221">
        <v>1</v>
      </c>
      <c r="E221" t="s">
        <v>35</v>
      </c>
      <c r="F221" t="s">
        <v>89</v>
      </c>
      <c r="G221">
        <v>1</v>
      </c>
      <c r="H221">
        <v>1316</v>
      </c>
      <c r="I221">
        <v>1315</v>
      </c>
      <c r="J221">
        <v>0</v>
      </c>
      <c r="K221">
        <f>23-10</f>
        <v>13</v>
      </c>
      <c r="L221" t="s">
        <v>65</v>
      </c>
      <c r="M221">
        <v>3</v>
      </c>
    </row>
    <row r="222" spans="1:13" x14ac:dyDescent="0.25">
      <c r="A222" s="4">
        <v>43292</v>
      </c>
      <c r="B222" t="s">
        <v>30</v>
      </c>
      <c r="C222">
        <v>1</v>
      </c>
      <c r="D222">
        <v>1</v>
      </c>
      <c r="E222" t="s">
        <v>35</v>
      </c>
      <c r="F222" t="s">
        <v>36</v>
      </c>
      <c r="G222">
        <v>1</v>
      </c>
      <c r="H222">
        <v>1319</v>
      </c>
      <c r="I222">
        <v>1318</v>
      </c>
      <c r="J222">
        <v>0</v>
      </c>
      <c r="K222">
        <f>28.75-9.75</f>
        <v>19</v>
      </c>
      <c r="L222" t="s">
        <v>65</v>
      </c>
      <c r="M222">
        <v>3</v>
      </c>
    </row>
    <row r="223" spans="1:13" x14ac:dyDescent="0.25">
      <c r="A223" s="4">
        <v>43321</v>
      </c>
      <c r="B223" t="s">
        <v>30</v>
      </c>
      <c r="C223">
        <v>1</v>
      </c>
      <c r="D223">
        <v>1</v>
      </c>
      <c r="E223" t="s">
        <v>35</v>
      </c>
      <c r="F223" t="s">
        <v>114</v>
      </c>
      <c r="G223">
        <v>2</v>
      </c>
      <c r="H223">
        <v>1328</v>
      </c>
      <c r="I223">
        <v>1327</v>
      </c>
      <c r="J223">
        <v>0</v>
      </c>
      <c r="K223">
        <f>26-11</f>
        <v>15</v>
      </c>
      <c r="L223" t="s">
        <v>38</v>
      </c>
      <c r="M223">
        <v>3</v>
      </c>
    </row>
    <row r="224" spans="1:13" x14ac:dyDescent="0.25">
      <c r="A224" s="4">
        <v>43320</v>
      </c>
      <c r="B224" t="s">
        <v>30</v>
      </c>
      <c r="C224">
        <v>1</v>
      </c>
      <c r="D224">
        <v>1</v>
      </c>
      <c r="E224" t="s">
        <v>35</v>
      </c>
      <c r="F224" t="s">
        <v>114</v>
      </c>
      <c r="G224">
        <v>2</v>
      </c>
      <c r="H224">
        <v>1330</v>
      </c>
      <c r="I224">
        <v>1329</v>
      </c>
      <c r="J224">
        <v>0</v>
      </c>
      <c r="K224">
        <f>27.5-12.25</f>
        <v>15.25</v>
      </c>
      <c r="L224" t="s">
        <v>38</v>
      </c>
      <c r="M224">
        <v>3</v>
      </c>
    </row>
    <row r="225" spans="1:13" x14ac:dyDescent="0.25">
      <c r="A225" s="4">
        <v>43321</v>
      </c>
      <c r="B225" t="s">
        <v>30</v>
      </c>
      <c r="C225">
        <v>1</v>
      </c>
      <c r="D225">
        <v>1</v>
      </c>
      <c r="E225" t="s">
        <v>35</v>
      </c>
      <c r="F225" t="s">
        <v>114</v>
      </c>
      <c r="G225">
        <v>2</v>
      </c>
      <c r="H225">
        <v>1330</v>
      </c>
      <c r="I225">
        <v>1329</v>
      </c>
      <c r="J225">
        <v>0</v>
      </c>
      <c r="K225">
        <f>25-9.5</f>
        <v>15.5</v>
      </c>
      <c r="L225" t="s">
        <v>38</v>
      </c>
      <c r="M225">
        <v>3</v>
      </c>
    </row>
    <row r="226" spans="1:13" x14ac:dyDescent="0.25">
      <c r="A226" s="4">
        <v>43292</v>
      </c>
      <c r="B226" t="s">
        <v>30</v>
      </c>
      <c r="C226">
        <v>1</v>
      </c>
      <c r="D226">
        <v>1</v>
      </c>
      <c r="E226" t="s">
        <v>35</v>
      </c>
      <c r="F226" t="s">
        <v>89</v>
      </c>
      <c r="G226">
        <v>2</v>
      </c>
      <c r="H226">
        <v>1332</v>
      </c>
      <c r="I226">
        <v>1331</v>
      </c>
      <c r="J226">
        <v>0</v>
      </c>
      <c r="K226">
        <f>22.5-9.75</f>
        <v>12.75</v>
      </c>
      <c r="L226" t="s">
        <v>38</v>
      </c>
      <c r="M226">
        <v>3</v>
      </c>
    </row>
    <row r="227" spans="1:13" x14ac:dyDescent="0.25">
      <c r="A227" s="4">
        <v>43304</v>
      </c>
      <c r="B227" t="s">
        <v>30</v>
      </c>
      <c r="C227">
        <v>1</v>
      </c>
      <c r="D227">
        <v>1</v>
      </c>
      <c r="E227" t="s">
        <v>35</v>
      </c>
      <c r="F227" t="s">
        <v>89</v>
      </c>
      <c r="G227">
        <v>2</v>
      </c>
      <c r="H227">
        <v>1332</v>
      </c>
      <c r="I227">
        <v>1331</v>
      </c>
      <c r="J227">
        <v>0</v>
      </c>
      <c r="K227">
        <f>24.5-10.5</f>
        <v>14</v>
      </c>
      <c r="L227" t="s">
        <v>38</v>
      </c>
      <c r="M227">
        <v>3</v>
      </c>
    </row>
    <row r="228" spans="1:13" x14ac:dyDescent="0.25">
      <c r="A228" s="4">
        <v>43305</v>
      </c>
      <c r="B228" t="s">
        <v>30</v>
      </c>
      <c r="C228">
        <v>1</v>
      </c>
      <c r="D228">
        <v>1</v>
      </c>
      <c r="E228" t="s">
        <v>35</v>
      </c>
      <c r="F228" t="s">
        <v>89</v>
      </c>
      <c r="G228">
        <v>2</v>
      </c>
      <c r="H228">
        <v>1332</v>
      </c>
      <c r="I228">
        <v>1331</v>
      </c>
      <c r="J228">
        <v>0</v>
      </c>
      <c r="K228">
        <f>27-13</f>
        <v>14</v>
      </c>
      <c r="L228" t="s">
        <v>38</v>
      </c>
      <c r="M228">
        <v>3</v>
      </c>
    </row>
    <row r="229" spans="1:13" x14ac:dyDescent="0.25">
      <c r="A229" s="4">
        <v>43319</v>
      </c>
      <c r="B229" t="s">
        <v>30</v>
      </c>
      <c r="C229">
        <v>1</v>
      </c>
      <c r="D229">
        <v>1</v>
      </c>
      <c r="E229" t="s">
        <v>35</v>
      </c>
      <c r="F229" t="s">
        <v>114</v>
      </c>
      <c r="G229">
        <v>2</v>
      </c>
      <c r="H229">
        <v>1332</v>
      </c>
      <c r="I229">
        <v>1331</v>
      </c>
      <c r="J229">
        <v>0</v>
      </c>
      <c r="K229">
        <f>27-12</f>
        <v>15</v>
      </c>
      <c r="L229" t="s">
        <v>38</v>
      </c>
      <c r="M229">
        <v>3</v>
      </c>
    </row>
    <row r="230" spans="1:13" x14ac:dyDescent="0.25">
      <c r="A230" s="4">
        <v>43320</v>
      </c>
      <c r="B230" t="s">
        <v>30</v>
      </c>
      <c r="C230">
        <v>1</v>
      </c>
      <c r="D230">
        <v>1</v>
      </c>
      <c r="E230" t="s">
        <v>35</v>
      </c>
      <c r="F230" t="s">
        <v>114</v>
      </c>
      <c r="G230">
        <v>2</v>
      </c>
      <c r="H230">
        <v>1332</v>
      </c>
      <c r="I230">
        <v>1331</v>
      </c>
      <c r="J230">
        <v>0</v>
      </c>
      <c r="K230">
        <f>25.5-11</f>
        <v>14.5</v>
      </c>
      <c r="L230" t="s">
        <v>38</v>
      </c>
      <c r="M230">
        <v>3</v>
      </c>
    </row>
    <row r="231" spans="1:13" x14ac:dyDescent="0.25">
      <c r="A231" s="4">
        <v>43321</v>
      </c>
      <c r="B231" t="s">
        <v>30</v>
      </c>
      <c r="C231">
        <v>1</v>
      </c>
      <c r="D231">
        <v>1</v>
      </c>
      <c r="E231" t="s">
        <v>35</v>
      </c>
      <c r="F231" t="s">
        <v>114</v>
      </c>
      <c r="G231">
        <v>2</v>
      </c>
      <c r="H231">
        <v>1332</v>
      </c>
      <c r="I231">
        <v>1331</v>
      </c>
      <c r="J231">
        <v>0</v>
      </c>
      <c r="K231">
        <f>24.5-10</f>
        <v>14.5</v>
      </c>
      <c r="L231" t="s">
        <v>38</v>
      </c>
      <c r="M231">
        <v>3</v>
      </c>
    </row>
    <row r="232" spans="1:13" x14ac:dyDescent="0.25">
      <c r="A232" s="4">
        <v>43292</v>
      </c>
      <c r="B232" t="s">
        <v>30</v>
      </c>
      <c r="C232">
        <v>1</v>
      </c>
      <c r="D232">
        <v>1</v>
      </c>
      <c r="E232" t="s">
        <v>35</v>
      </c>
      <c r="F232" t="s">
        <v>89</v>
      </c>
      <c r="G232">
        <v>1</v>
      </c>
      <c r="H232">
        <v>1334</v>
      </c>
      <c r="I232">
        <v>1333</v>
      </c>
      <c r="J232">
        <v>0</v>
      </c>
      <c r="K232">
        <f>24.5-11</f>
        <v>13.5</v>
      </c>
      <c r="L232" t="s">
        <v>65</v>
      </c>
      <c r="M232">
        <v>3</v>
      </c>
    </row>
    <row r="233" spans="1:13" x14ac:dyDescent="0.25">
      <c r="A233" s="4">
        <v>43304</v>
      </c>
      <c r="B233" t="s">
        <v>30</v>
      </c>
      <c r="C233">
        <v>1</v>
      </c>
      <c r="D233">
        <v>1</v>
      </c>
      <c r="E233" t="s">
        <v>35</v>
      </c>
      <c r="F233" t="s">
        <v>89</v>
      </c>
      <c r="G233">
        <v>1</v>
      </c>
      <c r="H233">
        <v>1334</v>
      </c>
      <c r="I233">
        <v>1333</v>
      </c>
      <c r="J233">
        <v>0</v>
      </c>
      <c r="K233">
        <f>25-9.5</f>
        <v>15.5</v>
      </c>
      <c r="L233" t="s">
        <v>65</v>
      </c>
      <c r="M233">
        <v>3</v>
      </c>
    </row>
    <row r="234" spans="1:13" x14ac:dyDescent="0.25">
      <c r="A234" s="4">
        <v>43305</v>
      </c>
      <c r="B234" t="s">
        <v>30</v>
      </c>
      <c r="C234">
        <v>1</v>
      </c>
      <c r="D234">
        <v>1</v>
      </c>
      <c r="E234" t="s">
        <v>35</v>
      </c>
      <c r="F234" t="s">
        <v>89</v>
      </c>
      <c r="G234">
        <v>1</v>
      </c>
      <c r="H234">
        <v>1334</v>
      </c>
      <c r="I234">
        <v>1333</v>
      </c>
      <c r="J234">
        <v>0</v>
      </c>
      <c r="K234">
        <f>26-11.5</f>
        <v>14.5</v>
      </c>
      <c r="L234" t="s">
        <v>65</v>
      </c>
      <c r="M234">
        <v>3</v>
      </c>
    </row>
    <row r="235" spans="1:13" x14ac:dyDescent="0.25">
      <c r="A235" s="4">
        <v>43319</v>
      </c>
      <c r="B235" t="s">
        <v>30</v>
      </c>
      <c r="C235">
        <v>1</v>
      </c>
      <c r="D235">
        <v>1</v>
      </c>
      <c r="E235" t="s">
        <v>35</v>
      </c>
      <c r="F235" t="s">
        <v>114</v>
      </c>
      <c r="G235">
        <v>1</v>
      </c>
      <c r="H235">
        <v>1334</v>
      </c>
      <c r="I235">
        <v>1333</v>
      </c>
      <c r="J235">
        <v>0</v>
      </c>
      <c r="K235">
        <f>26-10.5</f>
        <v>15.5</v>
      </c>
      <c r="L235" t="s">
        <v>65</v>
      </c>
      <c r="M235">
        <v>3</v>
      </c>
    </row>
    <row r="236" spans="1:13" x14ac:dyDescent="0.25">
      <c r="A236" s="4">
        <v>43320</v>
      </c>
      <c r="B236" t="s">
        <v>30</v>
      </c>
      <c r="C236">
        <v>1</v>
      </c>
      <c r="D236">
        <v>1</v>
      </c>
      <c r="E236" t="s">
        <v>35</v>
      </c>
      <c r="F236" t="s">
        <v>114</v>
      </c>
      <c r="G236">
        <v>1</v>
      </c>
      <c r="H236">
        <v>1334</v>
      </c>
      <c r="I236">
        <v>1333</v>
      </c>
      <c r="J236">
        <v>0</v>
      </c>
      <c r="K236">
        <f>25.5-11</f>
        <v>14.5</v>
      </c>
      <c r="L236" t="s">
        <v>65</v>
      </c>
      <c r="M236">
        <v>3</v>
      </c>
    </row>
    <row r="237" spans="1:13" x14ac:dyDescent="0.25">
      <c r="A237" s="4">
        <v>43321</v>
      </c>
      <c r="B237" t="s">
        <v>30</v>
      </c>
      <c r="C237">
        <v>1</v>
      </c>
      <c r="D237">
        <v>1</v>
      </c>
      <c r="E237" t="s">
        <v>35</v>
      </c>
      <c r="F237" t="s">
        <v>114</v>
      </c>
      <c r="G237">
        <v>1</v>
      </c>
      <c r="H237">
        <v>1334</v>
      </c>
      <c r="I237">
        <v>1333</v>
      </c>
      <c r="J237">
        <v>0</v>
      </c>
      <c r="K237">
        <f>27-11.5</f>
        <v>15.5</v>
      </c>
      <c r="L237" t="s">
        <v>65</v>
      </c>
      <c r="M237">
        <v>3</v>
      </c>
    </row>
    <row r="238" spans="1:13" x14ac:dyDescent="0.25">
      <c r="A238" s="4">
        <v>43292</v>
      </c>
      <c r="B238" t="s">
        <v>30</v>
      </c>
      <c r="C238">
        <v>1</v>
      </c>
      <c r="D238">
        <v>1</v>
      </c>
      <c r="E238" t="s">
        <v>35</v>
      </c>
      <c r="F238" t="s">
        <v>114</v>
      </c>
      <c r="G238">
        <v>2</v>
      </c>
      <c r="H238">
        <v>1337</v>
      </c>
      <c r="I238">
        <v>1336</v>
      </c>
      <c r="J238">
        <v>0</v>
      </c>
      <c r="K238">
        <f>26-9.5</f>
        <v>16.5</v>
      </c>
      <c r="L238" t="s">
        <v>38</v>
      </c>
      <c r="M238">
        <v>3</v>
      </c>
    </row>
    <row r="239" spans="1:13" x14ac:dyDescent="0.25">
      <c r="A239" s="4">
        <v>43319</v>
      </c>
      <c r="B239" t="s">
        <v>30</v>
      </c>
      <c r="C239">
        <v>1</v>
      </c>
      <c r="D239">
        <v>1</v>
      </c>
      <c r="E239" t="s">
        <v>35</v>
      </c>
      <c r="F239" t="s">
        <v>114</v>
      </c>
      <c r="G239">
        <v>2</v>
      </c>
      <c r="H239">
        <v>1337</v>
      </c>
      <c r="I239">
        <v>1336</v>
      </c>
      <c r="J239">
        <v>0</v>
      </c>
      <c r="K239">
        <f>29-11</f>
        <v>18</v>
      </c>
      <c r="L239" t="s">
        <v>38</v>
      </c>
      <c r="M239">
        <v>3</v>
      </c>
    </row>
    <row r="240" spans="1:13" x14ac:dyDescent="0.25">
      <c r="A240" s="4">
        <v>43320</v>
      </c>
      <c r="B240" t="s">
        <v>30</v>
      </c>
      <c r="C240">
        <v>1</v>
      </c>
      <c r="D240">
        <v>1</v>
      </c>
      <c r="E240" t="s">
        <v>35</v>
      </c>
      <c r="F240" t="s">
        <v>114</v>
      </c>
      <c r="G240">
        <v>2</v>
      </c>
      <c r="H240">
        <v>1337</v>
      </c>
      <c r="I240">
        <v>1336</v>
      </c>
      <c r="J240">
        <v>0</v>
      </c>
      <c r="K240">
        <f>27-9.5</f>
        <v>17.5</v>
      </c>
      <c r="L240" t="s">
        <v>38</v>
      </c>
      <c r="M240">
        <v>3</v>
      </c>
    </row>
    <row r="241" spans="1:13" x14ac:dyDescent="0.25">
      <c r="A241" s="4">
        <v>43321</v>
      </c>
      <c r="B241" t="s">
        <v>30</v>
      </c>
      <c r="C241">
        <v>1</v>
      </c>
      <c r="D241">
        <v>1</v>
      </c>
      <c r="E241" t="s">
        <v>35</v>
      </c>
      <c r="F241" t="s">
        <v>114</v>
      </c>
      <c r="G241">
        <v>2</v>
      </c>
      <c r="H241">
        <v>1337</v>
      </c>
      <c r="I241">
        <v>1336</v>
      </c>
      <c r="J241">
        <v>0</v>
      </c>
      <c r="K241">
        <f>28.5-10</f>
        <v>18.5</v>
      </c>
      <c r="L241" t="s">
        <v>38</v>
      </c>
      <c r="M241">
        <v>3</v>
      </c>
    </row>
    <row r="242" spans="1:13" x14ac:dyDescent="0.25">
      <c r="A242" s="4">
        <v>43292</v>
      </c>
      <c r="B242" t="s">
        <v>30</v>
      </c>
      <c r="C242">
        <v>1</v>
      </c>
      <c r="D242">
        <v>1</v>
      </c>
      <c r="E242" t="s">
        <v>42</v>
      </c>
      <c r="F242" t="s">
        <v>89</v>
      </c>
      <c r="G242">
        <v>2</v>
      </c>
      <c r="H242">
        <v>1344</v>
      </c>
      <c r="I242">
        <v>1343</v>
      </c>
      <c r="J242">
        <v>0</v>
      </c>
      <c r="K242">
        <f>23.25-10.75</f>
        <v>12.5</v>
      </c>
      <c r="L242" t="s">
        <v>38</v>
      </c>
      <c r="M242">
        <v>3</v>
      </c>
    </row>
    <row r="243" spans="1:13" x14ac:dyDescent="0.25">
      <c r="A243" s="4">
        <v>43304</v>
      </c>
      <c r="B243" t="s">
        <v>30</v>
      </c>
      <c r="C243">
        <v>1</v>
      </c>
      <c r="D243">
        <v>1</v>
      </c>
      <c r="E243" t="s">
        <v>35</v>
      </c>
      <c r="F243" t="s">
        <v>89</v>
      </c>
      <c r="G243">
        <v>2</v>
      </c>
      <c r="H243">
        <v>1344</v>
      </c>
      <c r="I243">
        <v>1343</v>
      </c>
      <c r="J243">
        <v>0</v>
      </c>
      <c r="K243">
        <f>22-10</f>
        <v>12</v>
      </c>
      <c r="L243" t="s">
        <v>38</v>
      </c>
      <c r="M243">
        <v>3</v>
      </c>
    </row>
    <row r="244" spans="1:13" x14ac:dyDescent="0.25">
      <c r="A244" s="4">
        <v>43305</v>
      </c>
      <c r="B244" t="s">
        <v>30</v>
      </c>
      <c r="C244">
        <v>1</v>
      </c>
      <c r="D244">
        <v>1</v>
      </c>
      <c r="E244" t="s">
        <v>35</v>
      </c>
      <c r="F244" t="s">
        <v>89</v>
      </c>
      <c r="G244">
        <v>2</v>
      </c>
      <c r="H244">
        <v>1344</v>
      </c>
      <c r="I244">
        <v>1343</v>
      </c>
      <c r="J244">
        <v>0</v>
      </c>
      <c r="L244" t="s">
        <v>38</v>
      </c>
      <c r="M244">
        <v>3</v>
      </c>
    </row>
    <row r="245" spans="1:13" x14ac:dyDescent="0.25">
      <c r="A245" s="4">
        <v>43292</v>
      </c>
      <c r="B245" t="s">
        <v>30</v>
      </c>
      <c r="C245">
        <v>1</v>
      </c>
      <c r="D245">
        <v>1</v>
      </c>
      <c r="E245" t="s">
        <v>42</v>
      </c>
      <c r="F245" t="s">
        <v>89</v>
      </c>
      <c r="G245">
        <v>1</v>
      </c>
      <c r="H245">
        <v>1346</v>
      </c>
      <c r="I245">
        <v>1345</v>
      </c>
      <c r="J245">
        <v>0</v>
      </c>
      <c r="K245">
        <f>24-10</f>
        <v>14</v>
      </c>
      <c r="L245" t="s">
        <v>65</v>
      </c>
      <c r="M245">
        <v>3</v>
      </c>
    </row>
    <row r="246" spans="1:13" x14ac:dyDescent="0.25">
      <c r="A246" s="4">
        <v>43305</v>
      </c>
      <c r="B246" t="s">
        <v>30</v>
      </c>
      <c r="C246">
        <v>1</v>
      </c>
      <c r="D246">
        <v>1</v>
      </c>
      <c r="E246" t="s">
        <v>35</v>
      </c>
      <c r="F246" t="s">
        <v>114</v>
      </c>
      <c r="G246">
        <v>1</v>
      </c>
      <c r="H246">
        <v>1346</v>
      </c>
      <c r="I246">
        <v>1345</v>
      </c>
      <c r="J246">
        <v>0</v>
      </c>
      <c r="K246">
        <f>30-16</f>
        <v>14</v>
      </c>
      <c r="L246" t="s">
        <v>65</v>
      </c>
      <c r="M246">
        <v>3</v>
      </c>
    </row>
    <row r="247" spans="1:13" x14ac:dyDescent="0.25">
      <c r="A247" s="4">
        <v>43320</v>
      </c>
      <c r="B247" t="s">
        <v>30</v>
      </c>
      <c r="C247">
        <v>1</v>
      </c>
      <c r="D247">
        <v>1</v>
      </c>
      <c r="E247" t="s">
        <v>35</v>
      </c>
      <c r="F247" t="s">
        <v>114</v>
      </c>
      <c r="G247">
        <v>1</v>
      </c>
      <c r="H247">
        <v>1346</v>
      </c>
      <c r="I247">
        <v>1345</v>
      </c>
      <c r="J247">
        <v>0</v>
      </c>
      <c r="K247">
        <f>26.25-11</f>
        <v>15.25</v>
      </c>
      <c r="L247" t="s">
        <v>65</v>
      </c>
      <c r="M247">
        <v>3</v>
      </c>
    </row>
    <row r="248" spans="1:13" x14ac:dyDescent="0.25">
      <c r="A248" s="4">
        <v>43321</v>
      </c>
      <c r="B248" t="s">
        <v>30</v>
      </c>
      <c r="C248">
        <v>1</v>
      </c>
      <c r="D248">
        <v>1</v>
      </c>
      <c r="E248" t="s">
        <v>35</v>
      </c>
      <c r="F248" t="s">
        <v>114</v>
      </c>
      <c r="G248">
        <v>1</v>
      </c>
      <c r="H248">
        <v>1346</v>
      </c>
      <c r="I248">
        <v>1345</v>
      </c>
      <c r="J248">
        <v>0</v>
      </c>
      <c r="K248">
        <f>25.5-11</f>
        <v>14.5</v>
      </c>
      <c r="L248" t="s">
        <v>65</v>
      </c>
      <c r="M248">
        <v>3</v>
      </c>
    </row>
    <row r="249" spans="1:13" x14ac:dyDescent="0.25">
      <c r="A249" s="4">
        <v>43316</v>
      </c>
      <c r="B249" t="s">
        <v>30</v>
      </c>
      <c r="C249">
        <v>8</v>
      </c>
      <c r="D249">
        <v>1</v>
      </c>
      <c r="E249" t="s">
        <v>35</v>
      </c>
      <c r="F249" t="s">
        <v>89</v>
      </c>
      <c r="G249">
        <v>1</v>
      </c>
      <c r="H249">
        <v>1356</v>
      </c>
      <c r="I249">
        <v>1355</v>
      </c>
      <c r="J249">
        <v>0</v>
      </c>
      <c r="K249">
        <f>25.5-12</f>
        <v>13.5</v>
      </c>
      <c r="L249" t="s">
        <v>65</v>
      </c>
      <c r="M249">
        <v>3</v>
      </c>
    </row>
    <row r="250" spans="1:13" x14ac:dyDescent="0.25">
      <c r="A250" s="4">
        <v>43317</v>
      </c>
      <c r="B250" t="s">
        <v>30</v>
      </c>
      <c r="C250">
        <v>8</v>
      </c>
      <c r="D250">
        <v>1</v>
      </c>
      <c r="E250" t="s">
        <v>35</v>
      </c>
      <c r="F250" t="s">
        <v>89</v>
      </c>
      <c r="G250">
        <v>1</v>
      </c>
      <c r="H250">
        <v>1356</v>
      </c>
      <c r="I250">
        <v>1355</v>
      </c>
      <c r="J250">
        <v>0</v>
      </c>
      <c r="K250">
        <f>25-11.25</f>
        <v>13.75</v>
      </c>
      <c r="L250" t="s">
        <v>65</v>
      </c>
      <c r="M250">
        <v>3</v>
      </c>
    </row>
    <row r="251" spans="1:13" x14ac:dyDescent="0.25">
      <c r="A251" s="4">
        <v>43318</v>
      </c>
      <c r="B251" t="s">
        <v>30</v>
      </c>
      <c r="C251">
        <v>8</v>
      </c>
      <c r="D251">
        <v>1</v>
      </c>
      <c r="E251" t="s">
        <v>35</v>
      </c>
      <c r="F251" t="s">
        <v>89</v>
      </c>
      <c r="G251">
        <v>1</v>
      </c>
      <c r="H251">
        <v>1356</v>
      </c>
      <c r="I251">
        <v>1355</v>
      </c>
      <c r="J251">
        <v>0</v>
      </c>
      <c r="K251">
        <f>28-14</f>
        <v>14</v>
      </c>
      <c r="L251" t="s">
        <v>65</v>
      </c>
      <c r="M251">
        <v>3</v>
      </c>
    </row>
    <row r="252" spans="1:13" x14ac:dyDescent="0.25">
      <c r="A252" s="4">
        <v>43326</v>
      </c>
      <c r="B252" t="s">
        <v>30</v>
      </c>
      <c r="C252">
        <v>8</v>
      </c>
      <c r="D252">
        <v>1</v>
      </c>
      <c r="E252" t="s">
        <v>35</v>
      </c>
      <c r="F252" t="s">
        <v>89</v>
      </c>
      <c r="G252">
        <v>1</v>
      </c>
      <c r="H252">
        <v>1356</v>
      </c>
      <c r="I252">
        <v>1355</v>
      </c>
      <c r="J252">
        <v>0</v>
      </c>
      <c r="K252">
        <f>28-15</f>
        <v>13</v>
      </c>
      <c r="L252" t="s">
        <v>65</v>
      </c>
      <c r="M252">
        <v>3</v>
      </c>
    </row>
    <row r="253" spans="1:13" x14ac:dyDescent="0.25">
      <c r="A253" s="4">
        <v>43327</v>
      </c>
      <c r="B253" t="s">
        <v>30</v>
      </c>
      <c r="C253">
        <v>8</v>
      </c>
      <c r="D253">
        <v>1</v>
      </c>
      <c r="E253" t="s">
        <v>35</v>
      </c>
      <c r="F253" t="s">
        <v>89</v>
      </c>
      <c r="G253">
        <v>1</v>
      </c>
      <c r="H253">
        <v>1356</v>
      </c>
      <c r="I253">
        <v>1355</v>
      </c>
      <c r="J253">
        <v>0</v>
      </c>
      <c r="K253">
        <f>23.5-10.25</f>
        <v>13.25</v>
      </c>
      <c r="L253" t="s">
        <v>65</v>
      </c>
      <c r="M253">
        <v>3</v>
      </c>
    </row>
    <row r="254" spans="1:13" x14ac:dyDescent="0.25">
      <c r="A254" s="4">
        <v>43316</v>
      </c>
      <c r="B254" t="s">
        <v>30</v>
      </c>
      <c r="C254">
        <v>8</v>
      </c>
      <c r="D254">
        <v>1</v>
      </c>
      <c r="E254" t="s">
        <v>42</v>
      </c>
      <c r="F254" t="s">
        <v>114</v>
      </c>
      <c r="G254">
        <v>1</v>
      </c>
      <c r="H254">
        <v>1358</v>
      </c>
      <c r="I254">
        <v>1357</v>
      </c>
      <c r="J254">
        <v>0</v>
      </c>
      <c r="K254">
        <f>29.5-12.25</f>
        <v>17.25</v>
      </c>
      <c r="L254" t="s">
        <v>65</v>
      </c>
      <c r="M254">
        <v>3</v>
      </c>
    </row>
    <row r="255" spans="1:13" x14ac:dyDescent="0.25">
      <c r="A255" s="4">
        <v>43317</v>
      </c>
      <c r="B255" t="s">
        <v>30</v>
      </c>
      <c r="C255">
        <v>8</v>
      </c>
      <c r="D255">
        <v>1</v>
      </c>
      <c r="E255" t="s">
        <v>35</v>
      </c>
      <c r="F255" t="s">
        <v>36</v>
      </c>
      <c r="G255">
        <v>1</v>
      </c>
      <c r="H255">
        <v>1358</v>
      </c>
      <c r="I255">
        <v>1357</v>
      </c>
      <c r="J255">
        <v>0</v>
      </c>
      <c r="K255">
        <f>29.5-10.5</f>
        <v>19</v>
      </c>
      <c r="L255" t="s">
        <v>47</v>
      </c>
      <c r="M255">
        <v>3</v>
      </c>
    </row>
    <row r="256" spans="1:13" x14ac:dyDescent="0.25">
      <c r="A256" s="4">
        <v>43326</v>
      </c>
      <c r="B256" t="s">
        <v>30</v>
      </c>
      <c r="C256">
        <v>8</v>
      </c>
      <c r="D256">
        <v>1</v>
      </c>
      <c r="E256" t="s">
        <v>35</v>
      </c>
      <c r="F256" t="s">
        <v>36</v>
      </c>
      <c r="G256">
        <v>1</v>
      </c>
      <c r="H256">
        <v>1358</v>
      </c>
      <c r="I256">
        <v>1357</v>
      </c>
      <c r="J256">
        <v>0</v>
      </c>
      <c r="K256">
        <f>34-15</f>
        <v>19</v>
      </c>
      <c r="L256" t="s">
        <v>47</v>
      </c>
      <c r="M256">
        <v>3</v>
      </c>
    </row>
    <row r="257" spans="1:13" x14ac:dyDescent="0.25">
      <c r="A257" s="4">
        <v>43316</v>
      </c>
      <c r="B257" t="s">
        <v>30</v>
      </c>
      <c r="C257">
        <v>9</v>
      </c>
      <c r="D257">
        <v>1</v>
      </c>
      <c r="E257" t="s">
        <v>42</v>
      </c>
      <c r="F257" t="s">
        <v>89</v>
      </c>
      <c r="G257">
        <v>2</v>
      </c>
      <c r="H257">
        <v>1360</v>
      </c>
      <c r="I257">
        <v>1359</v>
      </c>
      <c r="J257">
        <v>0</v>
      </c>
      <c r="K257">
        <f>25-12</f>
        <v>13</v>
      </c>
      <c r="L257" t="s">
        <v>38</v>
      </c>
      <c r="M257">
        <v>3</v>
      </c>
    </row>
    <row r="258" spans="1:13" x14ac:dyDescent="0.25">
      <c r="A258" s="4">
        <v>43317</v>
      </c>
      <c r="B258" t="s">
        <v>30</v>
      </c>
      <c r="C258">
        <v>9</v>
      </c>
      <c r="D258">
        <v>1</v>
      </c>
      <c r="E258" t="s">
        <v>35</v>
      </c>
      <c r="F258" t="s">
        <v>89</v>
      </c>
      <c r="G258">
        <v>2</v>
      </c>
      <c r="H258">
        <v>1360</v>
      </c>
      <c r="I258">
        <v>1374</v>
      </c>
      <c r="J258">
        <v>0</v>
      </c>
      <c r="K258">
        <f>23-10.75</f>
        <v>12.25</v>
      </c>
      <c r="L258" t="s">
        <v>38</v>
      </c>
      <c r="M258">
        <v>3</v>
      </c>
    </row>
    <row r="259" spans="1:13" x14ac:dyDescent="0.25">
      <c r="A259" s="4">
        <v>43318</v>
      </c>
      <c r="B259" t="s">
        <v>30</v>
      </c>
      <c r="C259">
        <v>9</v>
      </c>
      <c r="D259">
        <v>1</v>
      </c>
      <c r="E259" t="s">
        <v>35</v>
      </c>
      <c r="F259" t="s">
        <v>89</v>
      </c>
      <c r="G259">
        <v>2</v>
      </c>
      <c r="H259">
        <v>1360</v>
      </c>
      <c r="I259">
        <v>1374</v>
      </c>
      <c r="J259">
        <v>0</v>
      </c>
      <c r="K259">
        <f>31-16</f>
        <v>15</v>
      </c>
      <c r="L259" t="s">
        <v>38</v>
      </c>
      <c r="M259">
        <v>3</v>
      </c>
    </row>
    <row r="260" spans="1:13" x14ac:dyDescent="0.25">
      <c r="A260" s="4">
        <v>43316</v>
      </c>
      <c r="B260" t="s">
        <v>30</v>
      </c>
      <c r="C260">
        <v>9</v>
      </c>
      <c r="D260">
        <v>1</v>
      </c>
      <c r="E260" t="s">
        <v>35</v>
      </c>
      <c r="F260" t="s">
        <v>114</v>
      </c>
      <c r="G260">
        <v>1</v>
      </c>
      <c r="H260">
        <v>1362</v>
      </c>
      <c r="I260">
        <v>1361</v>
      </c>
      <c r="J260">
        <v>0</v>
      </c>
      <c r="K260">
        <f>30-10.5</f>
        <v>19.5</v>
      </c>
      <c r="L260" t="s">
        <v>65</v>
      </c>
      <c r="M260">
        <v>3</v>
      </c>
    </row>
    <row r="261" spans="1:13" x14ac:dyDescent="0.25">
      <c r="A261" s="4">
        <v>43317</v>
      </c>
      <c r="B261" t="s">
        <v>30</v>
      </c>
      <c r="C261">
        <v>9</v>
      </c>
      <c r="D261">
        <v>1</v>
      </c>
      <c r="E261" t="s">
        <v>35</v>
      </c>
      <c r="F261" t="s">
        <v>114</v>
      </c>
      <c r="G261">
        <v>1</v>
      </c>
      <c r="H261">
        <v>1362</v>
      </c>
      <c r="I261">
        <v>1361</v>
      </c>
      <c r="J261">
        <v>0</v>
      </c>
      <c r="K261">
        <f>28-10</f>
        <v>18</v>
      </c>
      <c r="L261" t="s">
        <v>65</v>
      </c>
      <c r="M261">
        <v>3</v>
      </c>
    </row>
    <row r="262" spans="1:13" x14ac:dyDescent="0.25">
      <c r="A262" s="4">
        <v>43318</v>
      </c>
      <c r="B262" t="s">
        <v>30</v>
      </c>
      <c r="C262">
        <v>9</v>
      </c>
      <c r="D262">
        <v>1</v>
      </c>
      <c r="E262" t="s">
        <v>35</v>
      </c>
      <c r="F262" t="s">
        <v>36</v>
      </c>
      <c r="G262">
        <v>1</v>
      </c>
      <c r="H262">
        <v>1362</v>
      </c>
      <c r="I262">
        <v>1361</v>
      </c>
      <c r="J262">
        <v>0</v>
      </c>
      <c r="K262">
        <f>36.5-16</f>
        <v>20.5</v>
      </c>
      <c r="L262" t="s">
        <v>65</v>
      </c>
      <c r="M262">
        <v>3</v>
      </c>
    </row>
    <row r="263" spans="1:13" x14ac:dyDescent="0.25">
      <c r="A263" s="4">
        <v>43317</v>
      </c>
      <c r="B263" t="s">
        <v>30</v>
      </c>
      <c r="C263">
        <v>8</v>
      </c>
      <c r="D263">
        <v>1</v>
      </c>
      <c r="E263" t="s">
        <v>42</v>
      </c>
      <c r="F263" t="s">
        <v>89</v>
      </c>
      <c r="G263">
        <v>2</v>
      </c>
      <c r="H263">
        <v>1364</v>
      </c>
      <c r="I263">
        <v>1363</v>
      </c>
      <c r="J263">
        <v>0</v>
      </c>
      <c r="K263">
        <f>25.5-10</f>
        <v>15.5</v>
      </c>
      <c r="L263" t="s">
        <v>38</v>
      </c>
      <c r="M263">
        <v>3</v>
      </c>
    </row>
    <row r="264" spans="1:13" x14ac:dyDescent="0.25">
      <c r="A264" s="4">
        <v>43325</v>
      </c>
      <c r="B264" t="s">
        <v>30</v>
      </c>
      <c r="C264">
        <v>8</v>
      </c>
      <c r="D264">
        <v>1</v>
      </c>
      <c r="E264" t="s">
        <v>35</v>
      </c>
      <c r="F264" t="s">
        <v>114</v>
      </c>
      <c r="G264">
        <v>2</v>
      </c>
      <c r="H264">
        <v>1364</v>
      </c>
      <c r="I264">
        <v>1363</v>
      </c>
      <c r="J264">
        <v>0</v>
      </c>
      <c r="K264">
        <f>32-14.5</f>
        <v>17.5</v>
      </c>
      <c r="L264" t="s">
        <v>38</v>
      </c>
      <c r="M264">
        <v>3</v>
      </c>
    </row>
    <row r="265" spans="1:13" x14ac:dyDescent="0.25">
      <c r="A265" s="4">
        <v>43326</v>
      </c>
      <c r="B265" t="s">
        <v>30</v>
      </c>
      <c r="C265">
        <v>8</v>
      </c>
      <c r="D265">
        <v>1</v>
      </c>
      <c r="E265" t="s">
        <v>35</v>
      </c>
      <c r="F265" t="s">
        <v>114</v>
      </c>
      <c r="G265">
        <v>2</v>
      </c>
      <c r="H265">
        <v>1364</v>
      </c>
      <c r="I265">
        <v>1363</v>
      </c>
      <c r="J265">
        <v>0</v>
      </c>
      <c r="K265">
        <f>29-13</f>
        <v>16</v>
      </c>
      <c r="L265" t="s">
        <v>38</v>
      </c>
      <c r="M265">
        <v>3</v>
      </c>
    </row>
    <row r="266" spans="1:13" x14ac:dyDescent="0.25">
      <c r="A266" s="4">
        <v>43327</v>
      </c>
      <c r="B266" t="s">
        <v>30</v>
      </c>
      <c r="C266">
        <v>8</v>
      </c>
      <c r="D266">
        <v>1</v>
      </c>
      <c r="E266" t="s">
        <v>35</v>
      </c>
      <c r="F266" t="s">
        <v>114</v>
      </c>
      <c r="G266">
        <v>2</v>
      </c>
      <c r="H266">
        <v>1364</v>
      </c>
      <c r="I266">
        <v>1363</v>
      </c>
      <c r="J266">
        <v>0</v>
      </c>
      <c r="K266">
        <f>26.5-10.25</f>
        <v>16.25</v>
      </c>
      <c r="L266" t="s">
        <v>38</v>
      </c>
      <c r="M266">
        <v>3</v>
      </c>
    </row>
    <row r="267" spans="1:13" x14ac:dyDescent="0.25">
      <c r="A267" s="4">
        <v>43317</v>
      </c>
      <c r="B267" t="s">
        <v>30</v>
      </c>
      <c r="C267">
        <v>8</v>
      </c>
      <c r="D267">
        <v>1</v>
      </c>
      <c r="E267" t="s">
        <v>42</v>
      </c>
      <c r="F267" t="s">
        <v>89</v>
      </c>
      <c r="G267">
        <v>2</v>
      </c>
      <c r="H267">
        <v>1366</v>
      </c>
      <c r="I267">
        <v>1365</v>
      </c>
      <c r="J267">
        <v>0</v>
      </c>
      <c r="K267">
        <f>23-10.25</f>
        <v>12.75</v>
      </c>
      <c r="L267" t="s">
        <v>38</v>
      </c>
      <c r="M267">
        <v>3</v>
      </c>
    </row>
    <row r="268" spans="1:13" x14ac:dyDescent="0.25">
      <c r="A268" s="4">
        <v>43317</v>
      </c>
      <c r="B268" t="s">
        <v>30</v>
      </c>
      <c r="C268">
        <v>8</v>
      </c>
      <c r="D268">
        <v>1</v>
      </c>
      <c r="E268" t="s">
        <v>42</v>
      </c>
      <c r="F268" t="s">
        <v>89</v>
      </c>
      <c r="G268">
        <v>1</v>
      </c>
      <c r="H268">
        <v>1368</v>
      </c>
      <c r="I268">
        <v>1367</v>
      </c>
      <c r="J268">
        <v>0</v>
      </c>
      <c r="K268">
        <f>22.5-10</f>
        <v>12.5</v>
      </c>
      <c r="L268" t="s">
        <v>65</v>
      </c>
      <c r="M268">
        <v>3</v>
      </c>
    </row>
    <row r="269" spans="1:13" x14ac:dyDescent="0.25">
      <c r="A269" s="4">
        <v>43318</v>
      </c>
      <c r="B269" t="s">
        <v>30</v>
      </c>
      <c r="C269">
        <v>8</v>
      </c>
      <c r="D269">
        <v>1</v>
      </c>
      <c r="E269" t="s">
        <v>35</v>
      </c>
      <c r="F269" t="s">
        <v>89</v>
      </c>
      <c r="G269">
        <v>1</v>
      </c>
      <c r="H269">
        <v>1368</v>
      </c>
      <c r="I269">
        <v>1367</v>
      </c>
      <c r="J269">
        <v>0</v>
      </c>
      <c r="K269">
        <f>28-14</f>
        <v>14</v>
      </c>
      <c r="L269" t="s">
        <v>65</v>
      </c>
      <c r="M269">
        <v>3</v>
      </c>
    </row>
    <row r="270" spans="1:13" x14ac:dyDescent="0.25">
      <c r="A270" s="4">
        <v>43317</v>
      </c>
      <c r="B270" t="s">
        <v>30</v>
      </c>
      <c r="C270">
        <v>8</v>
      </c>
      <c r="D270">
        <v>1</v>
      </c>
      <c r="E270" t="s">
        <v>42</v>
      </c>
      <c r="F270" t="s">
        <v>89</v>
      </c>
      <c r="G270">
        <v>2</v>
      </c>
      <c r="H270">
        <v>1370</v>
      </c>
      <c r="I270">
        <v>1369</v>
      </c>
      <c r="J270">
        <v>0</v>
      </c>
      <c r="K270">
        <f>25-12.25</f>
        <v>12.75</v>
      </c>
      <c r="L270" t="s">
        <v>38</v>
      </c>
      <c r="M270">
        <v>3</v>
      </c>
    </row>
    <row r="271" spans="1:13" x14ac:dyDescent="0.25">
      <c r="A271" s="4">
        <v>43326</v>
      </c>
      <c r="B271" t="s">
        <v>30</v>
      </c>
      <c r="C271">
        <v>8</v>
      </c>
      <c r="D271">
        <v>1</v>
      </c>
      <c r="E271" t="s">
        <v>35</v>
      </c>
      <c r="F271" t="s">
        <v>89</v>
      </c>
      <c r="G271">
        <v>2</v>
      </c>
      <c r="H271">
        <v>1370</v>
      </c>
      <c r="I271">
        <v>1369</v>
      </c>
      <c r="J271">
        <v>0</v>
      </c>
      <c r="K271">
        <f>26-12</f>
        <v>14</v>
      </c>
      <c r="L271" t="s">
        <v>38</v>
      </c>
      <c r="M271">
        <v>3</v>
      </c>
    </row>
    <row r="272" spans="1:13" x14ac:dyDescent="0.25">
      <c r="A272" s="4">
        <v>43317</v>
      </c>
      <c r="B272" t="s">
        <v>30</v>
      </c>
      <c r="C272">
        <v>9</v>
      </c>
      <c r="D272">
        <v>1</v>
      </c>
      <c r="E272" t="s">
        <v>35</v>
      </c>
      <c r="F272" t="s">
        <v>114</v>
      </c>
      <c r="G272">
        <v>2</v>
      </c>
      <c r="H272">
        <v>1373</v>
      </c>
      <c r="I272">
        <v>1372</v>
      </c>
      <c r="J272">
        <v>0</v>
      </c>
      <c r="K272">
        <f>25.5-10.75</f>
        <v>14.75</v>
      </c>
      <c r="L272" t="s">
        <v>38</v>
      </c>
      <c r="M272">
        <v>3</v>
      </c>
    </row>
    <row r="273" spans="1:13" x14ac:dyDescent="0.25">
      <c r="A273" s="4">
        <v>43327</v>
      </c>
      <c r="B273" t="s">
        <v>30</v>
      </c>
      <c r="C273">
        <v>9</v>
      </c>
      <c r="D273">
        <v>1</v>
      </c>
      <c r="E273" t="s">
        <v>35</v>
      </c>
      <c r="F273" t="s">
        <v>114</v>
      </c>
      <c r="G273">
        <v>2</v>
      </c>
      <c r="H273">
        <v>1373</v>
      </c>
      <c r="I273">
        <v>1372</v>
      </c>
      <c r="J273">
        <v>0</v>
      </c>
      <c r="K273">
        <f>28-10.5</f>
        <v>17.5</v>
      </c>
      <c r="L273" t="s">
        <v>38</v>
      </c>
      <c r="M273">
        <v>3</v>
      </c>
    </row>
    <row r="274" spans="1:13" x14ac:dyDescent="0.25">
      <c r="A274" s="4">
        <v>43292</v>
      </c>
      <c r="B274" t="s">
        <v>30</v>
      </c>
      <c r="C274">
        <v>3</v>
      </c>
      <c r="D274">
        <v>1</v>
      </c>
      <c r="E274" t="s">
        <v>42</v>
      </c>
      <c r="F274" t="s">
        <v>36</v>
      </c>
      <c r="G274">
        <v>1</v>
      </c>
      <c r="H274">
        <v>1377</v>
      </c>
      <c r="I274">
        <v>1376</v>
      </c>
      <c r="J274">
        <v>0</v>
      </c>
      <c r="K274">
        <f>30-12</f>
        <v>18</v>
      </c>
      <c r="L274" t="s">
        <v>47</v>
      </c>
      <c r="M274">
        <v>3</v>
      </c>
    </row>
    <row r="275" spans="1:13" x14ac:dyDescent="0.25">
      <c r="A275" s="4">
        <v>43292</v>
      </c>
      <c r="B275" t="s">
        <v>30</v>
      </c>
      <c r="C275">
        <v>3</v>
      </c>
      <c r="D275">
        <v>1</v>
      </c>
      <c r="E275" t="s">
        <v>42</v>
      </c>
      <c r="F275" t="s">
        <v>114</v>
      </c>
      <c r="G275">
        <v>1</v>
      </c>
      <c r="H275">
        <v>1379</v>
      </c>
      <c r="I275">
        <v>1378</v>
      </c>
      <c r="J275">
        <v>0</v>
      </c>
      <c r="K275">
        <f>25-11</f>
        <v>14</v>
      </c>
      <c r="L275" t="s">
        <v>65</v>
      </c>
      <c r="M275">
        <v>3</v>
      </c>
    </row>
    <row r="276" spans="1:13" x14ac:dyDescent="0.25">
      <c r="A276" s="4">
        <v>43292</v>
      </c>
      <c r="B276" t="s">
        <v>30</v>
      </c>
      <c r="C276">
        <v>3</v>
      </c>
      <c r="D276">
        <v>1</v>
      </c>
      <c r="E276" t="s">
        <v>42</v>
      </c>
      <c r="F276" t="s">
        <v>114</v>
      </c>
      <c r="G276">
        <v>1</v>
      </c>
      <c r="H276">
        <v>1381</v>
      </c>
      <c r="I276">
        <v>1380</v>
      </c>
      <c r="J276">
        <v>0</v>
      </c>
      <c r="K276">
        <f>26-10</f>
        <v>16</v>
      </c>
      <c r="L276" t="s">
        <v>65</v>
      </c>
      <c r="M276">
        <v>3</v>
      </c>
    </row>
    <row r="277" spans="1:13" x14ac:dyDescent="0.25">
      <c r="A277" s="4">
        <v>43305</v>
      </c>
      <c r="B277" t="s">
        <v>30</v>
      </c>
      <c r="C277">
        <v>1</v>
      </c>
      <c r="D277">
        <v>1</v>
      </c>
      <c r="E277" t="s">
        <v>42</v>
      </c>
      <c r="F277" t="s">
        <v>114</v>
      </c>
      <c r="G277">
        <v>1</v>
      </c>
      <c r="H277">
        <v>1387</v>
      </c>
      <c r="I277">
        <v>1386</v>
      </c>
      <c r="J277">
        <v>0</v>
      </c>
      <c r="K277">
        <f>33-16</f>
        <v>17</v>
      </c>
      <c r="L277" t="s">
        <v>47</v>
      </c>
      <c r="M277">
        <v>3</v>
      </c>
    </row>
    <row r="278" spans="1:13" x14ac:dyDescent="0.25">
      <c r="A278" s="4">
        <v>43305</v>
      </c>
      <c r="B278" t="s">
        <v>30</v>
      </c>
      <c r="C278">
        <v>1</v>
      </c>
      <c r="D278">
        <v>1</v>
      </c>
      <c r="E278" t="s">
        <v>42</v>
      </c>
      <c r="F278" t="s">
        <v>114</v>
      </c>
      <c r="G278">
        <v>1</v>
      </c>
      <c r="H278">
        <v>1389</v>
      </c>
      <c r="I278">
        <v>1388</v>
      </c>
      <c r="J278">
        <v>0</v>
      </c>
      <c r="K278">
        <f>31.5-15</f>
        <v>16.5</v>
      </c>
      <c r="L278" t="s">
        <v>47</v>
      </c>
      <c r="M278">
        <v>3</v>
      </c>
    </row>
    <row r="279" spans="1:13" x14ac:dyDescent="0.25">
      <c r="A279" s="4">
        <v>43305</v>
      </c>
      <c r="B279" t="s">
        <v>30</v>
      </c>
      <c r="C279">
        <v>1</v>
      </c>
      <c r="D279">
        <v>1</v>
      </c>
      <c r="E279" t="s">
        <v>42</v>
      </c>
      <c r="F279" t="s">
        <v>36</v>
      </c>
      <c r="G279">
        <v>1</v>
      </c>
      <c r="H279">
        <v>1391</v>
      </c>
      <c r="I279">
        <v>1390</v>
      </c>
      <c r="J279">
        <v>0</v>
      </c>
      <c r="K279">
        <f>29-9</f>
        <v>20</v>
      </c>
      <c r="L279" t="s">
        <v>47</v>
      </c>
      <c r="M279">
        <v>3</v>
      </c>
    </row>
    <row r="280" spans="1:13" x14ac:dyDescent="0.25">
      <c r="A280" s="4">
        <v>43320</v>
      </c>
      <c r="B280" t="s">
        <v>30</v>
      </c>
      <c r="C280">
        <v>1</v>
      </c>
      <c r="D280">
        <v>1</v>
      </c>
      <c r="E280" t="s">
        <v>35</v>
      </c>
      <c r="F280" t="s">
        <v>36</v>
      </c>
      <c r="G280">
        <v>1</v>
      </c>
      <c r="H280">
        <v>1391</v>
      </c>
      <c r="I280">
        <v>1390</v>
      </c>
      <c r="J280">
        <v>0</v>
      </c>
      <c r="K280">
        <f>28.5-10</f>
        <v>18.5</v>
      </c>
      <c r="L280" t="s">
        <v>65</v>
      </c>
      <c r="M280">
        <v>3</v>
      </c>
    </row>
    <row r="281" spans="1:13" x14ac:dyDescent="0.25">
      <c r="A281" s="4">
        <v>43321</v>
      </c>
      <c r="B281" t="s">
        <v>30</v>
      </c>
      <c r="C281">
        <v>1</v>
      </c>
      <c r="D281">
        <v>1</v>
      </c>
      <c r="E281" t="s">
        <v>35</v>
      </c>
      <c r="F281" t="s">
        <v>36</v>
      </c>
      <c r="G281">
        <v>1</v>
      </c>
      <c r="H281">
        <v>1391</v>
      </c>
      <c r="I281">
        <v>1390</v>
      </c>
      <c r="J281">
        <v>0</v>
      </c>
      <c r="K281">
        <f>30-11.25</f>
        <v>18.75</v>
      </c>
      <c r="L281" t="s">
        <v>65</v>
      </c>
      <c r="M281">
        <v>3</v>
      </c>
    </row>
    <row r="282" spans="1:13" x14ac:dyDescent="0.25">
      <c r="A282" s="4">
        <v>43302</v>
      </c>
      <c r="B282" t="s">
        <v>30</v>
      </c>
      <c r="C282">
        <v>9</v>
      </c>
      <c r="D282">
        <v>1</v>
      </c>
      <c r="E282" t="s">
        <v>42</v>
      </c>
      <c r="F282" t="s">
        <v>36</v>
      </c>
      <c r="G282">
        <v>1</v>
      </c>
      <c r="H282">
        <v>1394</v>
      </c>
      <c r="I282">
        <v>1393</v>
      </c>
      <c r="J282">
        <v>0</v>
      </c>
      <c r="K282">
        <f>32.5-13</f>
        <v>19.5</v>
      </c>
      <c r="L282" t="s">
        <v>65</v>
      </c>
      <c r="M282">
        <v>3</v>
      </c>
    </row>
    <row r="283" spans="1:13" x14ac:dyDescent="0.25">
      <c r="A283" s="4">
        <v>43317</v>
      </c>
      <c r="B283" t="s">
        <v>30</v>
      </c>
      <c r="C283">
        <v>9</v>
      </c>
      <c r="D283">
        <v>1</v>
      </c>
      <c r="E283" t="s">
        <v>35</v>
      </c>
      <c r="F283" t="s">
        <v>36</v>
      </c>
      <c r="G283">
        <v>1</v>
      </c>
      <c r="H283">
        <v>1394</v>
      </c>
      <c r="I283">
        <v>1393</v>
      </c>
      <c r="J283">
        <v>0</v>
      </c>
      <c r="K283">
        <f>30-11.5</f>
        <v>18.5</v>
      </c>
      <c r="L283" t="s">
        <v>65</v>
      </c>
      <c r="M283">
        <v>3</v>
      </c>
    </row>
    <row r="284" spans="1:13" x14ac:dyDescent="0.25">
      <c r="A284" s="4">
        <v>43318</v>
      </c>
      <c r="B284" t="s">
        <v>30</v>
      </c>
      <c r="C284">
        <v>9</v>
      </c>
      <c r="D284">
        <v>1</v>
      </c>
      <c r="E284" t="s">
        <v>35</v>
      </c>
      <c r="F284" t="s">
        <v>36</v>
      </c>
      <c r="G284">
        <v>1</v>
      </c>
      <c r="H284">
        <v>1394</v>
      </c>
      <c r="I284">
        <v>1393</v>
      </c>
      <c r="J284">
        <v>0</v>
      </c>
      <c r="K284">
        <f>33-14</f>
        <v>19</v>
      </c>
      <c r="L284" t="s">
        <v>65</v>
      </c>
      <c r="M284">
        <v>3</v>
      </c>
    </row>
    <row r="285" spans="1:13" x14ac:dyDescent="0.25">
      <c r="A285" s="4">
        <v>43326</v>
      </c>
      <c r="B285" t="s">
        <v>30</v>
      </c>
      <c r="C285">
        <v>9</v>
      </c>
      <c r="D285">
        <v>1</v>
      </c>
      <c r="E285" t="s">
        <v>35</v>
      </c>
      <c r="F285" t="s">
        <v>36</v>
      </c>
      <c r="G285">
        <v>1</v>
      </c>
      <c r="H285">
        <v>1394</v>
      </c>
      <c r="I285">
        <v>1393</v>
      </c>
      <c r="J285">
        <v>0</v>
      </c>
      <c r="K285">
        <f>34-15</f>
        <v>19</v>
      </c>
      <c r="L285" t="s">
        <v>47</v>
      </c>
      <c r="M285">
        <v>3</v>
      </c>
    </row>
    <row r="286" spans="1:13" x14ac:dyDescent="0.25">
      <c r="A286" s="4">
        <v>43327</v>
      </c>
      <c r="B286" t="s">
        <v>30</v>
      </c>
      <c r="C286">
        <v>9</v>
      </c>
      <c r="D286">
        <v>1</v>
      </c>
      <c r="E286" t="s">
        <v>35</v>
      </c>
      <c r="F286" t="s">
        <v>36</v>
      </c>
      <c r="G286">
        <v>1</v>
      </c>
      <c r="H286">
        <v>1394</v>
      </c>
      <c r="I286">
        <v>1393</v>
      </c>
      <c r="J286">
        <v>0</v>
      </c>
      <c r="K286">
        <f>30-10.5</f>
        <v>19.5</v>
      </c>
      <c r="L286" t="s">
        <v>65</v>
      </c>
      <c r="M286">
        <v>3</v>
      </c>
    </row>
    <row r="287" spans="1:13" x14ac:dyDescent="0.25">
      <c r="A287" s="4">
        <v>43302</v>
      </c>
      <c r="B287" t="s">
        <v>30</v>
      </c>
      <c r="C287">
        <v>7</v>
      </c>
      <c r="D287">
        <v>1</v>
      </c>
      <c r="E287" t="s">
        <v>42</v>
      </c>
      <c r="F287" t="s">
        <v>89</v>
      </c>
      <c r="G287">
        <v>2</v>
      </c>
      <c r="H287">
        <v>1396</v>
      </c>
      <c r="I287">
        <v>1395</v>
      </c>
      <c r="J287">
        <v>0</v>
      </c>
      <c r="K287">
        <f>25-14</f>
        <v>11</v>
      </c>
      <c r="L287" t="s">
        <v>38</v>
      </c>
      <c r="M287">
        <v>3</v>
      </c>
    </row>
    <row r="288" spans="1:13" x14ac:dyDescent="0.25">
      <c r="A288" s="4">
        <v>43316</v>
      </c>
      <c r="B288" t="s">
        <v>30</v>
      </c>
      <c r="C288">
        <v>7</v>
      </c>
      <c r="D288">
        <v>1</v>
      </c>
      <c r="E288" t="s">
        <v>35</v>
      </c>
      <c r="F288" t="s">
        <v>89</v>
      </c>
      <c r="G288">
        <v>2</v>
      </c>
      <c r="H288">
        <v>1396</v>
      </c>
      <c r="I288">
        <v>1395</v>
      </c>
      <c r="J288">
        <v>0</v>
      </c>
      <c r="K288">
        <f>24-9.5</f>
        <v>14.5</v>
      </c>
      <c r="L288" t="s">
        <v>38</v>
      </c>
      <c r="M288">
        <v>3</v>
      </c>
    </row>
    <row r="289" spans="1:13" x14ac:dyDescent="0.25">
      <c r="A289" s="4">
        <v>43302</v>
      </c>
      <c r="B289" t="s">
        <v>30</v>
      </c>
      <c r="C289">
        <v>7</v>
      </c>
      <c r="D289">
        <v>1</v>
      </c>
      <c r="E289" t="s">
        <v>42</v>
      </c>
      <c r="F289" t="s">
        <v>89</v>
      </c>
      <c r="G289">
        <v>2</v>
      </c>
      <c r="H289">
        <v>1398</v>
      </c>
      <c r="I289">
        <v>1397</v>
      </c>
      <c r="J289">
        <v>0</v>
      </c>
      <c r="K289">
        <f>22-9</f>
        <v>13</v>
      </c>
      <c r="L289" t="s">
        <v>38</v>
      </c>
      <c r="M289">
        <v>3</v>
      </c>
    </row>
    <row r="290" spans="1:13" x14ac:dyDescent="0.25">
      <c r="A290" s="4">
        <v>43292</v>
      </c>
      <c r="B290" t="s">
        <v>30</v>
      </c>
      <c r="C290">
        <v>3</v>
      </c>
      <c r="D290">
        <v>1</v>
      </c>
      <c r="E290" t="s">
        <v>42</v>
      </c>
      <c r="F290" t="s">
        <v>36</v>
      </c>
      <c r="G290">
        <v>1</v>
      </c>
      <c r="H290">
        <v>1400</v>
      </c>
      <c r="I290">
        <v>1399</v>
      </c>
      <c r="J290">
        <v>0</v>
      </c>
      <c r="K290">
        <f>24-10</f>
        <v>14</v>
      </c>
      <c r="L290" t="s">
        <v>65</v>
      </c>
      <c r="M290">
        <v>3</v>
      </c>
    </row>
    <row r="291" spans="1:13" x14ac:dyDescent="0.25">
      <c r="A291" s="4">
        <v>43318</v>
      </c>
      <c r="B291" t="s">
        <v>30</v>
      </c>
      <c r="C291">
        <v>9</v>
      </c>
      <c r="D291">
        <v>1</v>
      </c>
      <c r="E291" t="s">
        <v>42</v>
      </c>
      <c r="F291" t="s">
        <v>89</v>
      </c>
      <c r="G291">
        <v>1</v>
      </c>
      <c r="H291">
        <v>1402</v>
      </c>
      <c r="I291">
        <v>1401</v>
      </c>
      <c r="J291">
        <v>0</v>
      </c>
      <c r="K291">
        <f>32.5-19</f>
        <v>13.5</v>
      </c>
      <c r="L291" t="s">
        <v>65</v>
      </c>
      <c r="M291">
        <v>3</v>
      </c>
    </row>
    <row r="292" spans="1:13" x14ac:dyDescent="0.25">
      <c r="A292" s="4">
        <v>43327</v>
      </c>
      <c r="B292" t="s">
        <v>30</v>
      </c>
      <c r="C292">
        <v>9</v>
      </c>
      <c r="D292">
        <v>1</v>
      </c>
      <c r="E292" t="s">
        <v>35</v>
      </c>
      <c r="F292" t="s">
        <v>114</v>
      </c>
      <c r="G292">
        <v>2</v>
      </c>
      <c r="H292">
        <v>1402</v>
      </c>
      <c r="I292">
        <v>1401</v>
      </c>
      <c r="J292">
        <v>0</v>
      </c>
      <c r="K292">
        <f>23-10.25</f>
        <v>12.75</v>
      </c>
      <c r="L292" t="s">
        <v>38</v>
      </c>
      <c r="M292">
        <v>3</v>
      </c>
    </row>
    <row r="293" spans="1:13" x14ac:dyDescent="0.25">
      <c r="A293" s="4">
        <v>43319</v>
      </c>
      <c r="B293" t="s">
        <v>30</v>
      </c>
      <c r="C293">
        <v>2</v>
      </c>
      <c r="D293">
        <v>1</v>
      </c>
      <c r="E293" t="s">
        <v>42</v>
      </c>
      <c r="F293" t="s">
        <v>114</v>
      </c>
      <c r="G293">
        <v>2</v>
      </c>
      <c r="H293">
        <v>1404</v>
      </c>
      <c r="I293">
        <v>1403</v>
      </c>
      <c r="J293">
        <v>0</v>
      </c>
      <c r="K293">
        <f>27.5-13</f>
        <v>14.5</v>
      </c>
      <c r="L293" t="s">
        <v>1039</v>
      </c>
      <c r="M293">
        <v>3</v>
      </c>
    </row>
    <row r="294" spans="1:13" x14ac:dyDescent="0.25">
      <c r="A294" s="4">
        <v>43320</v>
      </c>
      <c r="B294" t="s">
        <v>30</v>
      </c>
      <c r="C294">
        <v>2</v>
      </c>
      <c r="D294">
        <v>1</v>
      </c>
      <c r="E294" t="s">
        <v>35</v>
      </c>
      <c r="F294" t="s">
        <v>114</v>
      </c>
      <c r="G294">
        <v>2</v>
      </c>
      <c r="H294">
        <v>1404</v>
      </c>
      <c r="I294">
        <v>1403</v>
      </c>
      <c r="J294">
        <v>0</v>
      </c>
      <c r="K294">
        <f>24-10</f>
        <v>14</v>
      </c>
      <c r="L294" t="s">
        <v>1039</v>
      </c>
      <c r="M294">
        <v>3</v>
      </c>
    </row>
    <row r="295" spans="1:13" x14ac:dyDescent="0.25">
      <c r="A295" s="4">
        <v>43321</v>
      </c>
      <c r="B295" t="s">
        <v>30</v>
      </c>
      <c r="C295">
        <v>2</v>
      </c>
      <c r="D295">
        <v>1</v>
      </c>
      <c r="E295" t="s">
        <v>35</v>
      </c>
      <c r="F295" t="s">
        <v>114</v>
      </c>
      <c r="G295">
        <v>2</v>
      </c>
      <c r="H295">
        <v>1404</v>
      </c>
      <c r="I295">
        <v>1403</v>
      </c>
      <c r="J295">
        <v>0</v>
      </c>
      <c r="K295">
        <f>26-11.5</f>
        <v>14.5</v>
      </c>
      <c r="L295" t="s">
        <v>1039</v>
      </c>
      <c r="M295">
        <v>3</v>
      </c>
    </row>
    <row r="296" spans="1:13" x14ac:dyDescent="0.25">
      <c r="A296" s="4">
        <v>43319</v>
      </c>
      <c r="B296" t="s">
        <v>30</v>
      </c>
      <c r="C296">
        <v>2</v>
      </c>
      <c r="D296">
        <v>1</v>
      </c>
      <c r="E296" t="s">
        <v>42</v>
      </c>
      <c r="F296" t="s">
        <v>114</v>
      </c>
      <c r="G296">
        <v>1</v>
      </c>
      <c r="H296">
        <v>1406</v>
      </c>
      <c r="I296">
        <v>1405</v>
      </c>
      <c r="J296">
        <v>0</v>
      </c>
      <c r="K296">
        <f>28.5-15</f>
        <v>13.5</v>
      </c>
      <c r="L296" t="s">
        <v>65</v>
      </c>
      <c r="M296">
        <v>3</v>
      </c>
    </row>
    <row r="297" spans="1:13" x14ac:dyDescent="0.25">
      <c r="A297" s="4">
        <v>43320</v>
      </c>
      <c r="B297" t="s">
        <v>30</v>
      </c>
      <c r="C297">
        <v>2</v>
      </c>
      <c r="D297">
        <v>1</v>
      </c>
      <c r="E297" t="s">
        <v>35</v>
      </c>
      <c r="F297" t="s">
        <v>114</v>
      </c>
      <c r="G297">
        <v>1</v>
      </c>
      <c r="H297">
        <v>1406</v>
      </c>
      <c r="I297">
        <v>1405</v>
      </c>
      <c r="J297">
        <v>0</v>
      </c>
      <c r="K297">
        <f>27-13</f>
        <v>14</v>
      </c>
      <c r="L297" t="s">
        <v>65</v>
      </c>
      <c r="M297">
        <v>3</v>
      </c>
    </row>
    <row r="298" spans="1:13" x14ac:dyDescent="0.25">
      <c r="A298" s="4">
        <v>43321</v>
      </c>
      <c r="B298" t="s">
        <v>30</v>
      </c>
      <c r="C298">
        <v>2</v>
      </c>
      <c r="D298">
        <v>1</v>
      </c>
      <c r="E298" t="s">
        <v>35</v>
      </c>
      <c r="F298" t="s">
        <v>114</v>
      </c>
      <c r="G298">
        <v>1</v>
      </c>
      <c r="H298">
        <v>1406</v>
      </c>
      <c r="I298">
        <v>1405</v>
      </c>
      <c r="J298">
        <v>0</v>
      </c>
      <c r="K298">
        <f>29.5-11</f>
        <v>18.5</v>
      </c>
      <c r="L298" t="s">
        <v>65</v>
      </c>
      <c r="M298">
        <v>3</v>
      </c>
    </row>
    <row r="299" spans="1:13" x14ac:dyDescent="0.25">
      <c r="A299" s="4">
        <v>43319</v>
      </c>
      <c r="B299" t="s">
        <v>30</v>
      </c>
      <c r="C299">
        <v>2</v>
      </c>
      <c r="D299">
        <v>1</v>
      </c>
      <c r="E299" t="s">
        <v>42</v>
      </c>
      <c r="F299" t="s">
        <v>36</v>
      </c>
      <c r="G299">
        <v>2</v>
      </c>
      <c r="H299">
        <v>1408</v>
      </c>
      <c r="I299">
        <v>1407</v>
      </c>
      <c r="J299">
        <v>1</v>
      </c>
      <c r="K299">
        <f>33-11</f>
        <v>22</v>
      </c>
      <c r="L299" t="s">
        <v>38</v>
      </c>
      <c r="M299">
        <v>3</v>
      </c>
    </row>
    <row r="300" spans="1:13" x14ac:dyDescent="0.25">
      <c r="A300" s="4">
        <v>43320</v>
      </c>
      <c r="B300" t="s">
        <v>30</v>
      </c>
      <c r="C300">
        <v>2</v>
      </c>
      <c r="D300">
        <v>1</v>
      </c>
      <c r="E300" t="s">
        <v>35</v>
      </c>
      <c r="F300" t="s">
        <v>36</v>
      </c>
      <c r="G300">
        <v>2</v>
      </c>
      <c r="H300">
        <v>1408</v>
      </c>
      <c r="I300">
        <v>1407</v>
      </c>
      <c r="J300">
        <v>1</v>
      </c>
      <c r="K300">
        <f>37.5-17.5</f>
        <v>20</v>
      </c>
      <c r="L300" t="s">
        <v>38</v>
      </c>
      <c r="M300">
        <v>3</v>
      </c>
    </row>
    <row r="301" spans="1:13" x14ac:dyDescent="0.25">
      <c r="A301" s="4">
        <v>43321</v>
      </c>
      <c r="B301" t="s">
        <v>30</v>
      </c>
      <c r="C301">
        <v>2</v>
      </c>
      <c r="D301">
        <v>1</v>
      </c>
      <c r="E301" t="s">
        <v>35</v>
      </c>
      <c r="F301" t="s">
        <v>36</v>
      </c>
      <c r="G301">
        <v>2</v>
      </c>
      <c r="H301">
        <v>1408</v>
      </c>
      <c r="I301">
        <v>1407</v>
      </c>
      <c r="J301">
        <v>1</v>
      </c>
      <c r="K301">
        <f>31-10.5</f>
        <v>20.5</v>
      </c>
      <c r="L301" t="s">
        <v>38</v>
      </c>
      <c r="M301">
        <v>3</v>
      </c>
    </row>
    <row r="302" spans="1:13" x14ac:dyDescent="0.25">
      <c r="A302" s="4">
        <v>43319</v>
      </c>
      <c r="B302" t="s">
        <v>30</v>
      </c>
      <c r="C302">
        <v>2</v>
      </c>
      <c r="D302">
        <v>1</v>
      </c>
      <c r="E302" t="s">
        <v>42</v>
      </c>
      <c r="F302" t="s">
        <v>89</v>
      </c>
      <c r="G302">
        <v>1</v>
      </c>
      <c r="H302">
        <v>1410</v>
      </c>
      <c r="I302">
        <v>1411</v>
      </c>
      <c r="J302">
        <v>1</v>
      </c>
      <c r="K302">
        <f>26-11.5</f>
        <v>14.5</v>
      </c>
      <c r="L302" t="s">
        <v>65</v>
      </c>
      <c r="M302">
        <v>3</v>
      </c>
    </row>
    <row r="303" spans="1:13" x14ac:dyDescent="0.25">
      <c r="A303" s="4">
        <v>43320</v>
      </c>
      <c r="B303" t="s">
        <v>30</v>
      </c>
      <c r="C303">
        <v>2</v>
      </c>
      <c r="D303">
        <v>1</v>
      </c>
      <c r="E303" t="s">
        <v>35</v>
      </c>
      <c r="F303" t="s">
        <v>89</v>
      </c>
      <c r="G303">
        <v>1</v>
      </c>
      <c r="H303">
        <v>1410</v>
      </c>
      <c r="I303">
        <v>1411</v>
      </c>
      <c r="J303">
        <v>1</v>
      </c>
      <c r="K303">
        <f>21-11</f>
        <v>10</v>
      </c>
      <c r="L303" t="s">
        <v>65</v>
      </c>
      <c r="M303">
        <v>3</v>
      </c>
    </row>
    <row r="304" spans="1:13" x14ac:dyDescent="0.25">
      <c r="A304" s="4">
        <v>43321</v>
      </c>
      <c r="B304" t="s">
        <v>30</v>
      </c>
      <c r="C304">
        <v>2</v>
      </c>
      <c r="D304">
        <v>1</v>
      </c>
      <c r="E304" t="s">
        <v>35</v>
      </c>
      <c r="F304" t="s">
        <v>89</v>
      </c>
      <c r="G304">
        <v>1</v>
      </c>
      <c r="H304">
        <v>1410</v>
      </c>
      <c r="I304">
        <v>1411</v>
      </c>
      <c r="J304">
        <v>1</v>
      </c>
      <c r="K304">
        <f>31.5-18</f>
        <v>13.5</v>
      </c>
      <c r="L304" t="s">
        <v>65</v>
      </c>
      <c r="M304">
        <v>3</v>
      </c>
    </row>
    <row r="305" spans="1:13" x14ac:dyDescent="0.25">
      <c r="A305" s="4">
        <v>43319</v>
      </c>
      <c r="B305" t="s">
        <v>30</v>
      </c>
      <c r="C305">
        <v>2</v>
      </c>
      <c r="D305">
        <v>1</v>
      </c>
      <c r="E305" t="s">
        <v>42</v>
      </c>
      <c r="F305" t="s">
        <v>36</v>
      </c>
      <c r="G305">
        <v>2</v>
      </c>
      <c r="H305">
        <v>1413</v>
      </c>
      <c r="I305">
        <v>1412</v>
      </c>
      <c r="J305">
        <v>1</v>
      </c>
      <c r="K305">
        <f>29.5-11.5</f>
        <v>18</v>
      </c>
      <c r="L305" t="s">
        <v>38</v>
      </c>
      <c r="M305">
        <v>3</v>
      </c>
    </row>
    <row r="306" spans="1:13" x14ac:dyDescent="0.25">
      <c r="A306" s="4">
        <v>43320</v>
      </c>
      <c r="B306" t="s">
        <v>30</v>
      </c>
      <c r="C306">
        <v>2</v>
      </c>
      <c r="D306">
        <v>1</v>
      </c>
      <c r="E306" t="s">
        <v>35</v>
      </c>
      <c r="F306" t="s">
        <v>36</v>
      </c>
      <c r="G306">
        <v>2</v>
      </c>
      <c r="H306">
        <v>1413</v>
      </c>
      <c r="I306">
        <v>1412</v>
      </c>
      <c r="J306">
        <v>1</v>
      </c>
      <c r="K306">
        <f>30-15</f>
        <v>15</v>
      </c>
      <c r="L306" t="s">
        <v>38</v>
      </c>
      <c r="M306">
        <v>3</v>
      </c>
    </row>
    <row r="307" spans="1:13" x14ac:dyDescent="0.25">
      <c r="A307" s="4">
        <v>43321</v>
      </c>
      <c r="B307" t="s">
        <v>30</v>
      </c>
      <c r="C307">
        <v>2</v>
      </c>
      <c r="D307">
        <v>1</v>
      </c>
      <c r="E307" t="s">
        <v>35</v>
      </c>
      <c r="F307" t="s">
        <v>36</v>
      </c>
      <c r="G307">
        <v>2</v>
      </c>
      <c r="H307">
        <v>1413</v>
      </c>
      <c r="I307">
        <v>1412</v>
      </c>
      <c r="J307">
        <v>1</v>
      </c>
      <c r="K307">
        <f>31-15</f>
        <v>16</v>
      </c>
      <c r="L307" t="s">
        <v>38</v>
      </c>
      <c r="M307">
        <v>3</v>
      </c>
    </row>
    <row r="308" spans="1:13" x14ac:dyDescent="0.25">
      <c r="A308" s="4">
        <v>43319</v>
      </c>
      <c r="B308" t="s">
        <v>30</v>
      </c>
      <c r="C308">
        <v>2</v>
      </c>
      <c r="D308">
        <v>1</v>
      </c>
      <c r="E308" t="s">
        <v>42</v>
      </c>
      <c r="F308" t="s">
        <v>114</v>
      </c>
      <c r="G308">
        <v>2</v>
      </c>
      <c r="H308">
        <v>1415</v>
      </c>
      <c r="I308">
        <v>1414</v>
      </c>
      <c r="J308">
        <v>0</v>
      </c>
      <c r="K308">
        <f>25-12</f>
        <v>13</v>
      </c>
      <c r="L308" t="s">
        <v>38</v>
      </c>
      <c r="M308">
        <v>3</v>
      </c>
    </row>
    <row r="309" spans="1:13" x14ac:dyDescent="0.25">
      <c r="A309" s="4">
        <v>43320</v>
      </c>
      <c r="B309" t="s">
        <v>30</v>
      </c>
      <c r="C309">
        <v>2</v>
      </c>
      <c r="D309">
        <v>1</v>
      </c>
      <c r="E309" t="s">
        <v>35</v>
      </c>
      <c r="F309" t="s">
        <v>114</v>
      </c>
      <c r="G309">
        <v>2</v>
      </c>
      <c r="H309">
        <v>1415</v>
      </c>
      <c r="I309">
        <v>1414</v>
      </c>
      <c r="J309">
        <v>0</v>
      </c>
      <c r="K309">
        <f>23-10</f>
        <v>13</v>
      </c>
      <c r="L309" t="s">
        <v>38</v>
      </c>
      <c r="M309">
        <v>3</v>
      </c>
    </row>
    <row r="310" spans="1:13" x14ac:dyDescent="0.25">
      <c r="A310" s="4">
        <v>43319</v>
      </c>
      <c r="B310" t="s">
        <v>30</v>
      </c>
      <c r="C310">
        <v>2</v>
      </c>
      <c r="D310">
        <v>1</v>
      </c>
      <c r="E310" t="s">
        <v>42</v>
      </c>
      <c r="F310" t="s">
        <v>89</v>
      </c>
      <c r="G310">
        <v>2</v>
      </c>
      <c r="H310">
        <v>1417</v>
      </c>
      <c r="I310">
        <v>1416</v>
      </c>
      <c r="J310">
        <v>1</v>
      </c>
      <c r="K310">
        <f>26-11.5</f>
        <v>14.5</v>
      </c>
      <c r="L310" t="s">
        <v>38</v>
      </c>
      <c r="M310">
        <v>3</v>
      </c>
    </row>
    <row r="311" spans="1:13" x14ac:dyDescent="0.25">
      <c r="A311" s="4">
        <v>43320</v>
      </c>
      <c r="B311" t="s">
        <v>30</v>
      </c>
      <c r="C311">
        <v>2</v>
      </c>
      <c r="D311">
        <v>1</v>
      </c>
      <c r="E311" t="s">
        <v>35</v>
      </c>
      <c r="F311" t="s">
        <v>89</v>
      </c>
      <c r="G311">
        <v>2</v>
      </c>
      <c r="H311">
        <v>1417</v>
      </c>
      <c r="I311">
        <v>1416</v>
      </c>
      <c r="J311">
        <v>1</v>
      </c>
      <c r="K311">
        <f>30-15.5</f>
        <v>14.5</v>
      </c>
      <c r="L311" t="s">
        <v>38</v>
      </c>
      <c r="M311">
        <v>3</v>
      </c>
    </row>
    <row r="312" spans="1:13" x14ac:dyDescent="0.25">
      <c r="A312" s="4">
        <v>43321</v>
      </c>
      <c r="B312" t="s">
        <v>30</v>
      </c>
      <c r="C312">
        <v>2</v>
      </c>
      <c r="D312">
        <v>1</v>
      </c>
      <c r="E312" t="s">
        <v>35</v>
      </c>
      <c r="F312" t="s">
        <v>89</v>
      </c>
      <c r="G312">
        <v>2</v>
      </c>
      <c r="H312">
        <v>1417</v>
      </c>
      <c r="I312">
        <v>1416</v>
      </c>
      <c r="J312">
        <v>1</v>
      </c>
      <c r="K312">
        <f>30-16</f>
        <v>14</v>
      </c>
      <c r="L312" t="s">
        <v>38</v>
      </c>
      <c r="M312">
        <v>3</v>
      </c>
    </row>
    <row r="313" spans="1:13" x14ac:dyDescent="0.25">
      <c r="A313" s="4">
        <v>43320</v>
      </c>
      <c r="B313" t="s">
        <v>30</v>
      </c>
      <c r="C313">
        <v>2</v>
      </c>
      <c r="D313">
        <v>1</v>
      </c>
      <c r="E313" t="s">
        <v>42</v>
      </c>
      <c r="F313" t="s">
        <v>36</v>
      </c>
      <c r="G313">
        <v>1</v>
      </c>
      <c r="H313">
        <v>1419</v>
      </c>
      <c r="I313">
        <v>1418</v>
      </c>
      <c r="J313">
        <v>1</v>
      </c>
      <c r="K313">
        <f>28.5-10.5</f>
        <v>18</v>
      </c>
      <c r="L313" t="s">
        <v>47</v>
      </c>
      <c r="M313">
        <v>3</v>
      </c>
    </row>
    <row r="314" spans="1:13" x14ac:dyDescent="0.25">
      <c r="A314" s="4">
        <v>43320</v>
      </c>
      <c r="B314" t="s">
        <v>30</v>
      </c>
      <c r="C314">
        <v>2</v>
      </c>
      <c r="D314">
        <v>1</v>
      </c>
      <c r="E314" t="s">
        <v>42</v>
      </c>
      <c r="F314" t="s">
        <v>89</v>
      </c>
      <c r="G314">
        <v>2</v>
      </c>
      <c r="H314">
        <v>1421</v>
      </c>
      <c r="I314">
        <v>1420</v>
      </c>
      <c r="J314">
        <v>0</v>
      </c>
      <c r="K314">
        <f>24-11</f>
        <v>13</v>
      </c>
      <c r="L314" t="s">
        <v>38</v>
      </c>
      <c r="M314">
        <v>3</v>
      </c>
    </row>
    <row r="315" spans="1:13" x14ac:dyDescent="0.25">
      <c r="A315" s="4">
        <v>43321</v>
      </c>
      <c r="B315" t="s">
        <v>30</v>
      </c>
      <c r="C315">
        <v>2</v>
      </c>
      <c r="D315">
        <v>1</v>
      </c>
      <c r="E315" t="s">
        <v>35</v>
      </c>
      <c r="F315" t="s">
        <v>89</v>
      </c>
      <c r="G315">
        <v>2</v>
      </c>
      <c r="H315">
        <v>1421</v>
      </c>
      <c r="I315">
        <v>1420</v>
      </c>
      <c r="J315">
        <v>0</v>
      </c>
      <c r="K315">
        <f>26-13</f>
        <v>13</v>
      </c>
      <c r="L315" t="s">
        <v>38</v>
      </c>
      <c r="M315">
        <v>3</v>
      </c>
    </row>
    <row r="316" spans="1:13" x14ac:dyDescent="0.25">
      <c r="A316" s="4">
        <v>43320</v>
      </c>
      <c r="B316" t="s">
        <v>30</v>
      </c>
      <c r="C316">
        <v>2</v>
      </c>
      <c r="D316">
        <v>1</v>
      </c>
      <c r="E316" t="s">
        <v>42</v>
      </c>
      <c r="F316" t="s">
        <v>114</v>
      </c>
      <c r="G316">
        <v>2</v>
      </c>
      <c r="H316">
        <v>1423</v>
      </c>
      <c r="I316">
        <v>1422</v>
      </c>
      <c r="J316">
        <v>0</v>
      </c>
      <c r="K316">
        <f>29.5-16</f>
        <v>13.5</v>
      </c>
      <c r="L316" t="s">
        <v>38</v>
      </c>
      <c r="M316">
        <v>3</v>
      </c>
    </row>
    <row r="317" spans="1:13" x14ac:dyDescent="0.25">
      <c r="A317" s="4">
        <v>43319</v>
      </c>
      <c r="B317" t="s">
        <v>30</v>
      </c>
      <c r="C317">
        <v>2</v>
      </c>
      <c r="D317">
        <v>1</v>
      </c>
      <c r="E317" t="s">
        <v>42</v>
      </c>
      <c r="F317" t="s">
        <v>36</v>
      </c>
      <c r="G317">
        <v>1</v>
      </c>
      <c r="H317">
        <v>1425</v>
      </c>
      <c r="I317">
        <v>1424</v>
      </c>
      <c r="J317">
        <v>0</v>
      </c>
      <c r="K317">
        <f>37-17</f>
        <v>20</v>
      </c>
      <c r="L317" t="s">
        <v>65</v>
      </c>
      <c r="M317">
        <v>3</v>
      </c>
    </row>
    <row r="318" spans="1:13" x14ac:dyDescent="0.25">
      <c r="A318" s="4">
        <v>43320</v>
      </c>
      <c r="B318" t="s">
        <v>30</v>
      </c>
      <c r="C318">
        <v>2</v>
      </c>
      <c r="D318">
        <v>1</v>
      </c>
      <c r="E318" t="s">
        <v>35</v>
      </c>
      <c r="F318" t="s">
        <v>36</v>
      </c>
      <c r="G318">
        <v>1</v>
      </c>
      <c r="H318">
        <v>1425</v>
      </c>
      <c r="I318">
        <v>1424</v>
      </c>
      <c r="J318">
        <v>0</v>
      </c>
      <c r="K318">
        <f>32.5-14</f>
        <v>18.5</v>
      </c>
      <c r="L318" t="s">
        <v>47</v>
      </c>
      <c r="M318">
        <v>3</v>
      </c>
    </row>
    <row r="319" spans="1:13" x14ac:dyDescent="0.25">
      <c r="A319" s="4">
        <v>43325</v>
      </c>
      <c r="B319" t="s">
        <v>30</v>
      </c>
      <c r="C319">
        <v>8</v>
      </c>
      <c r="D319">
        <v>1</v>
      </c>
      <c r="E319" t="s">
        <v>35</v>
      </c>
      <c r="F319" t="s">
        <v>36</v>
      </c>
      <c r="G319">
        <v>1</v>
      </c>
      <c r="H319">
        <v>1425</v>
      </c>
      <c r="I319">
        <v>1424</v>
      </c>
      <c r="J319">
        <v>0</v>
      </c>
      <c r="K319">
        <f>34-14</f>
        <v>20</v>
      </c>
      <c r="L319" t="s">
        <v>65</v>
      </c>
      <c r="M319">
        <v>3</v>
      </c>
    </row>
    <row r="320" spans="1:13" x14ac:dyDescent="0.25">
      <c r="A320" s="4">
        <v>43319</v>
      </c>
      <c r="B320" t="s">
        <v>30</v>
      </c>
      <c r="C320">
        <v>1</v>
      </c>
      <c r="D320">
        <v>1</v>
      </c>
      <c r="E320" t="s">
        <v>42</v>
      </c>
      <c r="F320" t="s">
        <v>89</v>
      </c>
      <c r="G320">
        <v>2</v>
      </c>
      <c r="H320">
        <v>1427</v>
      </c>
      <c r="I320">
        <v>1426</v>
      </c>
      <c r="J320">
        <v>0</v>
      </c>
      <c r="K320">
        <f>23.5-10</f>
        <v>13.5</v>
      </c>
      <c r="L320" t="s">
        <v>38</v>
      </c>
      <c r="M320">
        <v>3</v>
      </c>
    </row>
    <row r="321" spans="1:13" x14ac:dyDescent="0.25">
      <c r="A321" s="4">
        <v>43319</v>
      </c>
      <c r="B321" t="s">
        <v>30</v>
      </c>
      <c r="C321">
        <v>1</v>
      </c>
      <c r="D321">
        <v>1</v>
      </c>
      <c r="E321" t="s">
        <v>42</v>
      </c>
      <c r="F321" t="s">
        <v>114</v>
      </c>
      <c r="G321">
        <v>2</v>
      </c>
      <c r="H321">
        <v>1429</v>
      </c>
      <c r="I321">
        <v>1428</v>
      </c>
      <c r="J321">
        <v>0</v>
      </c>
      <c r="K321">
        <f>28.25-11.25</f>
        <v>17</v>
      </c>
      <c r="L321" t="s">
        <v>38</v>
      </c>
      <c r="M321">
        <v>3</v>
      </c>
    </row>
    <row r="322" spans="1:13" x14ac:dyDescent="0.25">
      <c r="A322" s="4">
        <v>43319</v>
      </c>
      <c r="B322" t="s">
        <v>30</v>
      </c>
      <c r="C322">
        <v>1</v>
      </c>
      <c r="D322">
        <v>1</v>
      </c>
      <c r="E322" t="s">
        <v>42</v>
      </c>
      <c r="F322" t="s">
        <v>36</v>
      </c>
      <c r="G322">
        <v>2</v>
      </c>
      <c r="H322">
        <v>1431</v>
      </c>
      <c r="I322">
        <v>1430</v>
      </c>
      <c r="J322">
        <v>0</v>
      </c>
      <c r="K322">
        <f>31-11</f>
        <v>20</v>
      </c>
      <c r="L322" t="s">
        <v>83</v>
      </c>
      <c r="M322">
        <v>3</v>
      </c>
    </row>
    <row r="323" spans="1:13" x14ac:dyDescent="0.25">
      <c r="A323" s="4">
        <v>43319</v>
      </c>
      <c r="B323" t="s">
        <v>30</v>
      </c>
      <c r="C323">
        <v>1</v>
      </c>
      <c r="D323">
        <v>1</v>
      </c>
      <c r="E323" t="s">
        <v>42</v>
      </c>
      <c r="F323" t="s">
        <v>114</v>
      </c>
      <c r="G323">
        <v>2</v>
      </c>
      <c r="H323">
        <v>1433</v>
      </c>
      <c r="I323">
        <v>1432</v>
      </c>
      <c r="J323">
        <v>0</v>
      </c>
      <c r="K323">
        <f>29.5-13.75</f>
        <v>15.75</v>
      </c>
      <c r="L323" t="s">
        <v>38</v>
      </c>
      <c r="M323">
        <v>3</v>
      </c>
    </row>
    <row r="324" spans="1:13" x14ac:dyDescent="0.25">
      <c r="A324" s="4">
        <v>43321</v>
      </c>
      <c r="B324" t="s">
        <v>30</v>
      </c>
      <c r="C324">
        <v>1</v>
      </c>
      <c r="D324">
        <v>1</v>
      </c>
      <c r="E324" t="s">
        <v>42</v>
      </c>
      <c r="F324" t="s">
        <v>114</v>
      </c>
      <c r="G324">
        <v>1</v>
      </c>
      <c r="H324">
        <v>1437</v>
      </c>
      <c r="I324">
        <v>1436</v>
      </c>
      <c r="J324">
        <v>0</v>
      </c>
      <c r="K324">
        <f>26.5-10.5</f>
        <v>16</v>
      </c>
      <c r="L324" t="s">
        <v>65</v>
      </c>
      <c r="M324">
        <v>3</v>
      </c>
    </row>
    <row r="325" spans="1:13" x14ac:dyDescent="0.25">
      <c r="A325" s="4">
        <v>43321</v>
      </c>
      <c r="B325" t="s">
        <v>30</v>
      </c>
      <c r="C325">
        <v>1</v>
      </c>
      <c r="D325">
        <v>1</v>
      </c>
      <c r="E325" t="s">
        <v>42</v>
      </c>
      <c r="F325" t="s">
        <v>114</v>
      </c>
      <c r="G325">
        <v>2</v>
      </c>
      <c r="H325">
        <v>1439</v>
      </c>
      <c r="I325">
        <v>1438</v>
      </c>
      <c r="J325">
        <v>0</v>
      </c>
      <c r="K325">
        <f>26.5-10.5</f>
        <v>16</v>
      </c>
      <c r="L325" t="s">
        <v>38</v>
      </c>
      <c r="M325">
        <v>3</v>
      </c>
    </row>
    <row r="326" spans="1:13" x14ac:dyDescent="0.25">
      <c r="A326" s="4">
        <v>43327</v>
      </c>
      <c r="B326" t="s">
        <v>30</v>
      </c>
      <c r="C326">
        <v>7</v>
      </c>
      <c r="D326">
        <v>1</v>
      </c>
      <c r="E326" t="s">
        <v>42</v>
      </c>
      <c r="F326" t="s">
        <v>89</v>
      </c>
      <c r="G326">
        <v>1</v>
      </c>
      <c r="H326">
        <v>1443</v>
      </c>
      <c r="I326">
        <v>1442</v>
      </c>
      <c r="J326">
        <v>0</v>
      </c>
      <c r="K326">
        <f>20.5-9.75</f>
        <v>10.75</v>
      </c>
      <c r="L326" t="s">
        <v>65</v>
      </c>
      <c r="M326">
        <v>3</v>
      </c>
    </row>
    <row r="327" spans="1:13" x14ac:dyDescent="0.25">
      <c r="A327" s="4">
        <v>43327</v>
      </c>
      <c r="B327" t="s">
        <v>30</v>
      </c>
      <c r="C327">
        <v>8</v>
      </c>
      <c r="D327">
        <v>1</v>
      </c>
      <c r="E327" t="s">
        <v>42</v>
      </c>
      <c r="F327" t="s">
        <v>89</v>
      </c>
      <c r="G327">
        <v>1</v>
      </c>
      <c r="H327">
        <v>1450</v>
      </c>
      <c r="I327">
        <v>1449</v>
      </c>
      <c r="J327">
        <v>0</v>
      </c>
      <c r="K327">
        <f>25.5-11</f>
        <v>14.5</v>
      </c>
      <c r="L327" t="s">
        <v>65</v>
      </c>
      <c r="M327">
        <v>3</v>
      </c>
    </row>
    <row r="328" spans="1:13" x14ac:dyDescent="0.25">
      <c r="A328" s="4">
        <v>43312</v>
      </c>
      <c r="B328" t="s">
        <v>30</v>
      </c>
      <c r="C328">
        <v>5</v>
      </c>
      <c r="D328">
        <v>1</v>
      </c>
      <c r="E328" t="s">
        <v>42</v>
      </c>
      <c r="F328" t="s">
        <v>114</v>
      </c>
      <c r="G328">
        <v>1</v>
      </c>
      <c r="H328">
        <v>1453</v>
      </c>
      <c r="I328">
        <v>1454</v>
      </c>
      <c r="J328">
        <v>0</v>
      </c>
      <c r="K328">
        <f>35-15</f>
        <v>20</v>
      </c>
      <c r="L328" t="s">
        <v>65</v>
      </c>
      <c r="M328">
        <v>3</v>
      </c>
    </row>
    <row r="329" spans="1:13" x14ac:dyDescent="0.25">
      <c r="A329" s="4">
        <v>43326</v>
      </c>
      <c r="B329" t="s">
        <v>30</v>
      </c>
      <c r="C329">
        <v>5</v>
      </c>
      <c r="D329">
        <v>1</v>
      </c>
      <c r="E329" t="s">
        <v>35</v>
      </c>
      <c r="F329" t="s">
        <v>114</v>
      </c>
      <c r="G329">
        <v>1</v>
      </c>
      <c r="H329">
        <v>1453</v>
      </c>
      <c r="I329">
        <v>1454</v>
      </c>
      <c r="J329">
        <v>0</v>
      </c>
      <c r="L329" t="s">
        <v>47</v>
      </c>
      <c r="M329">
        <v>3</v>
      </c>
    </row>
    <row r="330" spans="1:13" x14ac:dyDescent="0.25">
      <c r="A330" s="4">
        <v>43312</v>
      </c>
      <c r="B330" t="s">
        <v>30</v>
      </c>
      <c r="C330">
        <v>3</v>
      </c>
      <c r="D330">
        <v>1</v>
      </c>
      <c r="E330" t="s">
        <v>42</v>
      </c>
      <c r="F330" t="s">
        <v>89</v>
      </c>
      <c r="G330">
        <v>1</v>
      </c>
      <c r="H330">
        <v>1456</v>
      </c>
      <c r="I330">
        <v>1455</v>
      </c>
      <c r="J330">
        <v>0</v>
      </c>
      <c r="K330">
        <f>23-10</f>
        <v>13</v>
      </c>
      <c r="L330" t="s">
        <v>65</v>
      </c>
      <c r="M330">
        <v>3</v>
      </c>
    </row>
    <row r="331" spans="1:13" x14ac:dyDescent="0.25">
      <c r="A331" s="4">
        <v>43326</v>
      </c>
      <c r="B331" t="s">
        <v>30</v>
      </c>
      <c r="C331">
        <v>3</v>
      </c>
      <c r="D331">
        <v>1</v>
      </c>
      <c r="E331" t="s">
        <v>42</v>
      </c>
      <c r="F331" t="s">
        <v>114</v>
      </c>
      <c r="G331">
        <v>2</v>
      </c>
      <c r="H331">
        <v>1456</v>
      </c>
      <c r="I331">
        <v>1455</v>
      </c>
      <c r="J331">
        <v>0</v>
      </c>
      <c r="K331">
        <f>26-14</f>
        <v>12</v>
      </c>
      <c r="L331" t="s">
        <v>38</v>
      </c>
      <c r="M331">
        <v>3</v>
      </c>
    </row>
    <row r="332" spans="1:13" x14ac:dyDescent="0.25">
      <c r="A332" s="4">
        <v>43312</v>
      </c>
      <c r="B332" t="s">
        <v>30</v>
      </c>
      <c r="C332">
        <v>3</v>
      </c>
      <c r="D332">
        <v>1</v>
      </c>
      <c r="E332" t="s">
        <v>42</v>
      </c>
      <c r="F332" t="s">
        <v>89</v>
      </c>
      <c r="G332">
        <v>2</v>
      </c>
      <c r="H332">
        <v>1458</v>
      </c>
      <c r="I332">
        <v>1457</v>
      </c>
      <c r="J332">
        <v>1</v>
      </c>
      <c r="K332">
        <f>24.5-11</f>
        <v>13.5</v>
      </c>
      <c r="L332" t="s">
        <v>38</v>
      </c>
      <c r="M332">
        <v>3</v>
      </c>
    </row>
    <row r="333" spans="1:13" x14ac:dyDescent="0.25">
      <c r="A333" s="4">
        <v>43313</v>
      </c>
      <c r="B333" t="s">
        <v>30</v>
      </c>
      <c r="C333">
        <v>3</v>
      </c>
      <c r="D333">
        <v>1</v>
      </c>
      <c r="E333" t="s">
        <v>35</v>
      </c>
      <c r="F333" t="s">
        <v>89</v>
      </c>
      <c r="G333">
        <v>2</v>
      </c>
      <c r="H333">
        <v>1458</v>
      </c>
      <c r="I333">
        <v>1457</v>
      </c>
      <c r="J333">
        <v>1</v>
      </c>
      <c r="K333">
        <f>27-14</f>
        <v>13</v>
      </c>
      <c r="L333" t="s">
        <v>38</v>
      </c>
      <c r="M333">
        <v>3</v>
      </c>
    </row>
    <row r="334" spans="1:13" x14ac:dyDescent="0.25">
      <c r="A334" s="4">
        <v>43325</v>
      </c>
      <c r="B334" t="s">
        <v>30</v>
      </c>
      <c r="C334">
        <v>3</v>
      </c>
      <c r="D334">
        <v>1</v>
      </c>
      <c r="E334" t="s">
        <v>35</v>
      </c>
      <c r="F334" t="s">
        <v>89</v>
      </c>
      <c r="G334">
        <v>2</v>
      </c>
      <c r="H334">
        <v>1458</v>
      </c>
      <c r="I334">
        <v>1457</v>
      </c>
      <c r="J334">
        <v>0</v>
      </c>
      <c r="K334">
        <f>26-13</f>
        <v>13</v>
      </c>
      <c r="L334" t="s">
        <v>38</v>
      </c>
      <c r="M334">
        <v>3</v>
      </c>
    </row>
    <row r="335" spans="1:13" x14ac:dyDescent="0.25">
      <c r="A335" s="4">
        <v>43313</v>
      </c>
      <c r="B335" t="s">
        <v>30</v>
      </c>
      <c r="C335">
        <v>3</v>
      </c>
      <c r="D335">
        <v>1</v>
      </c>
      <c r="E335" t="s">
        <v>42</v>
      </c>
      <c r="F335" t="s">
        <v>89</v>
      </c>
      <c r="G335">
        <v>2</v>
      </c>
      <c r="H335">
        <v>1460</v>
      </c>
      <c r="I335">
        <v>1459</v>
      </c>
      <c r="J335">
        <v>0</v>
      </c>
      <c r="K335">
        <f>29.5-16</f>
        <v>13.5</v>
      </c>
      <c r="L335" t="s">
        <v>38</v>
      </c>
      <c r="M335">
        <v>3</v>
      </c>
    </row>
    <row r="336" spans="1:13" x14ac:dyDescent="0.25">
      <c r="A336" s="4">
        <v>43326</v>
      </c>
      <c r="B336" t="s">
        <v>30</v>
      </c>
      <c r="C336">
        <v>3</v>
      </c>
      <c r="D336">
        <v>1</v>
      </c>
      <c r="E336" t="s">
        <v>35</v>
      </c>
      <c r="F336" t="s">
        <v>114</v>
      </c>
      <c r="G336">
        <v>2</v>
      </c>
      <c r="H336">
        <v>1460</v>
      </c>
      <c r="I336">
        <v>1459</v>
      </c>
      <c r="J336">
        <v>0</v>
      </c>
      <c r="K336">
        <f>36.5-19</f>
        <v>17.5</v>
      </c>
      <c r="L336" t="s">
        <v>38</v>
      </c>
      <c r="M336">
        <v>3</v>
      </c>
    </row>
    <row r="337" spans="1:13" x14ac:dyDescent="0.25">
      <c r="A337" s="4">
        <v>43327</v>
      </c>
      <c r="B337" t="s">
        <v>30</v>
      </c>
      <c r="C337">
        <v>3</v>
      </c>
      <c r="D337">
        <v>1</v>
      </c>
      <c r="E337" t="s">
        <v>35</v>
      </c>
      <c r="F337" t="s">
        <v>114</v>
      </c>
      <c r="G337">
        <v>2</v>
      </c>
      <c r="H337">
        <v>1460</v>
      </c>
      <c r="I337">
        <v>1459</v>
      </c>
      <c r="J337">
        <v>0</v>
      </c>
      <c r="K337">
        <f>34-20</f>
        <v>14</v>
      </c>
      <c r="L337" t="s">
        <v>38</v>
      </c>
      <c r="M337">
        <v>3</v>
      </c>
    </row>
    <row r="338" spans="1:13" x14ac:dyDescent="0.25">
      <c r="A338" s="4">
        <v>43318</v>
      </c>
      <c r="B338" t="s">
        <v>30</v>
      </c>
      <c r="C338">
        <v>7</v>
      </c>
      <c r="D338">
        <v>1</v>
      </c>
      <c r="E338" t="s">
        <v>42</v>
      </c>
      <c r="F338" t="s">
        <v>114</v>
      </c>
      <c r="G338">
        <v>2</v>
      </c>
      <c r="H338">
        <v>1464</v>
      </c>
      <c r="I338">
        <v>1463</v>
      </c>
      <c r="J338">
        <v>0</v>
      </c>
      <c r="K338">
        <f>30.5-14.5</f>
        <v>16</v>
      </c>
      <c r="L338" t="s">
        <v>38</v>
      </c>
      <c r="M338">
        <v>3</v>
      </c>
    </row>
    <row r="339" spans="1:13" x14ac:dyDescent="0.25">
      <c r="A339" s="4">
        <v>43326</v>
      </c>
      <c r="B339" t="s">
        <v>30</v>
      </c>
      <c r="C339">
        <v>7</v>
      </c>
      <c r="D339">
        <v>1</v>
      </c>
      <c r="E339" t="s">
        <v>35</v>
      </c>
      <c r="F339" t="s">
        <v>114</v>
      </c>
      <c r="G339">
        <v>2</v>
      </c>
      <c r="H339">
        <v>1464</v>
      </c>
      <c r="I339">
        <v>1463</v>
      </c>
      <c r="J339">
        <v>1</v>
      </c>
      <c r="K339">
        <f>31-17</f>
        <v>14</v>
      </c>
      <c r="L339" t="s">
        <v>38</v>
      </c>
      <c r="M339">
        <v>3</v>
      </c>
    </row>
    <row r="340" spans="1:13" x14ac:dyDescent="0.25">
      <c r="A340" s="4">
        <v>43327</v>
      </c>
      <c r="B340" t="s">
        <v>30</v>
      </c>
      <c r="C340">
        <v>7</v>
      </c>
      <c r="D340">
        <v>1</v>
      </c>
      <c r="E340" t="s">
        <v>35</v>
      </c>
      <c r="F340" t="s">
        <v>114</v>
      </c>
      <c r="G340">
        <v>2</v>
      </c>
      <c r="H340">
        <v>1464</v>
      </c>
      <c r="I340">
        <v>1463</v>
      </c>
      <c r="J340">
        <v>1</v>
      </c>
      <c r="K340">
        <f>24.5-10.5</f>
        <v>14</v>
      </c>
      <c r="L340" t="s">
        <v>38</v>
      </c>
      <c r="M340">
        <v>3</v>
      </c>
    </row>
    <row r="341" spans="1:13" x14ac:dyDescent="0.25">
      <c r="A341" s="4">
        <v>43318</v>
      </c>
      <c r="B341" t="s">
        <v>30</v>
      </c>
      <c r="C341">
        <v>7</v>
      </c>
      <c r="D341">
        <v>1</v>
      </c>
      <c r="E341" t="s">
        <v>42</v>
      </c>
      <c r="F341" t="s">
        <v>36</v>
      </c>
      <c r="G341">
        <v>1</v>
      </c>
      <c r="H341">
        <v>1466</v>
      </c>
      <c r="I341">
        <v>1465</v>
      </c>
      <c r="J341">
        <v>0</v>
      </c>
      <c r="K341">
        <f>33-17.5</f>
        <v>15.5</v>
      </c>
      <c r="L341" t="s">
        <v>65</v>
      </c>
      <c r="M341">
        <v>3</v>
      </c>
    </row>
    <row r="342" spans="1:13" x14ac:dyDescent="0.25">
      <c r="A342" s="4">
        <v>43318</v>
      </c>
      <c r="B342" t="s">
        <v>30</v>
      </c>
      <c r="C342">
        <v>7</v>
      </c>
      <c r="D342">
        <v>1</v>
      </c>
      <c r="E342" t="s">
        <v>42</v>
      </c>
      <c r="F342" t="s">
        <v>36</v>
      </c>
      <c r="G342">
        <v>2</v>
      </c>
      <c r="H342">
        <v>1468</v>
      </c>
      <c r="I342">
        <v>1467</v>
      </c>
      <c r="J342">
        <v>1</v>
      </c>
      <c r="K342">
        <f>34-19.5</f>
        <v>14.5</v>
      </c>
      <c r="L342" t="s">
        <v>83</v>
      </c>
      <c r="M342">
        <v>3</v>
      </c>
    </row>
    <row r="343" spans="1:13" x14ac:dyDescent="0.25">
      <c r="A343" s="4">
        <v>43318</v>
      </c>
      <c r="B343" t="s">
        <v>30</v>
      </c>
      <c r="C343">
        <v>8</v>
      </c>
      <c r="D343">
        <v>1</v>
      </c>
      <c r="E343" t="s">
        <v>42</v>
      </c>
      <c r="F343" t="s">
        <v>36</v>
      </c>
      <c r="G343">
        <v>2</v>
      </c>
      <c r="H343">
        <v>1470</v>
      </c>
      <c r="I343">
        <v>1469</v>
      </c>
      <c r="J343">
        <v>0</v>
      </c>
      <c r="K343">
        <f>31-13</f>
        <v>18</v>
      </c>
      <c r="L343" t="s">
        <v>1039</v>
      </c>
      <c r="M343">
        <v>3</v>
      </c>
    </row>
    <row r="344" spans="1:13" x14ac:dyDescent="0.25">
      <c r="A344" s="4">
        <v>43318</v>
      </c>
      <c r="B344" t="s">
        <v>30</v>
      </c>
      <c r="C344">
        <v>8</v>
      </c>
      <c r="D344">
        <v>1</v>
      </c>
      <c r="E344" t="s">
        <v>42</v>
      </c>
      <c r="F344" t="s">
        <v>114</v>
      </c>
      <c r="G344">
        <v>2</v>
      </c>
      <c r="H344">
        <v>1472</v>
      </c>
      <c r="I344">
        <v>1471</v>
      </c>
      <c r="J344">
        <v>0</v>
      </c>
      <c r="K344">
        <f>31-17</f>
        <v>14</v>
      </c>
      <c r="L344" t="s">
        <v>38</v>
      </c>
      <c r="M344">
        <v>3</v>
      </c>
    </row>
    <row r="345" spans="1:13" x14ac:dyDescent="0.25">
      <c r="A345" s="4">
        <v>43305</v>
      </c>
      <c r="B345" t="s">
        <v>30</v>
      </c>
      <c r="C345">
        <v>1</v>
      </c>
      <c r="D345">
        <v>1</v>
      </c>
      <c r="E345" t="s">
        <v>35</v>
      </c>
      <c r="F345" t="s">
        <v>114</v>
      </c>
      <c r="G345">
        <v>1</v>
      </c>
      <c r="H345">
        <v>1475</v>
      </c>
      <c r="I345">
        <v>1474</v>
      </c>
      <c r="J345">
        <v>0</v>
      </c>
      <c r="K345">
        <f>29.5-15</f>
        <v>14.5</v>
      </c>
      <c r="L345" t="s">
        <v>65</v>
      </c>
      <c r="M345">
        <v>3</v>
      </c>
    </row>
    <row r="346" spans="1:13" x14ac:dyDescent="0.25">
      <c r="A346" s="4">
        <v>43320</v>
      </c>
      <c r="B346" t="s">
        <v>30</v>
      </c>
      <c r="C346">
        <v>2</v>
      </c>
      <c r="D346">
        <v>1</v>
      </c>
      <c r="E346" t="s">
        <v>42</v>
      </c>
      <c r="F346" t="s">
        <v>114</v>
      </c>
      <c r="G346">
        <v>2</v>
      </c>
      <c r="H346">
        <v>1502</v>
      </c>
      <c r="I346">
        <v>1501</v>
      </c>
      <c r="J346">
        <v>0</v>
      </c>
      <c r="K346">
        <f>33-18</f>
        <v>15</v>
      </c>
      <c r="L346" t="s">
        <v>38</v>
      </c>
      <c r="M346">
        <v>3</v>
      </c>
    </row>
    <row r="347" spans="1:13" x14ac:dyDescent="0.25">
      <c r="A347" s="4">
        <v>43321</v>
      </c>
      <c r="B347" t="s">
        <v>30</v>
      </c>
      <c r="C347">
        <v>2</v>
      </c>
      <c r="D347">
        <v>1</v>
      </c>
      <c r="E347" t="s">
        <v>35</v>
      </c>
      <c r="F347" t="s">
        <v>114</v>
      </c>
      <c r="G347">
        <v>1</v>
      </c>
      <c r="H347">
        <v>1502</v>
      </c>
      <c r="I347">
        <v>1501</v>
      </c>
      <c r="J347">
        <v>0</v>
      </c>
      <c r="K347">
        <f>26-12</f>
        <v>14</v>
      </c>
      <c r="L347" t="s">
        <v>65</v>
      </c>
      <c r="M347">
        <v>3</v>
      </c>
    </row>
    <row r="348" spans="1:13" x14ac:dyDescent="0.25">
      <c r="A348" s="4">
        <v>43320</v>
      </c>
      <c r="B348" t="s">
        <v>30</v>
      </c>
      <c r="C348">
        <v>2</v>
      </c>
      <c r="D348">
        <v>1</v>
      </c>
      <c r="E348" t="s">
        <v>42</v>
      </c>
      <c r="F348" t="s">
        <v>114</v>
      </c>
      <c r="G348">
        <v>1</v>
      </c>
      <c r="H348">
        <v>1504</v>
      </c>
      <c r="I348">
        <v>1503</v>
      </c>
      <c r="J348">
        <v>0</v>
      </c>
      <c r="K348">
        <f>33-15</f>
        <v>18</v>
      </c>
      <c r="L348" t="s">
        <v>65</v>
      </c>
      <c r="M348">
        <v>3</v>
      </c>
    </row>
    <row r="349" spans="1:13" x14ac:dyDescent="0.25">
      <c r="A349" s="4">
        <v>43320</v>
      </c>
      <c r="B349" t="s">
        <v>30</v>
      </c>
      <c r="C349">
        <v>2</v>
      </c>
      <c r="D349">
        <v>1</v>
      </c>
      <c r="E349" t="s">
        <v>42</v>
      </c>
      <c r="F349" t="s">
        <v>89</v>
      </c>
      <c r="G349">
        <v>2</v>
      </c>
      <c r="H349">
        <v>1506</v>
      </c>
      <c r="I349">
        <v>1505</v>
      </c>
      <c r="J349">
        <v>0</v>
      </c>
      <c r="K349">
        <f>32-19</f>
        <v>13</v>
      </c>
      <c r="L349" t="s">
        <v>38</v>
      </c>
      <c r="M349">
        <v>3</v>
      </c>
    </row>
    <row r="350" spans="1:13" x14ac:dyDescent="0.25">
      <c r="A350" s="4">
        <v>43320</v>
      </c>
      <c r="B350" t="s">
        <v>30</v>
      </c>
      <c r="C350">
        <v>2</v>
      </c>
      <c r="D350">
        <v>1</v>
      </c>
      <c r="E350" t="s">
        <v>42</v>
      </c>
      <c r="F350" t="s">
        <v>36</v>
      </c>
      <c r="G350">
        <v>2</v>
      </c>
      <c r="H350">
        <v>1508</v>
      </c>
      <c r="I350">
        <v>1507</v>
      </c>
      <c r="J350">
        <v>0</v>
      </c>
      <c r="K350">
        <f>32-12</f>
        <v>20</v>
      </c>
      <c r="L350" t="s">
        <v>38</v>
      </c>
      <c r="M350">
        <v>3</v>
      </c>
    </row>
    <row r="351" spans="1:13" x14ac:dyDescent="0.25">
      <c r="A351" s="4">
        <v>43320</v>
      </c>
      <c r="B351" t="s">
        <v>30</v>
      </c>
      <c r="C351">
        <v>2</v>
      </c>
      <c r="D351">
        <v>1</v>
      </c>
      <c r="E351" t="s">
        <v>42</v>
      </c>
      <c r="F351" t="s">
        <v>89</v>
      </c>
      <c r="G351">
        <v>2</v>
      </c>
      <c r="H351">
        <v>1510</v>
      </c>
      <c r="I351">
        <v>1509</v>
      </c>
      <c r="J351">
        <v>0</v>
      </c>
      <c r="K351">
        <f>26.5-12</f>
        <v>14.5</v>
      </c>
      <c r="L351" t="s">
        <v>38</v>
      </c>
      <c r="M351">
        <v>3</v>
      </c>
    </row>
    <row r="352" spans="1:13" x14ac:dyDescent="0.25">
      <c r="A352" s="4">
        <v>43321</v>
      </c>
      <c r="B352" t="s">
        <v>30</v>
      </c>
      <c r="C352">
        <v>2</v>
      </c>
      <c r="D352">
        <v>1</v>
      </c>
      <c r="E352" t="s">
        <v>42</v>
      </c>
      <c r="F352" t="s">
        <v>114</v>
      </c>
      <c r="G352">
        <v>1</v>
      </c>
      <c r="H352">
        <v>1514</v>
      </c>
      <c r="I352">
        <v>1513</v>
      </c>
      <c r="J352">
        <v>0</v>
      </c>
      <c r="K352">
        <f>30-17</f>
        <v>13</v>
      </c>
      <c r="L352" t="s">
        <v>65</v>
      </c>
      <c r="M352">
        <v>3</v>
      </c>
    </row>
    <row r="353" spans="1:13" x14ac:dyDescent="0.25">
      <c r="A353" s="4">
        <v>43321</v>
      </c>
      <c r="B353" t="s">
        <v>30</v>
      </c>
      <c r="C353">
        <v>2</v>
      </c>
      <c r="D353">
        <v>1</v>
      </c>
      <c r="E353" t="s">
        <v>42</v>
      </c>
      <c r="F353" t="s">
        <v>89</v>
      </c>
      <c r="G353">
        <v>1</v>
      </c>
      <c r="H353">
        <v>1516</v>
      </c>
      <c r="I353">
        <v>1515</v>
      </c>
      <c r="J353">
        <v>0</v>
      </c>
      <c r="K353">
        <f>27.5-13</f>
        <v>14.5</v>
      </c>
      <c r="L353" t="s">
        <v>65</v>
      </c>
      <c r="M353">
        <v>3</v>
      </c>
    </row>
    <row r="354" spans="1:13" x14ac:dyDescent="0.25">
      <c r="A354" s="4">
        <v>43325</v>
      </c>
      <c r="B354" t="s">
        <v>30</v>
      </c>
      <c r="C354">
        <v>7</v>
      </c>
      <c r="D354">
        <v>1</v>
      </c>
      <c r="E354" t="s">
        <v>42</v>
      </c>
      <c r="F354" t="s">
        <v>114</v>
      </c>
      <c r="G354">
        <v>1</v>
      </c>
      <c r="H354">
        <v>1522</v>
      </c>
      <c r="I354">
        <v>1521</v>
      </c>
      <c r="J354">
        <v>0</v>
      </c>
      <c r="K354">
        <f>29-14</f>
        <v>15</v>
      </c>
      <c r="L354" t="s">
        <v>65</v>
      </c>
      <c r="M354">
        <v>3</v>
      </c>
    </row>
    <row r="355" spans="1:13" x14ac:dyDescent="0.25">
      <c r="A355" s="4">
        <v>43326</v>
      </c>
      <c r="B355" t="s">
        <v>30</v>
      </c>
      <c r="C355">
        <v>7</v>
      </c>
      <c r="D355">
        <v>1</v>
      </c>
      <c r="E355" t="s">
        <v>35</v>
      </c>
      <c r="F355" t="s">
        <v>114</v>
      </c>
      <c r="G355">
        <v>1</v>
      </c>
      <c r="H355">
        <v>1522</v>
      </c>
      <c r="I355">
        <v>1521</v>
      </c>
      <c r="J355">
        <v>0</v>
      </c>
      <c r="K355">
        <f>33.5-19.5</f>
        <v>14</v>
      </c>
      <c r="L355" t="s">
        <v>65</v>
      </c>
      <c r="M355">
        <v>3</v>
      </c>
    </row>
    <row r="356" spans="1:13" x14ac:dyDescent="0.25">
      <c r="A356" s="4">
        <v>43327</v>
      </c>
      <c r="B356" t="s">
        <v>30</v>
      </c>
      <c r="C356">
        <v>7</v>
      </c>
      <c r="D356">
        <v>1</v>
      </c>
      <c r="E356" t="s">
        <v>35</v>
      </c>
      <c r="F356" t="s">
        <v>114</v>
      </c>
      <c r="G356">
        <v>1</v>
      </c>
      <c r="H356">
        <v>1522</v>
      </c>
      <c r="I356">
        <v>1521</v>
      </c>
      <c r="J356">
        <v>0</v>
      </c>
      <c r="K356">
        <f>27-11.5</f>
        <v>15.5</v>
      </c>
      <c r="L356" t="s">
        <v>65</v>
      </c>
      <c r="M356">
        <v>3</v>
      </c>
    </row>
    <row r="357" spans="1:13" x14ac:dyDescent="0.25">
      <c r="A357" s="4">
        <v>43325</v>
      </c>
      <c r="B357" t="s">
        <v>30</v>
      </c>
      <c r="C357">
        <v>8</v>
      </c>
      <c r="D357">
        <v>1</v>
      </c>
      <c r="E357" t="s">
        <v>42</v>
      </c>
      <c r="F357" t="s">
        <v>114</v>
      </c>
      <c r="G357">
        <v>1</v>
      </c>
      <c r="H357">
        <v>1525</v>
      </c>
      <c r="I357">
        <v>1524</v>
      </c>
      <c r="J357">
        <v>1</v>
      </c>
      <c r="K357">
        <f>29-9.5</f>
        <v>19.5</v>
      </c>
      <c r="L357" t="s">
        <v>65</v>
      </c>
      <c r="M357">
        <v>3</v>
      </c>
    </row>
    <row r="358" spans="1:13" x14ac:dyDescent="0.25">
      <c r="A358" s="4">
        <v>43326</v>
      </c>
      <c r="B358" t="s">
        <v>30</v>
      </c>
      <c r="C358">
        <v>8</v>
      </c>
      <c r="D358">
        <v>1</v>
      </c>
      <c r="E358" t="s">
        <v>35</v>
      </c>
      <c r="F358" t="s">
        <v>89</v>
      </c>
      <c r="G358">
        <v>1</v>
      </c>
      <c r="H358">
        <v>1525</v>
      </c>
      <c r="I358">
        <v>1524</v>
      </c>
      <c r="J358">
        <v>1</v>
      </c>
      <c r="K358">
        <f>27.5-13</f>
        <v>14.5</v>
      </c>
      <c r="L358" t="s">
        <v>65</v>
      </c>
      <c r="M358">
        <v>3</v>
      </c>
    </row>
    <row r="359" spans="1:13" x14ac:dyDescent="0.25">
      <c r="A359" s="4">
        <v>43325</v>
      </c>
      <c r="B359" t="s">
        <v>30</v>
      </c>
      <c r="C359">
        <v>8</v>
      </c>
      <c r="D359">
        <v>1</v>
      </c>
      <c r="E359" t="s">
        <v>42</v>
      </c>
      <c r="F359" t="s">
        <v>114</v>
      </c>
      <c r="G359">
        <v>1</v>
      </c>
      <c r="H359">
        <v>1552</v>
      </c>
      <c r="I359">
        <v>1551</v>
      </c>
      <c r="J359">
        <v>0</v>
      </c>
      <c r="K359">
        <f>32-16</f>
        <v>16</v>
      </c>
      <c r="L359" t="s">
        <v>65</v>
      </c>
      <c r="M359">
        <v>3</v>
      </c>
    </row>
    <row r="360" spans="1:13" x14ac:dyDescent="0.25">
      <c r="A360" s="4">
        <v>43326</v>
      </c>
      <c r="B360" t="s">
        <v>30</v>
      </c>
      <c r="C360">
        <v>8</v>
      </c>
      <c r="D360">
        <v>1</v>
      </c>
      <c r="E360" t="s">
        <v>35</v>
      </c>
      <c r="F360" t="s">
        <v>114</v>
      </c>
      <c r="G360">
        <v>1</v>
      </c>
      <c r="H360">
        <v>1552</v>
      </c>
      <c r="I360">
        <v>1551</v>
      </c>
      <c r="J360">
        <v>0</v>
      </c>
      <c r="K360">
        <f>30-14</f>
        <v>16</v>
      </c>
      <c r="L360" t="s">
        <v>65</v>
      </c>
      <c r="M360">
        <v>3</v>
      </c>
    </row>
    <row r="361" spans="1:13" x14ac:dyDescent="0.25">
      <c r="A361" s="4">
        <v>43327</v>
      </c>
      <c r="B361" t="s">
        <v>30</v>
      </c>
      <c r="C361">
        <v>8</v>
      </c>
      <c r="D361">
        <v>1</v>
      </c>
      <c r="E361" t="s">
        <v>35</v>
      </c>
      <c r="F361" t="s">
        <v>36</v>
      </c>
      <c r="G361">
        <v>1</v>
      </c>
      <c r="H361">
        <v>1552</v>
      </c>
      <c r="I361">
        <v>1551</v>
      </c>
      <c r="J361">
        <v>0</v>
      </c>
      <c r="K361">
        <f>27.5-11.5</f>
        <v>16</v>
      </c>
      <c r="L361" t="s">
        <v>65</v>
      </c>
      <c r="M361">
        <v>3</v>
      </c>
    </row>
    <row r="362" spans="1:13" x14ac:dyDescent="0.25">
      <c r="A362" s="4">
        <v>43325</v>
      </c>
      <c r="B362" t="s">
        <v>30</v>
      </c>
      <c r="C362">
        <v>8</v>
      </c>
      <c r="D362">
        <v>1</v>
      </c>
      <c r="E362" t="s">
        <v>42</v>
      </c>
      <c r="F362" t="s">
        <v>114</v>
      </c>
      <c r="G362">
        <v>2</v>
      </c>
      <c r="H362">
        <v>1554</v>
      </c>
      <c r="I362">
        <v>1553</v>
      </c>
      <c r="J362">
        <v>0</v>
      </c>
      <c r="K362">
        <f>31-16.5</f>
        <v>14.5</v>
      </c>
      <c r="L362" t="s">
        <v>38</v>
      </c>
      <c r="M362">
        <v>3</v>
      </c>
    </row>
    <row r="363" spans="1:13" x14ac:dyDescent="0.25">
      <c r="A363" s="4">
        <v>43327</v>
      </c>
      <c r="B363" t="s">
        <v>30</v>
      </c>
      <c r="C363">
        <v>8</v>
      </c>
      <c r="D363">
        <v>1</v>
      </c>
      <c r="E363" t="s">
        <v>35</v>
      </c>
      <c r="F363" t="s">
        <v>114</v>
      </c>
      <c r="G363">
        <v>2</v>
      </c>
      <c r="H363">
        <v>1554</v>
      </c>
      <c r="I363">
        <v>1553</v>
      </c>
      <c r="J363">
        <v>0</v>
      </c>
      <c r="L363" t="s">
        <v>38</v>
      </c>
      <c r="M363">
        <v>3</v>
      </c>
    </row>
    <row r="364" spans="1:13" x14ac:dyDescent="0.25">
      <c r="A364" s="4">
        <v>43326</v>
      </c>
      <c r="B364" t="s">
        <v>30</v>
      </c>
      <c r="C364">
        <v>7</v>
      </c>
      <c r="D364">
        <v>1</v>
      </c>
      <c r="E364" t="s">
        <v>42</v>
      </c>
      <c r="F364" t="s">
        <v>89</v>
      </c>
      <c r="G364">
        <v>2</v>
      </c>
      <c r="H364">
        <v>1557</v>
      </c>
      <c r="I364">
        <v>1556</v>
      </c>
      <c r="J364">
        <v>0</v>
      </c>
      <c r="K364">
        <f>26-12</f>
        <v>14</v>
      </c>
      <c r="L364" t="s">
        <v>38</v>
      </c>
      <c r="M364">
        <v>3</v>
      </c>
    </row>
    <row r="365" spans="1:13" x14ac:dyDescent="0.25">
      <c r="A365" s="4">
        <v>43327</v>
      </c>
      <c r="B365" t="s">
        <v>30</v>
      </c>
      <c r="C365">
        <v>7</v>
      </c>
      <c r="D365">
        <v>1</v>
      </c>
      <c r="E365" t="s">
        <v>35</v>
      </c>
      <c r="F365" t="s">
        <v>89</v>
      </c>
      <c r="G365">
        <v>2</v>
      </c>
      <c r="H365">
        <v>1557</v>
      </c>
      <c r="I365">
        <v>1556</v>
      </c>
      <c r="J365">
        <v>0</v>
      </c>
      <c r="K365">
        <f>24.5-11</f>
        <v>13.5</v>
      </c>
      <c r="L365" t="s">
        <v>38</v>
      </c>
      <c r="M365">
        <v>3</v>
      </c>
    </row>
    <row r="366" spans="1:13" x14ac:dyDescent="0.25">
      <c r="A366" s="4">
        <v>43326</v>
      </c>
      <c r="B366" t="s">
        <v>30</v>
      </c>
      <c r="C366">
        <v>8</v>
      </c>
      <c r="D366">
        <v>1</v>
      </c>
      <c r="E366" t="s">
        <v>42</v>
      </c>
      <c r="F366" t="s">
        <v>89</v>
      </c>
      <c r="G366">
        <v>2</v>
      </c>
      <c r="H366">
        <v>1560</v>
      </c>
      <c r="I366">
        <v>1559</v>
      </c>
      <c r="J366">
        <v>0</v>
      </c>
      <c r="K366">
        <f>27.5-13</f>
        <v>14.5</v>
      </c>
      <c r="L366" t="s">
        <v>38</v>
      </c>
      <c r="M366">
        <v>3</v>
      </c>
    </row>
    <row r="367" spans="1:13" x14ac:dyDescent="0.25">
      <c r="A367" s="4">
        <v>43326</v>
      </c>
      <c r="B367" t="s">
        <v>30</v>
      </c>
      <c r="C367">
        <v>8</v>
      </c>
      <c r="D367">
        <v>1</v>
      </c>
      <c r="E367" t="s">
        <v>42</v>
      </c>
      <c r="F367" t="s">
        <v>89</v>
      </c>
      <c r="G367">
        <v>2</v>
      </c>
      <c r="H367">
        <v>1562</v>
      </c>
      <c r="I367">
        <v>1561</v>
      </c>
      <c r="J367">
        <v>0</v>
      </c>
      <c r="K367">
        <f>28-14</f>
        <v>14</v>
      </c>
      <c r="L367" t="s">
        <v>38</v>
      </c>
      <c r="M367">
        <v>3</v>
      </c>
    </row>
    <row r="368" spans="1:13" x14ac:dyDescent="0.25">
      <c r="A368" s="4">
        <v>43327</v>
      </c>
      <c r="B368" t="s">
        <v>30</v>
      </c>
      <c r="C368">
        <v>8</v>
      </c>
      <c r="D368">
        <v>1</v>
      </c>
      <c r="E368" t="s">
        <v>35</v>
      </c>
      <c r="F368" t="s">
        <v>89</v>
      </c>
      <c r="G368">
        <v>2</v>
      </c>
      <c r="H368">
        <v>1562</v>
      </c>
      <c r="I368">
        <v>1561</v>
      </c>
      <c r="J368">
        <v>0</v>
      </c>
      <c r="K368">
        <f>27-12</f>
        <v>15</v>
      </c>
      <c r="L368" t="s">
        <v>38</v>
      </c>
      <c r="M368">
        <v>3</v>
      </c>
    </row>
    <row r="369" spans="1:13" x14ac:dyDescent="0.25">
      <c r="A369" s="4">
        <v>43326</v>
      </c>
      <c r="B369" t="s">
        <v>30</v>
      </c>
      <c r="C369">
        <v>8</v>
      </c>
      <c r="D369">
        <v>1</v>
      </c>
      <c r="E369" t="s">
        <v>42</v>
      </c>
      <c r="F369" t="s">
        <v>89</v>
      </c>
      <c r="G369">
        <v>1</v>
      </c>
      <c r="H369">
        <v>1564</v>
      </c>
      <c r="I369">
        <v>1563</v>
      </c>
      <c r="J369">
        <v>0</v>
      </c>
      <c r="K369">
        <f>23-10.5</f>
        <v>12.5</v>
      </c>
      <c r="L369" t="s">
        <v>65</v>
      </c>
      <c r="M369">
        <v>3</v>
      </c>
    </row>
    <row r="370" spans="1:13" x14ac:dyDescent="0.25">
      <c r="A370" s="4">
        <v>43326</v>
      </c>
      <c r="B370" t="s">
        <v>30</v>
      </c>
      <c r="C370">
        <v>8</v>
      </c>
      <c r="D370">
        <v>1</v>
      </c>
      <c r="E370" t="s">
        <v>42</v>
      </c>
      <c r="F370" t="s">
        <v>89</v>
      </c>
      <c r="G370">
        <v>1</v>
      </c>
      <c r="H370">
        <v>1566</v>
      </c>
      <c r="I370">
        <v>1565</v>
      </c>
      <c r="J370">
        <v>0</v>
      </c>
      <c r="K370">
        <f>28-11.5</f>
        <v>16.5</v>
      </c>
      <c r="L370" t="s">
        <v>65</v>
      </c>
      <c r="M370">
        <v>3</v>
      </c>
    </row>
    <row r="371" spans="1:13" x14ac:dyDescent="0.25">
      <c r="A371" s="4">
        <v>43326</v>
      </c>
      <c r="B371" t="s">
        <v>30</v>
      </c>
      <c r="C371">
        <v>8</v>
      </c>
      <c r="D371">
        <v>1</v>
      </c>
      <c r="E371" t="s">
        <v>42</v>
      </c>
      <c r="F371" t="s">
        <v>89</v>
      </c>
      <c r="G371">
        <v>1</v>
      </c>
      <c r="H371">
        <v>1568</v>
      </c>
      <c r="I371">
        <v>1567</v>
      </c>
      <c r="J371">
        <v>0</v>
      </c>
      <c r="K371">
        <f>27-12</f>
        <v>15</v>
      </c>
      <c r="L371" t="s">
        <v>65</v>
      </c>
      <c r="M371">
        <v>3</v>
      </c>
    </row>
    <row r="372" spans="1:13" x14ac:dyDescent="0.25">
      <c r="A372" s="4">
        <v>43327</v>
      </c>
      <c r="B372" t="s">
        <v>30</v>
      </c>
      <c r="C372">
        <v>8</v>
      </c>
      <c r="D372">
        <v>1</v>
      </c>
      <c r="E372" t="s">
        <v>35</v>
      </c>
      <c r="F372" t="s">
        <v>89</v>
      </c>
      <c r="G372">
        <v>1</v>
      </c>
      <c r="H372">
        <v>1568</v>
      </c>
      <c r="I372">
        <v>1567</v>
      </c>
      <c r="J372">
        <v>0</v>
      </c>
      <c r="K372">
        <f>25.75-10.25</f>
        <v>15.5</v>
      </c>
      <c r="L372" t="s">
        <v>65</v>
      </c>
      <c r="M372">
        <v>3</v>
      </c>
    </row>
    <row r="373" spans="1:13" x14ac:dyDescent="0.25">
      <c r="A373" s="4">
        <v>43304</v>
      </c>
      <c r="B373" t="s">
        <v>30</v>
      </c>
      <c r="C373">
        <v>2</v>
      </c>
      <c r="D373">
        <v>1</v>
      </c>
      <c r="E373" t="s">
        <v>35</v>
      </c>
      <c r="F373" t="s">
        <v>114</v>
      </c>
      <c r="G373">
        <v>1</v>
      </c>
      <c r="H373">
        <v>2196</v>
      </c>
      <c r="I373">
        <v>2195</v>
      </c>
      <c r="J373">
        <v>0</v>
      </c>
      <c r="K373">
        <f>24-11</f>
        <v>13</v>
      </c>
      <c r="L373" t="s">
        <v>65</v>
      </c>
      <c r="M373">
        <v>3</v>
      </c>
    </row>
    <row r="374" spans="1:13" x14ac:dyDescent="0.25">
      <c r="A374" s="4">
        <v>43292</v>
      </c>
      <c r="B374" t="s">
        <v>30</v>
      </c>
      <c r="C374">
        <v>1</v>
      </c>
      <c r="D374">
        <v>1</v>
      </c>
      <c r="E374" t="s">
        <v>35</v>
      </c>
      <c r="F374" t="s">
        <v>36</v>
      </c>
      <c r="G374">
        <v>2</v>
      </c>
      <c r="H374">
        <v>2406</v>
      </c>
      <c r="I374">
        <v>2405</v>
      </c>
      <c r="J374">
        <v>0</v>
      </c>
      <c r="K374">
        <f>30.75-11</f>
        <v>19.75</v>
      </c>
      <c r="L374" t="s">
        <v>1039</v>
      </c>
      <c r="M374">
        <v>3</v>
      </c>
    </row>
    <row r="375" spans="1:13" x14ac:dyDescent="0.25">
      <c r="A375" s="4">
        <v>43304</v>
      </c>
      <c r="B375" t="s">
        <v>30</v>
      </c>
      <c r="C375">
        <v>1</v>
      </c>
      <c r="D375">
        <v>1</v>
      </c>
      <c r="E375" t="s">
        <v>35</v>
      </c>
      <c r="F375" t="s">
        <v>36</v>
      </c>
      <c r="G375">
        <v>2</v>
      </c>
      <c r="H375">
        <v>2406</v>
      </c>
      <c r="I375">
        <v>2405</v>
      </c>
      <c r="J375">
        <v>0</v>
      </c>
      <c r="K375">
        <f>29-9.5</f>
        <v>19.5</v>
      </c>
      <c r="L375" t="s">
        <v>81</v>
      </c>
      <c r="M375">
        <v>3</v>
      </c>
    </row>
    <row r="376" spans="1:13" x14ac:dyDescent="0.25">
      <c r="A376" s="4">
        <v>43305</v>
      </c>
      <c r="B376" t="s">
        <v>30</v>
      </c>
      <c r="C376">
        <v>1</v>
      </c>
      <c r="D376">
        <v>1</v>
      </c>
      <c r="E376" t="s">
        <v>35</v>
      </c>
      <c r="F376" t="s">
        <v>36</v>
      </c>
      <c r="G376">
        <v>2</v>
      </c>
      <c r="H376">
        <v>2406</v>
      </c>
      <c r="I376">
        <v>2405</v>
      </c>
      <c r="J376">
        <v>0</v>
      </c>
      <c r="L376" t="s">
        <v>81</v>
      </c>
      <c r="M376">
        <v>3</v>
      </c>
    </row>
    <row r="377" spans="1:13" x14ac:dyDescent="0.25">
      <c r="A377" s="4">
        <v>43320</v>
      </c>
      <c r="B377" t="s">
        <v>30</v>
      </c>
      <c r="C377">
        <v>1</v>
      </c>
      <c r="D377">
        <v>1</v>
      </c>
      <c r="E377" t="s">
        <v>35</v>
      </c>
      <c r="F377" t="s">
        <v>36</v>
      </c>
      <c r="G377">
        <v>2</v>
      </c>
      <c r="H377">
        <v>2406</v>
      </c>
      <c r="I377">
        <v>2405</v>
      </c>
      <c r="J377">
        <v>0</v>
      </c>
      <c r="K377">
        <f>32.25-13</f>
        <v>19.25</v>
      </c>
      <c r="L377" t="s">
        <v>83</v>
      </c>
      <c r="M377">
        <v>3</v>
      </c>
    </row>
    <row r="378" spans="1:13" x14ac:dyDescent="0.25">
      <c r="A378" s="4">
        <v>43321</v>
      </c>
      <c r="B378" t="s">
        <v>30</v>
      </c>
      <c r="C378">
        <v>1</v>
      </c>
      <c r="D378">
        <v>1</v>
      </c>
      <c r="E378" t="s">
        <v>35</v>
      </c>
      <c r="F378" t="s">
        <v>36</v>
      </c>
      <c r="G378">
        <v>2</v>
      </c>
      <c r="H378">
        <v>2406</v>
      </c>
      <c r="I378">
        <v>2405</v>
      </c>
      <c r="J378">
        <v>0</v>
      </c>
      <c r="K378">
        <f>29-11.5</f>
        <v>17.5</v>
      </c>
      <c r="L378" t="s">
        <v>83</v>
      </c>
      <c r="M378">
        <v>3</v>
      </c>
    </row>
    <row r="379" spans="1:13" x14ac:dyDescent="0.25">
      <c r="A379" s="4">
        <v>43292</v>
      </c>
      <c r="B379" t="s">
        <v>30</v>
      </c>
      <c r="C379">
        <v>1</v>
      </c>
      <c r="D379">
        <v>1</v>
      </c>
      <c r="E379" t="s">
        <v>35</v>
      </c>
      <c r="F379" t="s">
        <v>36</v>
      </c>
      <c r="G379">
        <v>2</v>
      </c>
      <c r="H379">
        <v>2408</v>
      </c>
      <c r="I379">
        <v>2407</v>
      </c>
      <c r="J379">
        <v>0</v>
      </c>
      <c r="K379">
        <f>28.75-11.5</f>
        <v>17.25</v>
      </c>
      <c r="L379" t="s">
        <v>1039</v>
      </c>
      <c r="M379">
        <v>3</v>
      </c>
    </row>
    <row r="380" spans="1:13" x14ac:dyDescent="0.25">
      <c r="A380" s="4">
        <v>43300</v>
      </c>
      <c r="B380" t="s">
        <v>30</v>
      </c>
      <c r="C380">
        <v>8</v>
      </c>
      <c r="D380">
        <v>1</v>
      </c>
      <c r="E380" t="s">
        <v>35</v>
      </c>
      <c r="F380" t="s">
        <v>36</v>
      </c>
      <c r="G380">
        <v>2</v>
      </c>
      <c r="H380">
        <v>2425</v>
      </c>
      <c r="I380">
        <v>2424</v>
      </c>
      <c r="J380">
        <v>0</v>
      </c>
      <c r="L380" t="s">
        <v>1039</v>
      </c>
      <c r="M380">
        <v>3</v>
      </c>
    </row>
    <row r="381" spans="1:13" x14ac:dyDescent="0.25">
      <c r="A381" s="4">
        <v>43301</v>
      </c>
      <c r="B381" t="s">
        <v>30</v>
      </c>
      <c r="C381">
        <v>8</v>
      </c>
      <c r="D381">
        <v>1</v>
      </c>
      <c r="E381" t="s">
        <v>35</v>
      </c>
      <c r="F381" t="s">
        <v>36</v>
      </c>
      <c r="G381">
        <v>2</v>
      </c>
      <c r="H381">
        <v>2425</v>
      </c>
      <c r="I381">
        <v>2424</v>
      </c>
      <c r="J381">
        <v>0</v>
      </c>
      <c r="K381">
        <f>30.5-10.5</f>
        <v>20</v>
      </c>
      <c r="L381" t="s">
        <v>1039</v>
      </c>
      <c r="M381">
        <v>3</v>
      </c>
    </row>
    <row r="382" spans="1:13" x14ac:dyDescent="0.25">
      <c r="A382" s="4">
        <v>43302</v>
      </c>
      <c r="B382" t="s">
        <v>30</v>
      </c>
      <c r="C382">
        <v>8</v>
      </c>
      <c r="D382">
        <v>1</v>
      </c>
      <c r="E382" t="s">
        <v>35</v>
      </c>
      <c r="F382" t="s">
        <v>36</v>
      </c>
      <c r="G382">
        <v>2</v>
      </c>
      <c r="H382">
        <v>2425</v>
      </c>
      <c r="I382">
        <v>2424</v>
      </c>
      <c r="J382">
        <v>0</v>
      </c>
      <c r="K382">
        <f>33-10</f>
        <v>23</v>
      </c>
      <c r="L382" t="s">
        <v>1039</v>
      </c>
      <c r="M382">
        <v>3</v>
      </c>
    </row>
    <row r="383" spans="1:13" x14ac:dyDescent="0.25">
      <c r="A383" s="4">
        <v>43316</v>
      </c>
      <c r="B383" t="s">
        <v>30</v>
      </c>
      <c r="C383">
        <v>8</v>
      </c>
      <c r="D383">
        <v>1</v>
      </c>
      <c r="E383" t="s">
        <v>35</v>
      </c>
      <c r="F383" t="s">
        <v>36</v>
      </c>
      <c r="G383">
        <v>2</v>
      </c>
      <c r="H383">
        <v>2425</v>
      </c>
      <c r="I383">
        <v>2424</v>
      </c>
      <c r="J383">
        <v>0</v>
      </c>
      <c r="K383">
        <f>30.5-11</f>
        <v>19.5</v>
      </c>
      <c r="L383" t="s">
        <v>83</v>
      </c>
      <c r="M383">
        <v>3</v>
      </c>
    </row>
    <row r="384" spans="1:13" x14ac:dyDescent="0.25">
      <c r="A384" s="4">
        <v>43317</v>
      </c>
      <c r="B384" t="s">
        <v>30</v>
      </c>
      <c r="C384">
        <v>8</v>
      </c>
      <c r="D384">
        <v>1</v>
      </c>
      <c r="E384" t="s">
        <v>35</v>
      </c>
      <c r="F384" t="s">
        <v>36</v>
      </c>
      <c r="G384">
        <v>2</v>
      </c>
      <c r="H384">
        <v>2425</v>
      </c>
      <c r="I384">
        <v>2424</v>
      </c>
      <c r="J384">
        <v>0</v>
      </c>
      <c r="K384">
        <f>29.25-10.5</f>
        <v>18.75</v>
      </c>
      <c r="L384" t="s">
        <v>83</v>
      </c>
      <c r="M384">
        <v>3</v>
      </c>
    </row>
    <row r="385" spans="1:13" x14ac:dyDescent="0.25">
      <c r="A385" s="4">
        <v>43318</v>
      </c>
      <c r="B385" t="s">
        <v>30</v>
      </c>
      <c r="C385">
        <v>8</v>
      </c>
      <c r="D385">
        <v>1</v>
      </c>
      <c r="E385" t="s">
        <v>35</v>
      </c>
      <c r="F385" t="s">
        <v>36</v>
      </c>
      <c r="G385">
        <v>2</v>
      </c>
      <c r="H385">
        <v>2425</v>
      </c>
      <c r="I385">
        <v>2424</v>
      </c>
      <c r="J385">
        <v>0</v>
      </c>
      <c r="K385">
        <f>34-15</f>
        <v>19</v>
      </c>
      <c r="L385" t="s">
        <v>83</v>
      </c>
      <c r="M385">
        <v>3</v>
      </c>
    </row>
    <row r="386" spans="1:13" x14ac:dyDescent="0.25">
      <c r="A386" s="4">
        <v>43326</v>
      </c>
      <c r="B386" t="s">
        <v>30</v>
      </c>
      <c r="C386">
        <v>8</v>
      </c>
      <c r="D386">
        <v>1</v>
      </c>
      <c r="E386" t="s">
        <v>35</v>
      </c>
      <c r="F386" t="s">
        <v>36</v>
      </c>
      <c r="G386">
        <v>2</v>
      </c>
      <c r="H386">
        <v>2425</v>
      </c>
      <c r="I386">
        <v>2424</v>
      </c>
      <c r="J386">
        <v>0</v>
      </c>
      <c r="K386">
        <f>30-11</f>
        <v>19</v>
      </c>
      <c r="L386" t="s">
        <v>38</v>
      </c>
      <c r="M386">
        <v>3</v>
      </c>
    </row>
    <row r="387" spans="1:13" x14ac:dyDescent="0.25">
      <c r="A387" s="4">
        <v>43327</v>
      </c>
      <c r="B387" t="s">
        <v>30</v>
      </c>
      <c r="C387">
        <v>8</v>
      </c>
      <c r="D387">
        <v>1</v>
      </c>
      <c r="E387" t="s">
        <v>35</v>
      </c>
      <c r="F387" t="s">
        <v>36</v>
      </c>
      <c r="G387">
        <v>2</v>
      </c>
      <c r="H387">
        <v>2425</v>
      </c>
      <c r="I387">
        <v>2424</v>
      </c>
      <c r="J387">
        <v>0</v>
      </c>
      <c r="K387">
        <f>30-11</f>
        <v>19</v>
      </c>
      <c r="L387" t="s">
        <v>38</v>
      </c>
      <c r="M387">
        <v>3</v>
      </c>
    </row>
    <row r="388" spans="1:13" x14ac:dyDescent="0.25">
      <c r="A388" s="4">
        <v>43317</v>
      </c>
      <c r="B388" t="s">
        <v>30</v>
      </c>
      <c r="C388">
        <v>7</v>
      </c>
      <c r="D388">
        <v>1</v>
      </c>
      <c r="E388" t="s">
        <v>35</v>
      </c>
      <c r="F388" t="s">
        <v>36</v>
      </c>
      <c r="G388">
        <v>1</v>
      </c>
      <c r="H388">
        <v>2456</v>
      </c>
      <c r="I388">
        <v>2455</v>
      </c>
      <c r="J388">
        <v>0</v>
      </c>
      <c r="K388">
        <f>33-11.5</f>
        <v>21.5</v>
      </c>
      <c r="L388" t="s">
        <v>47</v>
      </c>
      <c r="M388">
        <v>3</v>
      </c>
    </row>
    <row r="389" spans="1:13" x14ac:dyDescent="0.25">
      <c r="A389" s="4">
        <v>43326</v>
      </c>
      <c r="B389" t="s">
        <v>30</v>
      </c>
      <c r="C389">
        <v>7</v>
      </c>
      <c r="D389">
        <v>1</v>
      </c>
      <c r="E389" t="s">
        <v>35</v>
      </c>
      <c r="F389" t="s">
        <v>36</v>
      </c>
      <c r="G389">
        <v>1</v>
      </c>
      <c r="H389">
        <v>2456</v>
      </c>
      <c r="I389">
        <v>2455</v>
      </c>
      <c r="J389">
        <v>0</v>
      </c>
      <c r="K389">
        <f>39-17</f>
        <v>22</v>
      </c>
      <c r="L389" t="s">
        <v>47</v>
      </c>
      <c r="M389">
        <v>3</v>
      </c>
    </row>
    <row r="390" spans="1:13" x14ac:dyDescent="0.25">
      <c r="A390" s="4">
        <v>43327</v>
      </c>
      <c r="B390" t="s">
        <v>30</v>
      </c>
      <c r="C390">
        <v>7</v>
      </c>
      <c r="D390">
        <v>1</v>
      </c>
      <c r="E390" t="s">
        <v>35</v>
      </c>
      <c r="F390" t="s">
        <v>36</v>
      </c>
      <c r="G390">
        <v>1</v>
      </c>
      <c r="H390">
        <v>2456</v>
      </c>
      <c r="I390">
        <v>2455</v>
      </c>
      <c r="J390">
        <v>0</v>
      </c>
      <c r="L390" t="s">
        <v>47</v>
      </c>
      <c r="M390">
        <v>3</v>
      </c>
    </row>
    <row r="391" spans="1:13" x14ac:dyDescent="0.25">
      <c r="A391" s="4">
        <v>43292</v>
      </c>
      <c r="B391" t="s">
        <v>30</v>
      </c>
      <c r="C391">
        <v>1</v>
      </c>
      <c r="D391">
        <v>1</v>
      </c>
      <c r="E391" t="s">
        <v>35</v>
      </c>
      <c r="F391" t="s">
        <v>36</v>
      </c>
      <c r="G391">
        <v>2</v>
      </c>
      <c r="H391">
        <v>2463</v>
      </c>
      <c r="I391">
        <v>2462</v>
      </c>
      <c r="J391">
        <v>0</v>
      </c>
      <c r="K391">
        <f>28.5-10</f>
        <v>18.5</v>
      </c>
      <c r="L391" t="s">
        <v>1039</v>
      </c>
      <c r="M391">
        <v>3</v>
      </c>
    </row>
    <row r="392" spans="1:13" x14ac:dyDescent="0.25">
      <c r="A392" s="4">
        <v>43304</v>
      </c>
      <c r="B392" t="s">
        <v>30</v>
      </c>
      <c r="C392">
        <v>1</v>
      </c>
      <c r="D392">
        <v>1</v>
      </c>
      <c r="E392" t="s">
        <v>35</v>
      </c>
      <c r="F392" t="s">
        <v>36</v>
      </c>
      <c r="G392">
        <v>2</v>
      </c>
      <c r="H392">
        <v>2463</v>
      </c>
      <c r="I392">
        <v>2462</v>
      </c>
      <c r="J392">
        <v>0</v>
      </c>
      <c r="K392">
        <f>31.5-11</f>
        <v>20.5</v>
      </c>
      <c r="L392" t="s">
        <v>1039</v>
      </c>
      <c r="M392">
        <v>3</v>
      </c>
    </row>
    <row r="393" spans="1:13" x14ac:dyDescent="0.25">
      <c r="A393" s="4">
        <v>43305</v>
      </c>
      <c r="B393" t="s">
        <v>30</v>
      </c>
      <c r="C393">
        <v>1</v>
      </c>
      <c r="D393">
        <v>1</v>
      </c>
      <c r="E393" t="s">
        <v>35</v>
      </c>
      <c r="F393" t="s">
        <v>36</v>
      </c>
      <c r="G393">
        <v>2</v>
      </c>
      <c r="H393">
        <v>2463</v>
      </c>
      <c r="I393">
        <v>2462</v>
      </c>
      <c r="J393">
        <v>0</v>
      </c>
      <c r="K393">
        <f>31-10</f>
        <v>21</v>
      </c>
      <c r="L393" t="s">
        <v>1039</v>
      </c>
      <c r="M393">
        <v>3</v>
      </c>
    </row>
    <row r="394" spans="1:13" x14ac:dyDescent="0.25">
      <c r="A394" s="4">
        <v>43319</v>
      </c>
      <c r="B394" t="s">
        <v>30</v>
      </c>
      <c r="C394">
        <v>1</v>
      </c>
      <c r="D394">
        <v>1</v>
      </c>
      <c r="E394" t="s">
        <v>35</v>
      </c>
      <c r="F394" t="s">
        <v>36</v>
      </c>
      <c r="G394">
        <v>2</v>
      </c>
      <c r="H394">
        <v>2463</v>
      </c>
      <c r="I394">
        <v>2462</v>
      </c>
      <c r="J394">
        <v>0</v>
      </c>
      <c r="K394">
        <f>30-11</f>
        <v>19</v>
      </c>
      <c r="L394" t="s">
        <v>83</v>
      </c>
      <c r="M394">
        <v>3</v>
      </c>
    </row>
    <row r="395" spans="1:13" x14ac:dyDescent="0.25">
      <c r="A395" s="4">
        <v>43320</v>
      </c>
      <c r="B395" t="s">
        <v>30</v>
      </c>
      <c r="C395">
        <v>1</v>
      </c>
      <c r="D395">
        <v>1</v>
      </c>
      <c r="E395" t="s">
        <v>35</v>
      </c>
      <c r="F395" t="s">
        <v>36</v>
      </c>
      <c r="G395">
        <v>2</v>
      </c>
      <c r="H395">
        <v>2463</v>
      </c>
      <c r="I395">
        <v>2462</v>
      </c>
      <c r="J395">
        <v>0</v>
      </c>
      <c r="K395">
        <f>29.75-11.5</f>
        <v>18.25</v>
      </c>
      <c r="L395" t="s">
        <v>83</v>
      </c>
      <c r="M395">
        <v>3</v>
      </c>
    </row>
    <row r="396" spans="1:13" x14ac:dyDescent="0.25">
      <c r="A396" s="4">
        <v>43321</v>
      </c>
      <c r="B396" t="s">
        <v>30</v>
      </c>
      <c r="C396">
        <v>1</v>
      </c>
      <c r="D396">
        <v>1</v>
      </c>
      <c r="E396" t="s">
        <v>35</v>
      </c>
      <c r="F396" t="s">
        <v>36</v>
      </c>
      <c r="G396">
        <v>2</v>
      </c>
      <c r="H396">
        <v>2463</v>
      </c>
      <c r="I396">
        <v>2462</v>
      </c>
      <c r="J396">
        <v>0</v>
      </c>
      <c r="K396">
        <f>29-10</f>
        <v>19</v>
      </c>
      <c r="L396" t="s">
        <v>83</v>
      </c>
      <c r="M396">
        <v>3</v>
      </c>
    </row>
    <row r="397" spans="1:13" x14ac:dyDescent="0.25">
      <c r="A397" s="4">
        <v>43302</v>
      </c>
      <c r="B397" t="s">
        <v>30</v>
      </c>
      <c r="C397">
        <v>7</v>
      </c>
      <c r="D397">
        <v>1</v>
      </c>
      <c r="E397" t="s">
        <v>35</v>
      </c>
      <c r="F397" t="s">
        <v>36</v>
      </c>
      <c r="G397">
        <v>1</v>
      </c>
      <c r="H397">
        <v>2468</v>
      </c>
      <c r="I397">
        <v>2467</v>
      </c>
      <c r="J397">
        <v>0</v>
      </c>
      <c r="K397">
        <f>30.5-14</f>
        <v>16.5</v>
      </c>
      <c r="L397" t="s">
        <v>65</v>
      </c>
      <c r="M397">
        <v>3</v>
      </c>
    </row>
    <row r="398" spans="1:13" x14ac:dyDescent="0.25">
      <c r="A398" s="4">
        <v>43300</v>
      </c>
      <c r="B398" t="s">
        <v>30</v>
      </c>
      <c r="C398">
        <v>7</v>
      </c>
      <c r="D398">
        <v>1</v>
      </c>
      <c r="E398" t="s">
        <v>35</v>
      </c>
      <c r="F398" t="s">
        <v>36</v>
      </c>
      <c r="G398">
        <v>2</v>
      </c>
      <c r="H398">
        <v>2469</v>
      </c>
      <c r="I398">
        <v>2468</v>
      </c>
      <c r="J398">
        <v>0</v>
      </c>
      <c r="K398">
        <f>32-15</f>
        <v>17</v>
      </c>
      <c r="L398" t="s">
        <v>1041</v>
      </c>
      <c r="M398">
        <v>3</v>
      </c>
    </row>
    <row r="399" spans="1:13" x14ac:dyDescent="0.25">
      <c r="A399" s="4">
        <v>43301</v>
      </c>
      <c r="B399" t="s">
        <v>30</v>
      </c>
      <c r="C399">
        <v>7</v>
      </c>
      <c r="D399">
        <v>1</v>
      </c>
      <c r="E399" t="s">
        <v>35</v>
      </c>
      <c r="F399" t="s">
        <v>36</v>
      </c>
      <c r="G399">
        <v>2</v>
      </c>
      <c r="H399">
        <v>2469</v>
      </c>
      <c r="I399">
        <v>2468</v>
      </c>
      <c r="J399">
        <v>0</v>
      </c>
      <c r="K399">
        <f>44-26</f>
        <v>18</v>
      </c>
      <c r="L399" t="s">
        <v>81</v>
      </c>
      <c r="M399">
        <v>3</v>
      </c>
    </row>
    <row r="400" spans="1:13" x14ac:dyDescent="0.25">
      <c r="A400" s="4">
        <v>43316</v>
      </c>
      <c r="B400" t="s">
        <v>30</v>
      </c>
      <c r="C400">
        <v>7</v>
      </c>
      <c r="D400">
        <v>1</v>
      </c>
      <c r="E400" t="s">
        <v>35</v>
      </c>
      <c r="F400" t="s">
        <v>36</v>
      </c>
      <c r="G400">
        <v>2</v>
      </c>
      <c r="H400">
        <v>2469</v>
      </c>
      <c r="I400">
        <v>2468</v>
      </c>
      <c r="J400">
        <v>0</v>
      </c>
      <c r="K400">
        <f>32-14.5</f>
        <v>17.5</v>
      </c>
      <c r="L400" t="s">
        <v>38</v>
      </c>
      <c r="M400">
        <v>3</v>
      </c>
    </row>
    <row r="401" spans="1:13" x14ac:dyDescent="0.25">
      <c r="A401" s="4">
        <v>43317</v>
      </c>
      <c r="B401" t="s">
        <v>30</v>
      </c>
      <c r="C401">
        <v>7</v>
      </c>
      <c r="D401">
        <v>1</v>
      </c>
      <c r="E401" t="s">
        <v>35</v>
      </c>
      <c r="F401" t="s">
        <v>36</v>
      </c>
      <c r="G401">
        <v>2</v>
      </c>
      <c r="H401">
        <v>2469</v>
      </c>
      <c r="I401">
        <v>2468</v>
      </c>
      <c r="J401">
        <v>0</v>
      </c>
      <c r="K401">
        <f>27-10.25</f>
        <v>16.75</v>
      </c>
      <c r="L401" t="s">
        <v>38</v>
      </c>
      <c r="M401">
        <v>3</v>
      </c>
    </row>
    <row r="402" spans="1:13" x14ac:dyDescent="0.25">
      <c r="A402" s="4">
        <v>43318</v>
      </c>
      <c r="B402" t="s">
        <v>30</v>
      </c>
      <c r="C402">
        <v>7</v>
      </c>
      <c r="D402">
        <v>1</v>
      </c>
      <c r="E402" t="s">
        <v>35</v>
      </c>
      <c r="F402" t="s">
        <v>36</v>
      </c>
      <c r="G402">
        <v>2</v>
      </c>
      <c r="H402">
        <v>2469</v>
      </c>
      <c r="I402">
        <v>2468</v>
      </c>
      <c r="J402">
        <v>0</v>
      </c>
      <c r="K402">
        <f>34.5-18</f>
        <v>16.5</v>
      </c>
      <c r="L402" t="s">
        <v>38</v>
      </c>
      <c r="M402">
        <v>3</v>
      </c>
    </row>
    <row r="403" spans="1:13" x14ac:dyDescent="0.25">
      <c r="A403" s="4">
        <v>43325</v>
      </c>
      <c r="B403" t="s">
        <v>30</v>
      </c>
      <c r="C403">
        <v>7</v>
      </c>
      <c r="D403">
        <v>1</v>
      </c>
      <c r="E403" t="s">
        <v>35</v>
      </c>
      <c r="F403" t="s">
        <v>36</v>
      </c>
      <c r="G403">
        <v>2</v>
      </c>
      <c r="H403">
        <v>2469</v>
      </c>
      <c r="I403">
        <v>2468</v>
      </c>
      <c r="J403">
        <v>0</v>
      </c>
      <c r="K403">
        <f>31.5-15</f>
        <v>16.5</v>
      </c>
      <c r="L403" t="s">
        <v>38</v>
      </c>
      <c r="M403">
        <v>3</v>
      </c>
    </row>
    <row r="404" spans="1:13" x14ac:dyDescent="0.25">
      <c r="A404" s="4">
        <v>43326</v>
      </c>
      <c r="B404" t="s">
        <v>30</v>
      </c>
      <c r="C404">
        <v>7</v>
      </c>
      <c r="D404">
        <v>1</v>
      </c>
      <c r="E404" t="s">
        <v>35</v>
      </c>
      <c r="F404" t="s">
        <v>36</v>
      </c>
      <c r="G404">
        <v>2</v>
      </c>
      <c r="H404">
        <v>2469</v>
      </c>
      <c r="I404">
        <v>2468</v>
      </c>
      <c r="J404">
        <v>0</v>
      </c>
      <c r="K404">
        <f>37.5-21</f>
        <v>16.5</v>
      </c>
      <c r="L404" t="s">
        <v>38</v>
      </c>
      <c r="M404">
        <v>3</v>
      </c>
    </row>
    <row r="405" spans="1:13" x14ac:dyDescent="0.25">
      <c r="A405" s="4">
        <v>43327</v>
      </c>
      <c r="B405" t="s">
        <v>30</v>
      </c>
      <c r="C405">
        <v>7</v>
      </c>
      <c r="D405">
        <v>1</v>
      </c>
      <c r="E405" t="s">
        <v>35</v>
      </c>
      <c r="F405" t="s">
        <v>36</v>
      </c>
      <c r="G405">
        <v>2</v>
      </c>
      <c r="H405">
        <v>2469</v>
      </c>
      <c r="I405">
        <v>2468</v>
      </c>
      <c r="J405">
        <v>0</v>
      </c>
      <c r="K405">
        <f>27.5-11</f>
        <v>16.5</v>
      </c>
      <c r="L405" t="s">
        <v>38</v>
      </c>
      <c r="M405">
        <v>3</v>
      </c>
    </row>
    <row r="406" spans="1:13" x14ac:dyDescent="0.25">
      <c r="A406" s="4">
        <v>43300</v>
      </c>
      <c r="B406" t="s">
        <v>30</v>
      </c>
      <c r="C406">
        <v>7</v>
      </c>
      <c r="D406">
        <v>1</v>
      </c>
      <c r="E406" t="s">
        <v>35</v>
      </c>
      <c r="F406" t="s">
        <v>36</v>
      </c>
      <c r="G406">
        <v>2</v>
      </c>
      <c r="H406">
        <v>2471</v>
      </c>
      <c r="I406">
        <v>2470</v>
      </c>
      <c r="J406">
        <v>0</v>
      </c>
      <c r="K406">
        <f>40-18.25</f>
        <v>21.75</v>
      </c>
      <c r="L406" t="s">
        <v>81</v>
      </c>
      <c r="M406">
        <v>3</v>
      </c>
    </row>
    <row r="407" spans="1:13" x14ac:dyDescent="0.25">
      <c r="A407" s="4">
        <v>43301</v>
      </c>
      <c r="B407" t="s">
        <v>30</v>
      </c>
      <c r="C407">
        <v>7</v>
      </c>
      <c r="D407">
        <v>1</v>
      </c>
      <c r="E407" t="s">
        <v>35</v>
      </c>
      <c r="F407" t="s">
        <v>36</v>
      </c>
      <c r="G407">
        <v>2</v>
      </c>
      <c r="H407">
        <v>2471</v>
      </c>
      <c r="I407">
        <v>2470</v>
      </c>
      <c r="J407">
        <v>0</v>
      </c>
      <c r="K407">
        <f>49-26</f>
        <v>23</v>
      </c>
      <c r="L407" t="s">
        <v>81</v>
      </c>
      <c r="M407">
        <v>3</v>
      </c>
    </row>
    <row r="408" spans="1:13" x14ac:dyDescent="0.25">
      <c r="A408" s="4">
        <v>43302</v>
      </c>
      <c r="B408" t="s">
        <v>30</v>
      </c>
      <c r="C408">
        <v>7</v>
      </c>
      <c r="D408">
        <v>1</v>
      </c>
      <c r="E408" t="s">
        <v>35</v>
      </c>
      <c r="F408" t="s">
        <v>36</v>
      </c>
      <c r="G408">
        <v>2</v>
      </c>
      <c r="H408">
        <v>2471</v>
      </c>
      <c r="I408">
        <v>2470</v>
      </c>
      <c r="J408">
        <v>0</v>
      </c>
      <c r="K408">
        <f>30.5-10</f>
        <v>20.5</v>
      </c>
      <c r="L408" t="s">
        <v>38</v>
      </c>
      <c r="M408">
        <v>3</v>
      </c>
    </row>
    <row r="409" spans="1:13" x14ac:dyDescent="0.25">
      <c r="A409" s="4">
        <v>43316</v>
      </c>
      <c r="B409" t="s">
        <v>30</v>
      </c>
      <c r="C409">
        <v>7</v>
      </c>
      <c r="D409">
        <v>1</v>
      </c>
      <c r="E409" t="s">
        <v>35</v>
      </c>
      <c r="F409" t="s">
        <v>36</v>
      </c>
      <c r="G409">
        <v>2</v>
      </c>
      <c r="H409">
        <v>2471</v>
      </c>
      <c r="I409">
        <v>2470</v>
      </c>
      <c r="J409">
        <v>0</v>
      </c>
      <c r="K409">
        <f>32-10.5</f>
        <v>21.5</v>
      </c>
      <c r="L409" t="s">
        <v>83</v>
      </c>
      <c r="M409">
        <v>3</v>
      </c>
    </row>
    <row r="410" spans="1:13" x14ac:dyDescent="0.25">
      <c r="A410" s="4">
        <v>43317</v>
      </c>
      <c r="B410" t="s">
        <v>30</v>
      </c>
      <c r="C410">
        <v>7</v>
      </c>
      <c r="D410">
        <v>1</v>
      </c>
      <c r="E410" t="s">
        <v>35</v>
      </c>
      <c r="F410" t="s">
        <v>36</v>
      </c>
      <c r="G410">
        <v>2</v>
      </c>
      <c r="H410">
        <v>2471</v>
      </c>
      <c r="I410">
        <v>2470</v>
      </c>
      <c r="J410">
        <v>0</v>
      </c>
      <c r="K410">
        <f>32-10.5</f>
        <v>21.5</v>
      </c>
      <c r="L410" t="s">
        <v>83</v>
      </c>
      <c r="M410">
        <v>3</v>
      </c>
    </row>
    <row r="411" spans="1:13" x14ac:dyDescent="0.25">
      <c r="A411" s="4">
        <v>43318</v>
      </c>
      <c r="B411" t="s">
        <v>30</v>
      </c>
      <c r="C411">
        <v>7</v>
      </c>
      <c r="D411">
        <v>1</v>
      </c>
      <c r="E411" t="s">
        <v>35</v>
      </c>
      <c r="F411" t="s">
        <v>36</v>
      </c>
      <c r="G411">
        <v>2</v>
      </c>
      <c r="H411">
        <v>2471</v>
      </c>
      <c r="I411">
        <v>2470</v>
      </c>
      <c r="J411">
        <v>0</v>
      </c>
      <c r="K411">
        <f>44.5-21</f>
        <v>23.5</v>
      </c>
      <c r="L411" t="s">
        <v>83</v>
      </c>
      <c r="M411">
        <v>3</v>
      </c>
    </row>
    <row r="412" spans="1:13" x14ac:dyDescent="0.25">
      <c r="A412" s="4">
        <v>43325</v>
      </c>
      <c r="B412" t="s">
        <v>30</v>
      </c>
      <c r="C412">
        <v>7</v>
      </c>
      <c r="D412">
        <v>1</v>
      </c>
      <c r="E412" t="s">
        <v>35</v>
      </c>
      <c r="F412" t="s">
        <v>36</v>
      </c>
      <c r="G412">
        <v>2</v>
      </c>
      <c r="H412">
        <v>2471</v>
      </c>
      <c r="I412">
        <v>2470</v>
      </c>
      <c r="J412">
        <v>1</v>
      </c>
      <c r="K412">
        <f>38-21.5</f>
        <v>16.5</v>
      </c>
      <c r="L412" t="s">
        <v>38</v>
      </c>
      <c r="M412">
        <v>3</v>
      </c>
    </row>
    <row r="413" spans="1:13" x14ac:dyDescent="0.25">
      <c r="A413" s="4">
        <v>43326</v>
      </c>
      <c r="B413" t="s">
        <v>30</v>
      </c>
      <c r="C413">
        <v>7</v>
      </c>
      <c r="D413">
        <v>1</v>
      </c>
      <c r="E413" t="s">
        <v>35</v>
      </c>
      <c r="F413" t="s">
        <v>36</v>
      </c>
      <c r="G413">
        <v>2</v>
      </c>
      <c r="H413">
        <v>2471</v>
      </c>
      <c r="I413">
        <v>2470</v>
      </c>
      <c r="J413">
        <v>1</v>
      </c>
      <c r="K413">
        <f>37-15</f>
        <v>22</v>
      </c>
      <c r="L413" t="s">
        <v>38</v>
      </c>
      <c r="M413">
        <v>3</v>
      </c>
    </row>
    <row r="414" spans="1:13" x14ac:dyDescent="0.25">
      <c r="A414" s="4">
        <v>43327</v>
      </c>
      <c r="B414" t="s">
        <v>30</v>
      </c>
      <c r="C414">
        <v>7</v>
      </c>
      <c r="D414">
        <v>1</v>
      </c>
      <c r="E414" t="s">
        <v>35</v>
      </c>
      <c r="F414" t="s">
        <v>36</v>
      </c>
      <c r="G414">
        <v>2</v>
      </c>
      <c r="H414">
        <v>2471</v>
      </c>
      <c r="I414">
        <v>2470</v>
      </c>
      <c r="J414">
        <v>1</v>
      </c>
      <c r="K414">
        <f>32.5-10</f>
        <v>22.5</v>
      </c>
      <c r="L414" t="s">
        <v>38</v>
      </c>
      <c r="M414">
        <v>3</v>
      </c>
    </row>
    <row r="415" spans="1:13" x14ac:dyDescent="0.25">
      <c r="A415" s="4">
        <v>42605</v>
      </c>
      <c r="B415" t="s">
        <v>30</v>
      </c>
      <c r="C415">
        <v>5</v>
      </c>
      <c r="D415">
        <v>1</v>
      </c>
      <c r="E415" t="s">
        <v>42</v>
      </c>
      <c r="F415" t="s">
        <v>89</v>
      </c>
      <c r="G415">
        <v>2</v>
      </c>
      <c r="H415" s="5" t="s">
        <v>987</v>
      </c>
      <c r="I415" s="5" t="s">
        <v>988</v>
      </c>
      <c r="J415">
        <v>0</v>
      </c>
      <c r="K415">
        <f>28-15</f>
        <v>13</v>
      </c>
      <c r="L415" t="s">
        <v>38</v>
      </c>
      <c r="M415">
        <v>1</v>
      </c>
    </row>
    <row r="416" spans="1:13" x14ac:dyDescent="0.25">
      <c r="A416" s="4">
        <v>42605</v>
      </c>
      <c r="B416" t="s">
        <v>30</v>
      </c>
      <c r="C416">
        <v>5</v>
      </c>
      <c r="D416">
        <v>1</v>
      </c>
      <c r="E416" t="s">
        <v>42</v>
      </c>
      <c r="F416" t="s">
        <v>114</v>
      </c>
      <c r="G416">
        <v>1</v>
      </c>
      <c r="H416" s="5" t="s">
        <v>992</v>
      </c>
      <c r="I416" s="5" t="s">
        <v>993</v>
      </c>
      <c r="J416">
        <v>0</v>
      </c>
      <c r="K416">
        <f>30-14.5</f>
        <v>15.5</v>
      </c>
      <c r="L416" t="s">
        <v>65</v>
      </c>
      <c r="M416">
        <v>1</v>
      </c>
    </row>
    <row r="417" spans="1:13" x14ac:dyDescent="0.25">
      <c r="A417" s="4">
        <v>42606</v>
      </c>
      <c r="B417" t="s">
        <v>30</v>
      </c>
      <c r="C417">
        <v>5</v>
      </c>
      <c r="D417">
        <v>1</v>
      </c>
      <c r="E417" t="s">
        <v>35</v>
      </c>
      <c r="F417" t="s">
        <v>89</v>
      </c>
      <c r="G417">
        <v>1</v>
      </c>
      <c r="H417" s="5" t="s">
        <v>992</v>
      </c>
      <c r="I417" s="5" t="s">
        <v>993</v>
      </c>
      <c r="J417">
        <v>0</v>
      </c>
      <c r="K417">
        <f>30-15</f>
        <v>15</v>
      </c>
      <c r="L417" t="s">
        <v>65</v>
      </c>
      <c r="M417">
        <v>1</v>
      </c>
    </row>
    <row r="418" spans="1:13" x14ac:dyDescent="0.25">
      <c r="A418" s="4">
        <v>42606</v>
      </c>
      <c r="B418" t="s">
        <v>30</v>
      </c>
      <c r="C418">
        <v>5</v>
      </c>
      <c r="D418">
        <v>1</v>
      </c>
      <c r="E418" t="s">
        <v>42</v>
      </c>
      <c r="F418" t="s">
        <v>89</v>
      </c>
      <c r="G418">
        <v>1</v>
      </c>
      <c r="H418" s="5" t="s">
        <v>1004</v>
      </c>
      <c r="I418" s="5" t="s">
        <v>1005</v>
      </c>
      <c r="J418">
        <v>1</v>
      </c>
      <c r="K418">
        <f>30-15</f>
        <v>15</v>
      </c>
      <c r="L418" t="s">
        <v>65</v>
      </c>
      <c r="M418">
        <v>1</v>
      </c>
    </row>
    <row r="419" spans="1:13" x14ac:dyDescent="0.25">
      <c r="A419" s="4">
        <v>42606</v>
      </c>
      <c r="B419" t="s">
        <v>30</v>
      </c>
      <c r="C419">
        <v>5</v>
      </c>
      <c r="D419">
        <v>1</v>
      </c>
      <c r="E419" t="s">
        <v>42</v>
      </c>
      <c r="F419" t="s">
        <v>89</v>
      </c>
      <c r="G419">
        <v>1</v>
      </c>
      <c r="H419" s="5" t="s">
        <v>1015</v>
      </c>
      <c r="I419" s="5" t="s">
        <v>1016</v>
      </c>
      <c r="J419">
        <v>0</v>
      </c>
      <c r="K419">
        <f>26-13</f>
        <v>13</v>
      </c>
      <c r="L419" t="s">
        <v>65</v>
      </c>
      <c r="M419">
        <v>1</v>
      </c>
    </row>
    <row r="420" spans="1:13" x14ac:dyDescent="0.25">
      <c r="A420" s="4">
        <v>42600</v>
      </c>
      <c r="B420" t="s">
        <v>30</v>
      </c>
      <c r="C420">
        <v>3</v>
      </c>
      <c r="D420">
        <v>1</v>
      </c>
      <c r="E420" t="s">
        <v>42</v>
      </c>
      <c r="F420" t="s">
        <v>89</v>
      </c>
      <c r="G420">
        <v>2</v>
      </c>
      <c r="H420" s="5" t="s">
        <v>909</v>
      </c>
      <c r="I420" s="5" t="s">
        <v>910</v>
      </c>
      <c r="J420">
        <v>0</v>
      </c>
      <c r="K420">
        <f>33-20.5</f>
        <v>12.5</v>
      </c>
      <c r="L420" t="s">
        <v>38</v>
      </c>
      <c r="M420">
        <v>1</v>
      </c>
    </row>
    <row r="421" spans="1:13" x14ac:dyDescent="0.25">
      <c r="A421" s="4">
        <v>42600</v>
      </c>
      <c r="B421" t="s">
        <v>30</v>
      </c>
      <c r="C421">
        <v>3</v>
      </c>
      <c r="D421">
        <v>1</v>
      </c>
      <c r="E421" t="s">
        <v>42</v>
      </c>
      <c r="F421" t="s">
        <v>114</v>
      </c>
      <c r="G421">
        <v>1</v>
      </c>
      <c r="H421" s="5" t="s">
        <v>912</v>
      </c>
      <c r="I421" s="5" t="s">
        <v>913</v>
      </c>
      <c r="J421">
        <v>0</v>
      </c>
      <c r="K421">
        <f>34-18</f>
        <v>16</v>
      </c>
      <c r="L421" t="s">
        <v>65</v>
      </c>
      <c r="M421">
        <v>1</v>
      </c>
    </row>
    <row r="422" spans="1:13" x14ac:dyDescent="0.25">
      <c r="A422" s="4">
        <v>42604</v>
      </c>
      <c r="B422" t="s">
        <v>30</v>
      </c>
      <c r="C422">
        <v>5</v>
      </c>
      <c r="D422">
        <v>1</v>
      </c>
      <c r="E422" t="s">
        <v>42</v>
      </c>
      <c r="F422" t="s">
        <v>36</v>
      </c>
      <c r="G422">
        <v>2</v>
      </c>
      <c r="H422" s="5" t="s">
        <v>943</v>
      </c>
      <c r="I422" s="5" t="s">
        <v>944</v>
      </c>
      <c r="J422">
        <v>0</v>
      </c>
      <c r="K422">
        <f>40-15.5</f>
        <v>24.5</v>
      </c>
      <c r="L422" t="s">
        <v>38</v>
      </c>
      <c r="M422">
        <v>1</v>
      </c>
    </row>
    <row r="423" spans="1:13" x14ac:dyDescent="0.25">
      <c r="A423" s="4">
        <v>42604</v>
      </c>
      <c r="B423" t="s">
        <v>30</v>
      </c>
      <c r="C423">
        <v>5</v>
      </c>
      <c r="D423">
        <v>1</v>
      </c>
      <c r="E423" t="s">
        <v>42</v>
      </c>
      <c r="F423" t="s">
        <v>89</v>
      </c>
      <c r="G423">
        <v>2</v>
      </c>
      <c r="H423" s="5" t="s">
        <v>945</v>
      </c>
      <c r="I423" s="5" t="s">
        <v>946</v>
      </c>
      <c r="J423">
        <v>0</v>
      </c>
      <c r="K423">
        <f>31-15.5</f>
        <v>15.5</v>
      </c>
      <c r="L423" t="s">
        <v>38</v>
      </c>
      <c r="M423">
        <v>1</v>
      </c>
    </row>
    <row r="424" spans="1:13" x14ac:dyDescent="0.25">
      <c r="A424" s="4">
        <v>42606</v>
      </c>
      <c r="B424" t="s">
        <v>30</v>
      </c>
      <c r="C424">
        <v>5</v>
      </c>
      <c r="D424">
        <v>1</v>
      </c>
      <c r="E424" t="s">
        <v>35</v>
      </c>
      <c r="F424" t="s">
        <v>89</v>
      </c>
      <c r="G424">
        <v>2</v>
      </c>
      <c r="H424" s="5" t="s">
        <v>945</v>
      </c>
      <c r="I424" s="5" t="s">
        <v>946</v>
      </c>
      <c r="J424">
        <v>0</v>
      </c>
      <c r="K424">
        <f>30.5-16</f>
        <v>14.5</v>
      </c>
      <c r="L424" t="s">
        <v>38</v>
      </c>
      <c r="M424">
        <v>1</v>
      </c>
    </row>
    <row r="425" spans="1:13" x14ac:dyDescent="0.25">
      <c r="A425" s="4">
        <v>42604</v>
      </c>
      <c r="B425" t="s">
        <v>30</v>
      </c>
      <c r="C425">
        <v>5</v>
      </c>
      <c r="D425">
        <v>1</v>
      </c>
      <c r="E425" t="s">
        <v>42</v>
      </c>
      <c r="F425" t="s">
        <v>89</v>
      </c>
      <c r="G425">
        <v>2</v>
      </c>
      <c r="H425" s="5" t="s">
        <v>950</v>
      </c>
      <c r="I425" s="5" t="s">
        <v>951</v>
      </c>
      <c r="J425">
        <v>0</v>
      </c>
      <c r="K425">
        <f>36.5-22</f>
        <v>14.5</v>
      </c>
      <c r="L425" t="s">
        <v>38</v>
      </c>
      <c r="M425">
        <v>1</v>
      </c>
    </row>
    <row r="426" spans="1:13" x14ac:dyDescent="0.25">
      <c r="A426" s="4">
        <v>43304</v>
      </c>
      <c r="B426" t="s">
        <v>30</v>
      </c>
      <c r="C426">
        <v>1</v>
      </c>
      <c r="D426">
        <v>1</v>
      </c>
      <c r="E426" t="s">
        <v>35</v>
      </c>
      <c r="F426" t="s">
        <v>36</v>
      </c>
      <c r="G426">
        <v>1</v>
      </c>
      <c r="H426">
        <v>2727</v>
      </c>
      <c r="I426">
        <v>1392</v>
      </c>
      <c r="J426">
        <v>0</v>
      </c>
      <c r="K426">
        <f>35-10</f>
        <v>25</v>
      </c>
      <c r="L426" t="s">
        <v>47</v>
      </c>
      <c r="M426">
        <v>3</v>
      </c>
    </row>
    <row r="427" spans="1:13" x14ac:dyDescent="0.25">
      <c r="A427" s="4">
        <v>42600</v>
      </c>
      <c r="B427" t="s">
        <v>30</v>
      </c>
      <c r="C427">
        <v>3</v>
      </c>
      <c r="D427">
        <v>1</v>
      </c>
      <c r="E427" t="s">
        <v>42</v>
      </c>
      <c r="F427" t="s">
        <v>114</v>
      </c>
      <c r="G427">
        <v>2</v>
      </c>
      <c r="H427" s="5" t="s">
        <v>887</v>
      </c>
      <c r="I427" s="5" t="s">
        <v>888</v>
      </c>
      <c r="J427">
        <v>1</v>
      </c>
      <c r="K427">
        <f>29.5-14.5</f>
        <v>15</v>
      </c>
      <c r="L427" t="s">
        <v>38</v>
      </c>
      <c r="M427">
        <v>1</v>
      </c>
    </row>
    <row r="428" spans="1:13" x14ac:dyDescent="0.25">
      <c r="A428" s="4">
        <v>43291</v>
      </c>
      <c r="B428" t="s">
        <v>30</v>
      </c>
      <c r="C428">
        <v>4</v>
      </c>
      <c r="D428">
        <v>1</v>
      </c>
      <c r="E428" t="s">
        <v>35</v>
      </c>
      <c r="F428" t="s">
        <v>36</v>
      </c>
      <c r="G428">
        <v>1</v>
      </c>
      <c r="H428">
        <v>2805</v>
      </c>
      <c r="I428">
        <v>2804</v>
      </c>
      <c r="J428">
        <v>0</v>
      </c>
      <c r="K428">
        <f>25.5-10</f>
        <v>15.5</v>
      </c>
      <c r="L428" t="s">
        <v>47</v>
      </c>
      <c r="M428">
        <v>3</v>
      </c>
    </row>
    <row r="429" spans="1:13" x14ac:dyDescent="0.25">
      <c r="A429" s="4">
        <v>42930</v>
      </c>
      <c r="B429" t="s">
        <v>30</v>
      </c>
      <c r="C429">
        <v>1</v>
      </c>
      <c r="D429">
        <v>1</v>
      </c>
      <c r="E429" t="s">
        <v>35</v>
      </c>
      <c r="F429" t="s">
        <v>36</v>
      </c>
      <c r="G429">
        <v>2</v>
      </c>
      <c r="H429">
        <v>2867</v>
      </c>
      <c r="I429">
        <v>2866</v>
      </c>
      <c r="J429">
        <v>0</v>
      </c>
      <c r="K429">
        <f>35-14</f>
        <v>21</v>
      </c>
      <c r="L429" t="s">
        <v>83</v>
      </c>
      <c r="M429">
        <v>2</v>
      </c>
    </row>
    <row r="430" spans="1:13" x14ac:dyDescent="0.25">
      <c r="A430" s="4">
        <v>42931</v>
      </c>
      <c r="B430" t="s">
        <v>30</v>
      </c>
      <c r="C430">
        <v>1</v>
      </c>
      <c r="D430">
        <v>1</v>
      </c>
      <c r="E430" t="s">
        <v>35</v>
      </c>
      <c r="F430" t="s">
        <v>36</v>
      </c>
      <c r="G430">
        <v>2</v>
      </c>
      <c r="H430">
        <v>2867</v>
      </c>
      <c r="I430">
        <v>2866</v>
      </c>
      <c r="J430">
        <v>0</v>
      </c>
      <c r="K430">
        <f>33.5-13.5</f>
        <v>20</v>
      </c>
      <c r="L430" t="s">
        <v>83</v>
      </c>
      <c r="M430">
        <v>2</v>
      </c>
    </row>
    <row r="431" spans="1:13" x14ac:dyDescent="0.25">
      <c r="A431" s="4">
        <v>42932</v>
      </c>
      <c r="B431" t="s">
        <v>30</v>
      </c>
      <c r="C431">
        <v>1</v>
      </c>
      <c r="D431">
        <v>1</v>
      </c>
      <c r="E431" t="s">
        <v>35</v>
      </c>
      <c r="F431" t="s">
        <v>114</v>
      </c>
      <c r="G431">
        <v>2</v>
      </c>
      <c r="H431">
        <v>2867</v>
      </c>
      <c r="I431">
        <v>2866</v>
      </c>
      <c r="J431">
        <v>0</v>
      </c>
      <c r="K431">
        <f>32.5-14</f>
        <v>18.5</v>
      </c>
      <c r="L431" t="s">
        <v>83</v>
      </c>
      <c r="M431">
        <v>2</v>
      </c>
    </row>
    <row r="432" spans="1:13" x14ac:dyDescent="0.25">
      <c r="A432" s="4">
        <v>42930</v>
      </c>
      <c r="B432" t="s">
        <v>30</v>
      </c>
      <c r="C432">
        <v>1</v>
      </c>
      <c r="D432">
        <v>1</v>
      </c>
      <c r="E432" t="s">
        <v>35</v>
      </c>
      <c r="F432" t="s">
        <v>36</v>
      </c>
      <c r="G432">
        <v>1</v>
      </c>
      <c r="H432">
        <v>2871</v>
      </c>
      <c r="I432">
        <v>2870</v>
      </c>
      <c r="J432">
        <v>0</v>
      </c>
      <c r="K432">
        <f>35-15</f>
        <v>20</v>
      </c>
      <c r="L432" t="s">
        <v>47</v>
      </c>
      <c r="M432">
        <v>2</v>
      </c>
    </row>
    <row r="433" spans="1:13" x14ac:dyDescent="0.25">
      <c r="A433" s="4">
        <v>42931</v>
      </c>
      <c r="B433" t="s">
        <v>30</v>
      </c>
      <c r="C433">
        <v>1</v>
      </c>
      <c r="D433">
        <v>1</v>
      </c>
      <c r="E433" t="s">
        <v>35</v>
      </c>
      <c r="F433" t="s">
        <v>36</v>
      </c>
      <c r="G433">
        <v>1</v>
      </c>
      <c r="H433">
        <v>2871</v>
      </c>
      <c r="I433">
        <v>2870</v>
      </c>
      <c r="J433">
        <v>0</v>
      </c>
      <c r="K433">
        <f>36-14</f>
        <v>22</v>
      </c>
      <c r="L433" t="s">
        <v>47</v>
      </c>
      <c r="M433">
        <v>2</v>
      </c>
    </row>
    <row r="434" spans="1:13" x14ac:dyDescent="0.25">
      <c r="A434" s="4">
        <v>42932</v>
      </c>
      <c r="B434" t="s">
        <v>30</v>
      </c>
      <c r="C434">
        <v>1</v>
      </c>
      <c r="D434">
        <v>1</v>
      </c>
      <c r="E434" t="s">
        <v>35</v>
      </c>
      <c r="F434" t="s">
        <v>36</v>
      </c>
      <c r="G434">
        <v>1</v>
      </c>
      <c r="H434">
        <v>2871</v>
      </c>
      <c r="I434">
        <v>2870</v>
      </c>
      <c r="J434">
        <v>0</v>
      </c>
      <c r="K434">
        <f>36.5-16</f>
        <v>20.5</v>
      </c>
      <c r="L434" t="s">
        <v>47</v>
      </c>
      <c r="M434">
        <v>2</v>
      </c>
    </row>
    <row r="435" spans="1:13" x14ac:dyDescent="0.25">
      <c r="A435" s="4">
        <v>42941</v>
      </c>
      <c r="B435" t="s">
        <v>30</v>
      </c>
      <c r="C435">
        <v>1</v>
      </c>
      <c r="D435">
        <v>1</v>
      </c>
      <c r="E435" t="s">
        <v>35</v>
      </c>
      <c r="F435" t="s">
        <v>36</v>
      </c>
      <c r="G435">
        <v>1</v>
      </c>
      <c r="H435">
        <v>2871</v>
      </c>
      <c r="I435">
        <v>2870</v>
      </c>
      <c r="J435">
        <v>0</v>
      </c>
      <c r="K435">
        <f>35-13</f>
        <v>22</v>
      </c>
      <c r="L435" t="s">
        <v>47</v>
      </c>
      <c r="M435">
        <v>2</v>
      </c>
    </row>
    <row r="436" spans="1:13" x14ac:dyDescent="0.25">
      <c r="A436" s="4">
        <v>42942</v>
      </c>
      <c r="B436" t="s">
        <v>30</v>
      </c>
      <c r="C436">
        <v>1</v>
      </c>
      <c r="D436">
        <v>1</v>
      </c>
      <c r="E436" t="s">
        <v>35</v>
      </c>
      <c r="F436" t="s">
        <v>36</v>
      </c>
      <c r="G436">
        <v>1</v>
      </c>
      <c r="H436">
        <v>2871</v>
      </c>
      <c r="I436">
        <v>2870</v>
      </c>
      <c r="J436">
        <v>0</v>
      </c>
      <c r="K436">
        <f>34-14</f>
        <v>20</v>
      </c>
      <c r="L436" t="s">
        <v>47</v>
      </c>
      <c r="M436">
        <v>2</v>
      </c>
    </row>
    <row r="437" spans="1:13" x14ac:dyDescent="0.25">
      <c r="A437" s="4">
        <v>42955</v>
      </c>
      <c r="B437" t="s">
        <v>30</v>
      </c>
      <c r="C437">
        <v>1</v>
      </c>
      <c r="D437">
        <v>1</v>
      </c>
      <c r="E437" t="s">
        <v>35</v>
      </c>
      <c r="F437" t="s">
        <v>36</v>
      </c>
      <c r="G437">
        <v>1</v>
      </c>
      <c r="H437">
        <v>2871</v>
      </c>
      <c r="I437">
        <v>2870</v>
      </c>
      <c r="J437">
        <v>0</v>
      </c>
      <c r="K437">
        <f>37-15</f>
        <v>22</v>
      </c>
      <c r="L437" t="s">
        <v>47</v>
      </c>
      <c r="M437">
        <v>2</v>
      </c>
    </row>
    <row r="438" spans="1:13" x14ac:dyDescent="0.25">
      <c r="A438" s="4">
        <v>42956</v>
      </c>
      <c r="B438" t="s">
        <v>30</v>
      </c>
      <c r="C438">
        <v>1</v>
      </c>
      <c r="D438">
        <v>1</v>
      </c>
      <c r="E438" t="s">
        <v>35</v>
      </c>
      <c r="F438" t="s">
        <v>36</v>
      </c>
      <c r="H438">
        <v>2871</v>
      </c>
      <c r="I438">
        <v>2870</v>
      </c>
      <c r="J438">
        <v>0</v>
      </c>
      <c r="M438">
        <v>2</v>
      </c>
    </row>
    <row r="439" spans="1:13" x14ac:dyDescent="0.25">
      <c r="A439" s="4">
        <v>42957</v>
      </c>
      <c r="B439" t="s">
        <v>30</v>
      </c>
      <c r="C439">
        <v>1</v>
      </c>
      <c r="D439">
        <v>1</v>
      </c>
      <c r="E439" t="s">
        <v>35</v>
      </c>
      <c r="F439" t="s">
        <v>36</v>
      </c>
      <c r="G439">
        <v>1</v>
      </c>
      <c r="H439">
        <v>2871</v>
      </c>
      <c r="I439">
        <v>2870</v>
      </c>
      <c r="J439">
        <v>0</v>
      </c>
      <c r="K439">
        <f>36.5-15</f>
        <v>21.5</v>
      </c>
      <c r="L439" t="s">
        <v>47</v>
      </c>
      <c r="M439">
        <v>2</v>
      </c>
    </row>
    <row r="440" spans="1:13" x14ac:dyDescent="0.25">
      <c r="A440" s="4">
        <v>42598</v>
      </c>
      <c r="B440" t="s">
        <v>30</v>
      </c>
      <c r="C440">
        <v>2</v>
      </c>
      <c r="D440">
        <v>1</v>
      </c>
      <c r="E440" t="s">
        <v>42</v>
      </c>
      <c r="F440" t="s">
        <v>89</v>
      </c>
      <c r="G440">
        <v>2</v>
      </c>
      <c r="H440" s="5" t="s">
        <v>775</v>
      </c>
      <c r="I440" s="5" t="s">
        <v>776</v>
      </c>
      <c r="J440">
        <v>1</v>
      </c>
      <c r="K440">
        <f>23.5-13.5</f>
        <v>10</v>
      </c>
      <c r="L440" t="s">
        <v>38</v>
      </c>
      <c r="M440">
        <v>1</v>
      </c>
    </row>
    <row r="441" spans="1:13" x14ac:dyDescent="0.25">
      <c r="A441" s="4">
        <v>42600</v>
      </c>
      <c r="B441" t="s">
        <v>30</v>
      </c>
      <c r="C441">
        <v>2</v>
      </c>
      <c r="D441">
        <v>1</v>
      </c>
      <c r="E441" t="s">
        <v>35</v>
      </c>
      <c r="F441" t="s">
        <v>89</v>
      </c>
      <c r="G441">
        <v>2</v>
      </c>
      <c r="H441" s="5" t="s">
        <v>775</v>
      </c>
      <c r="I441" s="5" t="s">
        <v>776</v>
      </c>
      <c r="J441">
        <v>1</v>
      </c>
      <c r="K441">
        <f>25-14.5</f>
        <v>10.5</v>
      </c>
      <c r="L441" t="s">
        <v>38</v>
      </c>
      <c r="M441">
        <v>1</v>
      </c>
    </row>
    <row r="442" spans="1:13" x14ac:dyDescent="0.25">
      <c r="A442" s="4">
        <v>42599</v>
      </c>
      <c r="B442" t="s">
        <v>30</v>
      </c>
      <c r="C442">
        <v>2</v>
      </c>
      <c r="D442">
        <v>1</v>
      </c>
      <c r="E442" t="s">
        <v>42</v>
      </c>
      <c r="F442" t="s">
        <v>89</v>
      </c>
      <c r="G442">
        <v>2</v>
      </c>
      <c r="H442" s="5" t="s">
        <v>861</v>
      </c>
      <c r="I442" s="5" t="s">
        <v>862</v>
      </c>
      <c r="J442">
        <v>0</v>
      </c>
      <c r="K442">
        <f>27.5-14</f>
        <v>13.5</v>
      </c>
      <c r="L442" t="s">
        <v>38</v>
      </c>
      <c r="M442">
        <v>1</v>
      </c>
    </row>
    <row r="443" spans="1:13" x14ac:dyDescent="0.25">
      <c r="A443" s="4">
        <v>42600</v>
      </c>
      <c r="B443" t="s">
        <v>30</v>
      </c>
      <c r="C443">
        <v>2</v>
      </c>
      <c r="D443">
        <v>1</v>
      </c>
      <c r="E443" t="s">
        <v>42</v>
      </c>
      <c r="F443" t="s">
        <v>114</v>
      </c>
      <c r="G443">
        <v>1</v>
      </c>
      <c r="H443" s="5" t="s">
        <v>896</v>
      </c>
      <c r="I443" s="5" t="s">
        <v>897</v>
      </c>
      <c r="J443">
        <v>0</v>
      </c>
      <c r="K443">
        <f>30-14.5</f>
        <v>15.5</v>
      </c>
      <c r="L443" t="s">
        <v>65</v>
      </c>
      <c r="M443">
        <v>1</v>
      </c>
    </row>
    <row r="444" spans="1:13" x14ac:dyDescent="0.25">
      <c r="A444" s="4">
        <v>42600</v>
      </c>
      <c r="B444" t="s">
        <v>30</v>
      </c>
      <c r="C444">
        <v>2</v>
      </c>
      <c r="D444">
        <v>1</v>
      </c>
      <c r="E444" t="s">
        <v>42</v>
      </c>
      <c r="F444" t="s">
        <v>89</v>
      </c>
      <c r="G444">
        <v>1</v>
      </c>
      <c r="H444" s="5" t="s">
        <v>898</v>
      </c>
      <c r="I444" s="5" t="s">
        <v>899</v>
      </c>
      <c r="J444">
        <v>0</v>
      </c>
      <c r="K444">
        <f>34-19</f>
        <v>15</v>
      </c>
      <c r="L444" t="s">
        <v>65</v>
      </c>
      <c r="M444">
        <v>1</v>
      </c>
    </row>
    <row r="445" spans="1:13" x14ac:dyDescent="0.25">
      <c r="A445" s="4">
        <v>43297</v>
      </c>
      <c r="B445" t="s">
        <v>30</v>
      </c>
      <c r="C445">
        <v>3</v>
      </c>
      <c r="D445">
        <v>1</v>
      </c>
      <c r="E445" t="s">
        <v>35</v>
      </c>
      <c r="F445" t="s">
        <v>36</v>
      </c>
      <c r="G445">
        <v>2</v>
      </c>
      <c r="H445">
        <v>2903</v>
      </c>
      <c r="I445">
        <v>2901</v>
      </c>
      <c r="J445">
        <v>0</v>
      </c>
      <c r="K445">
        <f>40-22</f>
        <v>18</v>
      </c>
      <c r="L445" t="s">
        <v>38</v>
      </c>
      <c r="M445">
        <v>3</v>
      </c>
    </row>
    <row r="446" spans="1:13" x14ac:dyDescent="0.25">
      <c r="A446" s="4">
        <v>43299</v>
      </c>
      <c r="B446" t="s">
        <v>30</v>
      </c>
      <c r="C446">
        <v>3</v>
      </c>
      <c r="D446">
        <v>1</v>
      </c>
      <c r="E446" t="s">
        <v>35</v>
      </c>
      <c r="F446" t="s">
        <v>36</v>
      </c>
      <c r="G446">
        <v>2</v>
      </c>
      <c r="H446">
        <v>2903</v>
      </c>
      <c r="I446">
        <v>2901</v>
      </c>
      <c r="J446">
        <v>0</v>
      </c>
      <c r="L446" t="s">
        <v>38</v>
      </c>
      <c r="M446">
        <v>3</v>
      </c>
    </row>
    <row r="447" spans="1:13" x14ac:dyDescent="0.25">
      <c r="A447" s="4">
        <v>43311</v>
      </c>
      <c r="B447" t="s">
        <v>30</v>
      </c>
      <c r="C447">
        <v>3</v>
      </c>
      <c r="D447">
        <v>1</v>
      </c>
      <c r="E447" t="s">
        <v>35</v>
      </c>
      <c r="F447" t="s">
        <v>36</v>
      </c>
      <c r="G447">
        <v>2</v>
      </c>
      <c r="H447">
        <v>2903</v>
      </c>
      <c r="I447">
        <v>2901</v>
      </c>
      <c r="J447">
        <v>1</v>
      </c>
      <c r="K447">
        <f>28.5-11</f>
        <v>17.5</v>
      </c>
      <c r="L447" t="s">
        <v>83</v>
      </c>
      <c r="M447">
        <v>3</v>
      </c>
    </row>
    <row r="448" spans="1:13" x14ac:dyDescent="0.25">
      <c r="A448" s="4">
        <v>43312</v>
      </c>
      <c r="B448" t="s">
        <v>30</v>
      </c>
      <c r="C448">
        <v>3</v>
      </c>
      <c r="D448">
        <v>1</v>
      </c>
      <c r="E448" t="s">
        <v>35</v>
      </c>
      <c r="F448" t="s">
        <v>36</v>
      </c>
      <c r="G448">
        <v>2</v>
      </c>
      <c r="H448">
        <v>2903</v>
      </c>
      <c r="I448">
        <v>2901</v>
      </c>
      <c r="J448">
        <v>1</v>
      </c>
      <c r="K448">
        <f>28-11</f>
        <v>17</v>
      </c>
      <c r="L448" t="s">
        <v>83</v>
      </c>
      <c r="M448">
        <v>3</v>
      </c>
    </row>
    <row r="449" spans="1:13" x14ac:dyDescent="0.25">
      <c r="A449" s="4">
        <v>43313</v>
      </c>
      <c r="B449" t="s">
        <v>30</v>
      </c>
      <c r="C449">
        <v>3</v>
      </c>
      <c r="D449">
        <v>1</v>
      </c>
      <c r="E449" t="s">
        <v>35</v>
      </c>
      <c r="F449" t="s">
        <v>36</v>
      </c>
      <c r="G449">
        <v>2</v>
      </c>
      <c r="H449">
        <v>2903</v>
      </c>
      <c r="I449">
        <v>2901</v>
      </c>
      <c r="J449">
        <v>1</v>
      </c>
      <c r="K449">
        <f>29-11</f>
        <v>18</v>
      </c>
      <c r="L449" t="s">
        <v>83</v>
      </c>
      <c r="M449">
        <v>3</v>
      </c>
    </row>
    <row r="450" spans="1:13" x14ac:dyDescent="0.25">
      <c r="A450" s="4">
        <v>43325</v>
      </c>
      <c r="B450" t="s">
        <v>30</v>
      </c>
      <c r="C450">
        <v>3</v>
      </c>
      <c r="D450">
        <v>1</v>
      </c>
      <c r="E450" t="s">
        <v>35</v>
      </c>
      <c r="F450" t="s">
        <v>36</v>
      </c>
      <c r="G450">
        <v>2</v>
      </c>
      <c r="H450">
        <v>2903</v>
      </c>
      <c r="I450">
        <v>2901</v>
      </c>
      <c r="J450">
        <v>0</v>
      </c>
      <c r="K450">
        <f>35-18</f>
        <v>17</v>
      </c>
      <c r="L450" t="s">
        <v>83</v>
      </c>
      <c r="M450">
        <v>3</v>
      </c>
    </row>
    <row r="451" spans="1:13" x14ac:dyDescent="0.25">
      <c r="A451" s="4">
        <v>43326</v>
      </c>
      <c r="B451" t="s">
        <v>30</v>
      </c>
      <c r="C451">
        <v>3</v>
      </c>
      <c r="D451">
        <v>1</v>
      </c>
      <c r="E451" t="s">
        <v>35</v>
      </c>
      <c r="F451" t="s">
        <v>36</v>
      </c>
      <c r="G451">
        <v>2</v>
      </c>
      <c r="H451">
        <v>2903</v>
      </c>
      <c r="I451">
        <v>2901</v>
      </c>
      <c r="J451">
        <v>0</v>
      </c>
      <c r="K451">
        <f>33-14</f>
        <v>19</v>
      </c>
      <c r="L451" t="s">
        <v>38</v>
      </c>
      <c r="M451">
        <v>3</v>
      </c>
    </row>
    <row r="452" spans="1:13" x14ac:dyDescent="0.25">
      <c r="A452" s="4">
        <v>43327</v>
      </c>
      <c r="B452" t="s">
        <v>30</v>
      </c>
      <c r="C452">
        <v>3</v>
      </c>
      <c r="D452">
        <v>1</v>
      </c>
      <c r="E452" t="s">
        <v>35</v>
      </c>
      <c r="F452" t="s">
        <v>36</v>
      </c>
      <c r="G452">
        <v>2</v>
      </c>
      <c r="H452">
        <v>2903</v>
      </c>
      <c r="I452">
        <v>2901</v>
      </c>
      <c r="J452">
        <v>0</v>
      </c>
      <c r="K452">
        <f>35-17</f>
        <v>18</v>
      </c>
      <c r="L452" t="s">
        <v>1039</v>
      </c>
      <c r="M452">
        <v>3</v>
      </c>
    </row>
    <row r="453" spans="1:13" x14ac:dyDescent="0.25">
      <c r="A453" s="4">
        <v>43298</v>
      </c>
      <c r="B453" t="s">
        <v>30</v>
      </c>
      <c r="C453">
        <v>4</v>
      </c>
      <c r="D453">
        <v>1</v>
      </c>
      <c r="E453" t="s">
        <v>35</v>
      </c>
      <c r="F453" t="s">
        <v>36</v>
      </c>
      <c r="G453">
        <v>1</v>
      </c>
      <c r="H453">
        <v>2911</v>
      </c>
      <c r="I453">
        <v>2910</v>
      </c>
      <c r="J453">
        <v>0</v>
      </c>
      <c r="L453" t="s">
        <v>47</v>
      </c>
      <c r="M453">
        <v>3</v>
      </c>
    </row>
    <row r="454" spans="1:13" x14ac:dyDescent="0.25">
      <c r="A454" s="4">
        <v>43299</v>
      </c>
      <c r="B454" t="s">
        <v>30</v>
      </c>
      <c r="C454">
        <v>4</v>
      </c>
      <c r="D454">
        <v>1</v>
      </c>
      <c r="E454" t="s">
        <v>35</v>
      </c>
      <c r="F454" t="s">
        <v>36</v>
      </c>
      <c r="G454">
        <v>1</v>
      </c>
      <c r="H454">
        <v>2911</v>
      </c>
      <c r="I454">
        <v>2910</v>
      </c>
      <c r="J454">
        <v>0</v>
      </c>
      <c r="K454">
        <f>38-23</f>
        <v>15</v>
      </c>
      <c r="L454" t="s">
        <v>65</v>
      </c>
      <c r="M454">
        <v>3</v>
      </c>
    </row>
    <row r="455" spans="1:13" x14ac:dyDescent="0.25">
      <c r="A455" s="4">
        <v>43313</v>
      </c>
      <c r="B455" t="s">
        <v>30</v>
      </c>
      <c r="C455">
        <v>4</v>
      </c>
      <c r="D455">
        <v>1</v>
      </c>
      <c r="E455" t="s">
        <v>35</v>
      </c>
      <c r="F455" t="s">
        <v>36</v>
      </c>
      <c r="G455">
        <v>2</v>
      </c>
      <c r="H455">
        <v>2911</v>
      </c>
      <c r="I455">
        <v>2910</v>
      </c>
      <c r="J455">
        <v>0</v>
      </c>
      <c r="K455">
        <f>36-15</f>
        <v>21</v>
      </c>
      <c r="L455" t="s">
        <v>83</v>
      </c>
      <c r="M455">
        <v>3</v>
      </c>
    </row>
    <row r="456" spans="1:13" x14ac:dyDescent="0.25">
      <c r="A456" s="4">
        <v>43297</v>
      </c>
      <c r="B456" t="s">
        <v>30</v>
      </c>
      <c r="C456">
        <v>3</v>
      </c>
      <c r="D456">
        <v>1</v>
      </c>
      <c r="E456" t="s">
        <v>35</v>
      </c>
      <c r="F456" t="s">
        <v>36</v>
      </c>
      <c r="G456">
        <v>2</v>
      </c>
      <c r="H456">
        <v>2913</v>
      </c>
      <c r="I456">
        <v>2912</v>
      </c>
      <c r="J456">
        <v>0</v>
      </c>
      <c r="K456">
        <f>40-22</f>
        <v>18</v>
      </c>
      <c r="L456" t="s">
        <v>1039</v>
      </c>
      <c r="M456">
        <v>3</v>
      </c>
    </row>
    <row r="457" spans="1:13" x14ac:dyDescent="0.25">
      <c r="A457" s="4">
        <v>43298</v>
      </c>
      <c r="B457" t="s">
        <v>30</v>
      </c>
      <c r="C457">
        <v>3</v>
      </c>
      <c r="D457">
        <v>1</v>
      </c>
      <c r="E457" t="s">
        <v>35</v>
      </c>
      <c r="F457" t="s">
        <v>36</v>
      </c>
      <c r="G457">
        <v>2</v>
      </c>
      <c r="H457">
        <v>2913</v>
      </c>
      <c r="I457">
        <v>2912</v>
      </c>
      <c r="J457">
        <v>0</v>
      </c>
      <c r="K457">
        <f>44-24</f>
        <v>20</v>
      </c>
      <c r="L457" t="s">
        <v>38</v>
      </c>
      <c r="M457">
        <v>3</v>
      </c>
    </row>
    <row r="458" spans="1:13" x14ac:dyDescent="0.25">
      <c r="A458" s="4">
        <v>43299</v>
      </c>
      <c r="B458" t="s">
        <v>30</v>
      </c>
      <c r="C458">
        <v>3</v>
      </c>
      <c r="D458">
        <v>1</v>
      </c>
      <c r="E458" t="s">
        <v>35</v>
      </c>
      <c r="F458" t="s">
        <v>36</v>
      </c>
      <c r="G458">
        <v>2</v>
      </c>
      <c r="H458">
        <v>2913</v>
      </c>
      <c r="I458">
        <v>2912</v>
      </c>
      <c r="J458">
        <v>0</v>
      </c>
      <c r="K458">
        <f>33-18</f>
        <v>15</v>
      </c>
      <c r="L458" t="s">
        <v>83</v>
      </c>
      <c r="M458">
        <v>3</v>
      </c>
    </row>
    <row r="459" spans="1:13" x14ac:dyDescent="0.25">
      <c r="A459" s="4">
        <v>43311</v>
      </c>
      <c r="B459" t="s">
        <v>30</v>
      </c>
      <c r="C459">
        <v>3</v>
      </c>
      <c r="D459">
        <v>1</v>
      </c>
      <c r="E459" t="s">
        <v>35</v>
      </c>
      <c r="F459" t="s">
        <v>36</v>
      </c>
      <c r="G459">
        <v>2</v>
      </c>
      <c r="H459">
        <v>2913</v>
      </c>
      <c r="I459">
        <v>2912</v>
      </c>
      <c r="J459">
        <v>0</v>
      </c>
      <c r="K459">
        <f>31-11</f>
        <v>20</v>
      </c>
      <c r="L459" t="s">
        <v>38</v>
      </c>
      <c r="M459">
        <v>3</v>
      </c>
    </row>
    <row r="460" spans="1:13" x14ac:dyDescent="0.25">
      <c r="A460" s="4">
        <v>43312</v>
      </c>
      <c r="B460" t="s">
        <v>30</v>
      </c>
      <c r="C460">
        <v>3</v>
      </c>
      <c r="D460">
        <v>1</v>
      </c>
      <c r="E460" t="s">
        <v>35</v>
      </c>
      <c r="F460" t="s">
        <v>36</v>
      </c>
      <c r="G460">
        <v>2</v>
      </c>
      <c r="H460">
        <v>2913</v>
      </c>
      <c r="I460">
        <v>2912</v>
      </c>
      <c r="J460">
        <v>0</v>
      </c>
      <c r="K460">
        <f>28.5-9</f>
        <v>19.5</v>
      </c>
      <c r="L460" t="s">
        <v>38</v>
      </c>
      <c r="M460">
        <v>3</v>
      </c>
    </row>
    <row r="461" spans="1:13" x14ac:dyDescent="0.25">
      <c r="A461" s="4">
        <v>43313</v>
      </c>
      <c r="B461" t="s">
        <v>30</v>
      </c>
      <c r="C461">
        <v>3</v>
      </c>
      <c r="D461">
        <v>1</v>
      </c>
      <c r="E461" t="s">
        <v>35</v>
      </c>
      <c r="F461" t="s">
        <v>36</v>
      </c>
      <c r="G461">
        <v>2</v>
      </c>
      <c r="H461">
        <v>2913</v>
      </c>
      <c r="I461">
        <v>2912</v>
      </c>
      <c r="J461">
        <v>0</v>
      </c>
      <c r="K461">
        <f>33-14</f>
        <v>19</v>
      </c>
      <c r="L461" t="s">
        <v>38</v>
      </c>
      <c r="M461">
        <v>3</v>
      </c>
    </row>
    <row r="462" spans="1:13" x14ac:dyDescent="0.25">
      <c r="A462" s="4">
        <v>43325</v>
      </c>
      <c r="B462" t="s">
        <v>30</v>
      </c>
      <c r="C462">
        <v>3</v>
      </c>
      <c r="D462">
        <v>1</v>
      </c>
      <c r="E462" t="s">
        <v>35</v>
      </c>
      <c r="F462" t="s">
        <v>36</v>
      </c>
      <c r="G462">
        <v>2</v>
      </c>
      <c r="H462">
        <v>2913</v>
      </c>
      <c r="I462">
        <v>2912</v>
      </c>
      <c r="J462">
        <v>0</v>
      </c>
      <c r="K462">
        <f>34-17</f>
        <v>17</v>
      </c>
      <c r="L462" t="s">
        <v>38</v>
      </c>
      <c r="M462">
        <v>3</v>
      </c>
    </row>
    <row r="463" spans="1:13" x14ac:dyDescent="0.25">
      <c r="A463" s="4">
        <v>43326</v>
      </c>
      <c r="B463" t="s">
        <v>30</v>
      </c>
      <c r="C463">
        <v>3</v>
      </c>
      <c r="D463">
        <v>1</v>
      </c>
      <c r="E463" t="s">
        <v>35</v>
      </c>
      <c r="F463" t="s">
        <v>36</v>
      </c>
      <c r="G463">
        <v>2</v>
      </c>
      <c r="H463">
        <v>2913</v>
      </c>
      <c r="I463">
        <v>2912</v>
      </c>
      <c r="J463">
        <v>0</v>
      </c>
      <c r="K463">
        <f>30-13</f>
        <v>17</v>
      </c>
      <c r="L463" t="s">
        <v>38</v>
      </c>
      <c r="M463">
        <v>3</v>
      </c>
    </row>
    <row r="464" spans="1:13" x14ac:dyDescent="0.25">
      <c r="A464" s="4">
        <v>43327</v>
      </c>
      <c r="B464" t="s">
        <v>30</v>
      </c>
      <c r="C464">
        <v>3</v>
      </c>
      <c r="D464">
        <v>1</v>
      </c>
      <c r="E464" t="s">
        <v>35</v>
      </c>
      <c r="F464" t="s">
        <v>36</v>
      </c>
      <c r="G464">
        <v>2</v>
      </c>
      <c r="H464">
        <v>2913</v>
      </c>
      <c r="I464">
        <v>2912</v>
      </c>
      <c r="J464">
        <v>0</v>
      </c>
      <c r="K464">
        <f>44.5-29</f>
        <v>15.5</v>
      </c>
      <c r="L464" t="s">
        <v>38</v>
      </c>
      <c r="M464">
        <v>3</v>
      </c>
    </row>
    <row r="465" spans="1:13" x14ac:dyDescent="0.25">
      <c r="A465" s="4">
        <v>42604</v>
      </c>
      <c r="B465" t="s">
        <v>30</v>
      </c>
      <c r="C465">
        <v>9</v>
      </c>
      <c r="D465">
        <v>1</v>
      </c>
      <c r="E465" t="s">
        <v>42</v>
      </c>
      <c r="F465" t="s">
        <v>114</v>
      </c>
      <c r="G465">
        <v>1</v>
      </c>
      <c r="H465" s="5" t="s">
        <v>937</v>
      </c>
      <c r="I465" s="5" t="s">
        <v>938</v>
      </c>
      <c r="J465">
        <v>1</v>
      </c>
      <c r="K465">
        <v>15</v>
      </c>
      <c r="L465" t="s">
        <v>65</v>
      </c>
      <c r="M465">
        <v>1</v>
      </c>
    </row>
    <row r="466" spans="1:13" x14ac:dyDescent="0.25">
      <c r="A466" s="4">
        <v>43298</v>
      </c>
      <c r="B466" t="s">
        <v>30</v>
      </c>
      <c r="C466">
        <v>5</v>
      </c>
      <c r="D466">
        <v>1</v>
      </c>
      <c r="E466" t="s">
        <v>35</v>
      </c>
      <c r="F466" t="s">
        <v>36</v>
      </c>
      <c r="G466">
        <v>2</v>
      </c>
      <c r="H466">
        <v>2953</v>
      </c>
      <c r="I466">
        <v>2952</v>
      </c>
      <c r="J466">
        <v>0</v>
      </c>
      <c r="K466">
        <f>35-17.5</f>
        <v>17.5</v>
      </c>
      <c r="L466" t="s">
        <v>1041</v>
      </c>
      <c r="M466">
        <v>3</v>
      </c>
    </row>
    <row r="467" spans="1:13" x14ac:dyDescent="0.25">
      <c r="A467" s="4">
        <v>43299</v>
      </c>
      <c r="B467" t="s">
        <v>30</v>
      </c>
      <c r="C467">
        <v>5</v>
      </c>
      <c r="D467">
        <v>1</v>
      </c>
      <c r="E467" t="s">
        <v>35</v>
      </c>
      <c r="F467" t="s">
        <v>36</v>
      </c>
      <c r="G467">
        <v>2</v>
      </c>
      <c r="H467">
        <v>2953</v>
      </c>
      <c r="I467">
        <v>2952</v>
      </c>
      <c r="J467">
        <v>0</v>
      </c>
      <c r="K467">
        <f>32-13</f>
        <v>19</v>
      </c>
      <c r="L467" t="s">
        <v>1039</v>
      </c>
      <c r="M467">
        <v>3</v>
      </c>
    </row>
    <row r="468" spans="1:13" x14ac:dyDescent="0.25">
      <c r="A468" s="4">
        <v>43312</v>
      </c>
      <c r="B468" t="s">
        <v>30</v>
      </c>
      <c r="C468">
        <v>5</v>
      </c>
      <c r="D468">
        <v>1</v>
      </c>
      <c r="E468" t="s">
        <v>35</v>
      </c>
      <c r="F468" t="s">
        <v>36</v>
      </c>
      <c r="G468">
        <v>2</v>
      </c>
      <c r="H468">
        <v>2953</v>
      </c>
      <c r="I468">
        <v>2952</v>
      </c>
      <c r="J468">
        <v>1</v>
      </c>
      <c r="K468">
        <f>31-12.5</f>
        <v>18.5</v>
      </c>
      <c r="L468" t="s">
        <v>1041</v>
      </c>
      <c r="M468">
        <v>3</v>
      </c>
    </row>
    <row r="469" spans="1:13" x14ac:dyDescent="0.25">
      <c r="A469" s="4">
        <v>43313</v>
      </c>
      <c r="B469" t="s">
        <v>30</v>
      </c>
      <c r="C469">
        <v>5</v>
      </c>
      <c r="D469">
        <v>1</v>
      </c>
      <c r="E469" t="s">
        <v>35</v>
      </c>
      <c r="F469" t="s">
        <v>36</v>
      </c>
      <c r="G469">
        <v>2</v>
      </c>
      <c r="H469">
        <v>2953</v>
      </c>
      <c r="I469">
        <v>2952</v>
      </c>
      <c r="J469">
        <v>1</v>
      </c>
      <c r="K469">
        <f>31-10.5</f>
        <v>20.5</v>
      </c>
      <c r="L469" t="s">
        <v>1039</v>
      </c>
      <c r="M469">
        <v>3</v>
      </c>
    </row>
    <row r="470" spans="1:13" x14ac:dyDescent="0.25">
      <c r="A470" s="4">
        <v>42586</v>
      </c>
      <c r="B470" t="s">
        <v>30</v>
      </c>
      <c r="C470">
        <v>2</v>
      </c>
      <c r="D470">
        <v>1</v>
      </c>
      <c r="E470" t="s">
        <v>42</v>
      </c>
      <c r="F470" t="s">
        <v>114</v>
      </c>
      <c r="G470">
        <v>1</v>
      </c>
      <c r="H470" s="5" t="s">
        <v>369</v>
      </c>
      <c r="I470" s="5" t="s">
        <v>370</v>
      </c>
      <c r="J470">
        <v>0</v>
      </c>
      <c r="K470">
        <f>30.5-13</f>
        <v>17.5</v>
      </c>
      <c r="L470" t="s">
        <v>65</v>
      </c>
      <c r="M470">
        <v>1</v>
      </c>
    </row>
    <row r="471" spans="1:13" x14ac:dyDescent="0.25">
      <c r="A471" s="4">
        <v>42586</v>
      </c>
      <c r="B471" t="s">
        <v>30</v>
      </c>
      <c r="C471">
        <v>2</v>
      </c>
      <c r="D471">
        <v>1</v>
      </c>
      <c r="E471" t="s">
        <v>42</v>
      </c>
      <c r="F471" t="s">
        <v>114</v>
      </c>
      <c r="G471">
        <v>1</v>
      </c>
      <c r="H471" s="5" t="s">
        <v>367</v>
      </c>
      <c r="I471" s="5" t="s">
        <v>368</v>
      </c>
      <c r="J471">
        <v>0</v>
      </c>
      <c r="K471">
        <f>29-14</f>
        <v>15</v>
      </c>
      <c r="L471" t="s">
        <v>65</v>
      </c>
      <c r="M471">
        <v>1</v>
      </c>
    </row>
    <row r="472" spans="1:13" x14ac:dyDescent="0.25">
      <c r="A472" s="4">
        <v>42586</v>
      </c>
      <c r="B472" t="s">
        <v>30</v>
      </c>
      <c r="C472">
        <v>2</v>
      </c>
      <c r="D472">
        <v>1</v>
      </c>
      <c r="E472" t="s">
        <v>42</v>
      </c>
      <c r="F472" t="s">
        <v>89</v>
      </c>
      <c r="G472">
        <v>1</v>
      </c>
      <c r="H472" s="5" t="s">
        <v>364</v>
      </c>
      <c r="I472" s="5" t="s">
        <v>365</v>
      </c>
      <c r="J472">
        <v>0</v>
      </c>
      <c r="K472">
        <f>26.5-15.5</f>
        <v>11</v>
      </c>
      <c r="L472" t="s">
        <v>65</v>
      </c>
      <c r="M472">
        <v>1</v>
      </c>
    </row>
    <row r="473" spans="1:13" x14ac:dyDescent="0.25">
      <c r="A473" s="4">
        <v>42586</v>
      </c>
      <c r="B473" t="s">
        <v>30</v>
      </c>
      <c r="C473">
        <v>2</v>
      </c>
      <c r="D473">
        <v>1</v>
      </c>
      <c r="E473" t="s">
        <v>42</v>
      </c>
      <c r="F473" t="s">
        <v>89</v>
      </c>
      <c r="G473">
        <v>2</v>
      </c>
      <c r="H473" s="5" t="s">
        <v>360</v>
      </c>
      <c r="I473" s="5" t="s">
        <v>361</v>
      </c>
      <c r="J473">
        <v>0</v>
      </c>
      <c r="K473">
        <f>21-13</f>
        <v>8</v>
      </c>
      <c r="L473" t="s">
        <v>38</v>
      </c>
      <c r="M473">
        <v>1</v>
      </c>
    </row>
    <row r="474" spans="1:13" x14ac:dyDescent="0.25">
      <c r="A474" s="4">
        <v>42600</v>
      </c>
      <c r="B474" t="s">
        <v>30</v>
      </c>
      <c r="C474">
        <v>2</v>
      </c>
      <c r="D474">
        <v>1</v>
      </c>
      <c r="E474" t="s">
        <v>35</v>
      </c>
      <c r="F474" t="s">
        <v>89</v>
      </c>
      <c r="G474">
        <v>2</v>
      </c>
      <c r="H474" s="5" t="s">
        <v>360</v>
      </c>
      <c r="I474" s="5" t="s">
        <v>361</v>
      </c>
      <c r="J474">
        <v>1</v>
      </c>
      <c r="K474">
        <f>25-15</f>
        <v>10</v>
      </c>
      <c r="L474" t="s">
        <v>38</v>
      </c>
      <c r="M474">
        <v>1</v>
      </c>
    </row>
    <row r="475" spans="1:13" x14ac:dyDescent="0.25">
      <c r="A475" s="4">
        <v>42586</v>
      </c>
      <c r="B475" t="s">
        <v>30</v>
      </c>
      <c r="C475">
        <v>2</v>
      </c>
      <c r="D475">
        <v>1</v>
      </c>
      <c r="E475" t="s">
        <v>42</v>
      </c>
      <c r="F475" t="s">
        <v>114</v>
      </c>
      <c r="G475">
        <v>1</v>
      </c>
      <c r="H475" s="5" t="s">
        <v>358</v>
      </c>
      <c r="I475" s="5" t="s">
        <v>359</v>
      </c>
      <c r="J475">
        <v>0</v>
      </c>
      <c r="K475">
        <f>29.5-13</f>
        <v>16.5</v>
      </c>
      <c r="L475" t="s">
        <v>47</v>
      </c>
      <c r="M475">
        <v>1</v>
      </c>
    </row>
    <row r="476" spans="1:13" x14ac:dyDescent="0.25">
      <c r="A476" s="4">
        <v>42586</v>
      </c>
      <c r="B476" t="s">
        <v>30</v>
      </c>
      <c r="C476">
        <v>2</v>
      </c>
      <c r="D476">
        <v>1</v>
      </c>
      <c r="E476" t="s">
        <v>42</v>
      </c>
      <c r="F476" t="s">
        <v>114</v>
      </c>
      <c r="G476">
        <v>2</v>
      </c>
      <c r="H476" s="5" t="s">
        <v>355</v>
      </c>
      <c r="I476" s="5" t="s">
        <v>356</v>
      </c>
      <c r="J476">
        <v>0</v>
      </c>
      <c r="K476">
        <f>27-13.5</f>
        <v>13.5</v>
      </c>
      <c r="L476" t="s">
        <v>38</v>
      </c>
      <c r="M476">
        <v>1</v>
      </c>
    </row>
    <row r="477" spans="1:13" x14ac:dyDescent="0.25">
      <c r="A477" s="4">
        <v>42586</v>
      </c>
      <c r="B477" t="s">
        <v>30</v>
      </c>
      <c r="C477">
        <v>2</v>
      </c>
      <c r="D477">
        <v>1</v>
      </c>
      <c r="E477" t="s">
        <v>42</v>
      </c>
      <c r="F477" t="s">
        <v>89</v>
      </c>
      <c r="G477">
        <v>1</v>
      </c>
      <c r="H477" s="5" t="s">
        <v>352</v>
      </c>
      <c r="I477" s="5" t="s">
        <v>353</v>
      </c>
      <c r="J477">
        <v>0</v>
      </c>
      <c r="K477">
        <f>27-13</f>
        <v>14</v>
      </c>
      <c r="L477" t="s">
        <v>65</v>
      </c>
      <c r="M477">
        <v>1</v>
      </c>
    </row>
    <row r="478" spans="1:13" x14ac:dyDescent="0.25">
      <c r="A478" s="4">
        <v>42586</v>
      </c>
      <c r="B478" t="s">
        <v>30</v>
      </c>
      <c r="C478">
        <v>2</v>
      </c>
      <c r="D478">
        <v>1</v>
      </c>
      <c r="E478" t="s">
        <v>42</v>
      </c>
      <c r="F478" t="s">
        <v>89</v>
      </c>
      <c r="G478">
        <v>2</v>
      </c>
      <c r="H478" s="5" t="s">
        <v>349</v>
      </c>
      <c r="I478" s="5" t="s">
        <v>350</v>
      </c>
      <c r="J478">
        <v>0</v>
      </c>
      <c r="K478">
        <f>27-13</f>
        <v>14</v>
      </c>
      <c r="L478" t="s">
        <v>38</v>
      </c>
      <c r="M478">
        <v>1</v>
      </c>
    </row>
    <row r="479" spans="1:13" x14ac:dyDescent="0.25">
      <c r="A479" s="4">
        <v>42585</v>
      </c>
      <c r="B479" t="s">
        <v>30</v>
      </c>
      <c r="C479">
        <v>4</v>
      </c>
      <c r="D479">
        <v>1</v>
      </c>
      <c r="E479" t="s">
        <v>42</v>
      </c>
      <c r="F479" t="s">
        <v>114</v>
      </c>
      <c r="G479">
        <v>2</v>
      </c>
      <c r="H479" s="5" t="s">
        <v>317</v>
      </c>
      <c r="I479" s="5" t="s">
        <v>318</v>
      </c>
      <c r="J479">
        <v>0</v>
      </c>
      <c r="K479">
        <f>29.5-14</f>
        <v>15.5</v>
      </c>
      <c r="L479" t="s">
        <v>38</v>
      </c>
      <c r="M479">
        <v>1</v>
      </c>
    </row>
    <row r="480" spans="1:13" x14ac:dyDescent="0.25">
      <c r="A480" s="4">
        <v>42586</v>
      </c>
      <c r="B480" t="s">
        <v>30</v>
      </c>
      <c r="C480">
        <v>3</v>
      </c>
      <c r="D480">
        <v>1</v>
      </c>
      <c r="E480" t="s">
        <v>35</v>
      </c>
      <c r="F480" t="s">
        <v>89</v>
      </c>
      <c r="G480">
        <v>2</v>
      </c>
      <c r="H480" s="5" t="s">
        <v>317</v>
      </c>
      <c r="I480" s="5" t="s">
        <v>318</v>
      </c>
      <c r="J480">
        <v>0</v>
      </c>
      <c r="K480">
        <f>30-16</f>
        <v>14</v>
      </c>
      <c r="L480" t="s">
        <v>38</v>
      </c>
      <c r="M480">
        <v>1</v>
      </c>
    </row>
    <row r="481" spans="1:13" x14ac:dyDescent="0.25">
      <c r="A481" s="4">
        <v>42585</v>
      </c>
      <c r="B481" t="s">
        <v>30</v>
      </c>
      <c r="C481">
        <v>2</v>
      </c>
      <c r="D481">
        <v>1</v>
      </c>
      <c r="E481" t="s">
        <v>42</v>
      </c>
      <c r="F481" t="s">
        <v>114</v>
      </c>
      <c r="G481">
        <v>1</v>
      </c>
      <c r="H481" s="5" t="s">
        <v>313</v>
      </c>
      <c r="I481" s="5" t="s">
        <v>314</v>
      </c>
      <c r="J481">
        <v>0</v>
      </c>
      <c r="K481">
        <f>28-13</f>
        <v>15</v>
      </c>
      <c r="L481" t="s">
        <v>65</v>
      </c>
      <c r="M481">
        <v>1</v>
      </c>
    </row>
    <row r="482" spans="1:13" x14ac:dyDescent="0.25">
      <c r="A482" s="4">
        <v>42598</v>
      </c>
      <c r="B482" t="s">
        <v>30</v>
      </c>
      <c r="C482">
        <v>2</v>
      </c>
      <c r="D482">
        <v>1</v>
      </c>
      <c r="E482" t="s">
        <v>35</v>
      </c>
      <c r="F482" t="s">
        <v>89</v>
      </c>
      <c r="G482">
        <v>1</v>
      </c>
      <c r="H482" s="5" t="s">
        <v>313</v>
      </c>
      <c r="I482" s="5" t="s">
        <v>314</v>
      </c>
      <c r="J482">
        <v>1</v>
      </c>
      <c r="K482">
        <f>35-20</f>
        <v>15</v>
      </c>
      <c r="L482" t="s">
        <v>65</v>
      </c>
      <c r="M482">
        <v>1</v>
      </c>
    </row>
    <row r="483" spans="1:13" x14ac:dyDescent="0.25">
      <c r="A483" s="4">
        <v>42586</v>
      </c>
      <c r="B483" t="s">
        <v>30</v>
      </c>
      <c r="C483">
        <v>1</v>
      </c>
      <c r="D483">
        <v>1</v>
      </c>
      <c r="E483" t="s">
        <v>42</v>
      </c>
      <c r="F483" t="s">
        <v>114</v>
      </c>
      <c r="G483">
        <v>1</v>
      </c>
      <c r="H483" s="5" t="s">
        <v>380</v>
      </c>
      <c r="I483" s="5" t="s">
        <v>381</v>
      </c>
      <c r="J483">
        <v>1</v>
      </c>
      <c r="K483">
        <f>30-13</f>
        <v>17</v>
      </c>
      <c r="L483" t="s">
        <v>47</v>
      </c>
      <c r="M483">
        <v>1</v>
      </c>
    </row>
    <row r="484" spans="1:13" x14ac:dyDescent="0.25">
      <c r="A484" s="4">
        <v>42587</v>
      </c>
      <c r="B484" t="s">
        <v>30</v>
      </c>
      <c r="C484">
        <v>1</v>
      </c>
      <c r="D484">
        <v>1</v>
      </c>
      <c r="E484" t="s">
        <v>35</v>
      </c>
      <c r="F484" t="s">
        <v>114</v>
      </c>
      <c r="G484">
        <v>1</v>
      </c>
      <c r="H484" s="5" t="s">
        <v>380</v>
      </c>
      <c r="I484" s="5" t="s">
        <v>381</v>
      </c>
      <c r="J484">
        <v>1</v>
      </c>
      <c r="K484">
        <f>34-16.5</f>
        <v>17.5</v>
      </c>
      <c r="L484" t="s">
        <v>47</v>
      </c>
      <c r="M484">
        <v>1</v>
      </c>
    </row>
    <row r="485" spans="1:13" x14ac:dyDescent="0.25">
      <c r="A485" s="4">
        <v>42588</v>
      </c>
      <c r="B485" t="s">
        <v>30</v>
      </c>
      <c r="C485">
        <v>1</v>
      </c>
      <c r="D485">
        <v>1</v>
      </c>
      <c r="E485" t="s">
        <v>35</v>
      </c>
      <c r="F485" t="s">
        <v>114</v>
      </c>
      <c r="G485">
        <v>1</v>
      </c>
      <c r="H485" s="5" t="s">
        <v>380</v>
      </c>
      <c r="I485" s="5" t="s">
        <v>381</v>
      </c>
      <c r="J485">
        <v>1</v>
      </c>
      <c r="K485">
        <f>31-14</f>
        <v>17</v>
      </c>
      <c r="L485" t="s">
        <v>47</v>
      </c>
      <c r="M485">
        <v>1</v>
      </c>
    </row>
    <row r="486" spans="1:13" x14ac:dyDescent="0.25">
      <c r="A486" s="4">
        <v>42589</v>
      </c>
      <c r="B486" t="s">
        <v>30</v>
      </c>
      <c r="C486">
        <v>1</v>
      </c>
      <c r="D486">
        <v>1</v>
      </c>
      <c r="E486" t="s">
        <v>35</v>
      </c>
      <c r="F486" t="s">
        <v>36</v>
      </c>
      <c r="G486">
        <v>1</v>
      </c>
      <c r="H486" s="5" t="s">
        <v>380</v>
      </c>
      <c r="I486" s="5" t="s">
        <v>381</v>
      </c>
      <c r="J486">
        <v>1</v>
      </c>
      <c r="K486">
        <f>31.5-12.5</f>
        <v>19</v>
      </c>
      <c r="L486" t="s">
        <v>47</v>
      </c>
      <c r="M486">
        <v>1</v>
      </c>
    </row>
    <row r="487" spans="1:13" x14ac:dyDescent="0.25">
      <c r="A487" s="4">
        <v>42586</v>
      </c>
      <c r="B487" t="s">
        <v>30</v>
      </c>
      <c r="C487">
        <v>1</v>
      </c>
      <c r="D487">
        <v>1</v>
      </c>
      <c r="E487" t="s">
        <v>42</v>
      </c>
      <c r="F487" t="s">
        <v>36</v>
      </c>
      <c r="G487">
        <v>1</v>
      </c>
      <c r="H487" s="5" t="s">
        <v>377</v>
      </c>
      <c r="I487" s="5" t="s">
        <v>378</v>
      </c>
      <c r="J487">
        <v>0</v>
      </c>
      <c r="K487">
        <f>38-17</f>
        <v>21</v>
      </c>
      <c r="L487" t="s">
        <v>47</v>
      </c>
      <c r="M487">
        <v>1</v>
      </c>
    </row>
    <row r="488" spans="1:13" x14ac:dyDescent="0.25">
      <c r="A488" s="4">
        <v>42587</v>
      </c>
      <c r="B488" t="s">
        <v>30</v>
      </c>
      <c r="C488">
        <v>1</v>
      </c>
      <c r="D488">
        <v>1</v>
      </c>
      <c r="E488" t="s">
        <v>35</v>
      </c>
      <c r="F488" t="s">
        <v>114</v>
      </c>
      <c r="G488">
        <v>1</v>
      </c>
      <c r="H488" s="5" t="s">
        <v>377</v>
      </c>
      <c r="I488" s="5" t="s">
        <v>378</v>
      </c>
      <c r="J488">
        <v>0</v>
      </c>
      <c r="K488">
        <f>37-18</f>
        <v>19</v>
      </c>
      <c r="L488" t="s">
        <v>47</v>
      </c>
      <c r="M488">
        <v>1</v>
      </c>
    </row>
    <row r="489" spans="1:13" x14ac:dyDescent="0.25">
      <c r="A489" s="4">
        <v>42588</v>
      </c>
      <c r="B489" t="s">
        <v>30</v>
      </c>
      <c r="C489">
        <v>1</v>
      </c>
      <c r="D489">
        <v>1</v>
      </c>
      <c r="E489" t="s">
        <v>35</v>
      </c>
      <c r="F489" t="s">
        <v>114</v>
      </c>
      <c r="G489">
        <v>1</v>
      </c>
      <c r="H489" s="5" t="s">
        <v>377</v>
      </c>
      <c r="I489" s="5" t="s">
        <v>484</v>
      </c>
      <c r="J489">
        <v>0</v>
      </c>
      <c r="L489" t="s">
        <v>47</v>
      </c>
      <c r="M489">
        <v>1</v>
      </c>
    </row>
    <row r="490" spans="1:13" x14ac:dyDescent="0.25">
      <c r="A490" s="4">
        <v>42589</v>
      </c>
      <c r="B490" t="s">
        <v>30</v>
      </c>
      <c r="C490">
        <v>1</v>
      </c>
      <c r="D490">
        <v>1</v>
      </c>
      <c r="E490" t="s">
        <v>35</v>
      </c>
      <c r="F490" t="s">
        <v>36</v>
      </c>
      <c r="G490">
        <v>1</v>
      </c>
      <c r="H490" s="5" t="s">
        <v>377</v>
      </c>
      <c r="I490" s="5" t="s">
        <v>378</v>
      </c>
      <c r="J490">
        <v>0</v>
      </c>
      <c r="K490">
        <f>35-14.5</f>
        <v>20.5</v>
      </c>
      <c r="L490" t="s">
        <v>47</v>
      </c>
      <c r="M490">
        <v>1</v>
      </c>
    </row>
    <row r="491" spans="1:13" x14ac:dyDescent="0.25">
      <c r="A491" s="4">
        <v>42585</v>
      </c>
      <c r="B491" t="s">
        <v>30</v>
      </c>
      <c r="C491">
        <v>3</v>
      </c>
      <c r="D491">
        <v>1</v>
      </c>
      <c r="E491" t="s">
        <v>42</v>
      </c>
      <c r="F491" t="s">
        <v>89</v>
      </c>
      <c r="G491">
        <v>1</v>
      </c>
      <c r="H491" s="5" t="s">
        <v>346</v>
      </c>
      <c r="I491" s="5" t="s">
        <v>347</v>
      </c>
      <c r="J491">
        <v>0</v>
      </c>
      <c r="K491">
        <f>24-8.5</f>
        <v>15.5</v>
      </c>
      <c r="L491" t="s">
        <v>65</v>
      </c>
      <c r="M491">
        <v>1</v>
      </c>
    </row>
    <row r="492" spans="1:13" x14ac:dyDescent="0.25">
      <c r="A492" s="4">
        <v>42585</v>
      </c>
      <c r="B492" t="s">
        <v>30</v>
      </c>
      <c r="C492">
        <v>3</v>
      </c>
      <c r="D492">
        <v>1</v>
      </c>
      <c r="E492" t="s">
        <v>42</v>
      </c>
      <c r="F492" t="s">
        <v>114</v>
      </c>
      <c r="G492">
        <v>2</v>
      </c>
      <c r="H492" s="5" t="s">
        <v>343</v>
      </c>
      <c r="I492" s="5" t="s">
        <v>344</v>
      </c>
      <c r="J492">
        <v>1</v>
      </c>
      <c r="K492">
        <f>25.5-9</f>
        <v>16.5</v>
      </c>
      <c r="L492" t="s">
        <v>38</v>
      </c>
      <c r="M492">
        <v>1</v>
      </c>
    </row>
    <row r="493" spans="1:13" x14ac:dyDescent="0.25">
      <c r="A493" s="4">
        <v>42586</v>
      </c>
      <c r="B493" t="s">
        <v>30</v>
      </c>
      <c r="C493">
        <v>3</v>
      </c>
      <c r="D493">
        <v>1</v>
      </c>
      <c r="E493" t="s">
        <v>35</v>
      </c>
      <c r="F493" t="s">
        <v>89</v>
      </c>
      <c r="G493">
        <v>2</v>
      </c>
      <c r="H493" s="5" t="s">
        <v>343</v>
      </c>
      <c r="I493" s="5" t="s">
        <v>344</v>
      </c>
      <c r="J493">
        <v>1</v>
      </c>
      <c r="K493">
        <f>33-17.5</f>
        <v>15.5</v>
      </c>
      <c r="L493" t="s">
        <v>38</v>
      </c>
      <c r="M493">
        <v>1</v>
      </c>
    </row>
    <row r="494" spans="1:13" x14ac:dyDescent="0.25">
      <c r="A494" s="4">
        <v>42585</v>
      </c>
      <c r="B494" t="s">
        <v>30</v>
      </c>
      <c r="C494">
        <v>3</v>
      </c>
      <c r="D494">
        <v>1</v>
      </c>
      <c r="E494" t="s">
        <v>42</v>
      </c>
      <c r="F494" t="s">
        <v>89</v>
      </c>
      <c r="G494">
        <v>2</v>
      </c>
      <c r="H494" s="5" t="s">
        <v>339</v>
      </c>
      <c r="I494" s="5" t="s">
        <v>340</v>
      </c>
      <c r="J494">
        <v>0</v>
      </c>
      <c r="K494">
        <f>18-4.5</f>
        <v>13.5</v>
      </c>
      <c r="L494" t="s">
        <v>38</v>
      </c>
      <c r="M494">
        <v>1</v>
      </c>
    </row>
    <row r="495" spans="1:13" x14ac:dyDescent="0.25">
      <c r="A495" s="4">
        <v>42586</v>
      </c>
      <c r="B495" t="s">
        <v>30</v>
      </c>
      <c r="C495">
        <v>3</v>
      </c>
      <c r="D495">
        <v>1</v>
      </c>
      <c r="E495" t="s">
        <v>35</v>
      </c>
      <c r="F495" t="s">
        <v>89</v>
      </c>
      <c r="G495">
        <v>2</v>
      </c>
      <c r="H495" s="5" t="s">
        <v>339</v>
      </c>
      <c r="I495" s="5" t="s">
        <v>340</v>
      </c>
      <c r="J495">
        <v>0</v>
      </c>
      <c r="K495">
        <f>29.5-17</f>
        <v>12.5</v>
      </c>
      <c r="L495" t="s">
        <v>38</v>
      </c>
      <c r="M495">
        <v>1</v>
      </c>
    </row>
    <row r="496" spans="1:13" x14ac:dyDescent="0.25">
      <c r="A496" s="4">
        <v>42598</v>
      </c>
      <c r="B496" t="s">
        <v>30</v>
      </c>
      <c r="C496">
        <v>3</v>
      </c>
      <c r="D496">
        <v>1</v>
      </c>
      <c r="E496" t="s">
        <v>35</v>
      </c>
      <c r="F496" t="s">
        <v>89</v>
      </c>
      <c r="G496">
        <v>2</v>
      </c>
      <c r="H496" s="5" t="s">
        <v>339</v>
      </c>
      <c r="I496" s="5" t="s">
        <v>340</v>
      </c>
      <c r="J496">
        <v>1</v>
      </c>
      <c r="K496">
        <f>33-21</f>
        <v>12</v>
      </c>
      <c r="L496" t="s">
        <v>38</v>
      </c>
      <c r="M496">
        <v>1</v>
      </c>
    </row>
    <row r="497" spans="1:13" x14ac:dyDescent="0.25">
      <c r="A497" s="4">
        <v>42599</v>
      </c>
      <c r="B497" t="s">
        <v>30</v>
      </c>
      <c r="C497">
        <v>3</v>
      </c>
      <c r="D497">
        <v>1</v>
      </c>
      <c r="E497" s="5" t="s">
        <v>35</v>
      </c>
      <c r="F497" s="5" t="s">
        <v>89</v>
      </c>
      <c r="G497">
        <v>2</v>
      </c>
      <c r="H497" s="5" t="s">
        <v>339</v>
      </c>
      <c r="I497" s="5" t="s">
        <v>340</v>
      </c>
      <c r="J497">
        <v>1</v>
      </c>
      <c r="K497">
        <f>43-27</f>
        <v>16</v>
      </c>
      <c r="L497" t="s">
        <v>38</v>
      </c>
      <c r="M497">
        <v>1</v>
      </c>
    </row>
    <row r="498" spans="1:13" x14ac:dyDescent="0.25">
      <c r="A498" s="4">
        <v>42585</v>
      </c>
      <c r="B498" t="s">
        <v>30</v>
      </c>
      <c r="C498">
        <v>1</v>
      </c>
      <c r="D498">
        <v>1</v>
      </c>
      <c r="E498" t="s">
        <v>42</v>
      </c>
      <c r="F498" t="s">
        <v>89</v>
      </c>
      <c r="G498">
        <v>1</v>
      </c>
      <c r="H498" s="5" t="s">
        <v>326</v>
      </c>
      <c r="I498" s="5" t="s">
        <v>327</v>
      </c>
      <c r="J498">
        <v>0</v>
      </c>
      <c r="K498">
        <f>19-5</f>
        <v>14</v>
      </c>
      <c r="L498" t="s">
        <v>65</v>
      </c>
      <c r="M498">
        <v>1</v>
      </c>
    </row>
    <row r="499" spans="1:13" x14ac:dyDescent="0.25">
      <c r="A499" s="4">
        <v>42586</v>
      </c>
      <c r="B499" t="s">
        <v>30</v>
      </c>
      <c r="C499">
        <v>1</v>
      </c>
      <c r="D499">
        <v>1</v>
      </c>
      <c r="E499" t="s">
        <v>35</v>
      </c>
      <c r="F499" t="s">
        <v>89</v>
      </c>
      <c r="G499">
        <v>1</v>
      </c>
      <c r="H499" s="5" t="s">
        <v>326</v>
      </c>
      <c r="I499" s="5" t="s">
        <v>327</v>
      </c>
      <c r="J499">
        <v>1</v>
      </c>
      <c r="K499">
        <f>28-15</f>
        <v>13</v>
      </c>
      <c r="L499" t="s">
        <v>65</v>
      </c>
      <c r="M499">
        <v>1</v>
      </c>
    </row>
    <row r="500" spans="1:13" x14ac:dyDescent="0.25">
      <c r="A500" s="4">
        <v>42588</v>
      </c>
      <c r="B500" t="s">
        <v>30</v>
      </c>
      <c r="C500">
        <v>1</v>
      </c>
      <c r="D500">
        <v>1</v>
      </c>
      <c r="E500" t="s">
        <v>35</v>
      </c>
      <c r="F500" t="s">
        <v>89</v>
      </c>
      <c r="G500">
        <v>1</v>
      </c>
      <c r="H500" s="5" t="s">
        <v>326</v>
      </c>
      <c r="I500" s="5" t="s">
        <v>327</v>
      </c>
      <c r="J500">
        <v>1</v>
      </c>
      <c r="K500">
        <f>25-11</f>
        <v>14</v>
      </c>
      <c r="L500" t="s">
        <v>65</v>
      </c>
      <c r="M500">
        <v>1</v>
      </c>
    </row>
    <row r="501" spans="1:13" x14ac:dyDescent="0.25">
      <c r="A501" s="4">
        <v>42585</v>
      </c>
      <c r="B501" t="s">
        <v>30</v>
      </c>
      <c r="C501">
        <v>1</v>
      </c>
      <c r="D501">
        <v>1</v>
      </c>
      <c r="E501" t="s">
        <v>42</v>
      </c>
      <c r="F501" t="s">
        <v>114</v>
      </c>
      <c r="G501">
        <v>2</v>
      </c>
      <c r="H501" s="5" t="s">
        <v>323</v>
      </c>
      <c r="I501" s="5" t="s">
        <v>324</v>
      </c>
      <c r="J501">
        <v>0</v>
      </c>
      <c r="K501">
        <f>24.5-5</f>
        <v>19.5</v>
      </c>
      <c r="L501" t="s">
        <v>149</v>
      </c>
      <c r="M501">
        <v>1</v>
      </c>
    </row>
    <row r="502" spans="1:13" x14ac:dyDescent="0.25">
      <c r="A502" s="4">
        <v>42587</v>
      </c>
      <c r="B502" t="s">
        <v>30</v>
      </c>
      <c r="C502">
        <v>1</v>
      </c>
      <c r="D502">
        <v>1</v>
      </c>
      <c r="E502" t="s">
        <v>42</v>
      </c>
      <c r="F502" t="s">
        <v>89</v>
      </c>
      <c r="G502">
        <v>1</v>
      </c>
      <c r="H502" s="5" t="s">
        <v>450</v>
      </c>
      <c r="I502" s="5" t="s">
        <v>451</v>
      </c>
      <c r="J502">
        <v>0</v>
      </c>
      <c r="K502">
        <f>33-18</f>
        <v>15</v>
      </c>
      <c r="L502" t="s">
        <v>65</v>
      </c>
      <c r="M502">
        <v>1</v>
      </c>
    </row>
    <row r="503" spans="1:13" x14ac:dyDescent="0.25">
      <c r="A503" s="4">
        <v>42588</v>
      </c>
      <c r="B503" t="s">
        <v>30</v>
      </c>
      <c r="C503">
        <v>1</v>
      </c>
      <c r="D503">
        <v>1</v>
      </c>
      <c r="E503" t="s">
        <v>35</v>
      </c>
      <c r="F503" t="s">
        <v>89</v>
      </c>
      <c r="G503">
        <v>1</v>
      </c>
      <c r="H503" s="5" t="s">
        <v>450</v>
      </c>
      <c r="I503" s="5" t="s">
        <v>451</v>
      </c>
      <c r="J503">
        <v>0</v>
      </c>
      <c r="K503">
        <f>30-16</f>
        <v>14</v>
      </c>
      <c r="L503" t="s">
        <v>65</v>
      </c>
      <c r="M503">
        <v>1</v>
      </c>
    </row>
    <row r="504" spans="1:13" x14ac:dyDescent="0.25">
      <c r="A504" s="4">
        <v>42589</v>
      </c>
      <c r="B504" t="s">
        <v>30</v>
      </c>
      <c r="C504">
        <v>1</v>
      </c>
      <c r="D504">
        <v>1</v>
      </c>
      <c r="E504" t="s">
        <v>35</v>
      </c>
      <c r="F504" t="s">
        <v>89</v>
      </c>
      <c r="G504">
        <v>1</v>
      </c>
      <c r="H504" s="5" t="s">
        <v>450</v>
      </c>
      <c r="I504" s="5" t="s">
        <v>451</v>
      </c>
      <c r="J504">
        <v>0</v>
      </c>
      <c r="K504">
        <f>30.5-15.5</f>
        <v>15</v>
      </c>
      <c r="L504" t="s">
        <v>65</v>
      </c>
      <c r="M504">
        <v>1</v>
      </c>
    </row>
    <row r="505" spans="1:13" x14ac:dyDescent="0.25">
      <c r="A505" s="4">
        <v>42587</v>
      </c>
      <c r="B505" t="s">
        <v>30</v>
      </c>
      <c r="C505">
        <v>1</v>
      </c>
      <c r="D505">
        <v>1</v>
      </c>
      <c r="E505" t="s">
        <v>42</v>
      </c>
      <c r="F505" t="s">
        <v>114</v>
      </c>
      <c r="G505">
        <v>1</v>
      </c>
      <c r="H505" s="5" t="s">
        <v>447</v>
      </c>
      <c r="I505" s="5" t="s">
        <v>448</v>
      </c>
      <c r="J505">
        <v>0</v>
      </c>
      <c r="L505" t="s">
        <v>65</v>
      </c>
      <c r="M505">
        <v>1</v>
      </c>
    </row>
    <row r="506" spans="1:13" x14ac:dyDescent="0.25">
      <c r="A506" s="4">
        <v>42587</v>
      </c>
      <c r="B506" t="s">
        <v>30</v>
      </c>
      <c r="C506">
        <v>1</v>
      </c>
      <c r="D506">
        <v>1</v>
      </c>
      <c r="E506" t="s">
        <v>42</v>
      </c>
      <c r="F506" t="s">
        <v>36</v>
      </c>
      <c r="G506">
        <v>2</v>
      </c>
      <c r="H506" s="5" t="s">
        <v>444</v>
      </c>
      <c r="I506" s="5" t="s">
        <v>445</v>
      </c>
      <c r="J506">
        <v>0</v>
      </c>
      <c r="K506">
        <f>39.5-11.5</f>
        <v>28</v>
      </c>
      <c r="L506" t="s">
        <v>143</v>
      </c>
      <c r="M506">
        <v>1</v>
      </c>
    </row>
    <row r="507" spans="1:13" x14ac:dyDescent="0.25">
      <c r="A507" s="4">
        <v>42588</v>
      </c>
      <c r="B507" t="s">
        <v>30</v>
      </c>
      <c r="C507">
        <v>1</v>
      </c>
      <c r="D507">
        <v>1</v>
      </c>
      <c r="E507" t="s">
        <v>35</v>
      </c>
      <c r="F507" t="s">
        <v>36</v>
      </c>
      <c r="G507">
        <v>2</v>
      </c>
      <c r="H507" s="5" t="s">
        <v>444</v>
      </c>
      <c r="I507" s="5" t="s">
        <v>445</v>
      </c>
      <c r="J507">
        <v>0</v>
      </c>
      <c r="K507">
        <f>37.5-16</f>
        <v>21.5</v>
      </c>
      <c r="L507" t="s">
        <v>74</v>
      </c>
      <c r="M507">
        <v>1</v>
      </c>
    </row>
    <row r="508" spans="1:13" x14ac:dyDescent="0.25">
      <c r="A508" s="4">
        <v>42589</v>
      </c>
      <c r="B508" t="s">
        <v>30</v>
      </c>
      <c r="C508">
        <v>1</v>
      </c>
      <c r="D508">
        <v>1</v>
      </c>
      <c r="E508" t="s">
        <v>35</v>
      </c>
      <c r="F508" t="s">
        <v>36</v>
      </c>
      <c r="G508">
        <v>2</v>
      </c>
      <c r="H508" s="5" t="s">
        <v>444</v>
      </c>
      <c r="I508" s="5" t="s">
        <v>445</v>
      </c>
      <c r="J508">
        <v>0</v>
      </c>
      <c r="K508">
        <f>36-13</f>
        <v>23</v>
      </c>
      <c r="L508" t="s">
        <v>143</v>
      </c>
      <c r="M508">
        <v>1</v>
      </c>
    </row>
    <row r="509" spans="1:13" x14ac:dyDescent="0.25">
      <c r="A509" s="4">
        <v>42586</v>
      </c>
      <c r="B509" t="s">
        <v>30</v>
      </c>
      <c r="C509">
        <v>3</v>
      </c>
      <c r="D509">
        <v>1</v>
      </c>
      <c r="E509" t="s">
        <v>42</v>
      </c>
      <c r="F509" t="s">
        <v>36</v>
      </c>
      <c r="G509">
        <v>1</v>
      </c>
      <c r="H509" s="5" t="s">
        <v>435</v>
      </c>
      <c r="I509" s="5" t="s">
        <v>436</v>
      </c>
      <c r="J509">
        <v>1</v>
      </c>
      <c r="K509">
        <f>35-14.5</f>
        <v>20.5</v>
      </c>
      <c r="L509" t="s">
        <v>47</v>
      </c>
      <c r="M509">
        <v>1</v>
      </c>
    </row>
    <row r="510" spans="1:13" x14ac:dyDescent="0.25">
      <c r="A510" s="4">
        <v>42586</v>
      </c>
      <c r="B510" t="s">
        <v>30</v>
      </c>
      <c r="C510">
        <v>1</v>
      </c>
      <c r="D510">
        <v>1</v>
      </c>
      <c r="E510" t="s">
        <v>35</v>
      </c>
      <c r="F510" t="s">
        <v>89</v>
      </c>
      <c r="G510">
        <v>2</v>
      </c>
      <c r="H510" s="5" t="s">
        <v>419</v>
      </c>
      <c r="I510" s="5" t="s">
        <v>420</v>
      </c>
      <c r="J510">
        <v>0</v>
      </c>
      <c r="K510">
        <f>30-17</f>
        <v>13</v>
      </c>
      <c r="L510" t="s">
        <v>38</v>
      </c>
      <c r="M510">
        <v>1</v>
      </c>
    </row>
    <row r="511" spans="1:13" x14ac:dyDescent="0.25">
      <c r="A511" s="4">
        <v>42588</v>
      </c>
      <c r="B511" t="s">
        <v>30</v>
      </c>
      <c r="C511">
        <v>1</v>
      </c>
      <c r="D511">
        <v>1</v>
      </c>
      <c r="E511" t="s">
        <v>35</v>
      </c>
      <c r="F511" t="s">
        <v>114</v>
      </c>
      <c r="G511">
        <v>2</v>
      </c>
      <c r="H511" s="5" t="s">
        <v>419</v>
      </c>
      <c r="I511" s="5" t="s">
        <v>420</v>
      </c>
      <c r="J511">
        <v>0</v>
      </c>
      <c r="L511" t="s">
        <v>38</v>
      </c>
      <c r="M511">
        <v>1</v>
      </c>
    </row>
    <row r="512" spans="1:13" x14ac:dyDescent="0.25">
      <c r="A512" s="4">
        <v>42586</v>
      </c>
      <c r="B512" t="s">
        <v>30</v>
      </c>
      <c r="C512">
        <v>1</v>
      </c>
      <c r="D512">
        <v>1</v>
      </c>
      <c r="E512" t="s">
        <v>42</v>
      </c>
      <c r="F512" t="s">
        <v>114</v>
      </c>
      <c r="G512">
        <v>1</v>
      </c>
      <c r="H512" s="5" t="s">
        <v>411</v>
      </c>
      <c r="I512" s="5" t="s">
        <v>412</v>
      </c>
      <c r="J512">
        <v>0</v>
      </c>
      <c r="K512">
        <f>36.5-20</f>
        <v>16.5</v>
      </c>
      <c r="L512" t="s">
        <v>65</v>
      </c>
      <c r="M512">
        <v>1</v>
      </c>
    </row>
    <row r="513" spans="1:13" x14ac:dyDescent="0.25">
      <c r="A513" s="4">
        <v>42586</v>
      </c>
      <c r="B513" t="s">
        <v>30</v>
      </c>
      <c r="C513">
        <v>1</v>
      </c>
      <c r="D513">
        <v>1</v>
      </c>
      <c r="E513" t="s">
        <v>42</v>
      </c>
      <c r="F513" t="s">
        <v>114</v>
      </c>
      <c r="G513">
        <v>2</v>
      </c>
      <c r="H513" s="5" t="s">
        <v>407</v>
      </c>
      <c r="I513" s="5" t="s">
        <v>408</v>
      </c>
      <c r="J513">
        <v>0</v>
      </c>
      <c r="K513">
        <f>31-13</f>
        <v>18</v>
      </c>
      <c r="L513" t="s">
        <v>164</v>
      </c>
      <c r="M513">
        <v>1</v>
      </c>
    </row>
    <row r="514" spans="1:13" x14ac:dyDescent="0.25">
      <c r="A514" s="4">
        <v>42587</v>
      </c>
      <c r="B514" t="s">
        <v>30</v>
      </c>
      <c r="C514">
        <v>1</v>
      </c>
      <c r="D514">
        <v>1</v>
      </c>
      <c r="E514" t="s">
        <v>35</v>
      </c>
      <c r="F514" t="s">
        <v>36</v>
      </c>
      <c r="G514">
        <v>2</v>
      </c>
      <c r="H514" s="5" t="s">
        <v>407</v>
      </c>
      <c r="I514" s="5" t="s">
        <v>408</v>
      </c>
      <c r="J514">
        <v>0</v>
      </c>
      <c r="K514">
        <f>32-13</f>
        <v>19</v>
      </c>
      <c r="L514" t="s">
        <v>164</v>
      </c>
      <c r="M514">
        <v>1</v>
      </c>
    </row>
    <row r="515" spans="1:13" x14ac:dyDescent="0.25">
      <c r="A515" s="4">
        <v>42586</v>
      </c>
      <c r="B515" t="s">
        <v>30</v>
      </c>
      <c r="C515">
        <v>1</v>
      </c>
      <c r="D515">
        <v>1</v>
      </c>
      <c r="E515" t="s">
        <v>42</v>
      </c>
      <c r="F515" t="s">
        <v>89</v>
      </c>
      <c r="G515">
        <v>2</v>
      </c>
      <c r="H515" s="5" t="s">
        <v>405</v>
      </c>
      <c r="I515" s="5" t="s">
        <v>406</v>
      </c>
      <c r="J515">
        <v>1</v>
      </c>
      <c r="K515">
        <f>31-21</f>
        <v>10</v>
      </c>
      <c r="L515" t="s">
        <v>38</v>
      </c>
      <c r="M515">
        <v>1</v>
      </c>
    </row>
    <row r="516" spans="1:13" x14ac:dyDescent="0.25">
      <c r="A516" s="4">
        <v>42587</v>
      </c>
      <c r="B516" t="s">
        <v>30</v>
      </c>
      <c r="C516">
        <v>1</v>
      </c>
      <c r="D516">
        <v>1</v>
      </c>
      <c r="E516" t="s">
        <v>35</v>
      </c>
      <c r="F516" t="s">
        <v>89</v>
      </c>
      <c r="G516">
        <v>2</v>
      </c>
      <c r="H516" s="5" t="s">
        <v>405</v>
      </c>
      <c r="I516" s="5" t="s">
        <v>406</v>
      </c>
      <c r="J516">
        <v>1</v>
      </c>
      <c r="K516">
        <f>28.5-17.5</f>
        <v>11</v>
      </c>
      <c r="L516" t="s">
        <v>38</v>
      </c>
      <c r="M516">
        <v>1</v>
      </c>
    </row>
    <row r="517" spans="1:13" x14ac:dyDescent="0.25">
      <c r="A517" s="4">
        <v>42588</v>
      </c>
      <c r="B517" t="s">
        <v>30</v>
      </c>
      <c r="C517">
        <v>1</v>
      </c>
      <c r="D517">
        <v>1</v>
      </c>
      <c r="E517" t="s">
        <v>35</v>
      </c>
      <c r="F517" t="s">
        <v>89</v>
      </c>
      <c r="G517">
        <v>2</v>
      </c>
      <c r="H517" s="5" t="s">
        <v>405</v>
      </c>
      <c r="I517" s="5" t="s">
        <v>406</v>
      </c>
      <c r="J517">
        <v>1</v>
      </c>
      <c r="K517">
        <f>25.5-15.5</f>
        <v>10</v>
      </c>
      <c r="L517" t="s">
        <v>38</v>
      </c>
      <c r="M517">
        <v>1</v>
      </c>
    </row>
    <row r="518" spans="1:13" x14ac:dyDescent="0.25">
      <c r="A518" s="4">
        <v>42598</v>
      </c>
      <c r="B518" t="s">
        <v>30</v>
      </c>
      <c r="C518">
        <v>1</v>
      </c>
      <c r="D518">
        <v>1</v>
      </c>
      <c r="E518" t="s">
        <v>35</v>
      </c>
      <c r="F518" t="s">
        <v>89</v>
      </c>
      <c r="G518">
        <v>2</v>
      </c>
      <c r="H518" s="5" t="s">
        <v>405</v>
      </c>
      <c r="I518" s="5" t="s">
        <v>406</v>
      </c>
      <c r="J518">
        <v>0</v>
      </c>
      <c r="K518">
        <f>26-14.5</f>
        <v>11.5</v>
      </c>
      <c r="L518" t="s">
        <v>38</v>
      </c>
      <c r="M518">
        <v>1</v>
      </c>
    </row>
    <row r="519" spans="1:13" x14ac:dyDescent="0.25">
      <c r="A519" s="4">
        <v>42586</v>
      </c>
      <c r="B519" t="s">
        <v>30</v>
      </c>
      <c r="C519">
        <v>1</v>
      </c>
      <c r="D519">
        <v>1</v>
      </c>
      <c r="E519" t="s">
        <v>42</v>
      </c>
      <c r="F519" t="s">
        <v>89</v>
      </c>
      <c r="G519">
        <v>2</v>
      </c>
      <c r="H519" s="5" t="s">
        <v>399</v>
      </c>
      <c r="I519" s="5" t="s">
        <v>400</v>
      </c>
      <c r="J519">
        <v>0</v>
      </c>
      <c r="K519">
        <f>24.5-13.5</f>
        <v>11</v>
      </c>
      <c r="L519" t="s">
        <v>38</v>
      </c>
      <c r="M519">
        <v>1</v>
      </c>
    </row>
    <row r="520" spans="1:13" x14ac:dyDescent="0.25">
      <c r="A520" s="4">
        <v>42589</v>
      </c>
      <c r="B520" t="s">
        <v>30</v>
      </c>
      <c r="C520">
        <v>1</v>
      </c>
      <c r="D520">
        <v>1</v>
      </c>
      <c r="E520" t="s">
        <v>35</v>
      </c>
      <c r="F520" t="s">
        <v>89</v>
      </c>
      <c r="G520">
        <v>2</v>
      </c>
      <c r="H520" s="5" t="s">
        <v>399</v>
      </c>
      <c r="I520" s="5" t="s">
        <v>400</v>
      </c>
      <c r="J520">
        <v>0</v>
      </c>
      <c r="K520">
        <f>26-14</f>
        <v>12</v>
      </c>
      <c r="L520" t="s">
        <v>38</v>
      </c>
      <c r="M520">
        <v>1</v>
      </c>
    </row>
    <row r="521" spans="1:13" x14ac:dyDescent="0.25">
      <c r="A521" s="4">
        <v>42586</v>
      </c>
      <c r="B521" t="s">
        <v>30</v>
      </c>
      <c r="C521">
        <v>1</v>
      </c>
      <c r="D521">
        <v>1</v>
      </c>
      <c r="E521" t="s">
        <v>42</v>
      </c>
      <c r="F521" t="s">
        <v>36</v>
      </c>
      <c r="G521">
        <v>1</v>
      </c>
      <c r="H521" s="5" t="s">
        <v>392</v>
      </c>
      <c r="I521" s="5" t="s">
        <v>389</v>
      </c>
      <c r="J521">
        <v>0</v>
      </c>
      <c r="K521">
        <f>34-15</f>
        <v>19</v>
      </c>
      <c r="L521" t="s">
        <v>47</v>
      </c>
      <c r="M521">
        <v>1</v>
      </c>
    </row>
    <row r="522" spans="1:13" x14ac:dyDescent="0.25">
      <c r="A522" s="4">
        <v>42587</v>
      </c>
      <c r="B522" t="s">
        <v>30</v>
      </c>
      <c r="C522">
        <v>1</v>
      </c>
      <c r="D522">
        <v>1</v>
      </c>
      <c r="E522" t="s">
        <v>35</v>
      </c>
      <c r="F522" t="s">
        <v>114</v>
      </c>
      <c r="G522">
        <v>1</v>
      </c>
      <c r="H522" s="5" t="s">
        <v>392</v>
      </c>
      <c r="I522" s="5" t="s">
        <v>458</v>
      </c>
      <c r="J522">
        <v>0</v>
      </c>
      <c r="K522">
        <f>35-16</f>
        <v>19</v>
      </c>
      <c r="L522" t="s">
        <v>47</v>
      </c>
      <c r="M522">
        <v>1</v>
      </c>
    </row>
    <row r="523" spans="1:13" x14ac:dyDescent="0.25">
      <c r="A523" s="4">
        <v>42588</v>
      </c>
      <c r="B523" t="s">
        <v>30</v>
      </c>
      <c r="C523">
        <v>1</v>
      </c>
      <c r="D523">
        <v>1</v>
      </c>
      <c r="E523" t="s">
        <v>35</v>
      </c>
      <c r="F523" t="s">
        <v>114</v>
      </c>
      <c r="G523">
        <v>1</v>
      </c>
      <c r="H523" s="5" t="s">
        <v>392</v>
      </c>
      <c r="I523" s="5" t="s">
        <v>458</v>
      </c>
      <c r="J523">
        <v>0</v>
      </c>
      <c r="K523">
        <f>35-16</f>
        <v>19</v>
      </c>
      <c r="L523" t="s">
        <v>47</v>
      </c>
      <c r="M523">
        <v>1</v>
      </c>
    </row>
    <row r="524" spans="1:13" x14ac:dyDescent="0.25">
      <c r="A524" s="4">
        <v>42589</v>
      </c>
      <c r="B524" t="s">
        <v>30</v>
      </c>
      <c r="C524">
        <v>1</v>
      </c>
      <c r="D524">
        <v>1</v>
      </c>
      <c r="E524" t="s">
        <v>35</v>
      </c>
      <c r="F524" t="s">
        <v>114</v>
      </c>
      <c r="G524">
        <v>1</v>
      </c>
      <c r="H524" s="5" t="s">
        <v>392</v>
      </c>
      <c r="I524" s="5" t="s">
        <v>458</v>
      </c>
      <c r="J524">
        <v>0</v>
      </c>
      <c r="K524">
        <f>36-18.5</f>
        <v>17.5</v>
      </c>
      <c r="L524" t="s">
        <v>65</v>
      </c>
      <c r="M524">
        <v>1</v>
      </c>
    </row>
    <row r="525" spans="1:13" x14ac:dyDescent="0.25">
      <c r="A525" s="4">
        <v>42598</v>
      </c>
      <c r="B525" t="s">
        <v>30</v>
      </c>
      <c r="C525">
        <v>1</v>
      </c>
      <c r="D525">
        <v>1</v>
      </c>
      <c r="E525" t="s">
        <v>35</v>
      </c>
      <c r="F525" t="s">
        <v>114</v>
      </c>
      <c r="G525">
        <v>1</v>
      </c>
      <c r="H525" s="5" t="s">
        <v>392</v>
      </c>
      <c r="I525" s="5" t="s">
        <v>458</v>
      </c>
      <c r="J525">
        <v>1</v>
      </c>
      <c r="K525">
        <f>36-17.5</f>
        <v>18.5</v>
      </c>
      <c r="L525" t="s">
        <v>65</v>
      </c>
      <c r="M525">
        <v>1</v>
      </c>
    </row>
    <row r="526" spans="1:13" x14ac:dyDescent="0.25">
      <c r="A526" s="4">
        <v>42599</v>
      </c>
      <c r="B526" t="s">
        <v>30</v>
      </c>
      <c r="C526">
        <v>1</v>
      </c>
      <c r="D526">
        <v>1</v>
      </c>
      <c r="E526" t="s">
        <v>35</v>
      </c>
      <c r="F526" t="s">
        <v>114</v>
      </c>
      <c r="G526">
        <v>1</v>
      </c>
      <c r="H526" s="5" t="s">
        <v>392</v>
      </c>
      <c r="I526" s="5" t="s">
        <v>458</v>
      </c>
      <c r="J526">
        <v>1</v>
      </c>
      <c r="K526">
        <f>32-14</f>
        <v>18</v>
      </c>
      <c r="L526" t="s">
        <v>47</v>
      </c>
      <c r="M526">
        <v>1</v>
      </c>
    </row>
    <row r="527" spans="1:13" x14ac:dyDescent="0.25">
      <c r="A527" s="4">
        <v>42588</v>
      </c>
      <c r="B527" t="s">
        <v>30</v>
      </c>
      <c r="C527">
        <v>1</v>
      </c>
      <c r="D527">
        <v>1</v>
      </c>
      <c r="E527" t="s">
        <v>42</v>
      </c>
      <c r="F527" t="s">
        <v>89</v>
      </c>
      <c r="G527">
        <v>1</v>
      </c>
      <c r="H527" s="5" t="s">
        <v>485</v>
      </c>
      <c r="I527" s="5" t="s">
        <v>486</v>
      </c>
      <c r="J527">
        <v>0</v>
      </c>
      <c r="K527">
        <f>20.5-12.5</f>
        <v>8</v>
      </c>
      <c r="L527" t="s">
        <v>65</v>
      </c>
      <c r="M527">
        <v>1</v>
      </c>
    </row>
    <row r="528" spans="1:13" x14ac:dyDescent="0.25">
      <c r="A528" s="4">
        <v>42588</v>
      </c>
      <c r="B528" t="s">
        <v>30</v>
      </c>
      <c r="C528">
        <v>1</v>
      </c>
      <c r="D528">
        <v>1</v>
      </c>
      <c r="E528" t="s">
        <v>42</v>
      </c>
      <c r="F528" t="s">
        <v>114</v>
      </c>
      <c r="G528">
        <v>1</v>
      </c>
      <c r="H528" s="5" t="s">
        <v>487</v>
      </c>
      <c r="I528" s="5" t="s">
        <v>488</v>
      </c>
      <c r="J528">
        <v>0</v>
      </c>
      <c r="K528">
        <f>27.5-12.5</f>
        <v>15</v>
      </c>
      <c r="L528" t="s">
        <v>65</v>
      </c>
      <c r="M528">
        <v>1</v>
      </c>
    </row>
    <row r="529" spans="1:13" x14ac:dyDescent="0.25">
      <c r="A529" s="4">
        <v>42589</v>
      </c>
      <c r="B529" t="s">
        <v>30</v>
      </c>
      <c r="C529">
        <v>1</v>
      </c>
      <c r="D529">
        <v>1</v>
      </c>
      <c r="E529" t="s">
        <v>35</v>
      </c>
      <c r="F529" t="s">
        <v>114</v>
      </c>
      <c r="G529">
        <v>2</v>
      </c>
      <c r="H529" s="5" t="s">
        <v>487</v>
      </c>
      <c r="I529" s="5" t="s">
        <v>488</v>
      </c>
      <c r="J529">
        <v>0</v>
      </c>
      <c r="K529">
        <f>31-14</f>
        <v>17</v>
      </c>
      <c r="L529" t="s">
        <v>63</v>
      </c>
      <c r="M529">
        <v>1</v>
      </c>
    </row>
    <row r="530" spans="1:13" x14ac:dyDescent="0.25">
      <c r="A530" s="4">
        <v>42598</v>
      </c>
      <c r="B530" t="s">
        <v>30</v>
      </c>
      <c r="C530">
        <v>1</v>
      </c>
      <c r="D530">
        <v>1</v>
      </c>
      <c r="E530" t="s">
        <v>35</v>
      </c>
      <c r="F530" t="s">
        <v>114</v>
      </c>
      <c r="G530">
        <v>1</v>
      </c>
      <c r="H530" s="5" t="s">
        <v>487</v>
      </c>
      <c r="I530" s="5" t="s">
        <v>488</v>
      </c>
      <c r="J530">
        <v>0</v>
      </c>
      <c r="K530">
        <f>30.5-12.5</f>
        <v>18</v>
      </c>
      <c r="L530" t="s">
        <v>65</v>
      </c>
      <c r="M530">
        <v>1</v>
      </c>
    </row>
    <row r="531" spans="1:13" x14ac:dyDescent="0.25">
      <c r="A531" s="4">
        <v>42588</v>
      </c>
      <c r="B531" t="s">
        <v>30</v>
      </c>
      <c r="C531">
        <v>1</v>
      </c>
      <c r="D531">
        <v>1</v>
      </c>
      <c r="E531" t="s">
        <v>42</v>
      </c>
      <c r="F531" t="s">
        <v>89</v>
      </c>
      <c r="G531">
        <v>1</v>
      </c>
      <c r="H531" s="5" t="s">
        <v>511</v>
      </c>
      <c r="I531" s="5" t="s">
        <v>512</v>
      </c>
      <c r="J531">
        <v>0</v>
      </c>
      <c r="K531">
        <f>27-13</f>
        <v>14</v>
      </c>
      <c r="L531" t="s">
        <v>65</v>
      </c>
      <c r="M531">
        <v>1</v>
      </c>
    </row>
    <row r="532" spans="1:13" x14ac:dyDescent="0.25">
      <c r="A532" s="4">
        <v>42588</v>
      </c>
      <c r="B532" t="s">
        <v>30</v>
      </c>
      <c r="C532">
        <v>1</v>
      </c>
      <c r="D532">
        <v>1</v>
      </c>
      <c r="E532" t="s">
        <v>42</v>
      </c>
      <c r="F532" t="s">
        <v>89</v>
      </c>
      <c r="G532">
        <v>1</v>
      </c>
      <c r="H532" s="5" t="s">
        <v>499</v>
      </c>
      <c r="I532" s="5" t="s">
        <v>500</v>
      </c>
      <c r="J532">
        <v>0</v>
      </c>
      <c r="K532">
        <f>27.5-13</f>
        <v>14.5</v>
      </c>
      <c r="L532" t="s">
        <v>65</v>
      </c>
      <c r="M532">
        <v>1</v>
      </c>
    </row>
    <row r="533" spans="1:13" x14ac:dyDescent="0.25">
      <c r="A533" s="4">
        <v>42588</v>
      </c>
      <c r="B533" t="s">
        <v>30</v>
      </c>
      <c r="C533">
        <v>1</v>
      </c>
      <c r="D533">
        <v>1</v>
      </c>
      <c r="E533" t="s">
        <v>42</v>
      </c>
      <c r="F533" t="s">
        <v>89</v>
      </c>
      <c r="G533">
        <v>1</v>
      </c>
      <c r="H533" s="5" t="s">
        <v>516</v>
      </c>
      <c r="I533" s="5" t="s">
        <v>517</v>
      </c>
      <c r="J533">
        <v>0</v>
      </c>
      <c r="K533">
        <f>28-13</f>
        <v>15</v>
      </c>
      <c r="L533" t="s">
        <v>65</v>
      </c>
      <c r="M533">
        <v>1</v>
      </c>
    </row>
    <row r="534" spans="1:13" x14ac:dyDescent="0.25">
      <c r="A534" s="4">
        <v>42589</v>
      </c>
      <c r="B534" t="s">
        <v>30</v>
      </c>
      <c r="C534">
        <v>1</v>
      </c>
      <c r="D534">
        <v>1</v>
      </c>
      <c r="E534" t="s">
        <v>42</v>
      </c>
      <c r="F534" t="s">
        <v>114</v>
      </c>
      <c r="G534">
        <v>1</v>
      </c>
      <c r="H534" s="5" t="s">
        <v>535</v>
      </c>
      <c r="I534" s="5" t="s">
        <v>536</v>
      </c>
      <c r="J534">
        <v>0</v>
      </c>
      <c r="K534">
        <f>32.5-13</f>
        <v>19.5</v>
      </c>
      <c r="L534" t="s">
        <v>65</v>
      </c>
      <c r="M534">
        <v>1</v>
      </c>
    </row>
    <row r="535" spans="1:13" x14ac:dyDescent="0.25">
      <c r="A535" s="4">
        <v>42598</v>
      </c>
      <c r="B535" t="s">
        <v>30</v>
      </c>
      <c r="C535">
        <v>1</v>
      </c>
      <c r="D535">
        <v>1</v>
      </c>
      <c r="E535" t="s">
        <v>42</v>
      </c>
      <c r="F535" t="s">
        <v>36</v>
      </c>
      <c r="G535">
        <v>2</v>
      </c>
      <c r="H535" s="5" t="s">
        <v>804</v>
      </c>
      <c r="I535" s="5" t="s">
        <v>805</v>
      </c>
      <c r="J535">
        <v>1</v>
      </c>
      <c r="K535">
        <f>35-15</f>
        <v>20</v>
      </c>
      <c r="L535" t="s">
        <v>143</v>
      </c>
      <c r="M535">
        <v>1</v>
      </c>
    </row>
    <row r="536" spans="1:13" x14ac:dyDescent="0.25">
      <c r="A536" s="4">
        <v>42593</v>
      </c>
      <c r="B536" t="s">
        <v>30</v>
      </c>
      <c r="C536">
        <v>7</v>
      </c>
      <c r="D536">
        <v>1</v>
      </c>
      <c r="E536" t="s">
        <v>42</v>
      </c>
      <c r="F536" t="s">
        <v>114</v>
      </c>
      <c r="G536">
        <v>1</v>
      </c>
      <c r="H536" s="5" t="s">
        <v>706</v>
      </c>
      <c r="I536" s="5" t="s">
        <v>707</v>
      </c>
      <c r="J536">
        <v>0</v>
      </c>
      <c r="K536">
        <f>28-14</f>
        <v>14</v>
      </c>
      <c r="L536" t="s">
        <v>65</v>
      </c>
      <c r="M536">
        <v>1</v>
      </c>
    </row>
    <row r="537" spans="1:13" x14ac:dyDescent="0.25">
      <c r="A537" s="4">
        <v>42593</v>
      </c>
      <c r="B537" t="s">
        <v>30</v>
      </c>
      <c r="C537">
        <v>7</v>
      </c>
      <c r="D537">
        <v>1</v>
      </c>
      <c r="E537" t="s">
        <v>42</v>
      </c>
      <c r="F537" t="s">
        <v>89</v>
      </c>
      <c r="G537">
        <v>1</v>
      </c>
      <c r="H537" s="5" t="s">
        <v>709</v>
      </c>
      <c r="I537" s="5" t="s">
        <v>710</v>
      </c>
      <c r="J537">
        <v>0</v>
      </c>
      <c r="K537">
        <f>29-14</f>
        <v>15</v>
      </c>
      <c r="L537" t="s">
        <v>65</v>
      </c>
      <c r="M537">
        <v>1</v>
      </c>
    </row>
    <row r="538" spans="1:13" x14ac:dyDescent="0.25">
      <c r="A538" s="4">
        <v>42593</v>
      </c>
      <c r="B538" t="s">
        <v>30</v>
      </c>
      <c r="C538">
        <v>7</v>
      </c>
      <c r="D538">
        <v>1</v>
      </c>
      <c r="E538" t="s">
        <v>42</v>
      </c>
      <c r="F538" t="s">
        <v>89</v>
      </c>
      <c r="G538">
        <v>1</v>
      </c>
      <c r="H538" s="5" t="s">
        <v>713</v>
      </c>
      <c r="I538" s="5" t="s">
        <v>714</v>
      </c>
      <c r="J538">
        <v>0</v>
      </c>
      <c r="K538">
        <f>32-17</f>
        <v>15</v>
      </c>
      <c r="L538" t="s">
        <v>65</v>
      </c>
      <c r="M538">
        <v>1</v>
      </c>
    </row>
    <row r="539" spans="1:13" x14ac:dyDescent="0.25">
      <c r="A539" s="4">
        <v>42606</v>
      </c>
      <c r="B539" t="s">
        <v>30</v>
      </c>
      <c r="C539">
        <v>7</v>
      </c>
      <c r="D539">
        <v>1</v>
      </c>
      <c r="E539" t="s">
        <v>35</v>
      </c>
      <c r="F539" t="s">
        <v>114</v>
      </c>
      <c r="G539">
        <v>1</v>
      </c>
      <c r="H539" s="5" t="s">
        <v>713</v>
      </c>
      <c r="I539" s="5" t="s">
        <v>714</v>
      </c>
      <c r="J539">
        <v>1</v>
      </c>
      <c r="K539">
        <f>34-16.5</f>
        <v>17.5</v>
      </c>
      <c r="L539" t="s">
        <v>65</v>
      </c>
      <c r="M539">
        <v>1</v>
      </c>
    </row>
    <row r="540" spans="1:13" x14ac:dyDescent="0.25">
      <c r="A540" s="4">
        <v>42593</v>
      </c>
      <c r="B540" t="s">
        <v>30</v>
      </c>
      <c r="C540">
        <v>8</v>
      </c>
      <c r="D540">
        <v>1</v>
      </c>
      <c r="E540" t="s">
        <v>42</v>
      </c>
      <c r="F540" t="s">
        <v>89</v>
      </c>
      <c r="G540">
        <v>1</v>
      </c>
      <c r="H540" s="5" t="s">
        <v>726</v>
      </c>
      <c r="I540" s="5" t="s">
        <v>727</v>
      </c>
      <c r="J540">
        <v>0</v>
      </c>
      <c r="K540">
        <f>37-19</f>
        <v>18</v>
      </c>
      <c r="L540" t="s">
        <v>65</v>
      </c>
      <c r="M540">
        <v>1</v>
      </c>
    </row>
    <row r="541" spans="1:13" x14ac:dyDescent="0.25">
      <c r="A541" s="4">
        <v>42593</v>
      </c>
      <c r="B541" t="s">
        <v>30</v>
      </c>
      <c r="C541">
        <v>8</v>
      </c>
      <c r="D541">
        <v>1</v>
      </c>
      <c r="E541" t="s">
        <v>42</v>
      </c>
      <c r="F541" t="s">
        <v>89</v>
      </c>
      <c r="G541">
        <v>2</v>
      </c>
      <c r="H541" s="5" t="s">
        <v>736</v>
      </c>
      <c r="I541" s="5" t="s">
        <v>737</v>
      </c>
      <c r="J541">
        <v>0</v>
      </c>
      <c r="K541">
        <f>25.5-15</f>
        <v>10.5</v>
      </c>
      <c r="L541" t="s">
        <v>38</v>
      </c>
      <c r="M541">
        <v>1</v>
      </c>
    </row>
    <row r="542" spans="1:13" x14ac:dyDescent="0.25">
      <c r="A542" s="4">
        <v>42589</v>
      </c>
      <c r="B542" t="s">
        <v>30</v>
      </c>
      <c r="C542">
        <v>1</v>
      </c>
      <c r="D542">
        <v>1</v>
      </c>
      <c r="E542" t="s">
        <v>42</v>
      </c>
      <c r="F542" t="s">
        <v>36</v>
      </c>
      <c r="G542">
        <v>1</v>
      </c>
      <c r="H542" s="5" t="s">
        <v>526</v>
      </c>
      <c r="I542" s="5" t="s">
        <v>527</v>
      </c>
      <c r="J542">
        <v>0</v>
      </c>
      <c r="K542">
        <f>39.5-14.5</f>
        <v>25</v>
      </c>
      <c r="L542" t="s">
        <v>47</v>
      </c>
      <c r="M542">
        <v>1</v>
      </c>
    </row>
    <row r="543" spans="1:13" x14ac:dyDescent="0.25">
      <c r="A543" s="4">
        <v>42589</v>
      </c>
      <c r="B543" t="s">
        <v>30</v>
      </c>
      <c r="C543">
        <v>1</v>
      </c>
      <c r="D543">
        <v>1</v>
      </c>
      <c r="E543" t="s">
        <v>42</v>
      </c>
      <c r="F543" t="s">
        <v>36</v>
      </c>
      <c r="G543">
        <v>2</v>
      </c>
      <c r="H543" s="5" t="s">
        <v>523</v>
      </c>
      <c r="I543" s="5" t="s">
        <v>524</v>
      </c>
      <c r="J543">
        <v>0</v>
      </c>
      <c r="K543">
        <f>43-18</f>
        <v>25</v>
      </c>
      <c r="L543" t="s">
        <v>143</v>
      </c>
      <c r="M543">
        <v>1</v>
      </c>
    </row>
    <row r="544" spans="1:13" x14ac:dyDescent="0.25">
      <c r="A544" s="4">
        <v>42588</v>
      </c>
      <c r="B544" t="s">
        <v>30</v>
      </c>
      <c r="C544">
        <v>1</v>
      </c>
      <c r="D544">
        <v>1</v>
      </c>
      <c r="E544" t="s">
        <v>42</v>
      </c>
      <c r="F544" t="s">
        <v>114</v>
      </c>
      <c r="G544">
        <v>2</v>
      </c>
      <c r="H544" s="5" t="s">
        <v>506</v>
      </c>
      <c r="I544" s="5" t="s">
        <v>507</v>
      </c>
      <c r="J544">
        <v>0</v>
      </c>
      <c r="K544">
        <f>34-13.5</f>
        <v>20.5</v>
      </c>
      <c r="L544" t="s">
        <v>143</v>
      </c>
      <c r="M544">
        <v>1</v>
      </c>
    </row>
    <row r="545" spans="1:13" x14ac:dyDescent="0.25">
      <c r="A545" s="4">
        <v>42589</v>
      </c>
      <c r="B545" t="s">
        <v>30</v>
      </c>
      <c r="C545">
        <v>1</v>
      </c>
      <c r="D545">
        <v>1</v>
      </c>
      <c r="E545" t="s">
        <v>35</v>
      </c>
      <c r="F545" t="s">
        <v>36</v>
      </c>
      <c r="G545">
        <v>2</v>
      </c>
      <c r="H545" s="5" t="s">
        <v>506</v>
      </c>
      <c r="I545" s="5" t="s">
        <v>507</v>
      </c>
      <c r="J545">
        <v>1</v>
      </c>
      <c r="K545">
        <f>37-15</f>
        <v>22</v>
      </c>
      <c r="L545" t="s">
        <v>143</v>
      </c>
      <c r="M545">
        <v>1</v>
      </c>
    </row>
    <row r="546" spans="1:13" x14ac:dyDescent="0.25">
      <c r="A546" s="4">
        <v>42588</v>
      </c>
      <c r="B546" t="s">
        <v>30</v>
      </c>
      <c r="C546">
        <v>1</v>
      </c>
      <c r="D546">
        <v>1</v>
      </c>
      <c r="E546" t="s">
        <v>42</v>
      </c>
      <c r="F546" t="s">
        <v>89</v>
      </c>
      <c r="G546">
        <v>2</v>
      </c>
      <c r="H546" s="5" t="s">
        <v>504</v>
      </c>
      <c r="I546" s="5" t="s">
        <v>505</v>
      </c>
      <c r="J546">
        <v>0</v>
      </c>
      <c r="K546">
        <f>21-13</f>
        <v>8</v>
      </c>
      <c r="L546" t="s">
        <v>38</v>
      </c>
      <c r="M546">
        <v>1</v>
      </c>
    </row>
    <row r="547" spans="1:13" x14ac:dyDescent="0.25">
      <c r="A547" s="4">
        <v>42587</v>
      </c>
      <c r="B547" t="s">
        <v>30</v>
      </c>
      <c r="C547">
        <v>1</v>
      </c>
      <c r="D547">
        <v>1</v>
      </c>
      <c r="E547" t="s">
        <v>42</v>
      </c>
      <c r="F547" t="s">
        <v>114</v>
      </c>
      <c r="G547">
        <v>1</v>
      </c>
      <c r="H547" s="5" t="s">
        <v>466</v>
      </c>
      <c r="I547" s="5" t="s">
        <v>467</v>
      </c>
      <c r="J547">
        <v>0</v>
      </c>
      <c r="K547">
        <f>33.5-18</f>
        <v>15.5</v>
      </c>
      <c r="L547" t="s">
        <v>65</v>
      </c>
      <c r="M547">
        <v>1</v>
      </c>
    </row>
    <row r="548" spans="1:13" x14ac:dyDescent="0.25">
      <c r="A548" s="4">
        <v>42589</v>
      </c>
      <c r="B548" t="s">
        <v>30</v>
      </c>
      <c r="C548">
        <v>1</v>
      </c>
      <c r="D548">
        <v>1</v>
      </c>
      <c r="E548" t="s">
        <v>35</v>
      </c>
      <c r="F548" t="s">
        <v>114</v>
      </c>
      <c r="G548">
        <v>1</v>
      </c>
      <c r="H548" s="5" t="s">
        <v>466</v>
      </c>
      <c r="I548" s="5" t="s">
        <v>467</v>
      </c>
      <c r="J548">
        <v>1</v>
      </c>
      <c r="K548">
        <f>33-15.5</f>
        <v>17.5</v>
      </c>
      <c r="L548" t="s">
        <v>65</v>
      </c>
      <c r="M548">
        <v>1</v>
      </c>
    </row>
    <row r="549" spans="1:13" x14ac:dyDescent="0.25">
      <c r="A549" s="4">
        <v>42587</v>
      </c>
      <c r="B549" t="s">
        <v>30</v>
      </c>
      <c r="C549">
        <v>1</v>
      </c>
      <c r="D549">
        <v>1</v>
      </c>
      <c r="E549" t="s">
        <v>42</v>
      </c>
      <c r="F549" t="s">
        <v>114</v>
      </c>
      <c r="G549">
        <v>1</v>
      </c>
      <c r="H549" s="5" t="s">
        <v>464</v>
      </c>
      <c r="I549" s="5" t="s">
        <v>465</v>
      </c>
      <c r="J549">
        <v>0</v>
      </c>
      <c r="K549">
        <f>31-15.5</f>
        <v>15.5</v>
      </c>
      <c r="L549" t="s">
        <v>47</v>
      </c>
      <c r="M549">
        <v>1</v>
      </c>
    </row>
    <row r="550" spans="1:13" x14ac:dyDescent="0.25">
      <c r="A550" s="4">
        <v>42587</v>
      </c>
      <c r="B550" t="s">
        <v>30</v>
      </c>
      <c r="C550">
        <v>1</v>
      </c>
      <c r="D550">
        <v>1</v>
      </c>
      <c r="E550" t="s">
        <v>42</v>
      </c>
      <c r="F550" t="s">
        <v>114</v>
      </c>
      <c r="G550">
        <v>2</v>
      </c>
      <c r="H550" s="5" t="s">
        <v>473</v>
      </c>
      <c r="I550" s="5" t="s">
        <v>474</v>
      </c>
      <c r="J550">
        <v>0</v>
      </c>
      <c r="K550">
        <f>31-14</f>
        <v>17</v>
      </c>
      <c r="L550" t="s">
        <v>164</v>
      </c>
      <c r="M550">
        <v>1</v>
      </c>
    </row>
    <row r="551" spans="1:13" x14ac:dyDescent="0.25">
      <c r="A551" s="4">
        <v>42591</v>
      </c>
      <c r="B551" t="s">
        <v>30</v>
      </c>
      <c r="C551">
        <v>7</v>
      </c>
      <c r="D551">
        <v>1</v>
      </c>
      <c r="E551" t="s">
        <v>42</v>
      </c>
      <c r="F551" t="s">
        <v>114</v>
      </c>
      <c r="G551">
        <v>2</v>
      </c>
      <c r="H551" s="5" t="s">
        <v>577</v>
      </c>
      <c r="I551" s="5" t="s">
        <v>578</v>
      </c>
      <c r="J551">
        <v>0</v>
      </c>
      <c r="K551">
        <f>30-13</f>
        <v>17</v>
      </c>
      <c r="L551" t="s">
        <v>38</v>
      </c>
      <c r="M551">
        <v>1</v>
      </c>
    </row>
    <row r="552" spans="1:13" x14ac:dyDescent="0.25">
      <c r="A552" s="4">
        <v>42592</v>
      </c>
      <c r="B552" t="s">
        <v>30</v>
      </c>
      <c r="C552">
        <v>7</v>
      </c>
      <c r="D552">
        <v>1</v>
      </c>
      <c r="E552" t="s">
        <v>35</v>
      </c>
      <c r="F552" t="s">
        <v>89</v>
      </c>
      <c r="G552">
        <v>2</v>
      </c>
      <c r="H552" s="5" t="s">
        <v>577</v>
      </c>
      <c r="I552" s="5" t="s">
        <v>578</v>
      </c>
      <c r="J552">
        <v>0</v>
      </c>
      <c r="K552">
        <f>32-17</f>
        <v>15</v>
      </c>
      <c r="L552" t="s">
        <v>38</v>
      </c>
      <c r="M552">
        <v>1</v>
      </c>
    </row>
    <row r="553" spans="1:13" x14ac:dyDescent="0.25">
      <c r="A553" s="4">
        <v>42593</v>
      </c>
      <c r="B553" t="s">
        <v>30</v>
      </c>
      <c r="C553">
        <v>7</v>
      </c>
      <c r="D553">
        <v>1</v>
      </c>
      <c r="E553" t="s">
        <v>35</v>
      </c>
      <c r="F553" t="s">
        <v>89</v>
      </c>
      <c r="G553">
        <v>2</v>
      </c>
      <c r="H553" s="5" t="s">
        <v>577</v>
      </c>
      <c r="I553" s="5" t="s">
        <v>578</v>
      </c>
      <c r="J553">
        <v>0</v>
      </c>
      <c r="K553">
        <f>32-17</f>
        <v>15</v>
      </c>
      <c r="L553" t="s">
        <v>38</v>
      </c>
      <c r="M553">
        <v>1</v>
      </c>
    </row>
    <row r="554" spans="1:13" x14ac:dyDescent="0.25">
      <c r="A554" s="4">
        <v>42605</v>
      </c>
      <c r="B554" t="s">
        <v>30</v>
      </c>
      <c r="C554">
        <v>7</v>
      </c>
      <c r="D554">
        <v>1</v>
      </c>
      <c r="E554" t="s">
        <v>35</v>
      </c>
      <c r="F554" t="s">
        <v>114</v>
      </c>
      <c r="G554">
        <v>2</v>
      </c>
      <c r="H554" s="5" t="s">
        <v>577</v>
      </c>
      <c r="I554" s="5" t="s">
        <v>578</v>
      </c>
      <c r="J554">
        <v>1</v>
      </c>
      <c r="K554">
        <f>27.5-13</f>
        <v>14.5</v>
      </c>
      <c r="L554" t="s">
        <v>38</v>
      </c>
      <c r="M554">
        <v>1</v>
      </c>
    </row>
    <row r="555" spans="1:13" x14ac:dyDescent="0.25">
      <c r="A555" s="4">
        <v>42591</v>
      </c>
      <c r="B555" t="s">
        <v>30</v>
      </c>
      <c r="C555">
        <v>7</v>
      </c>
      <c r="D555">
        <v>1</v>
      </c>
      <c r="E555" t="s">
        <v>42</v>
      </c>
      <c r="F555" t="s">
        <v>114</v>
      </c>
      <c r="G555">
        <v>1</v>
      </c>
      <c r="H555" s="5" t="s">
        <v>597</v>
      </c>
      <c r="I555" s="5" t="s">
        <v>598</v>
      </c>
      <c r="J555">
        <v>1</v>
      </c>
      <c r="K555">
        <f>36-15</f>
        <v>21</v>
      </c>
      <c r="L555" t="s">
        <v>65</v>
      </c>
      <c r="M555">
        <v>1</v>
      </c>
    </row>
    <row r="556" spans="1:13" x14ac:dyDescent="0.25">
      <c r="A556" s="4">
        <v>42592</v>
      </c>
      <c r="B556" t="s">
        <v>30</v>
      </c>
      <c r="C556">
        <v>7</v>
      </c>
      <c r="D556">
        <v>1</v>
      </c>
      <c r="E556" t="s">
        <v>35</v>
      </c>
      <c r="F556" t="s">
        <v>36</v>
      </c>
      <c r="G556">
        <v>1</v>
      </c>
      <c r="H556" s="5" t="s">
        <v>597</v>
      </c>
      <c r="I556" s="5" t="s">
        <v>598</v>
      </c>
      <c r="J556">
        <v>1</v>
      </c>
      <c r="K556">
        <f>34-15</f>
        <v>19</v>
      </c>
      <c r="L556" t="s">
        <v>65</v>
      </c>
      <c r="M556">
        <v>1</v>
      </c>
    </row>
    <row r="557" spans="1:13" x14ac:dyDescent="0.25">
      <c r="A557" s="4">
        <v>42593</v>
      </c>
      <c r="B557" t="s">
        <v>30</v>
      </c>
      <c r="C557">
        <v>7</v>
      </c>
      <c r="D557">
        <v>1</v>
      </c>
      <c r="E557" t="s">
        <v>35</v>
      </c>
      <c r="F557" t="s">
        <v>114</v>
      </c>
      <c r="G557">
        <v>1</v>
      </c>
      <c r="H557" s="5" t="s">
        <v>597</v>
      </c>
      <c r="I557" s="5" t="s">
        <v>598</v>
      </c>
      <c r="J557">
        <v>1</v>
      </c>
      <c r="K557">
        <f>35-19</f>
        <v>16</v>
      </c>
      <c r="L557" t="s">
        <v>65</v>
      </c>
      <c r="M557">
        <v>1</v>
      </c>
    </row>
    <row r="558" spans="1:13" x14ac:dyDescent="0.25">
      <c r="A558" s="4">
        <v>42604</v>
      </c>
      <c r="B558" t="s">
        <v>30</v>
      </c>
      <c r="C558">
        <v>7</v>
      </c>
      <c r="D558">
        <v>1</v>
      </c>
      <c r="E558" t="s">
        <v>35</v>
      </c>
      <c r="F558" t="s">
        <v>114</v>
      </c>
      <c r="G558">
        <v>1</v>
      </c>
      <c r="H558" s="5" t="s">
        <v>597</v>
      </c>
      <c r="I558" s="5" t="s">
        <v>598</v>
      </c>
      <c r="J558">
        <v>1</v>
      </c>
      <c r="K558">
        <f>34-16</f>
        <v>18</v>
      </c>
      <c r="L558" t="s">
        <v>65</v>
      </c>
      <c r="M558">
        <v>1</v>
      </c>
    </row>
    <row r="559" spans="1:13" x14ac:dyDescent="0.25">
      <c r="A559" s="4">
        <v>42591</v>
      </c>
      <c r="B559" t="s">
        <v>30</v>
      </c>
      <c r="C559">
        <v>8</v>
      </c>
      <c r="D559">
        <v>1</v>
      </c>
      <c r="E559" t="s">
        <v>42</v>
      </c>
      <c r="F559" t="s">
        <v>89</v>
      </c>
      <c r="G559">
        <v>2</v>
      </c>
      <c r="H559" s="5" t="s">
        <v>608</v>
      </c>
      <c r="I559" s="5" t="s">
        <v>609</v>
      </c>
      <c r="J559">
        <v>1</v>
      </c>
      <c r="K559">
        <f>28-15</f>
        <v>13</v>
      </c>
      <c r="L559" t="s">
        <v>38</v>
      </c>
      <c r="M559">
        <v>1</v>
      </c>
    </row>
    <row r="560" spans="1:13" x14ac:dyDescent="0.25">
      <c r="A560" s="4">
        <v>42592</v>
      </c>
      <c r="B560" t="s">
        <v>30</v>
      </c>
      <c r="C560">
        <v>8</v>
      </c>
      <c r="D560">
        <v>1</v>
      </c>
      <c r="E560" t="s">
        <v>35</v>
      </c>
      <c r="F560" t="s">
        <v>89</v>
      </c>
      <c r="G560">
        <v>2</v>
      </c>
      <c r="H560" s="5" t="s">
        <v>608</v>
      </c>
      <c r="I560" s="5" t="s">
        <v>609</v>
      </c>
      <c r="J560">
        <v>1</v>
      </c>
      <c r="K560">
        <f>28-16</f>
        <v>12</v>
      </c>
      <c r="L560" t="s">
        <v>38</v>
      </c>
      <c r="M560">
        <v>1</v>
      </c>
    </row>
    <row r="561" spans="1:13" x14ac:dyDescent="0.25">
      <c r="A561" s="4">
        <v>42593</v>
      </c>
      <c r="B561" t="s">
        <v>30</v>
      </c>
      <c r="C561">
        <v>8</v>
      </c>
      <c r="D561">
        <v>1</v>
      </c>
      <c r="E561" t="s">
        <v>35</v>
      </c>
      <c r="F561" t="s">
        <v>89</v>
      </c>
      <c r="G561">
        <v>2</v>
      </c>
      <c r="H561" s="5" t="s">
        <v>608</v>
      </c>
      <c r="I561" s="5" t="s">
        <v>609</v>
      </c>
      <c r="J561">
        <v>1</v>
      </c>
      <c r="K561">
        <f>27-14</f>
        <v>13</v>
      </c>
      <c r="L561" t="s">
        <v>38</v>
      </c>
      <c r="M561">
        <v>1</v>
      </c>
    </row>
    <row r="562" spans="1:13" x14ac:dyDescent="0.25">
      <c r="A562" s="4">
        <v>42592</v>
      </c>
      <c r="B562" t="s">
        <v>30</v>
      </c>
      <c r="C562">
        <v>7</v>
      </c>
      <c r="D562">
        <v>1</v>
      </c>
      <c r="E562" t="s">
        <v>42</v>
      </c>
      <c r="F562" t="s">
        <v>89</v>
      </c>
      <c r="G562">
        <v>2</v>
      </c>
      <c r="H562" s="5" t="s">
        <v>618</v>
      </c>
      <c r="I562" s="5" t="s">
        <v>619</v>
      </c>
      <c r="J562">
        <v>0</v>
      </c>
      <c r="K562">
        <f>32-17</f>
        <v>15</v>
      </c>
      <c r="L562" t="s">
        <v>38</v>
      </c>
      <c r="M562">
        <v>1</v>
      </c>
    </row>
    <row r="563" spans="1:13" x14ac:dyDescent="0.25">
      <c r="A563" s="4">
        <v>42592</v>
      </c>
      <c r="B563" t="s">
        <v>30</v>
      </c>
      <c r="C563">
        <v>7</v>
      </c>
      <c r="D563">
        <v>1</v>
      </c>
      <c r="E563" t="s">
        <v>42</v>
      </c>
      <c r="F563" t="s">
        <v>114</v>
      </c>
      <c r="G563">
        <v>1</v>
      </c>
      <c r="H563" s="5" t="s">
        <v>622</v>
      </c>
      <c r="I563" s="5" t="s">
        <v>623</v>
      </c>
      <c r="J563">
        <v>0</v>
      </c>
      <c r="K563">
        <f>29-13</f>
        <v>16</v>
      </c>
      <c r="L563" t="s">
        <v>65</v>
      </c>
      <c r="M563">
        <v>1</v>
      </c>
    </row>
    <row r="564" spans="1:13" x14ac:dyDescent="0.25">
      <c r="A564" s="4">
        <v>42592</v>
      </c>
      <c r="B564" t="s">
        <v>30</v>
      </c>
      <c r="C564">
        <v>7</v>
      </c>
      <c r="D564">
        <v>1</v>
      </c>
      <c r="E564" t="s">
        <v>42</v>
      </c>
      <c r="F564" t="s">
        <v>89</v>
      </c>
      <c r="G564">
        <v>1</v>
      </c>
      <c r="H564" s="5" t="s">
        <v>629</v>
      </c>
      <c r="I564" s="5" t="s">
        <v>630</v>
      </c>
      <c r="J564">
        <v>0</v>
      </c>
      <c r="K564">
        <f>27-14</f>
        <v>13</v>
      </c>
      <c r="L564" t="s">
        <v>65</v>
      </c>
      <c r="M564">
        <v>1</v>
      </c>
    </row>
    <row r="565" spans="1:13" x14ac:dyDescent="0.25">
      <c r="A565" s="4">
        <v>42604</v>
      </c>
      <c r="B565" t="s">
        <v>30</v>
      </c>
      <c r="C565">
        <v>7</v>
      </c>
      <c r="D565">
        <v>1</v>
      </c>
      <c r="E565" t="s">
        <v>35</v>
      </c>
      <c r="F565" t="s">
        <v>36</v>
      </c>
      <c r="G565">
        <v>2</v>
      </c>
      <c r="H565" s="5" t="s">
        <v>629</v>
      </c>
      <c r="I565" s="5" t="s">
        <v>630</v>
      </c>
      <c r="J565">
        <v>1</v>
      </c>
      <c r="K565">
        <f>30.5-15</f>
        <v>15.5</v>
      </c>
      <c r="L565" t="s">
        <v>65</v>
      </c>
      <c r="M565">
        <v>1</v>
      </c>
    </row>
    <row r="566" spans="1:13" x14ac:dyDescent="0.25">
      <c r="A566" s="4">
        <v>42592</v>
      </c>
      <c r="B566" t="s">
        <v>30</v>
      </c>
      <c r="C566">
        <v>8</v>
      </c>
      <c r="D566">
        <v>1</v>
      </c>
      <c r="E566" t="s">
        <v>42</v>
      </c>
      <c r="F566" t="s">
        <v>89</v>
      </c>
      <c r="G566">
        <v>1</v>
      </c>
      <c r="H566" s="5" t="s">
        <v>644</v>
      </c>
      <c r="I566" s="5" t="s">
        <v>645</v>
      </c>
      <c r="J566">
        <v>1</v>
      </c>
      <c r="K566">
        <f>24-14</f>
        <v>10</v>
      </c>
      <c r="L566" t="s">
        <v>65</v>
      </c>
      <c r="M566">
        <v>1</v>
      </c>
    </row>
    <row r="567" spans="1:13" x14ac:dyDescent="0.25">
      <c r="A567" s="4">
        <v>42592</v>
      </c>
      <c r="B567" t="s">
        <v>30</v>
      </c>
      <c r="C567">
        <v>8</v>
      </c>
      <c r="D567">
        <v>1</v>
      </c>
      <c r="E567" t="s">
        <v>42</v>
      </c>
      <c r="F567" t="s">
        <v>114</v>
      </c>
      <c r="G567">
        <v>1</v>
      </c>
      <c r="H567" s="5" t="s">
        <v>646</v>
      </c>
      <c r="I567" s="5" t="s">
        <v>647</v>
      </c>
      <c r="J567">
        <v>0</v>
      </c>
      <c r="K567">
        <f>35-18</f>
        <v>17</v>
      </c>
      <c r="L567" t="s">
        <v>65</v>
      </c>
      <c r="M567">
        <v>1</v>
      </c>
    </row>
    <row r="568" spans="1:13" x14ac:dyDescent="0.25">
      <c r="A568" s="4">
        <v>42593</v>
      </c>
      <c r="B568" t="s">
        <v>30</v>
      </c>
      <c r="C568">
        <v>8</v>
      </c>
      <c r="D568">
        <v>1</v>
      </c>
      <c r="E568" t="s">
        <v>35</v>
      </c>
      <c r="F568" t="s">
        <v>89</v>
      </c>
      <c r="G568">
        <v>1</v>
      </c>
      <c r="H568" s="5" t="s">
        <v>646</v>
      </c>
      <c r="I568" s="5" t="s">
        <v>647</v>
      </c>
      <c r="J568">
        <v>0</v>
      </c>
      <c r="K568">
        <f>29-16</f>
        <v>13</v>
      </c>
      <c r="L568" t="s">
        <v>65</v>
      </c>
      <c r="M568">
        <v>1</v>
      </c>
    </row>
    <row r="569" spans="1:13" x14ac:dyDescent="0.25">
      <c r="A569" s="4">
        <v>42598</v>
      </c>
      <c r="B569" t="s">
        <v>30</v>
      </c>
      <c r="C569">
        <v>2</v>
      </c>
      <c r="D569">
        <v>1</v>
      </c>
      <c r="E569" t="s">
        <v>51</v>
      </c>
      <c r="F569" t="s">
        <v>89</v>
      </c>
      <c r="G569">
        <v>2</v>
      </c>
      <c r="H569" s="5" t="s">
        <v>758</v>
      </c>
      <c r="I569" s="5" t="s">
        <v>759</v>
      </c>
      <c r="J569">
        <v>1</v>
      </c>
      <c r="K569">
        <f>29.5-16</f>
        <v>13.5</v>
      </c>
      <c r="L569" t="s">
        <v>38</v>
      </c>
      <c r="M569">
        <v>1</v>
      </c>
    </row>
    <row r="570" spans="1:13" x14ac:dyDescent="0.25">
      <c r="A570" s="4">
        <v>42593</v>
      </c>
      <c r="B570" t="s">
        <v>30</v>
      </c>
      <c r="C570">
        <v>4</v>
      </c>
      <c r="D570">
        <v>1</v>
      </c>
      <c r="E570" t="s">
        <v>42</v>
      </c>
      <c r="F570" t="s">
        <v>36</v>
      </c>
      <c r="G570">
        <v>1</v>
      </c>
      <c r="H570" s="5" t="s">
        <v>694</v>
      </c>
      <c r="I570" s="5" t="s">
        <v>695</v>
      </c>
      <c r="J570">
        <v>0</v>
      </c>
      <c r="K570">
        <f>35-16.5</f>
        <v>18.5</v>
      </c>
      <c r="L570" t="s">
        <v>47</v>
      </c>
      <c r="M570">
        <v>1</v>
      </c>
    </row>
    <row r="571" spans="1:13" x14ac:dyDescent="0.25">
      <c r="A571" s="4">
        <v>42604</v>
      </c>
      <c r="B571" t="s">
        <v>30</v>
      </c>
      <c r="C571">
        <v>4</v>
      </c>
      <c r="D571">
        <v>1</v>
      </c>
      <c r="E571" t="s">
        <v>35</v>
      </c>
      <c r="F571" t="s">
        <v>114</v>
      </c>
      <c r="G571">
        <v>1</v>
      </c>
      <c r="H571" s="5" t="s">
        <v>694</v>
      </c>
      <c r="I571" s="5" t="s">
        <v>695</v>
      </c>
      <c r="J571">
        <v>1</v>
      </c>
      <c r="K571">
        <f>32-15</f>
        <v>17</v>
      </c>
      <c r="L571" t="s">
        <v>65</v>
      </c>
      <c r="M571">
        <v>1</v>
      </c>
    </row>
    <row r="572" spans="1:13" x14ac:dyDescent="0.25">
      <c r="A572" s="4">
        <v>42605</v>
      </c>
      <c r="B572" t="s">
        <v>30</v>
      </c>
      <c r="C572">
        <v>4</v>
      </c>
      <c r="D572">
        <v>1</v>
      </c>
      <c r="E572" t="s">
        <v>35</v>
      </c>
      <c r="F572" t="s">
        <v>36</v>
      </c>
      <c r="G572">
        <v>1</v>
      </c>
      <c r="H572" s="5" t="s">
        <v>694</v>
      </c>
      <c r="I572" s="5" t="s">
        <v>695</v>
      </c>
      <c r="J572">
        <v>1</v>
      </c>
      <c r="K572">
        <f>32-14</f>
        <v>18</v>
      </c>
      <c r="L572" t="s">
        <v>65</v>
      </c>
      <c r="M572">
        <v>1</v>
      </c>
    </row>
    <row r="573" spans="1:13" x14ac:dyDescent="0.25">
      <c r="A573" s="4">
        <v>42606</v>
      </c>
      <c r="B573" t="s">
        <v>30</v>
      </c>
      <c r="C573">
        <v>4</v>
      </c>
      <c r="D573">
        <v>1</v>
      </c>
      <c r="E573" t="s">
        <v>35</v>
      </c>
      <c r="F573" t="s">
        <v>114</v>
      </c>
      <c r="G573">
        <v>1</v>
      </c>
      <c r="H573" s="5" t="s">
        <v>694</v>
      </c>
      <c r="I573" s="5" t="s">
        <v>695</v>
      </c>
      <c r="J573">
        <v>1</v>
      </c>
      <c r="K573">
        <f>34-17</f>
        <v>17</v>
      </c>
      <c r="L573" t="s">
        <v>65</v>
      </c>
      <c r="M573">
        <v>1</v>
      </c>
    </row>
    <row r="574" spans="1:13" x14ac:dyDescent="0.25">
      <c r="A574" s="4">
        <v>42593</v>
      </c>
      <c r="B574" t="s">
        <v>30</v>
      </c>
      <c r="C574">
        <v>3</v>
      </c>
      <c r="D574">
        <v>1</v>
      </c>
      <c r="E574" t="s">
        <v>42</v>
      </c>
      <c r="F574" t="s">
        <v>114</v>
      </c>
      <c r="G574">
        <v>2</v>
      </c>
      <c r="H574" s="5" t="s">
        <v>692</v>
      </c>
      <c r="I574" s="5" t="s">
        <v>691</v>
      </c>
      <c r="J574">
        <v>1</v>
      </c>
      <c r="K574">
        <f>29-13</f>
        <v>16</v>
      </c>
      <c r="L574" t="s">
        <v>38</v>
      </c>
      <c r="M574">
        <v>1</v>
      </c>
    </row>
    <row r="575" spans="1:13" x14ac:dyDescent="0.25">
      <c r="A575" s="4">
        <v>42606</v>
      </c>
      <c r="B575" t="s">
        <v>30</v>
      </c>
      <c r="C575">
        <v>3</v>
      </c>
      <c r="D575">
        <v>1</v>
      </c>
      <c r="E575" t="s">
        <v>35</v>
      </c>
      <c r="F575" t="s">
        <v>89</v>
      </c>
      <c r="G575">
        <v>2</v>
      </c>
      <c r="H575" s="5" t="s">
        <v>692</v>
      </c>
      <c r="I575" s="5" t="s">
        <v>691</v>
      </c>
      <c r="J575">
        <v>1</v>
      </c>
      <c r="K575">
        <f>28-14</f>
        <v>14</v>
      </c>
      <c r="L575" t="s">
        <v>38</v>
      </c>
      <c r="M575">
        <v>1</v>
      </c>
    </row>
    <row r="576" spans="1:13" x14ac:dyDescent="0.25">
      <c r="A576" s="4">
        <v>42593</v>
      </c>
      <c r="B576" t="s">
        <v>30</v>
      </c>
      <c r="C576">
        <v>3</v>
      </c>
      <c r="D576">
        <v>1</v>
      </c>
      <c r="E576" t="s">
        <v>42</v>
      </c>
      <c r="F576" t="s">
        <v>114</v>
      </c>
      <c r="G576">
        <v>1</v>
      </c>
      <c r="H576" s="5" t="s">
        <v>690</v>
      </c>
      <c r="I576" s="5" t="s">
        <v>691</v>
      </c>
      <c r="J576">
        <v>0</v>
      </c>
      <c r="K576">
        <f>32-15.5</f>
        <v>16.5</v>
      </c>
      <c r="L576" t="s">
        <v>65</v>
      </c>
      <c r="M576">
        <v>1</v>
      </c>
    </row>
    <row r="577" spans="1:13" x14ac:dyDescent="0.25">
      <c r="A577" s="4">
        <v>42604</v>
      </c>
      <c r="B577" t="s">
        <v>30</v>
      </c>
      <c r="C577">
        <v>5</v>
      </c>
      <c r="D577">
        <v>1</v>
      </c>
      <c r="E577" t="s">
        <v>35</v>
      </c>
      <c r="F577" t="s">
        <v>89</v>
      </c>
      <c r="G577">
        <v>1</v>
      </c>
      <c r="H577" s="5" t="s">
        <v>680</v>
      </c>
      <c r="I577" s="5" t="s">
        <v>680</v>
      </c>
      <c r="J577">
        <v>0</v>
      </c>
      <c r="K577">
        <f>32-17</f>
        <v>15</v>
      </c>
      <c r="L577" t="s">
        <v>65</v>
      </c>
      <c r="M577">
        <v>1</v>
      </c>
    </row>
    <row r="578" spans="1:13" x14ac:dyDescent="0.25">
      <c r="A578" s="4">
        <v>42593</v>
      </c>
      <c r="B578" t="s">
        <v>30</v>
      </c>
      <c r="C578">
        <v>5</v>
      </c>
      <c r="D578">
        <v>1</v>
      </c>
      <c r="E578" t="s">
        <v>42</v>
      </c>
      <c r="F578" t="s">
        <v>89</v>
      </c>
      <c r="G578">
        <v>1</v>
      </c>
      <c r="H578" s="5" t="s">
        <v>679</v>
      </c>
      <c r="I578" s="5" t="s">
        <v>680</v>
      </c>
      <c r="J578">
        <v>0</v>
      </c>
      <c r="K578">
        <f>26.5-12.5</f>
        <v>14</v>
      </c>
      <c r="L578" t="s">
        <v>65</v>
      </c>
      <c r="M578">
        <v>1</v>
      </c>
    </row>
    <row r="579" spans="1:13" x14ac:dyDescent="0.25">
      <c r="A579" s="4">
        <v>42593</v>
      </c>
      <c r="B579" t="s">
        <v>30</v>
      </c>
      <c r="C579">
        <v>5</v>
      </c>
      <c r="D579">
        <v>1</v>
      </c>
      <c r="E579" t="s">
        <v>42</v>
      </c>
      <c r="F579" t="s">
        <v>114</v>
      </c>
      <c r="G579">
        <v>2</v>
      </c>
      <c r="H579" s="5" t="s">
        <v>677</v>
      </c>
      <c r="I579" s="5" t="s">
        <v>678</v>
      </c>
      <c r="J579">
        <v>0</v>
      </c>
      <c r="K579">
        <f>28-12.5</f>
        <v>15.5</v>
      </c>
      <c r="L579" t="s">
        <v>38</v>
      </c>
      <c r="M579">
        <v>1</v>
      </c>
    </row>
    <row r="580" spans="1:13" x14ac:dyDescent="0.25">
      <c r="A580" s="4">
        <v>42592</v>
      </c>
      <c r="B580" t="s">
        <v>30</v>
      </c>
      <c r="C580">
        <v>4</v>
      </c>
      <c r="D580">
        <v>1</v>
      </c>
      <c r="E580" t="s">
        <v>42</v>
      </c>
      <c r="F580" t="s">
        <v>114</v>
      </c>
      <c r="G580">
        <v>2</v>
      </c>
      <c r="H580" s="5" t="s">
        <v>674</v>
      </c>
      <c r="I580" s="5" t="s">
        <v>675</v>
      </c>
      <c r="J580">
        <v>1</v>
      </c>
      <c r="K580">
        <f>27.5-13</f>
        <v>14.5</v>
      </c>
      <c r="L580" t="s">
        <v>38</v>
      </c>
      <c r="M580">
        <v>1</v>
      </c>
    </row>
    <row r="581" spans="1:13" x14ac:dyDescent="0.25">
      <c r="A581" s="4">
        <v>42593</v>
      </c>
      <c r="B581" t="s">
        <v>30</v>
      </c>
      <c r="C581">
        <v>4</v>
      </c>
      <c r="D581">
        <v>1</v>
      </c>
      <c r="E581" t="s">
        <v>35</v>
      </c>
      <c r="F581" t="s">
        <v>114</v>
      </c>
      <c r="G581">
        <v>2</v>
      </c>
      <c r="H581" s="5" t="s">
        <v>674</v>
      </c>
      <c r="I581" s="5" t="s">
        <v>675</v>
      </c>
      <c r="J581">
        <v>1</v>
      </c>
      <c r="K581">
        <f>26.5-12.5</f>
        <v>14</v>
      </c>
      <c r="L581" t="s">
        <v>38</v>
      </c>
      <c r="M581">
        <v>1</v>
      </c>
    </row>
    <row r="582" spans="1:13" x14ac:dyDescent="0.25">
      <c r="A582" s="4">
        <v>42589</v>
      </c>
      <c r="B582" t="s">
        <v>30</v>
      </c>
      <c r="C582">
        <v>1</v>
      </c>
      <c r="D582">
        <v>1</v>
      </c>
      <c r="E582" t="s">
        <v>42</v>
      </c>
      <c r="F582" t="s">
        <v>114</v>
      </c>
      <c r="G582">
        <v>1</v>
      </c>
      <c r="H582" s="5" t="s">
        <v>538</v>
      </c>
      <c r="I582" s="5" t="s">
        <v>539</v>
      </c>
      <c r="J582">
        <v>0</v>
      </c>
      <c r="K582">
        <f>31.5-14</f>
        <v>17.5</v>
      </c>
      <c r="L582" t="s">
        <v>65</v>
      </c>
      <c r="M582">
        <v>1</v>
      </c>
    </row>
    <row r="583" spans="1:13" x14ac:dyDescent="0.25">
      <c r="A583" s="4">
        <v>42589</v>
      </c>
      <c r="B583" t="s">
        <v>30</v>
      </c>
      <c r="C583">
        <v>1</v>
      </c>
      <c r="D583">
        <v>1</v>
      </c>
      <c r="E583" t="s">
        <v>42</v>
      </c>
      <c r="F583" t="s">
        <v>114</v>
      </c>
      <c r="G583">
        <v>2</v>
      </c>
      <c r="H583" s="5" t="s">
        <v>540</v>
      </c>
      <c r="I583" s="5" t="s">
        <v>541</v>
      </c>
      <c r="J583">
        <v>0</v>
      </c>
      <c r="K583">
        <f>30-13</f>
        <v>17</v>
      </c>
      <c r="L583" t="s">
        <v>74</v>
      </c>
      <c r="M583">
        <v>1</v>
      </c>
    </row>
    <row r="584" spans="1:13" x14ac:dyDescent="0.25">
      <c r="A584" s="4">
        <v>42592</v>
      </c>
      <c r="B584" t="s">
        <v>30</v>
      </c>
      <c r="C584">
        <v>4</v>
      </c>
      <c r="D584">
        <v>1</v>
      </c>
      <c r="E584" t="s">
        <v>42</v>
      </c>
      <c r="F584" t="s">
        <v>36</v>
      </c>
      <c r="G584">
        <v>2</v>
      </c>
      <c r="H584" s="5" t="s">
        <v>670</v>
      </c>
      <c r="I584" s="5" t="s">
        <v>671</v>
      </c>
      <c r="J584">
        <v>1</v>
      </c>
      <c r="K584">
        <f>34-13.5</f>
        <v>20.5</v>
      </c>
      <c r="L584" t="s">
        <v>38</v>
      </c>
      <c r="M584">
        <v>1</v>
      </c>
    </row>
    <row r="585" spans="1:13" x14ac:dyDescent="0.25">
      <c r="A585" s="4">
        <v>42605</v>
      </c>
      <c r="B585" t="s">
        <v>30</v>
      </c>
      <c r="C585">
        <v>4</v>
      </c>
      <c r="D585">
        <v>1</v>
      </c>
      <c r="E585" t="s">
        <v>35</v>
      </c>
      <c r="F585" t="s">
        <v>114</v>
      </c>
      <c r="G585">
        <v>2</v>
      </c>
      <c r="H585" s="5" t="s">
        <v>670</v>
      </c>
      <c r="I585" s="5"/>
      <c r="J585">
        <v>1</v>
      </c>
      <c r="K585">
        <f>36-16</f>
        <v>20</v>
      </c>
      <c r="L585" t="s">
        <v>38</v>
      </c>
      <c r="M585">
        <v>1</v>
      </c>
    </row>
    <row r="586" spans="1:13" x14ac:dyDescent="0.25">
      <c r="A586" s="4">
        <v>42606</v>
      </c>
      <c r="B586" t="s">
        <v>30</v>
      </c>
      <c r="C586">
        <v>4</v>
      </c>
      <c r="D586">
        <v>1</v>
      </c>
      <c r="E586" t="s">
        <v>35</v>
      </c>
      <c r="F586" t="s">
        <v>114</v>
      </c>
      <c r="G586">
        <v>2</v>
      </c>
      <c r="H586" s="5" t="s">
        <v>670</v>
      </c>
      <c r="I586" s="5" t="s">
        <v>671</v>
      </c>
      <c r="J586">
        <v>1</v>
      </c>
      <c r="K586">
        <f>36-17</f>
        <v>19</v>
      </c>
      <c r="L586" t="s">
        <v>38</v>
      </c>
      <c r="M586">
        <v>1</v>
      </c>
    </row>
    <row r="587" spans="1:13" x14ac:dyDescent="0.25">
      <c r="A587" s="4">
        <v>42592</v>
      </c>
      <c r="B587" t="s">
        <v>30</v>
      </c>
      <c r="C587">
        <v>3</v>
      </c>
      <c r="D587">
        <v>1</v>
      </c>
      <c r="E587" t="s">
        <v>35</v>
      </c>
      <c r="F587" t="s">
        <v>114</v>
      </c>
      <c r="G587">
        <v>2</v>
      </c>
      <c r="H587" s="5" t="s">
        <v>667</v>
      </c>
      <c r="I587" s="5" t="s">
        <v>668</v>
      </c>
      <c r="J587">
        <v>0</v>
      </c>
      <c r="K587">
        <f>27.5-13</f>
        <v>14.5</v>
      </c>
      <c r="L587" t="s">
        <v>38</v>
      </c>
      <c r="M587">
        <v>1</v>
      </c>
    </row>
    <row r="588" spans="1:13" x14ac:dyDescent="0.25">
      <c r="A588" s="4">
        <v>42593</v>
      </c>
      <c r="B588" t="s">
        <v>30</v>
      </c>
      <c r="C588">
        <v>3</v>
      </c>
      <c r="D588">
        <v>1</v>
      </c>
      <c r="E588" t="s">
        <v>35</v>
      </c>
      <c r="F588" t="s">
        <v>114</v>
      </c>
      <c r="G588">
        <v>2</v>
      </c>
      <c r="H588" s="5" t="s">
        <v>667</v>
      </c>
      <c r="I588" s="5" t="s">
        <v>668</v>
      </c>
      <c r="J588">
        <v>0</v>
      </c>
      <c r="K588">
        <f>28-13</f>
        <v>15</v>
      </c>
      <c r="L588" t="s">
        <v>38</v>
      </c>
      <c r="M588">
        <v>1</v>
      </c>
    </row>
    <row r="589" spans="1:13" x14ac:dyDescent="0.25">
      <c r="A589" s="4">
        <v>42605</v>
      </c>
      <c r="B589" t="s">
        <v>30</v>
      </c>
      <c r="C589">
        <v>3</v>
      </c>
      <c r="D589">
        <v>1</v>
      </c>
      <c r="E589" t="s">
        <v>35</v>
      </c>
      <c r="F589" t="s">
        <v>36</v>
      </c>
      <c r="G589">
        <v>2</v>
      </c>
      <c r="H589" s="5" t="s">
        <v>667</v>
      </c>
      <c r="I589" s="5" t="s">
        <v>668</v>
      </c>
      <c r="J589">
        <v>1</v>
      </c>
      <c r="K589">
        <f>37-13.5</f>
        <v>23.5</v>
      </c>
      <c r="L589" t="s">
        <v>38</v>
      </c>
      <c r="M589">
        <v>1</v>
      </c>
    </row>
    <row r="590" spans="1:13" x14ac:dyDescent="0.25">
      <c r="A590" s="4">
        <v>42606</v>
      </c>
      <c r="B590" t="s">
        <v>30</v>
      </c>
      <c r="C590">
        <v>3</v>
      </c>
      <c r="D590">
        <v>1</v>
      </c>
      <c r="E590" t="s">
        <v>35</v>
      </c>
      <c r="F590" t="s">
        <v>89</v>
      </c>
      <c r="G590">
        <v>2</v>
      </c>
      <c r="H590" s="5" t="s">
        <v>667</v>
      </c>
      <c r="I590" s="5" t="s">
        <v>668</v>
      </c>
      <c r="J590">
        <v>1</v>
      </c>
      <c r="K590">
        <f>28-14</f>
        <v>14</v>
      </c>
      <c r="L590" t="s">
        <v>38</v>
      </c>
      <c r="M590">
        <v>1</v>
      </c>
    </row>
    <row r="591" spans="1:13" x14ac:dyDescent="0.25">
      <c r="A591" s="4">
        <v>42591</v>
      </c>
      <c r="B591" t="s">
        <v>30</v>
      </c>
      <c r="C591">
        <v>5</v>
      </c>
      <c r="D591">
        <v>1</v>
      </c>
      <c r="E591" t="s">
        <v>42</v>
      </c>
      <c r="F591" t="s">
        <v>89</v>
      </c>
      <c r="G591">
        <v>2</v>
      </c>
      <c r="H591" s="5" t="s">
        <v>555</v>
      </c>
      <c r="I591" s="5" t="s">
        <v>556</v>
      </c>
      <c r="J591">
        <v>1</v>
      </c>
      <c r="K591">
        <f>27.5-14</f>
        <v>13.5</v>
      </c>
      <c r="L591" t="s">
        <v>38</v>
      </c>
      <c r="M591">
        <v>1</v>
      </c>
    </row>
    <row r="592" spans="1:13" x14ac:dyDescent="0.25">
      <c r="A592" s="4">
        <v>42605</v>
      </c>
      <c r="B592" t="s">
        <v>30</v>
      </c>
      <c r="C592">
        <v>5</v>
      </c>
      <c r="D592">
        <v>1</v>
      </c>
      <c r="E592" t="s">
        <v>35</v>
      </c>
      <c r="F592" t="s">
        <v>89</v>
      </c>
      <c r="G592">
        <v>2</v>
      </c>
      <c r="H592" s="5" t="s">
        <v>555</v>
      </c>
      <c r="I592" s="5" t="s">
        <v>556</v>
      </c>
      <c r="J592">
        <v>0</v>
      </c>
      <c r="K592">
        <f>24-13.5</f>
        <v>10.5</v>
      </c>
      <c r="L592" t="s">
        <v>38</v>
      </c>
      <c r="M592">
        <v>1</v>
      </c>
    </row>
    <row r="593" spans="1:13" x14ac:dyDescent="0.25">
      <c r="A593" s="4">
        <v>42591</v>
      </c>
      <c r="B593" t="s">
        <v>30</v>
      </c>
      <c r="C593">
        <v>5</v>
      </c>
      <c r="D593">
        <v>1</v>
      </c>
      <c r="E593" t="s">
        <v>42</v>
      </c>
      <c r="F593" t="s">
        <v>36</v>
      </c>
      <c r="G593">
        <v>1</v>
      </c>
      <c r="H593" s="5" t="s">
        <v>548</v>
      </c>
      <c r="I593" s="5" t="s">
        <v>549</v>
      </c>
      <c r="J593">
        <v>0</v>
      </c>
      <c r="K593">
        <f>30-13</f>
        <v>17</v>
      </c>
      <c r="L593" t="s">
        <v>65</v>
      </c>
      <c r="M593">
        <v>1</v>
      </c>
    </row>
    <row r="594" spans="1:13" x14ac:dyDescent="0.25">
      <c r="A594" s="4">
        <v>42591</v>
      </c>
      <c r="B594" t="s">
        <v>30</v>
      </c>
      <c r="C594">
        <v>5</v>
      </c>
      <c r="D594">
        <v>1</v>
      </c>
      <c r="E594" t="s">
        <v>42</v>
      </c>
      <c r="F594" t="s">
        <v>114</v>
      </c>
      <c r="G594">
        <v>1</v>
      </c>
      <c r="H594" s="5" t="s">
        <v>546</v>
      </c>
      <c r="I594" s="5" t="s">
        <v>547</v>
      </c>
      <c r="J594">
        <v>1</v>
      </c>
      <c r="K594">
        <f>29-13</f>
        <v>16</v>
      </c>
      <c r="L594" t="s">
        <v>65</v>
      </c>
      <c r="M594">
        <v>1</v>
      </c>
    </row>
    <row r="595" spans="1:13" x14ac:dyDescent="0.25">
      <c r="A595" s="4">
        <v>42592</v>
      </c>
      <c r="B595" t="s">
        <v>30</v>
      </c>
      <c r="C595">
        <v>5</v>
      </c>
      <c r="D595">
        <v>1</v>
      </c>
      <c r="E595" t="s">
        <v>35</v>
      </c>
      <c r="F595" t="s">
        <v>114</v>
      </c>
      <c r="G595">
        <v>1</v>
      </c>
      <c r="H595" s="5" t="s">
        <v>546</v>
      </c>
      <c r="I595" s="5" t="s">
        <v>547</v>
      </c>
      <c r="J595">
        <v>1</v>
      </c>
      <c r="L595" t="s">
        <v>65</v>
      </c>
      <c r="M595">
        <v>1</v>
      </c>
    </row>
    <row r="596" spans="1:13" x14ac:dyDescent="0.25">
      <c r="A596" s="4">
        <v>42593</v>
      </c>
      <c r="B596" t="s">
        <v>30</v>
      </c>
      <c r="C596">
        <v>5</v>
      </c>
      <c r="D596">
        <v>1</v>
      </c>
      <c r="E596" t="s">
        <v>35</v>
      </c>
      <c r="F596" t="s">
        <v>114</v>
      </c>
      <c r="G596">
        <v>1</v>
      </c>
      <c r="H596" s="5" t="s">
        <v>546</v>
      </c>
      <c r="I596" s="5" t="s">
        <v>547</v>
      </c>
      <c r="J596">
        <v>1</v>
      </c>
      <c r="K596">
        <f>30.5-14.5</f>
        <v>16</v>
      </c>
      <c r="L596" t="s">
        <v>65</v>
      </c>
      <c r="M596">
        <v>1</v>
      </c>
    </row>
    <row r="597" spans="1:13" x14ac:dyDescent="0.25">
      <c r="A597" s="4">
        <v>42605</v>
      </c>
      <c r="B597" t="s">
        <v>30</v>
      </c>
      <c r="C597">
        <v>5</v>
      </c>
      <c r="D597">
        <v>1</v>
      </c>
      <c r="E597" t="s">
        <v>35</v>
      </c>
      <c r="F597" t="s">
        <v>114</v>
      </c>
      <c r="G597">
        <v>1</v>
      </c>
      <c r="H597" s="5" t="s">
        <v>546</v>
      </c>
      <c r="I597" s="5" t="s">
        <v>547</v>
      </c>
      <c r="J597">
        <v>1</v>
      </c>
      <c r="K597">
        <f>32-16</f>
        <v>16</v>
      </c>
      <c r="L597" t="s">
        <v>65</v>
      </c>
      <c r="M597">
        <v>1</v>
      </c>
    </row>
    <row r="598" spans="1:13" x14ac:dyDescent="0.25">
      <c r="A598" s="4">
        <v>42606</v>
      </c>
      <c r="B598" t="s">
        <v>30</v>
      </c>
      <c r="C598">
        <v>5</v>
      </c>
      <c r="D598">
        <v>1</v>
      </c>
      <c r="E598" t="s">
        <v>35</v>
      </c>
      <c r="F598" t="s">
        <v>114</v>
      </c>
      <c r="G598">
        <v>1</v>
      </c>
      <c r="H598" s="5" t="s">
        <v>546</v>
      </c>
      <c r="I598" s="5" t="s">
        <v>547</v>
      </c>
      <c r="J598">
        <v>1</v>
      </c>
      <c r="K598">
        <f>31-16</f>
        <v>15</v>
      </c>
      <c r="L598" t="s">
        <v>65</v>
      </c>
      <c r="M598">
        <v>1</v>
      </c>
    </row>
    <row r="599" spans="1:13" x14ac:dyDescent="0.25">
      <c r="A599" s="4">
        <v>42930</v>
      </c>
      <c r="B599" t="s">
        <v>30</v>
      </c>
      <c r="C599">
        <v>1</v>
      </c>
      <c r="D599">
        <v>1</v>
      </c>
      <c r="E599" t="s">
        <v>35</v>
      </c>
      <c r="F599" t="s">
        <v>36</v>
      </c>
      <c r="G599">
        <v>2</v>
      </c>
      <c r="H599">
        <v>38901</v>
      </c>
      <c r="I599">
        <v>38902</v>
      </c>
      <c r="J599">
        <v>0</v>
      </c>
      <c r="K599">
        <f>39-19</f>
        <v>20</v>
      </c>
      <c r="L599" t="s">
        <v>83</v>
      </c>
      <c r="M599">
        <v>2</v>
      </c>
    </row>
    <row r="600" spans="1:13" x14ac:dyDescent="0.25">
      <c r="A600" s="4">
        <v>42931</v>
      </c>
      <c r="B600" t="s">
        <v>30</v>
      </c>
      <c r="C600">
        <v>1</v>
      </c>
      <c r="D600">
        <v>1</v>
      </c>
      <c r="E600" t="s">
        <v>35</v>
      </c>
      <c r="F600" t="s">
        <v>36</v>
      </c>
      <c r="G600">
        <v>2</v>
      </c>
      <c r="H600">
        <v>38901</v>
      </c>
      <c r="I600">
        <v>38902</v>
      </c>
      <c r="J600">
        <v>0</v>
      </c>
      <c r="K600">
        <f>34-14</f>
        <v>20</v>
      </c>
      <c r="L600" t="s">
        <v>1039</v>
      </c>
      <c r="M600">
        <v>2</v>
      </c>
    </row>
    <row r="601" spans="1:13" x14ac:dyDescent="0.25">
      <c r="A601" s="4">
        <v>42932</v>
      </c>
      <c r="B601" t="s">
        <v>30</v>
      </c>
      <c r="C601">
        <v>1</v>
      </c>
      <c r="D601">
        <v>1</v>
      </c>
      <c r="E601" t="s">
        <v>35</v>
      </c>
      <c r="F601" t="s">
        <v>36</v>
      </c>
      <c r="G601">
        <v>2</v>
      </c>
      <c r="H601">
        <v>38901</v>
      </c>
      <c r="I601">
        <v>38902</v>
      </c>
      <c r="J601">
        <v>0</v>
      </c>
      <c r="K601">
        <f>32.5-15</f>
        <v>17.5</v>
      </c>
      <c r="L601" t="s">
        <v>83</v>
      </c>
      <c r="M601">
        <v>2</v>
      </c>
    </row>
    <row r="602" spans="1:13" x14ac:dyDescent="0.25">
      <c r="A602" s="4">
        <v>42943</v>
      </c>
      <c r="B602" t="s">
        <v>30</v>
      </c>
      <c r="C602">
        <v>1</v>
      </c>
      <c r="D602">
        <v>1</v>
      </c>
      <c r="E602" t="s">
        <v>35</v>
      </c>
      <c r="F602" t="s">
        <v>36</v>
      </c>
      <c r="G602">
        <v>2</v>
      </c>
      <c r="H602">
        <v>38901</v>
      </c>
      <c r="I602">
        <v>38902</v>
      </c>
      <c r="J602">
        <v>0</v>
      </c>
      <c r="K602">
        <f>36-14</f>
        <v>22</v>
      </c>
      <c r="L602" t="s">
        <v>1039</v>
      </c>
      <c r="M602">
        <v>2</v>
      </c>
    </row>
    <row r="603" spans="1:13" x14ac:dyDescent="0.25">
      <c r="A603" s="4">
        <v>42955</v>
      </c>
      <c r="B603" t="s">
        <v>30</v>
      </c>
      <c r="C603">
        <v>1</v>
      </c>
      <c r="D603">
        <v>1</v>
      </c>
      <c r="E603" t="s">
        <v>35</v>
      </c>
      <c r="F603" t="s">
        <v>36</v>
      </c>
      <c r="G603">
        <v>2</v>
      </c>
      <c r="H603">
        <v>38901</v>
      </c>
      <c r="I603">
        <v>38902</v>
      </c>
      <c r="J603">
        <v>0</v>
      </c>
      <c r="K603">
        <f>37-17</f>
        <v>20</v>
      </c>
      <c r="L603" t="s">
        <v>1039</v>
      </c>
      <c r="M603">
        <v>2</v>
      </c>
    </row>
    <row r="604" spans="1:13" x14ac:dyDescent="0.25">
      <c r="A604" s="4">
        <v>42956</v>
      </c>
      <c r="B604" t="s">
        <v>30</v>
      </c>
      <c r="C604">
        <v>1</v>
      </c>
      <c r="D604">
        <v>1</v>
      </c>
      <c r="E604" t="s">
        <v>35</v>
      </c>
      <c r="F604" t="s">
        <v>36</v>
      </c>
      <c r="G604">
        <v>2</v>
      </c>
      <c r="H604">
        <v>38901</v>
      </c>
      <c r="I604">
        <v>38902</v>
      </c>
      <c r="J604">
        <v>0</v>
      </c>
      <c r="K604">
        <f>37-16</f>
        <v>21</v>
      </c>
      <c r="L604" t="s">
        <v>1039</v>
      </c>
      <c r="M604">
        <v>2</v>
      </c>
    </row>
    <row r="605" spans="1:13" x14ac:dyDescent="0.25">
      <c r="A605" s="4">
        <v>42957</v>
      </c>
      <c r="B605" t="s">
        <v>30</v>
      </c>
      <c r="C605">
        <v>1</v>
      </c>
      <c r="D605">
        <v>1</v>
      </c>
      <c r="E605" t="s">
        <v>35</v>
      </c>
      <c r="F605" t="s">
        <v>36</v>
      </c>
      <c r="G605">
        <v>2</v>
      </c>
      <c r="H605">
        <v>38901</v>
      </c>
      <c r="I605">
        <v>38902</v>
      </c>
      <c r="J605">
        <v>0</v>
      </c>
      <c r="K605">
        <f>33-14.5</f>
        <v>18.5</v>
      </c>
      <c r="L605" t="s">
        <v>1039</v>
      </c>
      <c r="M605">
        <v>2</v>
      </c>
    </row>
    <row r="606" spans="1:13" x14ac:dyDescent="0.25">
      <c r="A606" s="4">
        <v>42931</v>
      </c>
      <c r="B606" t="s">
        <v>30</v>
      </c>
      <c r="C606">
        <v>1</v>
      </c>
      <c r="D606">
        <v>1</v>
      </c>
      <c r="E606" t="s">
        <v>35</v>
      </c>
      <c r="F606" t="s">
        <v>36</v>
      </c>
      <c r="G606">
        <v>1</v>
      </c>
      <c r="H606">
        <v>38907</v>
      </c>
      <c r="I606">
        <v>38908</v>
      </c>
      <c r="J606">
        <v>0</v>
      </c>
      <c r="K606">
        <f>47-21</f>
        <v>26</v>
      </c>
      <c r="L606" t="s">
        <v>47</v>
      </c>
      <c r="M606">
        <v>2</v>
      </c>
    </row>
    <row r="607" spans="1:13" x14ac:dyDescent="0.25">
      <c r="A607" s="4">
        <v>42930</v>
      </c>
      <c r="B607" t="s">
        <v>30</v>
      </c>
      <c r="C607">
        <v>4</v>
      </c>
      <c r="D607">
        <v>1</v>
      </c>
      <c r="E607" t="s">
        <v>35</v>
      </c>
      <c r="F607" t="s">
        <v>114</v>
      </c>
      <c r="G607">
        <v>1</v>
      </c>
      <c r="H607">
        <v>38912</v>
      </c>
      <c r="I607">
        <v>38913</v>
      </c>
      <c r="J607">
        <v>1</v>
      </c>
      <c r="K607">
        <f>31.5-14</f>
        <v>17.5</v>
      </c>
      <c r="L607" t="s">
        <v>47</v>
      </c>
      <c r="M607">
        <v>2</v>
      </c>
    </row>
    <row r="608" spans="1:13" x14ac:dyDescent="0.25">
      <c r="A608" s="4">
        <v>42931</v>
      </c>
      <c r="B608" t="s">
        <v>30</v>
      </c>
      <c r="C608">
        <v>4</v>
      </c>
      <c r="D608">
        <v>1</v>
      </c>
      <c r="E608" t="s">
        <v>35</v>
      </c>
      <c r="F608" t="s">
        <v>114</v>
      </c>
      <c r="G608">
        <v>1</v>
      </c>
      <c r="H608">
        <v>38912</v>
      </c>
      <c r="I608">
        <v>38913</v>
      </c>
      <c r="J608">
        <v>1</v>
      </c>
      <c r="K608">
        <f>30-14</f>
        <v>16</v>
      </c>
      <c r="L608" t="s">
        <v>47</v>
      </c>
      <c r="M608">
        <v>2</v>
      </c>
    </row>
    <row r="609" spans="1:13" x14ac:dyDescent="0.25">
      <c r="A609" s="4">
        <v>42932</v>
      </c>
      <c r="B609" t="s">
        <v>30</v>
      </c>
      <c r="C609">
        <v>4</v>
      </c>
      <c r="D609">
        <v>1</v>
      </c>
      <c r="E609" t="s">
        <v>35</v>
      </c>
      <c r="F609" t="s">
        <v>114</v>
      </c>
      <c r="G609">
        <v>1</v>
      </c>
      <c r="H609">
        <v>38912</v>
      </c>
      <c r="I609">
        <v>38913</v>
      </c>
      <c r="J609">
        <v>1</v>
      </c>
      <c r="K609">
        <f>30-14</f>
        <v>16</v>
      </c>
      <c r="L609" t="s">
        <v>65</v>
      </c>
      <c r="M609">
        <v>2</v>
      </c>
    </row>
    <row r="610" spans="1:13" x14ac:dyDescent="0.25">
      <c r="A610" s="4">
        <v>42942</v>
      </c>
      <c r="B610" t="s">
        <v>30</v>
      </c>
      <c r="C610">
        <v>4</v>
      </c>
      <c r="D610">
        <v>1</v>
      </c>
      <c r="E610" t="s">
        <v>35</v>
      </c>
      <c r="F610" t="s">
        <v>36</v>
      </c>
      <c r="G610">
        <v>1</v>
      </c>
      <c r="H610">
        <v>38912</v>
      </c>
      <c r="I610">
        <v>38913</v>
      </c>
      <c r="J610">
        <v>1</v>
      </c>
      <c r="K610">
        <f>34-16.5</f>
        <v>17.5</v>
      </c>
      <c r="L610" t="s">
        <v>47</v>
      </c>
      <c r="M610">
        <v>2</v>
      </c>
    </row>
    <row r="611" spans="1:13" x14ac:dyDescent="0.25">
      <c r="A611" s="4">
        <v>42943</v>
      </c>
      <c r="B611" t="s">
        <v>30</v>
      </c>
      <c r="C611">
        <v>4</v>
      </c>
      <c r="D611">
        <v>1</v>
      </c>
      <c r="E611" t="s">
        <v>35</v>
      </c>
      <c r="F611" t="s">
        <v>36</v>
      </c>
      <c r="G611">
        <v>1</v>
      </c>
      <c r="H611">
        <v>38912</v>
      </c>
      <c r="I611">
        <v>38913</v>
      </c>
      <c r="J611">
        <v>1</v>
      </c>
      <c r="K611">
        <f>38-21</f>
        <v>17</v>
      </c>
      <c r="L611" t="s">
        <v>47</v>
      </c>
      <c r="M611">
        <v>2</v>
      </c>
    </row>
    <row r="612" spans="1:13" x14ac:dyDescent="0.25">
      <c r="A612" s="4">
        <v>42955</v>
      </c>
      <c r="B612" t="s">
        <v>30</v>
      </c>
      <c r="C612">
        <v>4</v>
      </c>
      <c r="D612">
        <v>1</v>
      </c>
      <c r="E612" t="s">
        <v>35</v>
      </c>
      <c r="F612" t="s">
        <v>36</v>
      </c>
      <c r="G612">
        <v>1</v>
      </c>
      <c r="H612">
        <v>38912</v>
      </c>
      <c r="I612">
        <v>38913</v>
      </c>
      <c r="J612">
        <v>1</v>
      </c>
      <c r="K612">
        <f>33-15</f>
        <v>18</v>
      </c>
      <c r="L612" t="s">
        <v>65</v>
      </c>
      <c r="M612">
        <v>2</v>
      </c>
    </row>
    <row r="613" spans="1:13" x14ac:dyDescent="0.25">
      <c r="A613" s="4">
        <v>42956</v>
      </c>
      <c r="B613" t="s">
        <v>30</v>
      </c>
      <c r="C613">
        <v>4</v>
      </c>
      <c r="D613">
        <v>1</v>
      </c>
      <c r="E613" t="s">
        <v>35</v>
      </c>
      <c r="F613" t="s">
        <v>36</v>
      </c>
      <c r="G613">
        <v>1</v>
      </c>
      <c r="H613">
        <v>38912</v>
      </c>
      <c r="I613">
        <v>38913</v>
      </c>
      <c r="J613">
        <v>1</v>
      </c>
      <c r="K613">
        <f>31.5-14</f>
        <v>17.5</v>
      </c>
      <c r="L613" t="s">
        <v>47</v>
      </c>
      <c r="M613">
        <v>2</v>
      </c>
    </row>
    <row r="614" spans="1:13" x14ac:dyDescent="0.25">
      <c r="A614" s="4">
        <v>42957</v>
      </c>
      <c r="B614" t="s">
        <v>30</v>
      </c>
      <c r="C614">
        <v>4</v>
      </c>
      <c r="D614">
        <v>1</v>
      </c>
      <c r="E614" t="s">
        <v>35</v>
      </c>
      <c r="F614" t="s">
        <v>36</v>
      </c>
      <c r="G614">
        <v>1</v>
      </c>
      <c r="H614">
        <v>38912</v>
      </c>
      <c r="I614">
        <v>38913</v>
      </c>
      <c r="J614">
        <v>1</v>
      </c>
      <c r="K614">
        <f>36.5-16.5</f>
        <v>20</v>
      </c>
      <c r="L614" t="s">
        <v>47</v>
      </c>
      <c r="M614">
        <v>2</v>
      </c>
    </row>
    <row r="615" spans="1:13" x14ac:dyDescent="0.25">
      <c r="A615" s="4">
        <v>42930</v>
      </c>
      <c r="B615" t="s">
        <v>30</v>
      </c>
      <c r="C615">
        <v>2</v>
      </c>
      <c r="D615">
        <v>1</v>
      </c>
      <c r="E615" t="s">
        <v>35</v>
      </c>
      <c r="F615" t="s">
        <v>36</v>
      </c>
      <c r="G615">
        <v>1</v>
      </c>
      <c r="H615">
        <v>38927</v>
      </c>
      <c r="I615">
        <v>38926</v>
      </c>
      <c r="J615">
        <v>0</v>
      </c>
      <c r="K615">
        <f>32-14</f>
        <v>18</v>
      </c>
      <c r="L615" t="s">
        <v>47</v>
      </c>
      <c r="M615">
        <v>2</v>
      </c>
    </row>
    <row r="616" spans="1:13" x14ac:dyDescent="0.25">
      <c r="A616" s="4">
        <v>42931</v>
      </c>
      <c r="B616" t="s">
        <v>30</v>
      </c>
      <c r="C616">
        <v>2</v>
      </c>
      <c r="D616">
        <v>1</v>
      </c>
      <c r="E616" t="s">
        <v>35</v>
      </c>
      <c r="F616" t="s">
        <v>36</v>
      </c>
      <c r="G616">
        <v>1</v>
      </c>
      <c r="H616">
        <v>38927</v>
      </c>
      <c r="I616">
        <v>38926</v>
      </c>
      <c r="J616">
        <v>0</v>
      </c>
      <c r="K616">
        <f>32-14</f>
        <v>18</v>
      </c>
      <c r="L616" t="s">
        <v>47</v>
      </c>
      <c r="M616">
        <v>2</v>
      </c>
    </row>
    <row r="617" spans="1:13" x14ac:dyDescent="0.25">
      <c r="A617" s="4">
        <v>42931</v>
      </c>
      <c r="B617" t="s">
        <v>30</v>
      </c>
      <c r="C617">
        <v>2</v>
      </c>
      <c r="D617">
        <v>1</v>
      </c>
      <c r="E617" t="s">
        <v>35</v>
      </c>
      <c r="F617" t="s">
        <v>89</v>
      </c>
      <c r="G617">
        <v>2</v>
      </c>
      <c r="H617">
        <v>38930</v>
      </c>
      <c r="I617">
        <v>38929</v>
      </c>
      <c r="J617">
        <v>0</v>
      </c>
      <c r="K617">
        <f>27-15</f>
        <v>12</v>
      </c>
      <c r="L617" t="s">
        <v>38</v>
      </c>
      <c r="M617">
        <v>2</v>
      </c>
    </row>
    <row r="618" spans="1:13" x14ac:dyDescent="0.25">
      <c r="A618" s="4">
        <v>42930</v>
      </c>
      <c r="B618" t="s">
        <v>30</v>
      </c>
      <c r="C618">
        <v>3</v>
      </c>
      <c r="D618">
        <v>1</v>
      </c>
      <c r="E618" t="s">
        <v>35</v>
      </c>
      <c r="F618" t="s">
        <v>114</v>
      </c>
      <c r="G618">
        <v>2</v>
      </c>
      <c r="H618">
        <v>38934</v>
      </c>
      <c r="I618">
        <v>38933</v>
      </c>
      <c r="J618">
        <v>0</v>
      </c>
      <c r="K618">
        <f>31-14</f>
        <v>17</v>
      </c>
      <c r="L618" t="s">
        <v>38</v>
      </c>
      <c r="M618">
        <v>2</v>
      </c>
    </row>
    <row r="619" spans="1:13" x14ac:dyDescent="0.25">
      <c r="A619" s="4">
        <v>42941</v>
      </c>
      <c r="B619" t="s">
        <v>30</v>
      </c>
      <c r="C619">
        <v>3</v>
      </c>
      <c r="D619">
        <v>1</v>
      </c>
      <c r="E619" t="s">
        <v>35</v>
      </c>
      <c r="F619" t="s">
        <v>89</v>
      </c>
      <c r="G619">
        <v>2</v>
      </c>
      <c r="H619">
        <v>38934</v>
      </c>
      <c r="I619">
        <v>38933</v>
      </c>
      <c r="J619">
        <v>1</v>
      </c>
      <c r="K619">
        <f>30-13</f>
        <v>17</v>
      </c>
      <c r="L619" t="s">
        <v>38</v>
      </c>
      <c r="M619">
        <v>2</v>
      </c>
    </row>
    <row r="620" spans="1:13" x14ac:dyDescent="0.25">
      <c r="A620" s="4">
        <v>42930</v>
      </c>
      <c r="B620" t="s">
        <v>30</v>
      </c>
      <c r="C620">
        <v>3</v>
      </c>
      <c r="D620">
        <v>1</v>
      </c>
      <c r="E620" t="s">
        <v>35</v>
      </c>
      <c r="F620" t="s">
        <v>114</v>
      </c>
      <c r="G620">
        <v>1</v>
      </c>
      <c r="H620">
        <v>38942</v>
      </c>
      <c r="I620">
        <v>38941</v>
      </c>
      <c r="J620">
        <v>0</v>
      </c>
      <c r="K620">
        <f>32-14</f>
        <v>18</v>
      </c>
      <c r="L620" t="s">
        <v>47</v>
      </c>
      <c r="M620">
        <v>2</v>
      </c>
    </row>
    <row r="621" spans="1:13" x14ac:dyDescent="0.25">
      <c r="A621" s="4">
        <v>42930</v>
      </c>
      <c r="B621" t="s">
        <v>30</v>
      </c>
      <c r="C621">
        <v>2</v>
      </c>
      <c r="D621">
        <v>1</v>
      </c>
      <c r="E621" t="s">
        <v>35</v>
      </c>
      <c r="F621" t="s">
        <v>114</v>
      </c>
      <c r="G621">
        <v>1</v>
      </c>
      <c r="H621">
        <v>38946</v>
      </c>
      <c r="I621">
        <v>38945</v>
      </c>
      <c r="J621">
        <v>0</v>
      </c>
      <c r="K621">
        <f>31-14</f>
        <v>17</v>
      </c>
      <c r="L621" t="s">
        <v>47</v>
      </c>
      <c r="M621">
        <v>2</v>
      </c>
    </row>
    <row r="622" spans="1:13" x14ac:dyDescent="0.25">
      <c r="A622" s="4">
        <v>42931</v>
      </c>
      <c r="B622" t="s">
        <v>30</v>
      </c>
      <c r="C622">
        <v>2</v>
      </c>
      <c r="D622">
        <v>1</v>
      </c>
      <c r="E622" t="s">
        <v>35</v>
      </c>
      <c r="F622" t="s">
        <v>114</v>
      </c>
      <c r="G622">
        <v>1</v>
      </c>
      <c r="H622">
        <v>38946</v>
      </c>
      <c r="I622">
        <v>38945</v>
      </c>
      <c r="J622">
        <v>0</v>
      </c>
      <c r="K622">
        <f>32-14</f>
        <v>18</v>
      </c>
      <c r="L622" t="s">
        <v>47</v>
      </c>
      <c r="M622">
        <v>2</v>
      </c>
    </row>
    <row r="623" spans="1:13" x14ac:dyDescent="0.25">
      <c r="A623" s="4">
        <v>42941</v>
      </c>
      <c r="B623" t="s">
        <v>30</v>
      </c>
      <c r="C623">
        <v>2</v>
      </c>
      <c r="D623">
        <v>1</v>
      </c>
      <c r="E623" t="s">
        <v>35</v>
      </c>
      <c r="F623" t="s">
        <v>114</v>
      </c>
      <c r="G623">
        <v>1</v>
      </c>
      <c r="H623">
        <v>38946</v>
      </c>
      <c r="I623">
        <v>38945</v>
      </c>
      <c r="J623">
        <v>0</v>
      </c>
      <c r="K623">
        <f>30-14</f>
        <v>16</v>
      </c>
      <c r="L623" t="s">
        <v>65</v>
      </c>
      <c r="M623">
        <v>2</v>
      </c>
    </row>
    <row r="624" spans="1:13" x14ac:dyDescent="0.25">
      <c r="A624" s="4">
        <v>42929</v>
      </c>
      <c r="B624" t="s">
        <v>30</v>
      </c>
      <c r="C624">
        <v>7</v>
      </c>
      <c r="D624">
        <v>1</v>
      </c>
      <c r="E624" t="s">
        <v>35</v>
      </c>
      <c r="F624" t="s">
        <v>89</v>
      </c>
      <c r="G624">
        <v>2</v>
      </c>
      <c r="H624">
        <v>38952</v>
      </c>
      <c r="I624">
        <v>38951</v>
      </c>
      <c r="J624">
        <v>0</v>
      </c>
      <c r="K624">
        <f>28-14.5</f>
        <v>13.5</v>
      </c>
      <c r="L624" t="s">
        <v>38</v>
      </c>
      <c r="M624">
        <v>2</v>
      </c>
    </row>
    <row r="625" spans="1:13" x14ac:dyDescent="0.25">
      <c r="A625" s="4">
        <v>42963</v>
      </c>
      <c r="B625" t="s">
        <v>30</v>
      </c>
      <c r="C625">
        <v>7</v>
      </c>
      <c r="D625">
        <v>1</v>
      </c>
      <c r="E625" t="s">
        <v>35</v>
      </c>
      <c r="F625" t="s">
        <v>36</v>
      </c>
      <c r="G625">
        <v>2</v>
      </c>
      <c r="H625">
        <v>38952</v>
      </c>
      <c r="I625">
        <v>38951</v>
      </c>
      <c r="J625">
        <v>1</v>
      </c>
      <c r="K625">
        <f>32-13</f>
        <v>19</v>
      </c>
      <c r="L625" t="s">
        <v>1039</v>
      </c>
      <c r="M625">
        <v>2</v>
      </c>
    </row>
    <row r="626" spans="1:13" x14ac:dyDescent="0.25">
      <c r="A626" s="4">
        <v>42931</v>
      </c>
      <c r="B626" t="s">
        <v>30</v>
      </c>
      <c r="C626">
        <v>3</v>
      </c>
      <c r="D626">
        <v>1</v>
      </c>
      <c r="E626" t="s">
        <v>35</v>
      </c>
      <c r="F626" t="s">
        <v>89</v>
      </c>
      <c r="G626">
        <v>2</v>
      </c>
      <c r="H626">
        <v>38957</v>
      </c>
      <c r="I626">
        <v>38956</v>
      </c>
      <c r="J626">
        <v>0</v>
      </c>
      <c r="K626">
        <f>30-14</f>
        <v>16</v>
      </c>
      <c r="L626" t="s">
        <v>38</v>
      </c>
      <c r="M626">
        <v>2</v>
      </c>
    </row>
    <row r="627" spans="1:13" x14ac:dyDescent="0.25">
      <c r="A627" s="4">
        <v>42930</v>
      </c>
      <c r="B627" t="s">
        <v>30</v>
      </c>
      <c r="C627">
        <v>2</v>
      </c>
      <c r="D627">
        <v>1</v>
      </c>
      <c r="E627" t="s">
        <v>35</v>
      </c>
      <c r="F627" t="s">
        <v>36</v>
      </c>
      <c r="G627">
        <v>1</v>
      </c>
      <c r="H627">
        <v>38964</v>
      </c>
      <c r="I627">
        <v>38963</v>
      </c>
      <c r="J627">
        <v>0</v>
      </c>
      <c r="K627">
        <f>36-13</f>
        <v>23</v>
      </c>
      <c r="L627" t="s">
        <v>47</v>
      </c>
      <c r="M627">
        <v>2</v>
      </c>
    </row>
    <row r="628" spans="1:13" x14ac:dyDescent="0.25">
      <c r="A628" s="4">
        <v>42931</v>
      </c>
      <c r="B628" t="s">
        <v>30</v>
      </c>
      <c r="C628">
        <v>2</v>
      </c>
      <c r="D628">
        <v>1</v>
      </c>
      <c r="E628" t="s">
        <v>35</v>
      </c>
      <c r="F628" t="s">
        <v>36</v>
      </c>
      <c r="G628">
        <v>1</v>
      </c>
      <c r="H628">
        <v>38964</v>
      </c>
      <c r="I628">
        <v>38963</v>
      </c>
      <c r="J628">
        <v>0</v>
      </c>
      <c r="K628">
        <f>37-14</f>
        <v>23</v>
      </c>
      <c r="L628" t="s">
        <v>47</v>
      </c>
      <c r="M628">
        <v>2</v>
      </c>
    </row>
    <row r="629" spans="1:13" x14ac:dyDescent="0.25">
      <c r="A629" s="4">
        <v>42931</v>
      </c>
      <c r="B629" t="s">
        <v>30</v>
      </c>
      <c r="C629">
        <v>2</v>
      </c>
      <c r="D629">
        <v>1</v>
      </c>
      <c r="E629" t="s">
        <v>35</v>
      </c>
      <c r="F629" t="s">
        <v>36</v>
      </c>
      <c r="G629">
        <v>2</v>
      </c>
      <c r="H629">
        <v>38975</v>
      </c>
      <c r="I629">
        <v>38974</v>
      </c>
      <c r="J629">
        <v>0</v>
      </c>
      <c r="K629">
        <f>36-15</f>
        <v>21</v>
      </c>
      <c r="L629" t="s">
        <v>1039</v>
      </c>
      <c r="M629">
        <v>2</v>
      </c>
    </row>
    <row r="630" spans="1:13" x14ac:dyDescent="0.25">
      <c r="A630" s="4">
        <v>42935</v>
      </c>
      <c r="B630" t="s">
        <v>30</v>
      </c>
      <c r="C630">
        <v>5</v>
      </c>
      <c r="D630">
        <v>1</v>
      </c>
      <c r="E630" t="s">
        <v>62</v>
      </c>
      <c r="H630">
        <v>38982</v>
      </c>
      <c r="I630">
        <v>38981</v>
      </c>
      <c r="J630">
        <v>1</v>
      </c>
      <c r="M630">
        <v>2</v>
      </c>
    </row>
    <row r="631" spans="1:13" x14ac:dyDescent="0.25">
      <c r="A631" s="4">
        <v>42935</v>
      </c>
      <c r="B631" t="s">
        <v>30</v>
      </c>
      <c r="C631">
        <v>3</v>
      </c>
      <c r="D631">
        <v>1</v>
      </c>
      <c r="E631" t="s">
        <v>35</v>
      </c>
      <c r="F631" t="s">
        <v>89</v>
      </c>
      <c r="G631">
        <v>2</v>
      </c>
      <c r="H631">
        <v>38989</v>
      </c>
      <c r="I631">
        <v>38988</v>
      </c>
      <c r="J631">
        <v>1</v>
      </c>
      <c r="K631">
        <f>30-14</f>
        <v>16</v>
      </c>
      <c r="L631" t="s">
        <v>38</v>
      </c>
      <c r="M631">
        <v>2</v>
      </c>
    </row>
    <row r="632" spans="1:13" x14ac:dyDescent="0.25">
      <c r="A632" s="4">
        <v>42931</v>
      </c>
      <c r="B632" t="s">
        <v>30</v>
      </c>
      <c r="C632">
        <v>1</v>
      </c>
      <c r="D632">
        <v>1</v>
      </c>
      <c r="E632" t="s">
        <v>35</v>
      </c>
      <c r="F632" t="s">
        <v>36</v>
      </c>
      <c r="G632">
        <v>1</v>
      </c>
      <c r="H632">
        <v>39000</v>
      </c>
      <c r="I632">
        <v>38999</v>
      </c>
      <c r="J632">
        <v>0</v>
      </c>
      <c r="K632">
        <f>37-14</f>
        <v>23</v>
      </c>
      <c r="L632" t="s">
        <v>47</v>
      </c>
      <c r="M632">
        <v>2</v>
      </c>
    </row>
    <row r="633" spans="1:13" x14ac:dyDescent="0.25">
      <c r="A633" s="4">
        <v>42941</v>
      </c>
      <c r="B633" t="s">
        <v>30</v>
      </c>
      <c r="C633">
        <v>1</v>
      </c>
      <c r="D633">
        <v>1</v>
      </c>
      <c r="E633" t="s">
        <v>35</v>
      </c>
      <c r="F633" t="s">
        <v>36</v>
      </c>
      <c r="G633">
        <v>1</v>
      </c>
      <c r="H633">
        <v>39000</v>
      </c>
      <c r="I633">
        <v>38999</v>
      </c>
      <c r="J633">
        <v>1</v>
      </c>
      <c r="K633">
        <f>37-14</f>
        <v>23</v>
      </c>
      <c r="L633" t="s">
        <v>47</v>
      </c>
      <c r="M633">
        <v>2</v>
      </c>
    </row>
    <row r="634" spans="1:13" x14ac:dyDescent="0.25">
      <c r="A634" s="4">
        <v>42942</v>
      </c>
      <c r="B634" t="s">
        <v>30</v>
      </c>
      <c r="C634">
        <v>1</v>
      </c>
      <c r="D634">
        <v>1</v>
      </c>
      <c r="E634" t="s">
        <v>35</v>
      </c>
      <c r="F634" t="s">
        <v>36</v>
      </c>
      <c r="G634">
        <v>1</v>
      </c>
      <c r="H634">
        <v>39000</v>
      </c>
      <c r="I634">
        <v>38999</v>
      </c>
      <c r="J634">
        <v>1</v>
      </c>
      <c r="K634">
        <f>37.5-14.5</f>
        <v>23</v>
      </c>
      <c r="L634" t="s">
        <v>47</v>
      </c>
      <c r="M634">
        <v>2</v>
      </c>
    </row>
    <row r="635" spans="1:13" x14ac:dyDescent="0.25">
      <c r="A635" s="4">
        <v>42929</v>
      </c>
      <c r="B635" t="s">
        <v>30</v>
      </c>
      <c r="C635">
        <v>9</v>
      </c>
      <c r="D635">
        <v>1</v>
      </c>
      <c r="E635" t="s">
        <v>35</v>
      </c>
      <c r="F635" t="s">
        <v>36</v>
      </c>
      <c r="G635">
        <v>1</v>
      </c>
      <c r="H635">
        <v>39126</v>
      </c>
      <c r="I635">
        <v>39753</v>
      </c>
      <c r="J635">
        <v>0</v>
      </c>
      <c r="K635">
        <f>38-16</f>
        <v>22</v>
      </c>
      <c r="L635" t="s">
        <v>47</v>
      </c>
      <c r="M635">
        <v>2</v>
      </c>
    </row>
    <row r="636" spans="1:13" x14ac:dyDescent="0.25">
      <c r="A636" s="4">
        <v>42935</v>
      </c>
      <c r="B636" t="s">
        <v>30</v>
      </c>
      <c r="C636">
        <v>9</v>
      </c>
      <c r="D636">
        <v>1</v>
      </c>
      <c r="E636" t="s">
        <v>35</v>
      </c>
      <c r="F636" t="s">
        <v>114</v>
      </c>
      <c r="G636">
        <v>1</v>
      </c>
      <c r="H636">
        <v>39126</v>
      </c>
      <c r="I636">
        <v>39753</v>
      </c>
      <c r="J636">
        <v>0</v>
      </c>
      <c r="K636">
        <f>34-14</f>
        <v>20</v>
      </c>
      <c r="L636" t="s">
        <v>47</v>
      </c>
      <c r="M636">
        <v>2</v>
      </c>
    </row>
    <row r="637" spans="1:13" x14ac:dyDescent="0.25">
      <c r="A637" s="4">
        <v>42936</v>
      </c>
      <c r="B637" t="s">
        <v>30</v>
      </c>
      <c r="C637">
        <v>9</v>
      </c>
      <c r="D637">
        <v>1</v>
      </c>
      <c r="E637" t="s">
        <v>35</v>
      </c>
      <c r="F637" t="s">
        <v>114</v>
      </c>
      <c r="G637">
        <v>1</v>
      </c>
      <c r="H637">
        <v>39126</v>
      </c>
      <c r="I637">
        <v>39753</v>
      </c>
      <c r="J637">
        <v>0</v>
      </c>
      <c r="K637">
        <f>33-14</f>
        <v>19</v>
      </c>
      <c r="L637" t="s">
        <v>47</v>
      </c>
      <c r="M637">
        <v>2</v>
      </c>
    </row>
    <row r="638" spans="1:13" x14ac:dyDescent="0.25">
      <c r="A638" s="4">
        <v>42937</v>
      </c>
      <c r="B638" t="s">
        <v>30</v>
      </c>
      <c r="C638">
        <v>9</v>
      </c>
      <c r="D638">
        <v>1</v>
      </c>
      <c r="E638" t="s">
        <v>35</v>
      </c>
      <c r="F638" t="s">
        <v>36</v>
      </c>
      <c r="G638">
        <v>1</v>
      </c>
      <c r="H638">
        <v>39126</v>
      </c>
      <c r="I638">
        <v>39753</v>
      </c>
      <c r="J638">
        <v>0</v>
      </c>
      <c r="K638">
        <f>38-14</f>
        <v>24</v>
      </c>
      <c r="L638" t="s">
        <v>47</v>
      </c>
      <c r="M638">
        <v>2</v>
      </c>
    </row>
    <row r="639" spans="1:13" x14ac:dyDescent="0.25">
      <c r="A639" s="4">
        <v>42929</v>
      </c>
      <c r="B639" t="s">
        <v>30</v>
      </c>
      <c r="C639">
        <v>8</v>
      </c>
      <c r="D639">
        <v>1</v>
      </c>
      <c r="E639" t="s">
        <v>35</v>
      </c>
      <c r="F639" t="s">
        <v>36</v>
      </c>
      <c r="G639">
        <v>1</v>
      </c>
      <c r="H639">
        <v>39129</v>
      </c>
      <c r="I639">
        <v>39169</v>
      </c>
      <c r="J639">
        <v>0</v>
      </c>
      <c r="K639">
        <f>43-20</f>
        <v>23</v>
      </c>
      <c r="L639" t="s">
        <v>47</v>
      </c>
      <c r="M639">
        <v>2</v>
      </c>
    </row>
    <row r="640" spans="1:13" x14ac:dyDescent="0.25">
      <c r="A640" s="4">
        <v>42936</v>
      </c>
      <c r="B640" t="s">
        <v>30</v>
      </c>
      <c r="C640">
        <v>8</v>
      </c>
      <c r="D640">
        <v>1</v>
      </c>
      <c r="E640" t="s">
        <v>35</v>
      </c>
      <c r="F640" t="s">
        <v>36</v>
      </c>
      <c r="G640">
        <v>1</v>
      </c>
      <c r="H640">
        <v>39129</v>
      </c>
      <c r="I640">
        <v>39769</v>
      </c>
      <c r="J640">
        <v>0</v>
      </c>
      <c r="K640">
        <f>37-15</f>
        <v>22</v>
      </c>
      <c r="L640" t="s">
        <v>47</v>
      </c>
      <c r="M640">
        <v>2</v>
      </c>
    </row>
    <row r="641" spans="1:13" x14ac:dyDescent="0.25">
      <c r="A641" s="4">
        <v>42947</v>
      </c>
      <c r="B641" t="s">
        <v>30</v>
      </c>
      <c r="C641">
        <v>8</v>
      </c>
      <c r="D641">
        <v>1</v>
      </c>
      <c r="E641" t="s">
        <v>35</v>
      </c>
      <c r="F641" t="s">
        <v>36</v>
      </c>
      <c r="G641">
        <v>1</v>
      </c>
      <c r="H641">
        <v>39129</v>
      </c>
      <c r="I641">
        <v>39769</v>
      </c>
      <c r="J641">
        <v>0</v>
      </c>
      <c r="K641">
        <f>36-14</f>
        <v>22</v>
      </c>
      <c r="L641" t="s">
        <v>47</v>
      </c>
      <c r="M641">
        <v>2</v>
      </c>
    </row>
    <row r="642" spans="1:13" x14ac:dyDescent="0.25">
      <c r="A642" s="4">
        <v>42948</v>
      </c>
      <c r="B642" t="s">
        <v>30</v>
      </c>
      <c r="C642">
        <v>8</v>
      </c>
      <c r="D642">
        <v>1</v>
      </c>
      <c r="E642" t="s">
        <v>35</v>
      </c>
      <c r="F642" t="s">
        <v>36</v>
      </c>
      <c r="G642">
        <v>1</v>
      </c>
      <c r="H642">
        <v>39129</v>
      </c>
      <c r="I642">
        <v>39769</v>
      </c>
      <c r="J642">
        <v>0</v>
      </c>
      <c r="K642">
        <f>33-13</f>
        <v>20</v>
      </c>
      <c r="L642" t="s">
        <v>47</v>
      </c>
      <c r="M642">
        <v>2</v>
      </c>
    </row>
    <row r="643" spans="1:13" x14ac:dyDescent="0.25">
      <c r="A643" s="4">
        <v>42949</v>
      </c>
      <c r="B643" t="s">
        <v>30</v>
      </c>
      <c r="C643">
        <v>8</v>
      </c>
      <c r="D643">
        <v>1</v>
      </c>
      <c r="E643" t="s">
        <v>35</v>
      </c>
      <c r="F643" t="s">
        <v>36</v>
      </c>
      <c r="G643">
        <v>1</v>
      </c>
      <c r="H643">
        <v>39129</v>
      </c>
      <c r="I643">
        <v>39769</v>
      </c>
      <c r="J643">
        <v>0</v>
      </c>
      <c r="K643">
        <f>35-14</f>
        <v>21</v>
      </c>
      <c r="L643" t="s">
        <v>47</v>
      </c>
      <c r="M643">
        <v>2</v>
      </c>
    </row>
    <row r="644" spans="1:13" x14ac:dyDescent="0.25">
      <c r="A644" s="4">
        <v>42961</v>
      </c>
      <c r="B644" t="s">
        <v>30</v>
      </c>
      <c r="C644">
        <v>8</v>
      </c>
      <c r="D644">
        <v>1</v>
      </c>
      <c r="E644" t="s">
        <v>35</v>
      </c>
      <c r="F644" t="s">
        <v>36</v>
      </c>
      <c r="G644">
        <v>1</v>
      </c>
      <c r="H644">
        <v>39129</v>
      </c>
      <c r="I644">
        <v>39769</v>
      </c>
      <c r="J644">
        <v>1</v>
      </c>
      <c r="K644">
        <f>38-15</f>
        <v>23</v>
      </c>
      <c r="L644" t="s">
        <v>47</v>
      </c>
      <c r="M644">
        <v>2</v>
      </c>
    </row>
    <row r="645" spans="1:13" x14ac:dyDescent="0.25">
      <c r="A645" s="4">
        <v>42929</v>
      </c>
      <c r="B645" t="s">
        <v>30</v>
      </c>
      <c r="C645">
        <v>9</v>
      </c>
      <c r="D645">
        <v>1</v>
      </c>
      <c r="E645" t="s">
        <v>35</v>
      </c>
      <c r="F645" t="s">
        <v>36</v>
      </c>
      <c r="G645">
        <v>2</v>
      </c>
      <c r="H645">
        <v>39145</v>
      </c>
      <c r="I645">
        <v>39144</v>
      </c>
      <c r="J645">
        <v>0</v>
      </c>
      <c r="K645">
        <f>41-16</f>
        <v>25</v>
      </c>
      <c r="L645" t="s">
        <v>81</v>
      </c>
      <c r="M645">
        <v>2</v>
      </c>
    </row>
    <row r="646" spans="1:13" x14ac:dyDescent="0.25">
      <c r="A646" s="4">
        <v>42935</v>
      </c>
      <c r="B646" t="s">
        <v>30</v>
      </c>
      <c r="C646">
        <v>9</v>
      </c>
      <c r="D646">
        <v>1</v>
      </c>
      <c r="E646" t="s">
        <v>35</v>
      </c>
      <c r="F646" t="s">
        <v>114</v>
      </c>
      <c r="G646">
        <v>2</v>
      </c>
      <c r="H646">
        <v>39145</v>
      </c>
      <c r="I646">
        <v>39144</v>
      </c>
      <c r="J646">
        <v>1</v>
      </c>
      <c r="K646">
        <f>31-14</f>
        <v>17</v>
      </c>
      <c r="L646" t="s">
        <v>38</v>
      </c>
      <c r="M646">
        <v>2</v>
      </c>
    </row>
    <row r="647" spans="1:13" x14ac:dyDescent="0.25">
      <c r="A647" s="4">
        <v>42936</v>
      </c>
      <c r="B647" t="s">
        <v>30</v>
      </c>
      <c r="C647">
        <v>9</v>
      </c>
      <c r="D647">
        <v>1</v>
      </c>
      <c r="E647" t="s">
        <v>35</v>
      </c>
      <c r="F647" t="s">
        <v>36</v>
      </c>
      <c r="G647">
        <v>2</v>
      </c>
      <c r="H647">
        <v>39145</v>
      </c>
      <c r="I647">
        <v>39144</v>
      </c>
      <c r="J647">
        <v>1</v>
      </c>
      <c r="K647">
        <f>30-14</f>
        <v>16</v>
      </c>
      <c r="L647" t="s">
        <v>38</v>
      </c>
      <c r="M647">
        <v>2</v>
      </c>
    </row>
    <row r="648" spans="1:13" x14ac:dyDescent="0.25">
      <c r="A648" s="4">
        <v>42937</v>
      </c>
      <c r="B648" t="s">
        <v>30</v>
      </c>
      <c r="C648">
        <v>9</v>
      </c>
      <c r="D648">
        <v>1</v>
      </c>
      <c r="E648" t="s">
        <v>35</v>
      </c>
      <c r="F648" t="s">
        <v>114</v>
      </c>
      <c r="G648">
        <v>2</v>
      </c>
      <c r="H648">
        <v>39145</v>
      </c>
      <c r="I648">
        <v>39144</v>
      </c>
      <c r="J648">
        <v>1</v>
      </c>
      <c r="K648">
        <f>32-15</f>
        <v>17</v>
      </c>
      <c r="L648" t="s">
        <v>83</v>
      </c>
      <c r="M648">
        <v>2</v>
      </c>
    </row>
    <row r="649" spans="1:13" x14ac:dyDescent="0.25">
      <c r="A649" s="4">
        <v>42948</v>
      </c>
      <c r="B649" t="s">
        <v>30</v>
      </c>
      <c r="C649">
        <v>9</v>
      </c>
      <c r="D649">
        <v>1</v>
      </c>
      <c r="E649" t="s">
        <v>35</v>
      </c>
      <c r="F649" t="s">
        <v>36</v>
      </c>
      <c r="G649">
        <v>2</v>
      </c>
      <c r="H649">
        <v>39145</v>
      </c>
      <c r="I649">
        <v>39144</v>
      </c>
      <c r="J649">
        <v>0</v>
      </c>
      <c r="K649">
        <f>33.5-15</f>
        <v>18.5</v>
      </c>
      <c r="L649" t="s">
        <v>1041</v>
      </c>
      <c r="M649">
        <v>2</v>
      </c>
    </row>
    <row r="650" spans="1:13" x14ac:dyDescent="0.25">
      <c r="A650" s="4">
        <v>42949</v>
      </c>
      <c r="B650" t="s">
        <v>30</v>
      </c>
      <c r="C650">
        <v>9</v>
      </c>
      <c r="D650">
        <v>1</v>
      </c>
      <c r="E650" t="s">
        <v>35</v>
      </c>
      <c r="F650" t="s">
        <v>36</v>
      </c>
      <c r="G650">
        <v>2</v>
      </c>
      <c r="H650">
        <v>39145</v>
      </c>
      <c r="I650">
        <v>39144</v>
      </c>
      <c r="J650">
        <v>0</v>
      </c>
      <c r="K650">
        <f>34-14</f>
        <v>20</v>
      </c>
      <c r="L650" t="s">
        <v>1041</v>
      </c>
      <c r="M650">
        <v>2</v>
      </c>
    </row>
    <row r="651" spans="1:13" x14ac:dyDescent="0.25">
      <c r="A651" s="4">
        <v>42961</v>
      </c>
      <c r="B651" t="s">
        <v>30</v>
      </c>
      <c r="C651">
        <v>9</v>
      </c>
      <c r="D651">
        <v>1</v>
      </c>
      <c r="E651" t="s">
        <v>35</v>
      </c>
      <c r="F651" t="s">
        <v>36</v>
      </c>
      <c r="G651">
        <v>2</v>
      </c>
      <c r="H651">
        <v>39145</v>
      </c>
      <c r="I651">
        <v>39144</v>
      </c>
      <c r="J651">
        <v>1</v>
      </c>
      <c r="K651">
        <f>32.3-13</f>
        <v>19.299999999999997</v>
      </c>
      <c r="L651" t="s">
        <v>1039</v>
      </c>
      <c r="M651">
        <v>2</v>
      </c>
    </row>
    <row r="652" spans="1:13" x14ac:dyDescent="0.25">
      <c r="A652" s="4">
        <v>42962</v>
      </c>
      <c r="B652" t="s">
        <v>30</v>
      </c>
      <c r="C652">
        <v>9</v>
      </c>
      <c r="D652">
        <v>1</v>
      </c>
      <c r="E652" t="s">
        <v>35</v>
      </c>
      <c r="F652" t="s">
        <v>36</v>
      </c>
      <c r="G652">
        <v>2</v>
      </c>
      <c r="H652">
        <v>39145</v>
      </c>
      <c r="I652">
        <v>39144</v>
      </c>
      <c r="J652">
        <v>1</v>
      </c>
      <c r="K652">
        <f>30-13.5</f>
        <v>16.5</v>
      </c>
      <c r="L652" t="s">
        <v>1039</v>
      </c>
      <c r="M652">
        <v>2</v>
      </c>
    </row>
    <row r="653" spans="1:13" x14ac:dyDescent="0.25">
      <c r="A653" s="4">
        <v>42963</v>
      </c>
      <c r="B653" t="s">
        <v>30</v>
      </c>
      <c r="C653">
        <v>9</v>
      </c>
      <c r="D653">
        <v>1</v>
      </c>
      <c r="E653" t="s">
        <v>35</v>
      </c>
      <c r="F653" t="s">
        <v>114</v>
      </c>
      <c r="G653">
        <v>2</v>
      </c>
      <c r="H653">
        <v>39145</v>
      </c>
      <c r="I653">
        <v>39144</v>
      </c>
      <c r="J653">
        <v>1</v>
      </c>
      <c r="K653">
        <f>31-15</f>
        <v>16</v>
      </c>
      <c r="L653" t="s">
        <v>1039</v>
      </c>
      <c r="M653">
        <v>2</v>
      </c>
    </row>
    <row r="654" spans="1:13" x14ac:dyDescent="0.25">
      <c r="A654" s="4">
        <v>42930</v>
      </c>
      <c r="B654" t="s">
        <v>30</v>
      </c>
      <c r="C654">
        <v>1</v>
      </c>
      <c r="D654">
        <v>1</v>
      </c>
      <c r="E654" t="s">
        <v>35</v>
      </c>
      <c r="F654" t="s">
        <v>36</v>
      </c>
      <c r="G654">
        <v>1</v>
      </c>
      <c r="H654">
        <v>39151</v>
      </c>
      <c r="I654">
        <v>39151</v>
      </c>
      <c r="J654">
        <v>0</v>
      </c>
      <c r="K654">
        <f>41-19</f>
        <v>22</v>
      </c>
      <c r="L654" t="s">
        <v>47</v>
      </c>
      <c r="M654">
        <v>2</v>
      </c>
    </row>
    <row r="655" spans="1:13" x14ac:dyDescent="0.25">
      <c r="A655" s="4">
        <v>42935</v>
      </c>
      <c r="B655" t="s">
        <v>30</v>
      </c>
      <c r="C655">
        <v>5</v>
      </c>
      <c r="D655">
        <v>1</v>
      </c>
      <c r="E655" t="s">
        <v>35</v>
      </c>
      <c r="F655" t="s">
        <v>36</v>
      </c>
      <c r="G655">
        <v>2</v>
      </c>
      <c r="H655">
        <v>39158</v>
      </c>
      <c r="I655">
        <v>39157</v>
      </c>
      <c r="J655">
        <v>1</v>
      </c>
      <c r="K655">
        <f>43-16</f>
        <v>27</v>
      </c>
      <c r="L655" t="s">
        <v>81</v>
      </c>
      <c r="M655">
        <v>2</v>
      </c>
    </row>
    <row r="656" spans="1:13" x14ac:dyDescent="0.25">
      <c r="A656" s="4">
        <v>42936</v>
      </c>
      <c r="B656" t="s">
        <v>30</v>
      </c>
      <c r="C656">
        <v>5</v>
      </c>
      <c r="D656">
        <v>1</v>
      </c>
      <c r="E656" t="s">
        <v>35</v>
      </c>
      <c r="F656" t="s">
        <v>36</v>
      </c>
      <c r="H656">
        <v>39158</v>
      </c>
      <c r="I656">
        <v>39157</v>
      </c>
      <c r="J656">
        <v>1</v>
      </c>
      <c r="K656">
        <f>36.5-14</f>
        <v>22.5</v>
      </c>
      <c r="M656">
        <v>2</v>
      </c>
    </row>
    <row r="657" spans="1:13" x14ac:dyDescent="0.25">
      <c r="A657" s="4">
        <v>42937</v>
      </c>
      <c r="B657" t="s">
        <v>30</v>
      </c>
      <c r="C657">
        <v>5</v>
      </c>
      <c r="D657">
        <v>1</v>
      </c>
      <c r="E657" t="s">
        <v>35</v>
      </c>
      <c r="F657" t="s">
        <v>36</v>
      </c>
      <c r="G657">
        <v>2</v>
      </c>
      <c r="H657">
        <v>39158</v>
      </c>
      <c r="I657">
        <v>39157</v>
      </c>
      <c r="J657">
        <v>1</v>
      </c>
      <c r="K657">
        <f>35-15</f>
        <v>20</v>
      </c>
      <c r="L657" t="s">
        <v>1039</v>
      </c>
      <c r="M657">
        <v>2</v>
      </c>
    </row>
    <row r="658" spans="1:13" x14ac:dyDescent="0.25">
      <c r="A658" s="4">
        <v>42929</v>
      </c>
      <c r="B658" t="s">
        <v>30</v>
      </c>
      <c r="C658">
        <v>3</v>
      </c>
      <c r="D658">
        <v>1</v>
      </c>
      <c r="E658" t="s">
        <v>35</v>
      </c>
      <c r="F658" t="s">
        <v>114</v>
      </c>
      <c r="G658">
        <v>1</v>
      </c>
      <c r="H658">
        <v>39191</v>
      </c>
      <c r="I658">
        <v>39190</v>
      </c>
      <c r="J658">
        <v>0</v>
      </c>
      <c r="K658">
        <f>31-14</f>
        <v>17</v>
      </c>
      <c r="L658" t="s">
        <v>47</v>
      </c>
      <c r="M658">
        <v>2</v>
      </c>
    </row>
    <row r="659" spans="1:13" x14ac:dyDescent="0.25">
      <c r="A659" s="4">
        <v>42935</v>
      </c>
      <c r="B659" t="s">
        <v>30</v>
      </c>
      <c r="C659">
        <v>3</v>
      </c>
      <c r="D659">
        <v>1</v>
      </c>
      <c r="E659" t="s">
        <v>35</v>
      </c>
      <c r="F659" t="s">
        <v>114</v>
      </c>
      <c r="G659">
        <v>1</v>
      </c>
      <c r="H659">
        <v>39191</v>
      </c>
      <c r="I659">
        <v>39190</v>
      </c>
      <c r="J659">
        <v>1</v>
      </c>
      <c r="K659">
        <f>31-14</f>
        <v>17</v>
      </c>
      <c r="L659" t="s">
        <v>47</v>
      </c>
      <c r="M659">
        <v>2</v>
      </c>
    </row>
    <row r="660" spans="1:13" x14ac:dyDescent="0.25">
      <c r="A660" s="4">
        <v>42936</v>
      </c>
      <c r="B660" t="s">
        <v>30</v>
      </c>
      <c r="C660">
        <v>3</v>
      </c>
      <c r="D660">
        <v>1</v>
      </c>
      <c r="E660" t="s">
        <v>35</v>
      </c>
      <c r="F660" t="s">
        <v>114</v>
      </c>
      <c r="G660">
        <v>1</v>
      </c>
      <c r="H660">
        <v>39191</v>
      </c>
      <c r="I660">
        <v>39190</v>
      </c>
      <c r="J660">
        <v>1</v>
      </c>
      <c r="K660">
        <f>33-14.5</f>
        <v>18.5</v>
      </c>
      <c r="L660" t="s">
        <v>47</v>
      </c>
      <c r="M660">
        <v>2</v>
      </c>
    </row>
    <row r="661" spans="1:13" x14ac:dyDescent="0.25">
      <c r="A661" s="4">
        <v>42937</v>
      </c>
      <c r="B661" t="s">
        <v>30</v>
      </c>
      <c r="C661">
        <v>3</v>
      </c>
      <c r="D661">
        <v>1</v>
      </c>
      <c r="E661" t="s">
        <v>35</v>
      </c>
      <c r="F661" t="s">
        <v>114</v>
      </c>
      <c r="G661">
        <v>1</v>
      </c>
      <c r="H661">
        <v>39191</v>
      </c>
      <c r="I661">
        <v>39190</v>
      </c>
      <c r="J661">
        <v>1</v>
      </c>
      <c r="K661">
        <f>32-14</f>
        <v>18</v>
      </c>
      <c r="L661" t="s">
        <v>47</v>
      </c>
      <c r="M661">
        <v>2</v>
      </c>
    </row>
    <row r="662" spans="1:13" x14ac:dyDescent="0.25">
      <c r="A662" s="4">
        <v>42947</v>
      </c>
      <c r="B662" t="s">
        <v>30</v>
      </c>
      <c r="C662">
        <v>3</v>
      </c>
      <c r="D662">
        <v>1</v>
      </c>
      <c r="E662" t="s">
        <v>35</v>
      </c>
      <c r="F662" t="s">
        <v>36</v>
      </c>
      <c r="G662">
        <v>1</v>
      </c>
      <c r="H662">
        <v>39191</v>
      </c>
      <c r="I662">
        <v>39190</v>
      </c>
      <c r="J662">
        <v>1</v>
      </c>
      <c r="K662">
        <f>31.5-14</f>
        <v>17.5</v>
      </c>
      <c r="L662" t="s">
        <v>47</v>
      </c>
      <c r="M662">
        <v>2</v>
      </c>
    </row>
    <row r="663" spans="1:13" x14ac:dyDescent="0.25">
      <c r="A663" s="4">
        <v>42930</v>
      </c>
      <c r="B663" t="s">
        <v>30</v>
      </c>
      <c r="C663">
        <v>1</v>
      </c>
      <c r="D663">
        <v>1</v>
      </c>
      <c r="E663" t="s">
        <v>35</v>
      </c>
      <c r="F663" t="s">
        <v>36</v>
      </c>
      <c r="G663">
        <v>2</v>
      </c>
      <c r="H663">
        <v>39301</v>
      </c>
      <c r="I663">
        <v>39302</v>
      </c>
      <c r="J663">
        <v>0</v>
      </c>
      <c r="K663">
        <f>38-14</f>
        <v>24</v>
      </c>
      <c r="L663" t="s">
        <v>81</v>
      </c>
      <c r="M663">
        <v>2</v>
      </c>
    </row>
    <row r="664" spans="1:13" x14ac:dyDescent="0.25">
      <c r="A664" s="4">
        <v>42931</v>
      </c>
      <c r="B664" t="s">
        <v>30</v>
      </c>
      <c r="C664">
        <v>1</v>
      </c>
      <c r="D664">
        <v>1</v>
      </c>
      <c r="E664" t="s">
        <v>35</v>
      </c>
      <c r="F664" t="s">
        <v>36</v>
      </c>
      <c r="G664">
        <v>2</v>
      </c>
      <c r="H664">
        <v>39301</v>
      </c>
      <c r="I664">
        <v>39302</v>
      </c>
      <c r="J664">
        <v>0</v>
      </c>
      <c r="K664">
        <f>32.5-13.5</f>
        <v>19</v>
      </c>
      <c r="L664" t="s">
        <v>83</v>
      </c>
      <c r="M664">
        <v>2</v>
      </c>
    </row>
    <row r="665" spans="1:13" x14ac:dyDescent="0.25">
      <c r="A665" s="4">
        <v>42932</v>
      </c>
      <c r="B665" t="s">
        <v>30</v>
      </c>
      <c r="C665">
        <v>1</v>
      </c>
      <c r="D665">
        <v>1</v>
      </c>
      <c r="E665" t="s">
        <v>35</v>
      </c>
      <c r="F665" t="s">
        <v>36</v>
      </c>
      <c r="G665">
        <v>2</v>
      </c>
      <c r="H665">
        <v>39301</v>
      </c>
      <c r="I665">
        <v>39302</v>
      </c>
      <c r="J665">
        <v>0</v>
      </c>
      <c r="K665">
        <f>32.5-14</f>
        <v>18.5</v>
      </c>
      <c r="L665" t="s">
        <v>83</v>
      </c>
      <c r="M665">
        <v>2</v>
      </c>
    </row>
    <row r="666" spans="1:13" x14ac:dyDescent="0.25">
      <c r="A666" s="4">
        <v>42941</v>
      </c>
      <c r="B666" t="s">
        <v>30</v>
      </c>
      <c r="C666">
        <v>1</v>
      </c>
      <c r="D666">
        <v>1</v>
      </c>
      <c r="E666" t="s">
        <v>35</v>
      </c>
      <c r="F666" t="s">
        <v>36</v>
      </c>
      <c r="G666">
        <v>2</v>
      </c>
      <c r="H666">
        <v>39301</v>
      </c>
      <c r="I666">
        <v>39302</v>
      </c>
      <c r="J666">
        <v>0</v>
      </c>
      <c r="K666">
        <f>37-15</f>
        <v>22</v>
      </c>
      <c r="L666" t="s">
        <v>1039</v>
      </c>
      <c r="M666">
        <v>2</v>
      </c>
    </row>
    <row r="667" spans="1:13" x14ac:dyDescent="0.25">
      <c r="A667" s="4">
        <v>42943</v>
      </c>
      <c r="B667" t="s">
        <v>30</v>
      </c>
      <c r="C667">
        <v>1</v>
      </c>
      <c r="D667">
        <v>1</v>
      </c>
      <c r="E667" t="s">
        <v>35</v>
      </c>
      <c r="F667" t="s">
        <v>36</v>
      </c>
      <c r="G667">
        <v>2</v>
      </c>
      <c r="H667">
        <v>39301</v>
      </c>
      <c r="I667">
        <v>39302</v>
      </c>
      <c r="J667">
        <v>0</v>
      </c>
      <c r="K667">
        <f>36.5-15.5</f>
        <v>21</v>
      </c>
      <c r="L667" t="s">
        <v>1039</v>
      </c>
      <c r="M667">
        <v>2</v>
      </c>
    </row>
    <row r="668" spans="1:13" x14ac:dyDescent="0.25">
      <c r="A668" s="4">
        <v>42955</v>
      </c>
      <c r="B668" t="s">
        <v>30</v>
      </c>
      <c r="C668">
        <v>1</v>
      </c>
      <c r="D668">
        <v>1</v>
      </c>
      <c r="E668" t="s">
        <v>35</v>
      </c>
      <c r="F668" t="s">
        <v>36</v>
      </c>
      <c r="G668">
        <v>2</v>
      </c>
      <c r="H668">
        <v>39301</v>
      </c>
      <c r="I668">
        <v>39302</v>
      </c>
      <c r="J668">
        <v>0</v>
      </c>
      <c r="K668">
        <f>36-14.5</f>
        <v>21.5</v>
      </c>
      <c r="L668" t="s">
        <v>1039</v>
      </c>
      <c r="M668">
        <v>2</v>
      </c>
    </row>
    <row r="669" spans="1:13" x14ac:dyDescent="0.25">
      <c r="A669" s="4">
        <v>42957</v>
      </c>
      <c r="B669" t="s">
        <v>30</v>
      </c>
      <c r="C669">
        <v>1</v>
      </c>
      <c r="D669">
        <v>1</v>
      </c>
      <c r="E669" t="s">
        <v>35</v>
      </c>
      <c r="F669" t="s">
        <v>36</v>
      </c>
      <c r="G669">
        <v>2</v>
      </c>
      <c r="H669">
        <v>39301</v>
      </c>
      <c r="I669">
        <v>39302</v>
      </c>
      <c r="J669">
        <v>0</v>
      </c>
      <c r="K669">
        <f>33-14</f>
        <v>19</v>
      </c>
      <c r="L669" t="s">
        <v>38</v>
      </c>
      <c r="M669">
        <v>2</v>
      </c>
    </row>
    <row r="670" spans="1:13" x14ac:dyDescent="0.25">
      <c r="A670" s="4">
        <v>42930</v>
      </c>
      <c r="B670" t="s">
        <v>30</v>
      </c>
      <c r="C670">
        <v>1</v>
      </c>
      <c r="D670">
        <v>1</v>
      </c>
      <c r="E670" t="s">
        <v>35</v>
      </c>
      <c r="F670" t="s">
        <v>36</v>
      </c>
      <c r="G670">
        <v>2</v>
      </c>
      <c r="H670">
        <v>39303</v>
      </c>
      <c r="I670">
        <v>39304</v>
      </c>
      <c r="J670">
        <v>0</v>
      </c>
      <c r="K670">
        <f>31-13.5</f>
        <v>17.5</v>
      </c>
      <c r="L670" t="s">
        <v>83</v>
      </c>
      <c r="M670">
        <v>2</v>
      </c>
    </row>
    <row r="671" spans="1:13" x14ac:dyDescent="0.25">
      <c r="A671" s="4">
        <v>42930</v>
      </c>
      <c r="B671" t="s">
        <v>30</v>
      </c>
      <c r="C671">
        <v>1</v>
      </c>
      <c r="D671">
        <v>1</v>
      </c>
      <c r="E671" t="s">
        <v>35</v>
      </c>
      <c r="F671" t="s">
        <v>36</v>
      </c>
      <c r="G671">
        <v>1</v>
      </c>
      <c r="H671">
        <v>39307</v>
      </c>
      <c r="I671">
        <v>39308</v>
      </c>
      <c r="J671">
        <v>0</v>
      </c>
      <c r="K671">
        <f>36-13</f>
        <v>23</v>
      </c>
      <c r="L671" t="s">
        <v>47</v>
      </c>
      <c r="M671">
        <v>2</v>
      </c>
    </row>
    <row r="672" spans="1:13" x14ac:dyDescent="0.25">
      <c r="A672" s="4">
        <v>42931</v>
      </c>
      <c r="B672" t="s">
        <v>30</v>
      </c>
      <c r="C672">
        <v>1</v>
      </c>
      <c r="D672">
        <v>1</v>
      </c>
      <c r="E672" t="s">
        <v>35</v>
      </c>
      <c r="F672" t="s">
        <v>36</v>
      </c>
      <c r="G672">
        <v>1</v>
      </c>
      <c r="H672">
        <v>39307</v>
      </c>
      <c r="I672">
        <v>39308</v>
      </c>
      <c r="J672">
        <v>0</v>
      </c>
      <c r="K672">
        <f>36-13</f>
        <v>23</v>
      </c>
      <c r="L672" t="s">
        <v>47</v>
      </c>
      <c r="M672">
        <v>2</v>
      </c>
    </row>
    <row r="673" spans="1:13" x14ac:dyDescent="0.25">
      <c r="A673" s="4">
        <v>42932</v>
      </c>
      <c r="B673" t="s">
        <v>30</v>
      </c>
      <c r="C673">
        <v>1</v>
      </c>
      <c r="D673">
        <v>1</v>
      </c>
      <c r="E673" t="s">
        <v>35</v>
      </c>
      <c r="F673" t="s">
        <v>36</v>
      </c>
      <c r="G673">
        <v>1</v>
      </c>
      <c r="H673">
        <v>39307</v>
      </c>
      <c r="I673">
        <v>39308</v>
      </c>
      <c r="J673">
        <v>0</v>
      </c>
      <c r="K673">
        <f>35-13.5</f>
        <v>21.5</v>
      </c>
      <c r="L673" t="s">
        <v>47</v>
      </c>
      <c r="M673">
        <v>2</v>
      </c>
    </row>
    <row r="674" spans="1:13" x14ac:dyDescent="0.25">
      <c r="A674" s="4">
        <v>42941</v>
      </c>
      <c r="B674" t="s">
        <v>30</v>
      </c>
      <c r="C674">
        <v>1</v>
      </c>
      <c r="D674">
        <v>1</v>
      </c>
      <c r="E674" t="s">
        <v>35</v>
      </c>
      <c r="F674" t="s">
        <v>36</v>
      </c>
      <c r="G674">
        <v>1</v>
      </c>
      <c r="H674">
        <v>39307</v>
      </c>
      <c r="I674">
        <v>39308</v>
      </c>
      <c r="J674">
        <v>0</v>
      </c>
      <c r="K674">
        <f>36-13.5</f>
        <v>22.5</v>
      </c>
      <c r="L674" t="s">
        <v>47</v>
      </c>
      <c r="M674">
        <v>2</v>
      </c>
    </row>
    <row r="675" spans="1:13" x14ac:dyDescent="0.25">
      <c r="A675" s="4">
        <v>42942</v>
      </c>
      <c r="B675" t="s">
        <v>30</v>
      </c>
      <c r="C675">
        <v>1</v>
      </c>
      <c r="D675">
        <v>1</v>
      </c>
      <c r="E675" t="s">
        <v>35</v>
      </c>
      <c r="F675" t="s">
        <v>36</v>
      </c>
      <c r="G675">
        <v>1</v>
      </c>
      <c r="H675">
        <v>39307</v>
      </c>
      <c r="I675">
        <v>39308</v>
      </c>
      <c r="J675">
        <v>0</v>
      </c>
      <c r="K675">
        <f>36-13</f>
        <v>23</v>
      </c>
      <c r="L675" t="s">
        <v>47</v>
      </c>
      <c r="M675">
        <v>2</v>
      </c>
    </row>
    <row r="676" spans="1:13" x14ac:dyDescent="0.25">
      <c r="A676" s="4">
        <v>42943</v>
      </c>
      <c r="B676" t="s">
        <v>30</v>
      </c>
      <c r="C676">
        <v>1</v>
      </c>
      <c r="D676">
        <v>1</v>
      </c>
      <c r="E676" t="s">
        <v>35</v>
      </c>
      <c r="F676" t="s">
        <v>36</v>
      </c>
      <c r="G676">
        <v>1</v>
      </c>
      <c r="H676">
        <v>39307</v>
      </c>
      <c r="I676">
        <v>39308</v>
      </c>
      <c r="J676">
        <v>0</v>
      </c>
      <c r="K676">
        <f>35-13</f>
        <v>22</v>
      </c>
      <c r="L676" t="s">
        <v>47</v>
      </c>
      <c r="M676">
        <v>2</v>
      </c>
    </row>
    <row r="677" spans="1:13" x14ac:dyDescent="0.25">
      <c r="A677" s="4">
        <v>42930</v>
      </c>
      <c r="B677" t="s">
        <v>30</v>
      </c>
      <c r="C677">
        <v>1</v>
      </c>
      <c r="D677">
        <v>1</v>
      </c>
      <c r="E677" t="s">
        <v>35</v>
      </c>
      <c r="F677" t="s">
        <v>36</v>
      </c>
      <c r="G677">
        <v>2</v>
      </c>
      <c r="H677">
        <v>39309</v>
      </c>
      <c r="I677">
        <v>39310</v>
      </c>
      <c r="J677">
        <v>0</v>
      </c>
      <c r="K677">
        <f>33-13.5</f>
        <v>19.5</v>
      </c>
      <c r="L677" t="s">
        <v>1040</v>
      </c>
      <c r="M677">
        <v>2</v>
      </c>
    </row>
    <row r="678" spans="1:13" x14ac:dyDescent="0.25">
      <c r="A678" s="4">
        <v>42932</v>
      </c>
      <c r="B678" t="s">
        <v>30</v>
      </c>
      <c r="C678">
        <v>1</v>
      </c>
      <c r="D678">
        <v>1</v>
      </c>
      <c r="E678" t="s">
        <v>35</v>
      </c>
      <c r="F678" t="s">
        <v>36</v>
      </c>
      <c r="G678">
        <v>2</v>
      </c>
      <c r="H678">
        <v>39309</v>
      </c>
      <c r="I678">
        <v>39310</v>
      </c>
      <c r="J678">
        <v>0</v>
      </c>
      <c r="K678">
        <f>30.5-13</f>
        <v>17.5</v>
      </c>
      <c r="L678" t="s">
        <v>1043</v>
      </c>
      <c r="M678">
        <v>2</v>
      </c>
    </row>
    <row r="679" spans="1:13" x14ac:dyDescent="0.25">
      <c r="A679" s="4">
        <v>42941</v>
      </c>
      <c r="B679" t="s">
        <v>30</v>
      </c>
      <c r="C679">
        <v>1</v>
      </c>
      <c r="D679">
        <v>1</v>
      </c>
      <c r="E679" t="s">
        <v>35</v>
      </c>
      <c r="F679" t="s">
        <v>36</v>
      </c>
      <c r="G679">
        <v>2</v>
      </c>
      <c r="H679">
        <v>39309</v>
      </c>
      <c r="I679">
        <v>39310</v>
      </c>
      <c r="J679">
        <v>1</v>
      </c>
      <c r="K679">
        <f>31-13.5</f>
        <v>17.5</v>
      </c>
      <c r="L679" t="s">
        <v>1039</v>
      </c>
      <c r="M679">
        <v>2</v>
      </c>
    </row>
    <row r="680" spans="1:13" x14ac:dyDescent="0.25">
      <c r="A680" s="4">
        <v>42942</v>
      </c>
      <c r="B680" t="s">
        <v>30</v>
      </c>
      <c r="C680">
        <v>1</v>
      </c>
      <c r="D680">
        <v>1</v>
      </c>
      <c r="E680" t="s">
        <v>35</v>
      </c>
      <c r="F680" t="s">
        <v>36</v>
      </c>
      <c r="G680">
        <v>2</v>
      </c>
      <c r="H680">
        <v>39309</v>
      </c>
      <c r="I680">
        <v>39310</v>
      </c>
      <c r="J680">
        <v>1</v>
      </c>
      <c r="K680">
        <f>32-14</f>
        <v>18</v>
      </c>
      <c r="L680" t="s">
        <v>1039</v>
      </c>
      <c r="M680">
        <v>2</v>
      </c>
    </row>
    <row r="681" spans="1:13" x14ac:dyDescent="0.25">
      <c r="A681" s="4">
        <v>42943</v>
      </c>
      <c r="B681" t="s">
        <v>30</v>
      </c>
      <c r="C681">
        <v>1</v>
      </c>
      <c r="D681">
        <v>1</v>
      </c>
      <c r="E681" t="s">
        <v>35</v>
      </c>
      <c r="F681" t="s">
        <v>36</v>
      </c>
      <c r="G681">
        <v>2</v>
      </c>
      <c r="H681">
        <v>39309</v>
      </c>
      <c r="I681">
        <v>39310</v>
      </c>
      <c r="J681">
        <v>1</v>
      </c>
      <c r="K681">
        <f>34-13.5</f>
        <v>20.5</v>
      </c>
      <c r="L681" t="s">
        <v>1039</v>
      </c>
      <c r="M681">
        <v>2</v>
      </c>
    </row>
    <row r="682" spans="1:13" x14ac:dyDescent="0.25">
      <c r="A682" s="4">
        <v>42955</v>
      </c>
      <c r="B682" t="s">
        <v>30</v>
      </c>
      <c r="C682">
        <v>1</v>
      </c>
      <c r="D682">
        <v>1</v>
      </c>
      <c r="E682" t="s">
        <v>35</v>
      </c>
      <c r="F682" t="s">
        <v>36</v>
      </c>
      <c r="G682">
        <v>2</v>
      </c>
      <c r="H682">
        <v>39309</v>
      </c>
      <c r="I682">
        <v>39310</v>
      </c>
      <c r="J682">
        <v>0</v>
      </c>
      <c r="K682">
        <f>33.5-13</f>
        <v>20.5</v>
      </c>
      <c r="L682" t="s">
        <v>38</v>
      </c>
      <c r="M682">
        <v>2</v>
      </c>
    </row>
    <row r="683" spans="1:13" x14ac:dyDescent="0.25">
      <c r="A683" s="4">
        <v>42956</v>
      </c>
      <c r="B683" t="s">
        <v>30</v>
      </c>
      <c r="C683">
        <v>1</v>
      </c>
      <c r="D683">
        <v>1</v>
      </c>
      <c r="E683" t="s">
        <v>35</v>
      </c>
      <c r="F683" t="s">
        <v>36</v>
      </c>
      <c r="G683">
        <v>2</v>
      </c>
      <c r="H683">
        <v>39309</v>
      </c>
      <c r="I683">
        <v>39310</v>
      </c>
      <c r="J683">
        <v>0</v>
      </c>
      <c r="K683">
        <f>34-14</f>
        <v>20</v>
      </c>
      <c r="L683" t="s">
        <v>1039</v>
      </c>
      <c r="M683">
        <v>2</v>
      </c>
    </row>
    <row r="684" spans="1:13" x14ac:dyDescent="0.25">
      <c r="A684" s="4">
        <v>42957</v>
      </c>
      <c r="B684" t="s">
        <v>30</v>
      </c>
      <c r="C684">
        <v>1</v>
      </c>
      <c r="D684">
        <v>1</v>
      </c>
      <c r="E684" t="s">
        <v>35</v>
      </c>
      <c r="F684" t="s">
        <v>36</v>
      </c>
      <c r="G684">
        <v>2</v>
      </c>
      <c r="H684">
        <v>39309</v>
      </c>
      <c r="I684">
        <v>39310</v>
      </c>
      <c r="J684">
        <v>0</v>
      </c>
      <c r="K684">
        <f>33-14</f>
        <v>19</v>
      </c>
      <c r="L684" t="s">
        <v>38</v>
      </c>
      <c r="M684">
        <v>2</v>
      </c>
    </row>
    <row r="685" spans="1:13" x14ac:dyDescent="0.25">
      <c r="A685" s="4">
        <v>42929</v>
      </c>
      <c r="B685" t="s">
        <v>30</v>
      </c>
      <c r="C685">
        <v>5</v>
      </c>
      <c r="D685">
        <v>1</v>
      </c>
      <c r="E685" t="s">
        <v>35</v>
      </c>
      <c r="F685" t="s">
        <v>36</v>
      </c>
      <c r="G685">
        <v>1</v>
      </c>
      <c r="H685">
        <v>39312</v>
      </c>
      <c r="I685">
        <v>39313</v>
      </c>
      <c r="J685">
        <v>0</v>
      </c>
      <c r="K685">
        <f>33-14</f>
        <v>19</v>
      </c>
      <c r="L685" t="s">
        <v>47</v>
      </c>
      <c r="M685">
        <v>2</v>
      </c>
    </row>
    <row r="686" spans="1:13" x14ac:dyDescent="0.25">
      <c r="A686" s="4">
        <v>42929</v>
      </c>
      <c r="B686" t="s">
        <v>30</v>
      </c>
      <c r="C686">
        <v>5</v>
      </c>
      <c r="D686">
        <v>1</v>
      </c>
      <c r="E686" t="s">
        <v>35</v>
      </c>
      <c r="F686" t="s">
        <v>114</v>
      </c>
      <c r="G686">
        <v>2</v>
      </c>
      <c r="H686">
        <v>39314</v>
      </c>
      <c r="I686">
        <v>39315</v>
      </c>
      <c r="J686">
        <v>0</v>
      </c>
      <c r="K686">
        <f>33-14</f>
        <v>19</v>
      </c>
      <c r="L686" t="s">
        <v>38</v>
      </c>
      <c r="M686">
        <v>2</v>
      </c>
    </row>
    <row r="687" spans="1:13" x14ac:dyDescent="0.25">
      <c r="A687" s="4">
        <v>42935</v>
      </c>
      <c r="B687" t="s">
        <v>30</v>
      </c>
      <c r="C687">
        <v>5</v>
      </c>
      <c r="D687">
        <v>1</v>
      </c>
      <c r="E687" t="s">
        <v>35</v>
      </c>
      <c r="F687" t="s">
        <v>114</v>
      </c>
      <c r="G687">
        <v>2</v>
      </c>
      <c r="H687">
        <v>39314</v>
      </c>
      <c r="I687">
        <v>39315</v>
      </c>
      <c r="J687">
        <v>1</v>
      </c>
      <c r="K687">
        <f>33-14</f>
        <v>19</v>
      </c>
      <c r="L687" t="s">
        <v>83</v>
      </c>
      <c r="M687">
        <v>2</v>
      </c>
    </row>
    <row r="688" spans="1:13" x14ac:dyDescent="0.25">
      <c r="A688" s="4">
        <v>42936</v>
      </c>
      <c r="B688" t="s">
        <v>30</v>
      </c>
      <c r="C688">
        <v>5</v>
      </c>
      <c r="D688">
        <v>1</v>
      </c>
      <c r="E688" t="s">
        <v>35</v>
      </c>
      <c r="F688" t="s">
        <v>114</v>
      </c>
      <c r="G688">
        <v>2</v>
      </c>
      <c r="H688">
        <v>39314</v>
      </c>
      <c r="I688">
        <v>39315</v>
      </c>
      <c r="J688">
        <v>1</v>
      </c>
      <c r="K688">
        <f>33-14</f>
        <v>19</v>
      </c>
      <c r="L688" t="s">
        <v>83</v>
      </c>
      <c r="M688">
        <v>2</v>
      </c>
    </row>
    <row r="689" spans="1:13" x14ac:dyDescent="0.25">
      <c r="A689" s="4">
        <v>42937</v>
      </c>
      <c r="B689" t="s">
        <v>30</v>
      </c>
      <c r="C689">
        <v>5</v>
      </c>
      <c r="D689">
        <v>1</v>
      </c>
      <c r="E689" t="s">
        <v>35</v>
      </c>
      <c r="F689" t="s">
        <v>114</v>
      </c>
      <c r="G689">
        <v>2</v>
      </c>
      <c r="H689">
        <v>39314</v>
      </c>
      <c r="I689">
        <v>39315</v>
      </c>
      <c r="J689">
        <v>1</v>
      </c>
      <c r="K689">
        <f>35-14</f>
        <v>21</v>
      </c>
      <c r="L689" t="s">
        <v>83</v>
      </c>
      <c r="M689">
        <v>2</v>
      </c>
    </row>
    <row r="690" spans="1:13" x14ac:dyDescent="0.25">
      <c r="A690" s="4">
        <v>42947</v>
      </c>
      <c r="B690" t="s">
        <v>30</v>
      </c>
      <c r="C690">
        <v>5</v>
      </c>
      <c r="D690">
        <v>1</v>
      </c>
      <c r="E690" t="s">
        <v>35</v>
      </c>
      <c r="F690" t="s">
        <v>36</v>
      </c>
      <c r="G690">
        <v>2</v>
      </c>
      <c r="H690">
        <v>39314</v>
      </c>
      <c r="I690">
        <v>39315</v>
      </c>
      <c r="J690">
        <v>1</v>
      </c>
      <c r="K690">
        <f>36-15</f>
        <v>21</v>
      </c>
      <c r="L690" t="s">
        <v>1039</v>
      </c>
      <c r="M690">
        <v>2</v>
      </c>
    </row>
    <row r="691" spans="1:13" x14ac:dyDescent="0.25">
      <c r="A691" s="4">
        <v>42948</v>
      </c>
      <c r="B691" t="s">
        <v>30</v>
      </c>
      <c r="C691">
        <v>5</v>
      </c>
      <c r="D691">
        <v>1</v>
      </c>
      <c r="E691" t="s">
        <v>35</v>
      </c>
      <c r="F691" t="s">
        <v>36</v>
      </c>
      <c r="G691">
        <v>2</v>
      </c>
      <c r="H691">
        <v>39314</v>
      </c>
      <c r="I691">
        <v>39315</v>
      </c>
      <c r="J691">
        <v>1</v>
      </c>
      <c r="K691">
        <f>34.5-14</f>
        <v>20.5</v>
      </c>
      <c r="L691" t="s">
        <v>1040</v>
      </c>
      <c r="M691">
        <v>2</v>
      </c>
    </row>
    <row r="692" spans="1:13" x14ac:dyDescent="0.25">
      <c r="A692" s="4">
        <v>42949</v>
      </c>
      <c r="B692" t="s">
        <v>30</v>
      </c>
      <c r="C692">
        <v>5</v>
      </c>
      <c r="D692">
        <v>1</v>
      </c>
      <c r="E692" t="s">
        <v>35</v>
      </c>
      <c r="F692" t="s">
        <v>36</v>
      </c>
      <c r="G692">
        <v>2</v>
      </c>
      <c r="H692">
        <v>39314</v>
      </c>
      <c r="I692">
        <v>39315</v>
      </c>
      <c r="J692">
        <v>1</v>
      </c>
      <c r="K692">
        <f>34.5-14.5</f>
        <v>20</v>
      </c>
      <c r="L692" t="s">
        <v>38</v>
      </c>
      <c r="M692">
        <v>2</v>
      </c>
    </row>
    <row r="693" spans="1:13" x14ac:dyDescent="0.25">
      <c r="A693" s="4">
        <v>42961</v>
      </c>
      <c r="B693" t="s">
        <v>30</v>
      </c>
      <c r="C693">
        <v>5</v>
      </c>
      <c r="D693">
        <v>1</v>
      </c>
      <c r="E693" t="s">
        <v>35</v>
      </c>
      <c r="F693" t="s">
        <v>36</v>
      </c>
      <c r="G693">
        <v>2</v>
      </c>
      <c r="H693">
        <v>39314</v>
      </c>
      <c r="I693">
        <v>39315</v>
      </c>
      <c r="J693">
        <v>0</v>
      </c>
      <c r="K693">
        <f>34-14</f>
        <v>20</v>
      </c>
      <c r="L693" t="s">
        <v>1039</v>
      </c>
      <c r="M693">
        <v>2</v>
      </c>
    </row>
    <row r="694" spans="1:13" x14ac:dyDescent="0.25">
      <c r="A694" s="4">
        <v>42962</v>
      </c>
      <c r="B694" t="s">
        <v>30</v>
      </c>
      <c r="C694">
        <v>5</v>
      </c>
      <c r="D694">
        <v>1</v>
      </c>
      <c r="E694" t="s">
        <v>35</v>
      </c>
      <c r="F694" t="s">
        <v>36</v>
      </c>
      <c r="G694">
        <v>2</v>
      </c>
      <c r="H694">
        <v>39314</v>
      </c>
      <c r="I694">
        <v>39315</v>
      </c>
      <c r="J694">
        <v>0</v>
      </c>
      <c r="K694">
        <f>33-13</f>
        <v>20</v>
      </c>
      <c r="L694" t="s">
        <v>1039</v>
      </c>
      <c r="M694">
        <v>2</v>
      </c>
    </row>
    <row r="695" spans="1:13" x14ac:dyDescent="0.25">
      <c r="A695" s="4">
        <v>42963</v>
      </c>
      <c r="B695" t="s">
        <v>30</v>
      </c>
      <c r="C695">
        <v>5</v>
      </c>
      <c r="D695">
        <v>1</v>
      </c>
      <c r="E695" t="s">
        <v>35</v>
      </c>
      <c r="F695" t="s">
        <v>36</v>
      </c>
      <c r="G695">
        <v>2</v>
      </c>
      <c r="H695">
        <v>39314</v>
      </c>
      <c r="I695">
        <v>39315</v>
      </c>
      <c r="J695">
        <v>0</v>
      </c>
      <c r="K695">
        <f>32-14</f>
        <v>18</v>
      </c>
      <c r="L695" t="s">
        <v>38</v>
      </c>
      <c r="M695">
        <v>2</v>
      </c>
    </row>
    <row r="696" spans="1:13" x14ac:dyDescent="0.25">
      <c r="A696" s="4">
        <v>42929</v>
      </c>
      <c r="B696" t="s">
        <v>30</v>
      </c>
      <c r="C696">
        <v>3</v>
      </c>
      <c r="D696">
        <v>1</v>
      </c>
      <c r="E696" t="s">
        <v>35</v>
      </c>
      <c r="F696" t="s">
        <v>114</v>
      </c>
      <c r="G696">
        <v>1</v>
      </c>
      <c r="H696">
        <v>39318</v>
      </c>
      <c r="I696">
        <v>39319</v>
      </c>
      <c r="J696">
        <v>0</v>
      </c>
      <c r="K696">
        <f>30-14</f>
        <v>16</v>
      </c>
      <c r="L696" t="s">
        <v>47</v>
      </c>
      <c r="M696">
        <v>2</v>
      </c>
    </row>
    <row r="697" spans="1:13" x14ac:dyDescent="0.25">
      <c r="A697" s="4">
        <v>42935</v>
      </c>
      <c r="B697" t="s">
        <v>30</v>
      </c>
      <c r="C697">
        <v>3</v>
      </c>
      <c r="D697">
        <v>1</v>
      </c>
      <c r="E697" t="s">
        <v>35</v>
      </c>
      <c r="F697" t="s">
        <v>114</v>
      </c>
      <c r="G697">
        <v>1</v>
      </c>
      <c r="H697">
        <v>39318</v>
      </c>
      <c r="I697">
        <v>39319</v>
      </c>
      <c r="J697">
        <v>1</v>
      </c>
      <c r="K697">
        <f>30.5-14.5</f>
        <v>16</v>
      </c>
      <c r="L697" t="s">
        <v>47</v>
      </c>
      <c r="M697">
        <v>2</v>
      </c>
    </row>
    <row r="698" spans="1:13" x14ac:dyDescent="0.25">
      <c r="A698" s="4">
        <v>42937</v>
      </c>
      <c r="B698" t="s">
        <v>30</v>
      </c>
      <c r="C698">
        <v>3</v>
      </c>
      <c r="D698">
        <v>1</v>
      </c>
      <c r="E698" t="s">
        <v>35</v>
      </c>
      <c r="F698" t="s">
        <v>114</v>
      </c>
      <c r="G698">
        <v>1</v>
      </c>
      <c r="H698">
        <v>39318</v>
      </c>
      <c r="I698">
        <v>39319</v>
      </c>
      <c r="J698">
        <v>1</v>
      </c>
      <c r="K698">
        <f>29-14</f>
        <v>15</v>
      </c>
      <c r="L698" t="s">
        <v>47</v>
      </c>
      <c r="M698">
        <v>2</v>
      </c>
    </row>
    <row r="699" spans="1:13" x14ac:dyDescent="0.25">
      <c r="A699" s="4">
        <v>42937</v>
      </c>
      <c r="B699" t="s">
        <v>30</v>
      </c>
      <c r="C699">
        <v>3</v>
      </c>
      <c r="D699">
        <v>1</v>
      </c>
      <c r="E699" t="s">
        <v>35</v>
      </c>
      <c r="F699" t="s">
        <v>36</v>
      </c>
      <c r="G699">
        <v>2</v>
      </c>
      <c r="H699">
        <v>39323</v>
      </c>
      <c r="I699">
        <v>39324</v>
      </c>
      <c r="J699">
        <v>1</v>
      </c>
      <c r="K699">
        <f>43-14</f>
        <v>29</v>
      </c>
      <c r="L699" t="s">
        <v>1041</v>
      </c>
      <c r="M699">
        <v>2</v>
      </c>
    </row>
    <row r="700" spans="1:13" x14ac:dyDescent="0.25">
      <c r="A700" s="4">
        <v>42930</v>
      </c>
      <c r="B700" t="s">
        <v>30</v>
      </c>
      <c r="C700">
        <v>2</v>
      </c>
      <c r="D700">
        <v>1</v>
      </c>
      <c r="E700" t="s">
        <v>42</v>
      </c>
      <c r="F700" t="s">
        <v>114</v>
      </c>
      <c r="G700">
        <v>2</v>
      </c>
      <c r="H700">
        <v>39326</v>
      </c>
      <c r="I700">
        <v>39327</v>
      </c>
      <c r="J700">
        <v>0</v>
      </c>
      <c r="K700">
        <f>30-13</f>
        <v>17</v>
      </c>
      <c r="L700" t="s">
        <v>81</v>
      </c>
      <c r="M700">
        <v>2</v>
      </c>
    </row>
    <row r="701" spans="1:13" x14ac:dyDescent="0.25">
      <c r="A701" s="4">
        <v>42931</v>
      </c>
      <c r="B701" t="s">
        <v>30</v>
      </c>
      <c r="C701">
        <v>2</v>
      </c>
      <c r="D701">
        <v>1</v>
      </c>
      <c r="E701" t="s">
        <v>35</v>
      </c>
      <c r="F701" t="s">
        <v>114</v>
      </c>
      <c r="G701">
        <v>2</v>
      </c>
      <c r="H701">
        <v>39326</v>
      </c>
      <c r="I701">
        <v>39327</v>
      </c>
      <c r="J701">
        <v>0</v>
      </c>
      <c r="K701">
        <f>33-14</f>
        <v>19</v>
      </c>
      <c r="L701" t="s">
        <v>38</v>
      </c>
      <c r="M701">
        <v>2</v>
      </c>
    </row>
    <row r="702" spans="1:13" x14ac:dyDescent="0.25">
      <c r="A702" s="4">
        <v>42941</v>
      </c>
      <c r="B702" t="s">
        <v>30</v>
      </c>
      <c r="C702">
        <v>2</v>
      </c>
      <c r="D702">
        <v>1</v>
      </c>
      <c r="E702" t="s">
        <v>35</v>
      </c>
      <c r="F702" t="s">
        <v>36</v>
      </c>
      <c r="G702">
        <v>2</v>
      </c>
      <c r="H702">
        <v>39326</v>
      </c>
      <c r="I702">
        <v>39327</v>
      </c>
      <c r="J702">
        <v>0</v>
      </c>
      <c r="K702">
        <f>32-14</f>
        <v>18</v>
      </c>
      <c r="L702" t="s">
        <v>1039</v>
      </c>
      <c r="M702">
        <v>2</v>
      </c>
    </row>
    <row r="703" spans="1:13" x14ac:dyDescent="0.25">
      <c r="A703" s="4">
        <v>42930</v>
      </c>
      <c r="B703" t="s">
        <v>30</v>
      </c>
      <c r="C703">
        <v>2</v>
      </c>
      <c r="D703">
        <v>1</v>
      </c>
      <c r="E703" t="s">
        <v>42</v>
      </c>
      <c r="F703" t="s">
        <v>89</v>
      </c>
      <c r="G703">
        <v>2</v>
      </c>
      <c r="H703">
        <v>39329</v>
      </c>
      <c r="I703" t="s">
        <v>1042</v>
      </c>
      <c r="J703">
        <v>0</v>
      </c>
      <c r="K703">
        <f>32-16</f>
        <v>16</v>
      </c>
      <c r="L703" t="s">
        <v>38</v>
      </c>
      <c r="M703">
        <v>2</v>
      </c>
    </row>
    <row r="704" spans="1:13" x14ac:dyDescent="0.25">
      <c r="A704" s="4">
        <v>42931</v>
      </c>
      <c r="B704" t="s">
        <v>30</v>
      </c>
      <c r="C704">
        <v>2</v>
      </c>
      <c r="D704">
        <v>1</v>
      </c>
      <c r="E704" t="s">
        <v>35</v>
      </c>
      <c r="F704" t="s">
        <v>89</v>
      </c>
      <c r="G704">
        <v>2</v>
      </c>
      <c r="H704">
        <v>39329</v>
      </c>
      <c r="I704">
        <v>39339</v>
      </c>
      <c r="J704">
        <v>0</v>
      </c>
      <c r="K704">
        <f>30-14</f>
        <v>16</v>
      </c>
      <c r="L704" t="s">
        <v>38</v>
      </c>
      <c r="M704">
        <v>2</v>
      </c>
    </row>
    <row r="705" spans="1:13" x14ac:dyDescent="0.25">
      <c r="A705" s="4">
        <v>42931</v>
      </c>
      <c r="B705" t="s">
        <v>30</v>
      </c>
      <c r="C705">
        <v>3</v>
      </c>
      <c r="D705">
        <v>1</v>
      </c>
      <c r="E705" t="s">
        <v>42</v>
      </c>
      <c r="F705" t="s">
        <v>36</v>
      </c>
      <c r="G705">
        <v>1</v>
      </c>
      <c r="H705">
        <v>39331</v>
      </c>
      <c r="I705">
        <v>39332</v>
      </c>
      <c r="J705">
        <v>0</v>
      </c>
      <c r="K705">
        <f>34-13</f>
        <v>21</v>
      </c>
      <c r="L705" t="s">
        <v>47</v>
      </c>
      <c r="M705">
        <v>2</v>
      </c>
    </row>
    <row r="706" spans="1:13" x14ac:dyDescent="0.25">
      <c r="A706" s="4">
        <v>42931</v>
      </c>
      <c r="B706" t="s">
        <v>30</v>
      </c>
      <c r="C706">
        <v>3</v>
      </c>
      <c r="D706">
        <v>1</v>
      </c>
      <c r="E706" t="s">
        <v>42</v>
      </c>
      <c r="F706" t="s">
        <v>114</v>
      </c>
      <c r="G706">
        <v>2</v>
      </c>
      <c r="H706">
        <v>39333</v>
      </c>
      <c r="I706">
        <v>39334</v>
      </c>
      <c r="J706">
        <v>0</v>
      </c>
      <c r="K706">
        <f>33-13</f>
        <v>20</v>
      </c>
      <c r="L706" t="s">
        <v>38</v>
      </c>
      <c r="M706">
        <v>2</v>
      </c>
    </row>
    <row r="707" spans="1:13" x14ac:dyDescent="0.25">
      <c r="A707" s="4">
        <v>42931</v>
      </c>
      <c r="B707" t="s">
        <v>30</v>
      </c>
      <c r="C707">
        <v>3</v>
      </c>
      <c r="D707">
        <v>1</v>
      </c>
      <c r="E707" t="s">
        <v>42</v>
      </c>
      <c r="F707" t="s">
        <v>114</v>
      </c>
      <c r="G707">
        <v>2</v>
      </c>
      <c r="H707">
        <v>39335</v>
      </c>
      <c r="I707">
        <v>39336</v>
      </c>
      <c r="J707">
        <v>0</v>
      </c>
      <c r="K707">
        <f>33-15</f>
        <v>18</v>
      </c>
      <c r="L707" t="s">
        <v>38</v>
      </c>
      <c r="M707">
        <v>2</v>
      </c>
    </row>
    <row r="708" spans="1:13" x14ac:dyDescent="0.25">
      <c r="A708" s="4">
        <v>42931</v>
      </c>
      <c r="B708" t="s">
        <v>30</v>
      </c>
      <c r="C708">
        <v>2</v>
      </c>
      <c r="D708">
        <v>1</v>
      </c>
      <c r="E708" t="s">
        <v>42</v>
      </c>
      <c r="F708" t="s">
        <v>36</v>
      </c>
      <c r="G708">
        <v>2</v>
      </c>
      <c r="H708">
        <v>39337</v>
      </c>
      <c r="I708">
        <v>39338</v>
      </c>
      <c r="J708">
        <v>0</v>
      </c>
      <c r="K708">
        <f>36-14</f>
        <v>22</v>
      </c>
      <c r="L708" t="s">
        <v>1039</v>
      </c>
      <c r="M708">
        <v>2</v>
      </c>
    </row>
    <row r="709" spans="1:13" x14ac:dyDescent="0.25">
      <c r="A709" s="4">
        <v>42931</v>
      </c>
      <c r="B709" t="s">
        <v>30</v>
      </c>
      <c r="C709">
        <v>2</v>
      </c>
      <c r="D709">
        <v>1</v>
      </c>
      <c r="E709" t="s">
        <v>42</v>
      </c>
      <c r="F709" t="s">
        <v>114</v>
      </c>
      <c r="G709">
        <v>1</v>
      </c>
      <c r="H709">
        <v>39340</v>
      </c>
      <c r="I709">
        <v>39341</v>
      </c>
      <c r="J709">
        <v>0</v>
      </c>
      <c r="K709">
        <f>33-14</f>
        <v>19</v>
      </c>
      <c r="L709" t="s">
        <v>47</v>
      </c>
      <c r="M709">
        <v>2</v>
      </c>
    </row>
    <row r="710" spans="1:13" x14ac:dyDescent="0.25">
      <c r="A710" s="4">
        <v>42935</v>
      </c>
      <c r="B710" t="s">
        <v>30</v>
      </c>
      <c r="C710">
        <v>7</v>
      </c>
      <c r="D710">
        <v>1</v>
      </c>
      <c r="E710" t="s">
        <v>42</v>
      </c>
      <c r="F710" t="s">
        <v>89</v>
      </c>
      <c r="G710">
        <v>2</v>
      </c>
      <c r="H710">
        <v>39343</v>
      </c>
      <c r="I710">
        <v>39342</v>
      </c>
      <c r="J710">
        <v>0</v>
      </c>
      <c r="K710">
        <v>13</v>
      </c>
      <c r="L710" t="s">
        <v>38</v>
      </c>
      <c r="M710">
        <v>2</v>
      </c>
    </row>
    <row r="711" spans="1:13" x14ac:dyDescent="0.25">
      <c r="A711" s="4">
        <v>42935</v>
      </c>
      <c r="B711" t="s">
        <v>30</v>
      </c>
      <c r="C711">
        <v>8</v>
      </c>
      <c r="D711">
        <v>1</v>
      </c>
      <c r="E711" t="s">
        <v>42</v>
      </c>
      <c r="F711" t="s">
        <v>114</v>
      </c>
      <c r="G711">
        <v>1</v>
      </c>
      <c r="H711">
        <v>39347</v>
      </c>
      <c r="I711">
        <v>39346</v>
      </c>
      <c r="J711">
        <v>0</v>
      </c>
      <c r="K711">
        <f>33-14</f>
        <v>19</v>
      </c>
      <c r="L711" t="s">
        <v>47</v>
      </c>
      <c r="M711">
        <v>2</v>
      </c>
    </row>
    <row r="712" spans="1:13" x14ac:dyDescent="0.25">
      <c r="A712" s="4">
        <v>42935</v>
      </c>
      <c r="B712" t="s">
        <v>30</v>
      </c>
      <c r="C712">
        <v>8</v>
      </c>
      <c r="D712">
        <v>1</v>
      </c>
      <c r="E712" t="s">
        <v>42</v>
      </c>
      <c r="F712" t="s">
        <v>114</v>
      </c>
      <c r="G712">
        <v>1</v>
      </c>
      <c r="H712">
        <v>39349</v>
      </c>
      <c r="I712">
        <v>39348</v>
      </c>
      <c r="J712">
        <v>0</v>
      </c>
      <c r="K712">
        <f>28-13</f>
        <v>15</v>
      </c>
      <c r="L712" t="s">
        <v>47</v>
      </c>
      <c r="M712">
        <v>2</v>
      </c>
    </row>
    <row r="713" spans="1:13" x14ac:dyDescent="0.25">
      <c r="A713" s="4">
        <v>42936</v>
      </c>
      <c r="B713" t="s">
        <v>30</v>
      </c>
      <c r="C713">
        <v>8</v>
      </c>
      <c r="D713">
        <v>1</v>
      </c>
      <c r="E713" t="s">
        <v>35</v>
      </c>
      <c r="F713" t="s">
        <v>114</v>
      </c>
      <c r="G713">
        <v>1</v>
      </c>
      <c r="H713">
        <v>39349</v>
      </c>
      <c r="I713">
        <v>39348</v>
      </c>
      <c r="J713">
        <v>0</v>
      </c>
      <c r="K713">
        <f>30-14</f>
        <v>16</v>
      </c>
      <c r="L713" t="s">
        <v>47</v>
      </c>
      <c r="M713">
        <v>2</v>
      </c>
    </row>
    <row r="714" spans="1:13" x14ac:dyDescent="0.25">
      <c r="A714" s="4">
        <v>42937</v>
      </c>
      <c r="B714" t="s">
        <v>30</v>
      </c>
      <c r="C714">
        <v>8</v>
      </c>
      <c r="D714">
        <v>1</v>
      </c>
      <c r="E714" t="s">
        <v>35</v>
      </c>
      <c r="F714" t="s">
        <v>114</v>
      </c>
      <c r="G714">
        <v>1</v>
      </c>
      <c r="H714">
        <v>39349</v>
      </c>
      <c r="I714">
        <v>39348</v>
      </c>
      <c r="J714">
        <v>0</v>
      </c>
      <c r="K714">
        <f>30-14.5</f>
        <v>15.5</v>
      </c>
      <c r="L714" t="s">
        <v>47</v>
      </c>
      <c r="M714">
        <v>2</v>
      </c>
    </row>
    <row r="715" spans="1:13" x14ac:dyDescent="0.25">
      <c r="A715" s="4">
        <v>42936</v>
      </c>
      <c r="B715" t="s">
        <v>30</v>
      </c>
      <c r="C715">
        <v>7</v>
      </c>
      <c r="D715">
        <v>1</v>
      </c>
      <c r="E715" t="s">
        <v>42</v>
      </c>
      <c r="F715" t="s">
        <v>114</v>
      </c>
      <c r="G715">
        <v>1</v>
      </c>
      <c r="H715">
        <v>39352</v>
      </c>
      <c r="I715">
        <v>39351</v>
      </c>
      <c r="J715">
        <v>0</v>
      </c>
      <c r="K715">
        <f>32-14</f>
        <v>18</v>
      </c>
      <c r="L715" t="s">
        <v>65</v>
      </c>
      <c r="M715">
        <v>2</v>
      </c>
    </row>
    <row r="716" spans="1:13" x14ac:dyDescent="0.25">
      <c r="A716" s="4">
        <v>42948</v>
      </c>
      <c r="B716" t="s">
        <v>30</v>
      </c>
      <c r="C716">
        <v>7</v>
      </c>
      <c r="D716">
        <v>1</v>
      </c>
      <c r="E716" t="s">
        <v>35</v>
      </c>
      <c r="F716" t="s">
        <v>36</v>
      </c>
      <c r="G716">
        <v>1</v>
      </c>
      <c r="H716">
        <v>39352</v>
      </c>
      <c r="I716">
        <v>39401</v>
      </c>
      <c r="J716">
        <v>1</v>
      </c>
      <c r="K716">
        <f>35-15</f>
        <v>20</v>
      </c>
      <c r="L716" t="s">
        <v>47</v>
      </c>
      <c r="M716">
        <v>2</v>
      </c>
    </row>
    <row r="717" spans="1:13" x14ac:dyDescent="0.25">
      <c r="A717" s="4">
        <v>42949</v>
      </c>
      <c r="B717" t="s">
        <v>30</v>
      </c>
      <c r="C717">
        <v>7</v>
      </c>
      <c r="D717">
        <v>1</v>
      </c>
      <c r="E717" t="s">
        <v>35</v>
      </c>
      <c r="F717" t="s">
        <v>36</v>
      </c>
      <c r="G717">
        <v>1</v>
      </c>
      <c r="H717">
        <v>39352</v>
      </c>
      <c r="I717">
        <v>39401</v>
      </c>
      <c r="J717">
        <v>1</v>
      </c>
      <c r="K717">
        <f>33-13</f>
        <v>20</v>
      </c>
      <c r="L717" t="s">
        <v>47</v>
      </c>
      <c r="M717">
        <v>2</v>
      </c>
    </row>
    <row r="718" spans="1:13" x14ac:dyDescent="0.25">
      <c r="A718" s="4">
        <v>42961</v>
      </c>
      <c r="B718" t="s">
        <v>30</v>
      </c>
      <c r="C718">
        <v>7</v>
      </c>
      <c r="D718">
        <v>1</v>
      </c>
      <c r="E718" t="s">
        <v>35</v>
      </c>
      <c r="F718" t="s">
        <v>36</v>
      </c>
      <c r="G718">
        <v>1</v>
      </c>
      <c r="H718">
        <v>39352</v>
      </c>
      <c r="I718">
        <v>39401</v>
      </c>
      <c r="J718">
        <v>1</v>
      </c>
      <c r="K718">
        <f>33-13.5</f>
        <v>19.5</v>
      </c>
      <c r="L718" t="s">
        <v>47</v>
      </c>
      <c r="M718">
        <v>2</v>
      </c>
    </row>
    <row r="719" spans="1:13" x14ac:dyDescent="0.25">
      <c r="A719" s="4">
        <v>42962</v>
      </c>
      <c r="B719" t="s">
        <v>30</v>
      </c>
      <c r="C719">
        <v>7</v>
      </c>
      <c r="D719">
        <v>1</v>
      </c>
      <c r="E719" t="s">
        <v>35</v>
      </c>
      <c r="F719" t="s">
        <v>36</v>
      </c>
      <c r="G719">
        <v>1</v>
      </c>
      <c r="H719">
        <v>39352</v>
      </c>
      <c r="I719">
        <v>39401</v>
      </c>
      <c r="J719">
        <v>1</v>
      </c>
      <c r="K719">
        <f>32.5-13</f>
        <v>19.5</v>
      </c>
      <c r="L719" t="s">
        <v>47</v>
      </c>
      <c r="M719">
        <v>2</v>
      </c>
    </row>
    <row r="720" spans="1:13" x14ac:dyDescent="0.25">
      <c r="A720" s="4">
        <v>42963</v>
      </c>
      <c r="B720" t="s">
        <v>30</v>
      </c>
      <c r="C720">
        <v>7</v>
      </c>
      <c r="D720">
        <v>1</v>
      </c>
      <c r="E720" t="s">
        <v>35</v>
      </c>
      <c r="F720" t="s">
        <v>36</v>
      </c>
      <c r="G720">
        <v>1</v>
      </c>
      <c r="H720">
        <v>39352</v>
      </c>
      <c r="I720">
        <v>39401</v>
      </c>
      <c r="J720">
        <v>1</v>
      </c>
      <c r="K720">
        <f>34.5-13</f>
        <v>21.5</v>
      </c>
      <c r="L720" t="s">
        <v>47</v>
      </c>
      <c r="M720">
        <v>2</v>
      </c>
    </row>
    <row r="721" spans="1:13" x14ac:dyDescent="0.25">
      <c r="A721" s="4">
        <v>42936</v>
      </c>
      <c r="B721" t="s">
        <v>30</v>
      </c>
      <c r="C721">
        <v>7</v>
      </c>
      <c r="D721">
        <v>1</v>
      </c>
      <c r="E721" t="s">
        <v>42</v>
      </c>
      <c r="F721" t="s">
        <v>114</v>
      </c>
      <c r="G721">
        <v>1</v>
      </c>
      <c r="H721">
        <v>39354</v>
      </c>
      <c r="I721">
        <v>39353</v>
      </c>
      <c r="J721">
        <v>0</v>
      </c>
      <c r="K721">
        <f>31.5-14</f>
        <v>17.5</v>
      </c>
      <c r="L721" t="s">
        <v>47</v>
      </c>
      <c r="M721">
        <v>2</v>
      </c>
    </row>
    <row r="722" spans="1:13" x14ac:dyDescent="0.25">
      <c r="A722" s="4">
        <v>42937</v>
      </c>
      <c r="B722" t="s">
        <v>30</v>
      </c>
      <c r="C722">
        <v>7</v>
      </c>
      <c r="D722">
        <v>1</v>
      </c>
      <c r="E722" t="s">
        <v>35</v>
      </c>
      <c r="F722" t="s">
        <v>114</v>
      </c>
      <c r="G722">
        <v>1</v>
      </c>
      <c r="H722">
        <v>39354</v>
      </c>
      <c r="I722">
        <v>39353</v>
      </c>
      <c r="J722">
        <v>0</v>
      </c>
      <c r="K722">
        <f>32.5-15.5</f>
        <v>17</v>
      </c>
      <c r="L722" t="s">
        <v>47</v>
      </c>
      <c r="M722">
        <v>2</v>
      </c>
    </row>
    <row r="723" spans="1:13" x14ac:dyDescent="0.25">
      <c r="A723" s="4">
        <v>42936</v>
      </c>
      <c r="B723" t="s">
        <v>30</v>
      </c>
      <c r="C723">
        <v>8</v>
      </c>
      <c r="D723">
        <v>1</v>
      </c>
      <c r="E723" t="s">
        <v>42</v>
      </c>
      <c r="F723" t="s">
        <v>114</v>
      </c>
      <c r="G723">
        <v>1</v>
      </c>
      <c r="H723">
        <v>39359</v>
      </c>
      <c r="I723">
        <v>39358</v>
      </c>
      <c r="J723">
        <v>0</v>
      </c>
      <c r="K723">
        <f>33-14</f>
        <v>19</v>
      </c>
      <c r="L723" t="s">
        <v>47</v>
      </c>
      <c r="M723">
        <v>2</v>
      </c>
    </row>
    <row r="724" spans="1:13" x14ac:dyDescent="0.25">
      <c r="A724" s="4">
        <v>42936</v>
      </c>
      <c r="B724" t="s">
        <v>30</v>
      </c>
      <c r="C724">
        <v>8</v>
      </c>
      <c r="D724">
        <v>1</v>
      </c>
      <c r="E724" t="s">
        <v>42</v>
      </c>
      <c r="F724" t="s">
        <v>89</v>
      </c>
      <c r="G724">
        <v>2</v>
      </c>
      <c r="H724">
        <v>39362</v>
      </c>
      <c r="I724">
        <v>39361</v>
      </c>
      <c r="J724">
        <v>0</v>
      </c>
      <c r="K724">
        <f>26-14</f>
        <v>12</v>
      </c>
      <c r="L724" t="s">
        <v>38</v>
      </c>
      <c r="M724">
        <v>2</v>
      </c>
    </row>
    <row r="725" spans="1:13" x14ac:dyDescent="0.25">
      <c r="A725" s="4">
        <v>42937</v>
      </c>
      <c r="B725" t="s">
        <v>30</v>
      </c>
      <c r="C725">
        <v>3</v>
      </c>
      <c r="D725">
        <v>1</v>
      </c>
      <c r="E725" t="s">
        <v>42</v>
      </c>
      <c r="F725" t="s">
        <v>36</v>
      </c>
      <c r="G725">
        <v>1</v>
      </c>
      <c r="H725">
        <v>39365</v>
      </c>
      <c r="I725">
        <v>39364</v>
      </c>
      <c r="J725">
        <v>0</v>
      </c>
      <c r="K725">
        <f>35-14</f>
        <v>21</v>
      </c>
      <c r="L725" t="s">
        <v>47</v>
      </c>
      <c r="M725">
        <v>2</v>
      </c>
    </row>
    <row r="726" spans="1:13" x14ac:dyDescent="0.25">
      <c r="A726" s="4">
        <v>42937</v>
      </c>
      <c r="B726" t="s">
        <v>30</v>
      </c>
      <c r="C726">
        <v>3</v>
      </c>
      <c r="D726">
        <v>1</v>
      </c>
      <c r="E726" t="s">
        <v>42</v>
      </c>
      <c r="F726" t="s">
        <v>114</v>
      </c>
      <c r="G726">
        <v>1</v>
      </c>
      <c r="H726">
        <v>39367</v>
      </c>
      <c r="I726">
        <v>39366</v>
      </c>
      <c r="J726">
        <v>0</v>
      </c>
      <c r="K726">
        <f>32-14</f>
        <v>18</v>
      </c>
      <c r="L726" t="s">
        <v>47</v>
      </c>
      <c r="M726">
        <v>2</v>
      </c>
    </row>
    <row r="727" spans="1:13" x14ac:dyDescent="0.25">
      <c r="A727" s="4">
        <v>42941</v>
      </c>
      <c r="B727" t="s">
        <v>30</v>
      </c>
      <c r="C727">
        <v>2</v>
      </c>
      <c r="D727">
        <v>1</v>
      </c>
      <c r="E727" t="s">
        <v>42</v>
      </c>
      <c r="F727" t="s">
        <v>36</v>
      </c>
      <c r="G727">
        <v>2</v>
      </c>
      <c r="H727">
        <v>39370</v>
      </c>
      <c r="I727">
        <v>39369</v>
      </c>
      <c r="J727">
        <v>0</v>
      </c>
      <c r="K727">
        <f>34-13</f>
        <v>21</v>
      </c>
      <c r="L727" t="s">
        <v>1039</v>
      </c>
      <c r="M727">
        <v>2</v>
      </c>
    </row>
    <row r="728" spans="1:13" x14ac:dyDescent="0.25">
      <c r="A728" s="4">
        <v>42941</v>
      </c>
      <c r="B728" t="s">
        <v>30</v>
      </c>
      <c r="C728">
        <v>3</v>
      </c>
      <c r="D728">
        <v>1</v>
      </c>
      <c r="E728" t="s">
        <v>42</v>
      </c>
      <c r="F728" t="s">
        <v>89</v>
      </c>
      <c r="G728">
        <v>2</v>
      </c>
      <c r="H728">
        <v>39373</v>
      </c>
      <c r="I728">
        <v>39372</v>
      </c>
      <c r="J728">
        <v>0</v>
      </c>
      <c r="K728">
        <f>30-13</f>
        <v>17</v>
      </c>
      <c r="L728" t="s">
        <v>38</v>
      </c>
      <c r="M728">
        <v>2</v>
      </c>
    </row>
    <row r="729" spans="1:13" x14ac:dyDescent="0.25">
      <c r="A729" s="4">
        <v>42942</v>
      </c>
      <c r="B729" t="s">
        <v>30</v>
      </c>
      <c r="C729">
        <v>2</v>
      </c>
      <c r="D729">
        <v>1</v>
      </c>
      <c r="E729" t="s">
        <v>42</v>
      </c>
      <c r="F729" t="s">
        <v>36</v>
      </c>
      <c r="G729">
        <v>2</v>
      </c>
      <c r="H729">
        <v>39375</v>
      </c>
      <c r="I729">
        <v>39374</v>
      </c>
      <c r="J729">
        <v>0</v>
      </c>
      <c r="K729">
        <f>33-13</f>
        <v>20</v>
      </c>
      <c r="L729" t="s">
        <v>1041</v>
      </c>
      <c r="M729">
        <v>2</v>
      </c>
    </row>
    <row r="730" spans="1:13" x14ac:dyDescent="0.25">
      <c r="A730" s="4">
        <v>42949</v>
      </c>
      <c r="B730" t="s">
        <v>30</v>
      </c>
      <c r="C730">
        <v>7</v>
      </c>
      <c r="D730">
        <v>1</v>
      </c>
      <c r="E730" t="s">
        <v>42</v>
      </c>
      <c r="F730" t="s">
        <v>89</v>
      </c>
      <c r="G730">
        <v>2</v>
      </c>
      <c r="H730">
        <v>39404</v>
      </c>
      <c r="I730">
        <v>39403</v>
      </c>
      <c r="J730">
        <v>0</v>
      </c>
      <c r="K730">
        <f>25-13</f>
        <v>12</v>
      </c>
      <c r="L730" t="s">
        <v>38</v>
      </c>
      <c r="M730">
        <v>2</v>
      </c>
    </row>
    <row r="731" spans="1:13" x14ac:dyDescent="0.25">
      <c r="A731" s="4">
        <v>42962</v>
      </c>
      <c r="B731" t="s">
        <v>30</v>
      </c>
      <c r="C731">
        <v>7</v>
      </c>
      <c r="D731">
        <v>1</v>
      </c>
      <c r="E731" t="s">
        <v>35</v>
      </c>
      <c r="F731" t="s">
        <v>89</v>
      </c>
      <c r="G731">
        <v>2</v>
      </c>
      <c r="H731">
        <v>39404</v>
      </c>
      <c r="I731">
        <v>39403</v>
      </c>
      <c r="J731">
        <v>1</v>
      </c>
      <c r="K731">
        <f>27-13.5</f>
        <v>13.5</v>
      </c>
      <c r="L731" t="s">
        <v>38</v>
      </c>
      <c r="M731">
        <v>2</v>
      </c>
    </row>
    <row r="732" spans="1:13" x14ac:dyDescent="0.25">
      <c r="A732" s="4">
        <v>42949</v>
      </c>
      <c r="B732" t="s">
        <v>30</v>
      </c>
      <c r="C732">
        <v>7</v>
      </c>
      <c r="D732">
        <v>1</v>
      </c>
      <c r="E732" t="s">
        <v>42</v>
      </c>
      <c r="F732" t="s">
        <v>36</v>
      </c>
      <c r="G732">
        <v>2</v>
      </c>
      <c r="H732">
        <v>39406</v>
      </c>
      <c r="I732">
        <v>39405</v>
      </c>
      <c r="J732">
        <v>0</v>
      </c>
      <c r="K732">
        <f>33-14</f>
        <v>19</v>
      </c>
      <c r="L732" t="s">
        <v>1041</v>
      </c>
      <c r="M732">
        <v>2</v>
      </c>
    </row>
    <row r="733" spans="1:13" x14ac:dyDescent="0.25">
      <c r="A733" s="4">
        <v>42949</v>
      </c>
      <c r="B733" t="s">
        <v>30</v>
      </c>
      <c r="C733">
        <v>9</v>
      </c>
      <c r="D733">
        <v>1</v>
      </c>
      <c r="E733" t="s">
        <v>42</v>
      </c>
      <c r="F733" t="s">
        <v>114</v>
      </c>
      <c r="G733">
        <v>2</v>
      </c>
      <c r="H733">
        <v>39409</v>
      </c>
      <c r="I733">
        <v>39408</v>
      </c>
      <c r="J733">
        <v>0</v>
      </c>
      <c r="K733">
        <f>29-14</f>
        <v>15</v>
      </c>
      <c r="L733" t="s">
        <v>38</v>
      </c>
      <c r="M733">
        <v>2</v>
      </c>
    </row>
    <row r="734" spans="1:13" x14ac:dyDescent="0.25">
      <c r="A734" s="4">
        <v>42956</v>
      </c>
      <c r="B734" t="s">
        <v>30</v>
      </c>
      <c r="C734">
        <v>2</v>
      </c>
      <c r="D734">
        <v>1</v>
      </c>
      <c r="E734" t="s">
        <v>42</v>
      </c>
      <c r="F734" t="s">
        <v>36</v>
      </c>
      <c r="G734">
        <v>1</v>
      </c>
      <c r="H734">
        <v>39412</v>
      </c>
      <c r="I734">
        <v>39411</v>
      </c>
      <c r="J734">
        <v>0</v>
      </c>
      <c r="K734">
        <f>37.5-16</f>
        <v>21.5</v>
      </c>
      <c r="L734" t="s">
        <v>47</v>
      </c>
      <c r="M734">
        <v>2</v>
      </c>
    </row>
    <row r="735" spans="1:13" x14ac:dyDescent="0.25">
      <c r="A735" s="4">
        <v>42957</v>
      </c>
      <c r="B735" t="s">
        <v>30</v>
      </c>
      <c r="C735">
        <v>2</v>
      </c>
      <c r="D735">
        <v>1</v>
      </c>
      <c r="E735" t="s">
        <v>42</v>
      </c>
      <c r="F735" t="s">
        <v>36</v>
      </c>
      <c r="G735">
        <v>1</v>
      </c>
      <c r="H735">
        <v>39417</v>
      </c>
      <c r="I735">
        <v>39416</v>
      </c>
      <c r="J735">
        <v>0</v>
      </c>
      <c r="K735">
        <f>31-13</f>
        <v>18</v>
      </c>
      <c r="L735" t="s">
        <v>65</v>
      </c>
      <c r="M735">
        <v>2</v>
      </c>
    </row>
    <row r="736" spans="1:13" x14ac:dyDescent="0.25">
      <c r="A736" s="4">
        <v>42955</v>
      </c>
      <c r="B736" t="s">
        <v>30</v>
      </c>
      <c r="C736">
        <v>1</v>
      </c>
      <c r="D736">
        <v>1</v>
      </c>
      <c r="E736" t="s">
        <v>42</v>
      </c>
      <c r="F736" t="s">
        <v>36</v>
      </c>
      <c r="G736">
        <v>1</v>
      </c>
      <c r="H736">
        <v>39429</v>
      </c>
      <c r="I736">
        <v>39428</v>
      </c>
      <c r="J736">
        <v>0</v>
      </c>
      <c r="K736">
        <f>31.5-13</f>
        <v>18.5</v>
      </c>
      <c r="L736" t="s">
        <v>47</v>
      </c>
      <c r="M736">
        <v>2</v>
      </c>
    </row>
    <row r="737" spans="1:13" x14ac:dyDescent="0.25">
      <c r="A737" s="4">
        <v>42956</v>
      </c>
      <c r="B737" t="s">
        <v>30</v>
      </c>
      <c r="C737">
        <v>1</v>
      </c>
      <c r="D737">
        <v>1</v>
      </c>
      <c r="E737" t="s">
        <v>42</v>
      </c>
      <c r="F737" t="s">
        <v>89</v>
      </c>
      <c r="G737">
        <v>2</v>
      </c>
      <c r="H737">
        <v>39431</v>
      </c>
      <c r="I737">
        <v>39430</v>
      </c>
      <c r="J737">
        <v>0</v>
      </c>
      <c r="K737">
        <f>31-15</f>
        <v>16</v>
      </c>
      <c r="L737" t="s">
        <v>38</v>
      </c>
      <c r="M737">
        <v>2</v>
      </c>
    </row>
    <row r="738" spans="1:13" x14ac:dyDescent="0.25">
      <c r="A738" s="4">
        <v>42956</v>
      </c>
      <c r="B738" t="s">
        <v>30</v>
      </c>
      <c r="C738">
        <v>1</v>
      </c>
      <c r="D738">
        <v>1</v>
      </c>
      <c r="E738" t="s">
        <v>42</v>
      </c>
      <c r="F738" t="s">
        <v>89</v>
      </c>
      <c r="G738">
        <v>2</v>
      </c>
      <c r="H738">
        <v>39434</v>
      </c>
      <c r="I738">
        <v>39434</v>
      </c>
      <c r="J738">
        <v>0</v>
      </c>
      <c r="K738">
        <f>31-15.5</f>
        <v>15.5</v>
      </c>
      <c r="L738" t="s">
        <v>38</v>
      </c>
      <c r="M738">
        <v>2</v>
      </c>
    </row>
    <row r="739" spans="1:13" x14ac:dyDescent="0.25">
      <c r="A739" s="4">
        <v>42949</v>
      </c>
      <c r="B739" t="s">
        <v>30</v>
      </c>
      <c r="C739">
        <v>3</v>
      </c>
      <c r="D739">
        <v>1</v>
      </c>
      <c r="E739" t="s">
        <v>42</v>
      </c>
      <c r="F739" t="s">
        <v>89</v>
      </c>
      <c r="G739">
        <v>2</v>
      </c>
      <c r="H739">
        <v>39437</v>
      </c>
      <c r="I739">
        <v>39436</v>
      </c>
      <c r="J739">
        <v>0</v>
      </c>
      <c r="K739">
        <f>29.5-14.5</f>
        <v>15</v>
      </c>
      <c r="L739" t="s">
        <v>38</v>
      </c>
      <c r="M739">
        <v>2</v>
      </c>
    </row>
    <row r="740" spans="1:13" x14ac:dyDescent="0.25">
      <c r="A740" s="4">
        <v>42962</v>
      </c>
      <c r="B740" t="s">
        <v>30</v>
      </c>
      <c r="C740">
        <v>3</v>
      </c>
      <c r="D740">
        <v>1</v>
      </c>
      <c r="E740" t="s">
        <v>35</v>
      </c>
      <c r="F740" t="s">
        <v>89</v>
      </c>
      <c r="G740">
        <v>2</v>
      </c>
      <c r="H740">
        <v>39437</v>
      </c>
      <c r="I740">
        <v>39436</v>
      </c>
      <c r="J740">
        <v>1</v>
      </c>
      <c r="K740">
        <f>34-13.5</f>
        <v>20.5</v>
      </c>
      <c r="L740" t="s">
        <v>38</v>
      </c>
      <c r="M740">
        <v>2</v>
      </c>
    </row>
    <row r="741" spans="1:13" x14ac:dyDescent="0.25">
      <c r="A741" s="4">
        <v>42963</v>
      </c>
      <c r="B741" t="s">
        <v>30</v>
      </c>
      <c r="C741">
        <v>3</v>
      </c>
      <c r="D741">
        <v>1</v>
      </c>
      <c r="E741" t="s">
        <v>35</v>
      </c>
      <c r="F741" t="s">
        <v>89</v>
      </c>
      <c r="G741">
        <v>2</v>
      </c>
      <c r="H741">
        <v>39437</v>
      </c>
      <c r="I741">
        <v>39436</v>
      </c>
      <c r="J741">
        <v>1</v>
      </c>
      <c r="K741">
        <f>30-14</f>
        <v>16</v>
      </c>
      <c r="L741" t="s">
        <v>38</v>
      </c>
      <c r="M741">
        <v>2</v>
      </c>
    </row>
    <row r="742" spans="1:13" x14ac:dyDescent="0.25">
      <c r="A742" s="4">
        <v>42948</v>
      </c>
      <c r="B742" t="s">
        <v>30</v>
      </c>
      <c r="C742">
        <v>3</v>
      </c>
      <c r="D742">
        <v>1</v>
      </c>
      <c r="E742" t="s">
        <v>42</v>
      </c>
      <c r="F742" t="s">
        <v>89</v>
      </c>
      <c r="G742">
        <v>2</v>
      </c>
      <c r="H742">
        <v>39443</v>
      </c>
      <c r="I742">
        <v>39442</v>
      </c>
      <c r="J742">
        <v>1</v>
      </c>
      <c r="K742">
        <f>26-13</f>
        <v>13</v>
      </c>
      <c r="L742" t="s">
        <v>38</v>
      </c>
      <c r="M742">
        <v>2</v>
      </c>
    </row>
    <row r="743" spans="1:13" x14ac:dyDescent="0.25">
      <c r="A743" s="4">
        <v>42962</v>
      </c>
      <c r="B743" t="s">
        <v>30</v>
      </c>
      <c r="C743">
        <v>3</v>
      </c>
      <c r="D743">
        <v>1</v>
      </c>
      <c r="E743" t="s">
        <v>35</v>
      </c>
      <c r="F743" t="s">
        <v>89</v>
      </c>
      <c r="G743">
        <v>2</v>
      </c>
      <c r="H743">
        <v>39443</v>
      </c>
      <c r="I743">
        <v>39442</v>
      </c>
      <c r="J743">
        <v>0</v>
      </c>
      <c r="K743">
        <f>30-13</f>
        <v>17</v>
      </c>
      <c r="L743" t="s">
        <v>38</v>
      </c>
      <c r="M743">
        <v>2</v>
      </c>
    </row>
    <row r="744" spans="1:13" x14ac:dyDescent="0.25">
      <c r="A744" s="4">
        <v>42963</v>
      </c>
      <c r="B744" t="s">
        <v>30</v>
      </c>
      <c r="C744">
        <v>3</v>
      </c>
      <c r="D744">
        <v>1</v>
      </c>
      <c r="E744" t="s">
        <v>35</v>
      </c>
      <c r="F744" t="s">
        <v>89</v>
      </c>
      <c r="G744">
        <v>2</v>
      </c>
      <c r="H744">
        <v>39443</v>
      </c>
      <c r="I744">
        <v>39442</v>
      </c>
      <c r="J744">
        <v>0</v>
      </c>
      <c r="K744">
        <f>29.5-14</f>
        <v>15.5</v>
      </c>
      <c r="L744" t="s">
        <v>38</v>
      </c>
      <c r="M744">
        <v>2</v>
      </c>
    </row>
    <row r="745" spans="1:13" x14ac:dyDescent="0.25">
      <c r="A745" s="4">
        <v>42947</v>
      </c>
      <c r="B745" t="s">
        <v>30</v>
      </c>
      <c r="C745">
        <v>3</v>
      </c>
      <c r="D745">
        <v>1</v>
      </c>
      <c r="E745" t="s">
        <v>42</v>
      </c>
      <c r="F745" t="s">
        <v>114</v>
      </c>
      <c r="G745">
        <v>1</v>
      </c>
      <c r="H745">
        <v>39446</v>
      </c>
      <c r="I745">
        <v>39445</v>
      </c>
      <c r="J745">
        <v>1</v>
      </c>
      <c r="K745">
        <f>27.5-13</f>
        <v>14.5</v>
      </c>
      <c r="L745" t="s">
        <v>47</v>
      </c>
      <c r="M745">
        <v>2</v>
      </c>
    </row>
    <row r="746" spans="1:13" x14ac:dyDescent="0.25">
      <c r="A746" s="4">
        <v>42949</v>
      </c>
      <c r="B746" t="s">
        <v>30</v>
      </c>
      <c r="C746">
        <v>3</v>
      </c>
      <c r="D746">
        <v>1</v>
      </c>
      <c r="E746" t="s">
        <v>35</v>
      </c>
      <c r="F746" t="s">
        <v>114</v>
      </c>
      <c r="G746">
        <v>1</v>
      </c>
      <c r="H746">
        <v>39446</v>
      </c>
      <c r="I746">
        <v>39445</v>
      </c>
      <c r="J746">
        <v>1</v>
      </c>
      <c r="K746">
        <f>30-13.5</f>
        <v>16.5</v>
      </c>
      <c r="L746" t="s">
        <v>47</v>
      </c>
      <c r="M746">
        <v>2</v>
      </c>
    </row>
    <row r="747" spans="1:13" x14ac:dyDescent="0.25">
      <c r="A747" s="4">
        <v>42947</v>
      </c>
      <c r="B747" t="s">
        <v>30</v>
      </c>
      <c r="C747">
        <v>3</v>
      </c>
      <c r="D747">
        <v>1</v>
      </c>
      <c r="E747" t="s">
        <v>42</v>
      </c>
      <c r="F747" t="s">
        <v>36</v>
      </c>
      <c r="G747">
        <v>1</v>
      </c>
      <c r="H747">
        <v>39448</v>
      </c>
      <c r="I747">
        <v>39447</v>
      </c>
      <c r="J747">
        <v>1</v>
      </c>
      <c r="K747">
        <f>30.5-13</f>
        <v>17.5</v>
      </c>
      <c r="L747" t="s">
        <v>47</v>
      </c>
      <c r="M747">
        <v>2</v>
      </c>
    </row>
    <row r="748" spans="1:13" x14ac:dyDescent="0.25">
      <c r="A748" s="4">
        <v>42947</v>
      </c>
      <c r="B748" t="s">
        <v>30</v>
      </c>
      <c r="C748">
        <v>3</v>
      </c>
      <c r="D748">
        <v>1</v>
      </c>
      <c r="E748" t="s">
        <v>42</v>
      </c>
      <c r="F748" t="s">
        <v>89</v>
      </c>
      <c r="G748">
        <v>2</v>
      </c>
      <c r="H748">
        <v>39450</v>
      </c>
      <c r="I748">
        <v>39449</v>
      </c>
      <c r="J748">
        <v>1</v>
      </c>
      <c r="K748">
        <f>27-13.5</f>
        <v>13.5</v>
      </c>
      <c r="L748" t="s">
        <v>38</v>
      </c>
      <c r="M748">
        <v>2</v>
      </c>
    </row>
    <row r="749" spans="1:13" x14ac:dyDescent="0.25">
      <c r="A749" s="4">
        <v>42961</v>
      </c>
      <c r="B749" t="s">
        <v>30</v>
      </c>
      <c r="C749">
        <v>3</v>
      </c>
      <c r="D749">
        <v>1</v>
      </c>
      <c r="E749" t="s">
        <v>35</v>
      </c>
      <c r="F749" t="s">
        <v>89</v>
      </c>
      <c r="G749">
        <v>2</v>
      </c>
      <c r="H749">
        <v>39450</v>
      </c>
      <c r="I749">
        <v>39449</v>
      </c>
      <c r="J749">
        <v>0</v>
      </c>
      <c r="K749">
        <f>31-14</f>
        <v>17</v>
      </c>
      <c r="L749" t="s">
        <v>38</v>
      </c>
      <c r="M749">
        <v>2</v>
      </c>
    </row>
    <row r="750" spans="1:13" x14ac:dyDescent="0.25">
      <c r="A750" s="4">
        <v>42942</v>
      </c>
      <c r="B750" t="s">
        <v>30</v>
      </c>
      <c r="C750">
        <v>4</v>
      </c>
      <c r="D750">
        <v>1</v>
      </c>
      <c r="E750" t="s">
        <v>42</v>
      </c>
      <c r="F750" t="s">
        <v>36</v>
      </c>
      <c r="G750">
        <v>2</v>
      </c>
      <c r="H750">
        <v>39454</v>
      </c>
      <c r="I750">
        <v>39453</v>
      </c>
      <c r="J750">
        <v>1</v>
      </c>
      <c r="K750">
        <f>34-14</f>
        <v>20</v>
      </c>
      <c r="L750" t="s">
        <v>83</v>
      </c>
      <c r="M750">
        <v>2</v>
      </c>
    </row>
    <row r="751" spans="1:13" x14ac:dyDescent="0.25">
      <c r="A751" s="4">
        <v>42943</v>
      </c>
      <c r="B751" t="s">
        <v>30</v>
      </c>
      <c r="C751">
        <v>4</v>
      </c>
      <c r="D751">
        <v>1</v>
      </c>
      <c r="E751" t="s">
        <v>35</v>
      </c>
      <c r="F751" t="s">
        <v>36</v>
      </c>
      <c r="G751">
        <v>2</v>
      </c>
      <c r="H751">
        <v>39454</v>
      </c>
      <c r="I751">
        <v>39453</v>
      </c>
      <c r="J751">
        <v>1</v>
      </c>
      <c r="K751">
        <f>40-15</f>
        <v>25</v>
      </c>
      <c r="L751" t="s">
        <v>1044</v>
      </c>
      <c r="M751">
        <v>2</v>
      </c>
    </row>
    <row r="752" spans="1:13" x14ac:dyDescent="0.25">
      <c r="A752" s="4">
        <v>42957</v>
      </c>
      <c r="B752" t="s">
        <v>30</v>
      </c>
      <c r="C752">
        <v>4</v>
      </c>
      <c r="D752">
        <v>1</v>
      </c>
      <c r="E752" t="s">
        <v>35</v>
      </c>
      <c r="F752" t="s">
        <v>36</v>
      </c>
      <c r="G752">
        <v>2</v>
      </c>
      <c r="H752">
        <v>39454</v>
      </c>
      <c r="I752">
        <v>39453</v>
      </c>
      <c r="J752">
        <v>1</v>
      </c>
      <c r="K752">
        <f>37-14</f>
        <v>23</v>
      </c>
      <c r="L752" t="s">
        <v>1039</v>
      </c>
      <c r="M752">
        <v>2</v>
      </c>
    </row>
    <row r="753" spans="1:13" x14ac:dyDescent="0.25">
      <c r="A753" s="4">
        <v>42942</v>
      </c>
      <c r="B753" t="s">
        <v>30</v>
      </c>
      <c r="C753">
        <v>4</v>
      </c>
      <c r="D753">
        <v>1</v>
      </c>
      <c r="E753" t="s">
        <v>42</v>
      </c>
      <c r="F753" t="s">
        <v>36</v>
      </c>
      <c r="G753">
        <v>1</v>
      </c>
      <c r="H753">
        <v>39456</v>
      </c>
      <c r="I753">
        <v>39455</v>
      </c>
      <c r="J753">
        <v>1</v>
      </c>
      <c r="K753">
        <f>35-13.5</f>
        <v>21.5</v>
      </c>
      <c r="L753" t="s">
        <v>47</v>
      </c>
      <c r="M753">
        <v>2</v>
      </c>
    </row>
    <row r="754" spans="1:13" x14ac:dyDescent="0.25">
      <c r="A754" s="4">
        <v>42943</v>
      </c>
      <c r="B754" t="s">
        <v>30</v>
      </c>
      <c r="C754">
        <v>4</v>
      </c>
      <c r="D754">
        <v>1</v>
      </c>
      <c r="E754" t="s">
        <v>35</v>
      </c>
      <c r="F754" t="s">
        <v>36</v>
      </c>
      <c r="G754">
        <v>1</v>
      </c>
      <c r="H754">
        <v>39456</v>
      </c>
      <c r="I754">
        <v>39455</v>
      </c>
      <c r="J754">
        <v>1</v>
      </c>
      <c r="K754">
        <f>40.5-16</f>
        <v>24.5</v>
      </c>
      <c r="L754" t="s">
        <v>47</v>
      </c>
      <c r="M754">
        <v>2</v>
      </c>
    </row>
    <row r="755" spans="1:13" x14ac:dyDescent="0.25">
      <c r="A755" s="4">
        <v>42956</v>
      </c>
      <c r="B755" t="s">
        <v>30</v>
      </c>
      <c r="C755">
        <v>4</v>
      </c>
      <c r="D755">
        <v>1</v>
      </c>
      <c r="E755" t="s">
        <v>35</v>
      </c>
      <c r="F755" t="s">
        <v>36</v>
      </c>
      <c r="G755">
        <v>1</v>
      </c>
      <c r="H755">
        <v>39456</v>
      </c>
      <c r="I755">
        <v>39455</v>
      </c>
      <c r="J755">
        <v>1</v>
      </c>
      <c r="K755">
        <f>39-15</f>
        <v>24</v>
      </c>
      <c r="L755" t="s">
        <v>47</v>
      </c>
      <c r="M755">
        <v>2</v>
      </c>
    </row>
    <row r="756" spans="1:13" x14ac:dyDescent="0.25">
      <c r="A756" s="4">
        <v>42957</v>
      </c>
      <c r="B756" t="s">
        <v>30</v>
      </c>
      <c r="C756">
        <v>4</v>
      </c>
      <c r="D756">
        <v>1</v>
      </c>
      <c r="E756" t="s">
        <v>35</v>
      </c>
      <c r="F756" t="s">
        <v>36</v>
      </c>
      <c r="G756">
        <v>1</v>
      </c>
      <c r="H756">
        <v>39456</v>
      </c>
      <c r="I756">
        <v>39455</v>
      </c>
      <c r="J756">
        <v>1</v>
      </c>
      <c r="K756">
        <f>35.5-13</f>
        <v>22.5</v>
      </c>
      <c r="L756" t="s">
        <v>47</v>
      </c>
      <c r="M756">
        <v>2</v>
      </c>
    </row>
    <row r="757" spans="1:13" x14ac:dyDescent="0.25">
      <c r="A757" s="4">
        <v>42943</v>
      </c>
      <c r="B757" t="s">
        <v>30</v>
      </c>
      <c r="C757">
        <v>4</v>
      </c>
      <c r="D757">
        <v>1</v>
      </c>
      <c r="E757" t="s">
        <v>42</v>
      </c>
      <c r="F757" t="s">
        <v>36</v>
      </c>
      <c r="G757">
        <v>1</v>
      </c>
      <c r="H757">
        <v>39459</v>
      </c>
      <c r="I757">
        <v>39548</v>
      </c>
      <c r="J757">
        <v>1</v>
      </c>
      <c r="K757">
        <f>37-17</f>
        <v>20</v>
      </c>
      <c r="L757" t="s">
        <v>47</v>
      </c>
      <c r="M757">
        <v>2</v>
      </c>
    </row>
    <row r="758" spans="1:13" x14ac:dyDescent="0.25">
      <c r="A758" s="4">
        <v>42943</v>
      </c>
      <c r="B758" t="s">
        <v>30</v>
      </c>
      <c r="C758">
        <v>1</v>
      </c>
      <c r="D758">
        <v>1</v>
      </c>
      <c r="E758" t="s">
        <v>42</v>
      </c>
      <c r="F758" t="s">
        <v>36</v>
      </c>
      <c r="G758">
        <v>2</v>
      </c>
      <c r="H758">
        <v>39461</v>
      </c>
      <c r="I758">
        <v>39460</v>
      </c>
      <c r="J758">
        <v>0</v>
      </c>
      <c r="K758">
        <f>32-13</f>
        <v>19</v>
      </c>
      <c r="L758" t="s">
        <v>1040</v>
      </c>
      <c r="M758">
        <v>2</v>
      </c>
    </row>
    <row r="759" spans="1:13" x14ac:dyDescent="0.25">
      <c r="A759" s="4">
        <v>42943</v>
      </c>
      <c r="B759" t="s">
        <v>30</v>
      </c>
      <c r="C759">
        <v>1</v>
      </c>
      <c r="D759">
        <v>1</v>
      </c>
      <c r="E759" t="s">
        <v>42</v>
      </c>
      <c r="F759" t="s">
        <v>36</v>
      </c>
      <c r="G759">
        <v>1</v>
      </c>
      <c r="H759">
        <v>39464</v>
      </c>
      <c r="I759">
        <v>39463</v>
      </c>
      <c r="J759">
        <v>0</v>
      </c>
      <c r="K759">
        <f>61-41</f>
        <v>20</v>
      </c>
      <c r="L759" t="s">
        <v>47</v>
      </c>
      <c r="M759">
        <v>2</v>
      </c>
    </row>
    <row r="760" spans="1:13" x14ac:dyDescent="0.25">
      <c r="A760" s="4">
        <v>42943</v>
      </c>
      <c r="B760" t="s">
        <v>30</v>
      </c>
      <c r="C760">
        <v>1</v>
      </c>
      <c r="D760">
        <v>1</v>
      </c>
      <c r="E760" t="s">
        <v>42</v>
      </c>
      <c r="F760" t="s">
        <v>36</v>
      </c>
      <c r="G760">
        <v>1</v>
      </c>
      <c r="H760">
        <v>39466</v>
      </c>
      <c r="I760">
        <v>39465</v>
      </c>
      <c r="J760">
        <v>1</v>
      </c>
      <c r="K760">
        <f>41-17</f>
        <v>24</v>
      </c>
      <c r="L760" t="s">
        <v>47</v>
      </c>
      <c r="M760">
        <v>2</v>
      </c>
    </row>
    <row r="761" spans="1:13" x14ac:dyDescent="0.25">
      <c r="A761" s="4">
        <v>42957</v>
      </c>
      <c r="B761" t="s">
        <v>30</v>
      </c>
      <c r="C761">
        <v>1</v>
      </c>
      <c r="D761">
        <v>1</v>
      </c>
      <c r="E761" t="s">
        <v>35</v>
      </c>
      <c r="F761" t="s">
        <v>36</v>
      </c>
      <c r="G761">
        <v>1</v>
      </c>
      <c r="H761">
        <v>39466</v>
      </c>
      <c r="I761">
        <v>39465</v>
      </c>
      <c r="J761">
        <v>1</v>
      </c>
      <c r="K761">
        <f>37-14</f>
        <v>23</v>
      </c>
      <c r="L761" t="s">
        <v>47</v>
      </c>
      <c r="M761">
        <v>2</v>
      </c>
    </row>
    <row r="762" spans="1:13" x14ac:dyDescent="0.25">
      <c r="A762" s="4">
        <v>42943</v>
      </c>
      <c r="B762" t="s">
        <v>30</v>
      </c>
      <c r="C762">
        <v>1</v>
      </c>
      <c r="D762">
        <v>1</v>
      </c>
      <c r="E762" t="s">
        <v>42</v>
      </c>
      <c r="F762" t="s">
        <v>36</v>
      </c>
      <c r="G762">
        <v>2</v>
      </c>
      <c r="H762">
        <v>39469</v>
      </c>
      <c r="I762">
        <v>39467</v>
      </c>
      <c r="J762">
        <v>1</v>
      </c>
      <c r="K762">
        <f>32-13</f>
        <v>19</v>
      </c>
      <c r="L762" t="s">
        <v>83</v>
      </c>
      <c r="M762">
        <v>2</v>
      </c>
    </row>
    <row r="763" spans="1:13" x14ac:dyDescent="0.25">
      <c r="A763" s="4">
        <v>42955</v>
      </c>
      <c r="B763" t="s">
        <v>30</v>
      </c>
      <c r="C763">
        <v>1</v>
      </c>
      <c r="D763">
        <v>1</v>
      </c>
      <c r="E763" t="s">
        <v>35</v>
      </c>
      <c r="F763" t="s">
        <v>36</v>
      </c>
      <c r="G763">
        <v>2</v>
      </c>
      <c r="H763">
        <v>39469</v>
      </c>
      <c r="I763">
        <v>39467</v>
      </c>
      <c r="J763">
        <v>1</v>
      </c>
      <c r="K763">
        <f>36-15</f>
        <v>21</v>
      </c>
      <c r="L763" t="s">
        <v>38</v>
      </c>
      <c r="M763">
        <v>2</v>
      </c>
    </row>
    <row r="764" spans="1:13" x14ac:dyDescent="0.25">
      <c r="A764" s="4">
        <v>42956</v>
      </c>
      <c r="B764" t="s">
        <v>30</v>
      </c>
      <c r="C764">
        <v>1</v>
      </c>
      <c r="D764">
        <v>1</v>
      </c>
      <c r="E764" t="s">
        <v>35</v>
      </c>
      <c r="F764" t="s">
        <v>36</v>
      </c>
      <c r="G764">
        <v>2</v>
      </c>
      <c r="H764">
        <v>39469</v>
      </c>
      <c r="I764">
        <v>39467</v>
      </c>
      <c r="J764">
        <v>1</v>
      </c>
      <c r="K764">
        <f>34-13.5</f>
        <v>20.5</v>
      </c>
      <c r="L764" t="s">
        <v>38</v>
      </c>
      <c r="M764">
        <v>2</v>
      </c>
    </row>
    <row r="765" spans="1:13" x14ac:dyDescent="0.25">
      <c r="A765" s="4">
        <v>42943</v>
      </c>
      <c r="B765" t="s">
        <v>30</v>
      </c>
      <c r="C765">
        <v>1</v>
      </c>
      <c r="D765">
        <v>1</v>
      </c>
      <c r="E765" t="s">
        <v>42</v>
      </c>
      <c r="F765" t="s">
        <v>89</v>
      </c>
      <c r="G765">
        <v>1</v>
      </c>
      <c r="H765">
        <v>39471</v>
      </c>
      <c r="I765">
        <v>39470</v>
      </c>
      <c r="J765">
        <v>0</v>
      </c>
      <c r="K765">
        <f>27-13.5</f>
        <v>13.5</v>
      </c>
      <c r="L765" t="s">
        <v>65</v>
      </c>
      <c r="M765">
        <v>2</v>
      </c>
    </row>
    <row r="766" spans="1:13" x14ac:dyDescent="0.25">
      <c r="A766" s="4">
        <v>42943</v>
      </c>
      <c r="B766" t="s">
        <v>30</v>
      </c>
      <c r="C766">
        <v>1</v>
      </c>
      <c r="D766">
        <v>1</v>
      </c>
      <c r="E766" t="s">
        <v>42</v>
      </c>
      <c r="F766" t="s">
        <v>114</v>
      </c>
      <c r="G766">
        <v>1</v>
      </c>
      <c r="H766">
        <v>39473</v>
      </c>
      <c r="I766">
        <v>39472</v>
      </c>
      <c r="J766">
        <v>0</v>
      </c>
      <c r="K766">
        <f>29.5-14</f>
        <v>15.5</v>
      </c>
      <c r="L766" t="s">
        <v>47</v>
      </c>
      <c r="M766">
        <v>2</v>
      </c>
    </row>
    <row r="767" spans="1:13" x14ac:dyDescent="0.25">
      <c r="A767" s="4">
        <v>42947</v>
      </c>
      <c r="B767" t="s">
        <v>30</v>
      </c>
      <c r="C767">
        <v>5</v>
      </c>
      <c r="D767">
        <v>1</v>
      </c>
      <c r="E767" t="s">
        <v>42</v>
      </c>
      <c r="F767" t="s">
        <v>114</v>
      </c>
      <c r="G767">
        <v>1</v>
      </c>
      <c r="H767">
        <v>39475</v>
      </c>
      <c r="I767">
        <v>39474</v>
      </c>
      <c r="J767">
        <v>0</v>
      </c>
      <c r="K767">
        <f>31-15.5</f>
        <v>15.5</v>
      </c>
      <c r="L767" t="s">
        <v>47</v>
      </c>
      <c r="M767">
        <v>2</v>
      </c>
    </row>
    <row r="768" spans="1:13" x14ac:dyDescent="0.25">
      <c r="A768" s="4">
        <v>42948</v>
      </c>
      <c r="B768" t="s">
        <v>30</v>
      </c>
      <c r="C768">
        <v>5</v>
      </c>
      <c r="D768">
        <v>1</v>
      </c>
      <c r="E768" t="s">
        <v>35</v>
      </c>
      <c r="F768" t="s">
        <v>114</v>
      </c>
      <c r="G768">
        <v>1</v>
      </c>
      <c r="H768">
        <v>39475</v>
      </c>
      <c r="I768">
        <v>39474</v>
      </c>
      <c r="J768">
        <v>0</v>
      </c>
      <c r="K768">
        <f>33-16.5</f>
        <v>16.5</v>
      </c>
      <c r="L768" t="s">
        <v>47</v>
      </c>
      <c r="M768">
        <v>2</v>
      </c>
    </row>
    <row r="769" spans="1:13" x14ac:dyDescent="0.25">
      <c r="A769" s="4">
        <v>42949</v>
      </c>
      <c r="B769" t="s">
        <v>30</v>
      </c>
      <c r="C769">
        <v>5</v>
      </c>
      <c r="D769">
        <v>1</v>
      </c>
      <c r="E769" t="s">
        <v>35</v>
      </c>
      <c r="F769" t="s">
        <v>114</v>
      </c>
      <c r="G769">
        <v>1</v>
      </c>
      <c r="H769">
        <v>39475</v>
      </c>
      <c r="I769">
        <v>39474</v>
      </c>
      <c r="J769">
        <v>0</v>
      </c>
      <c r="K769">
        <f>32.5-16.5</f>
        <v>16</v>
      </c>
      <c r="L769" t="s">
        <v>47</v>
      </c>
      <c r="M769">
        <v>2</v>
      </c>
    </row>
    <row r="770" spans="1:13" x14ac:dyDescent="0.25">
      <c r="A770" s="4">
        <v>42962</v>
      </c>
      <c r="B770" t="s">
        <v>30</v>
      </c>
      <c r="C770">
        <v>5</v>
      </c>
      <c r="D770">
        <v>1</v>
      </c>
      <c r="E770" t="s">
        <v>35</v>
      </c>
      <c r="F770" t="s">
        <v>114</v>
      </c>
      <c r="G770">
        <v>1</v>
      </c>
      <c r="H770">
        <v>39475</v>
      </c>
      <c r="I770">
        <v>39474</v>
      </c>
      <c r="J770">
        <v>0</v>
      </c>
      <c r="K770">
        <f>31-13</f>
        <v>18</v>
      </c>
      <c r="L770" t="s">
        <v>47</v>
      </c>
      <c r="M770">
        <v>2</v>
      </c>
    </row>
    <row r="771" spans="1:13" x14ac:dyDescent="0.25">
      <c r="A771" s="4">
        <v>42931</v>
      </c>
      <c r="B771" t="s">
        <v>30</v>
      </c>
      <c r="C771">
        <v>4</v>
      </c>
      <c r="D771">
        <v>1</v>
      </c>
      <c r="E771" t="s">
        <v>42</v>
      </c>
      <c r="F771" t="s">
        <v>114</v>
      </c>
      <c r="G771">
        <v>2</v>
      </c>
      <c r="H771">
        <v>39478</v>
      </c>
      <c r="I771">
        <v>39477</v>
      </c>
      <c r="J771">
        <v>0</v>
      </c>
      <c r="K771">
        <f>28-13.5</f>
        <v>14.5</v>
      </c>
      <c r="L771" t="s">
        <v>83</v>
      </c>
      <c r="M771">
        <v>2</v>
      </c>
    </row>
    <row r="772" spans="1:13" x14ac:dyDescent="0.25">
      <c r="A772" s="4">
        <v>42932</v>
      </c>
      <c r="B772" t="s">
        <v>30</v>
      </c>
      <c r="C772">
        <v>4</v>
      </c>
      <c r="D772">
        <v>1</v>
      </c>
      <c r="E772" t="s">
        <v>35</v>
      </c>
      <c r="F772" t="s">
        <v>114</v>
      </c>
      <c r="G772">
        <v>2</v>
      </c>
      <c r="H772">
        <v>39478</v>
      </c>
      <c r="I772">
        <v>39477</v>
      </c>
      <c r="J772">
        <v>0</v>
      </c>
      <c r="K772">
        <f>31-15.5</f>
        <v>15.5</v>
      </c>
      <c r="L772" t="s">
        <v>83</v>
      </c>
      <c r="M772">
        <v>2</v>
      </c>
    </row>
    <row r="773" spans="1:13" x14ac:dyDescent="0.25">
      <c r="A773" s="4">
        <v>42931</v>
      </c>
      <c r="B773" t="s">
        <v>30</v>
      </c>
      <c r="C773">
        <v>4</v>
      </c>
      <c r="D773">
        <v>1</v>
      </c>
      <c r="E773" t="s">
        <v>42</v>
      </c>
      <c r="F773" t="s">
        <v>114</v>
      </c>
      <c r="G773">
        <v>1</v>
      </c>
      <c r="H773">
        <v>39480</v>
      </c>
      <c r="I773">
        <v>39479</v>
      </c>
      <c r="J773">
        <v>1</v>
      </c>
      <c r="K773">
        <f>28-14</f>
        <v>14</v>
      </c>
      <c r="L773" t="s">
        <v>47</v>
      </c>
      <c r="M773">
        <v>2</v>
      </c>
    </row>
    <row r="774" spans="1:13" x14ac:dyDescent="0.25">
      <c r="A774" s="4">
        <v>42932</v>
      </c>
      <c r="B774" t="s">
        <v>30</v>
      </c>
      <c r="C774">
        <v>4</v>
      </c>
      <c r="D774">
        <v>1</v>
      </c>
      <c r="E774" t="s">
        <v>35</v>
      </c>
      <c r="F774" t="s">
        <v>36</v>
      </c>
      <c r="G774">
        <v>1</v>
      </c>
      <c r="H774">
        <v>39480</v>
      </c>
      <c r="I774">
        <v>39479</v>
      </c>
      <c r="J774">
        <v>1</v>
      </c>
      <c r="K774">
        <f>33-16.5</f>
        <v>16.5</v>
      </c>
      <c r="L774" t="s">
        <v>47</v>
      </c>
      <c r="M774">
        <v>2</v>
      </c>
    </row>
    <row r="775" spans="1:13" x14ac:dyDescent="0.25">
      <c r="A775" s="4">
        <v>42931</v>
      </c>
      <c r="B775" t="s">
        <v>30</v>
      </c>
      <c r="C775">
        <v>4</v>
      </c>
      <c r="D775">
        <v>1</v>
      </c>
      <c r="E775" t="s">
        <v>42</v>
      </c>
      <c r="F775" t="s">
        <v>114</v>
      </c>
      <c r="G775">
        <v>1</v>
      </c>
      <c r="H775">
        <v>39482</v>
      </c>
      <c r="I775">
        <v>39483</v>
      </c>
      <c r="J775">
        <v>0</v>
      </c>
      <c r="K775">
        <f>31-15</f>
        <v>16</v>
      </c>
      <c r="L775" t="s">
        <v>47</v>
      </c>
      <c r="M775">
        <v>2</v>
      </c>
    </row>
    <row r="776" spans="1:13" x14ac:dyDescent="0.25">
      <c r="A776" s="4">
        <v>42932</v>
      </c>
      <c r="B776" t="s">
        <v>30</v>
      </c>
      <c r="C776">
        <v>4</v>
      </c>
      <c r="D776">
        <v>1</v>
      </c>
      <c r="E776" t="s">
        <v>35</v>
      </c>
      <c r="F776" t="s">
        <v>36</v>
      </c>
      <c r="G776">
        <v>1</v>
      </c>
      <c r="H776">
        <v>39482</v>
      </c>
      <c r="I776">
        <v>39483</v>
      </c>
      <c r="J776">
        <v>0</v>
      </c>
      <c r="K776">
        <f>31.5-15.5</f>
        <v>16</v>
      </c>
      <c r="L776" t="s">
        <v>47</v>
      </c>
      <c r="M776">
        <v>2</v>
      </c>
    </row>
    <row r="777" spans="1:13" x14ac:dyDescent="0.25">
      <c r="A777" s="4">
        <v>42932</v>
      </c>
      <c r="B777" t="s">
        <v>30</v>
      </c>
      <c r="C777">
        <v>1</v>
      </c>
      <c r="D777">
        <v>1</v>
      </c>
      <c r="E777" t="s">
        <v>42</v>
      </c>
      <c r="F777" t="s">
        <v>36</v>
      </c>
      <c r="G777">
        <v>1</v>
      </c>
      <c r="H777">
        <v>39484</v>
      </c>
      <c r="I777">
        <v>39485</v>
      </c>
      <c r="J777">
        <v>0</v>
      </c>
      <c r="K777">
        <f>33.5-14.5</f>
        <v>19</v>
      </c>
      <c r="L777" t="s">
        <v>1039</v>
      </c>
      <c r="M777">
        <v>2</v>
      </c>
    </row>
    <row r="778" spans="1:13" x14ac:dyDescent="0.25">
      <c r="A778" s="4">
        <v>42935</v>
      </c>
      <c r="B778" t="s">
        <v>30</v>
      </c>
      <c r="C778">
        <v>5</v>
      </c>
      <c r="D778">
        <v>1</v>
      </c>
      <c r="E778" t="s">
        <v>42</v>
      </c>
      <c r="F778" t="s">
        <v>114</v>
      </c>
      <c r="G778">
        <v>1</v>
      </c>
      <c r="H778">
        <v>39489</v>
      </c>
      <c r="I778">
        <v>39488</v>
      </c>
      <c r="J778">
        <v>1</v>
      </c>
      <c r="K778">
        <f>30-13</f>
        <v>17</v>
      </c>
      <c r="L778" t="s">
        <v>47</v>
      </c>
      <c r="M778">
        <v>2</v>
      </c>
    </row>
    <row r="779" spans="1:13" x14ac:dyDescent="0.25">
      <c r="A779" s="4">
        <v>42936</v>
      </c>
      <c r="B779" t="s">
        <v>30</v>
      </c>
      <c r="C779">
        <v>5</v>
      </c>
      <c r="D779">
        <v>1</v>
      </c>
      <c r="E779" t="s">
        <v>35</v>
      </c>
      <c r="F779" t="s">
        <v>114</v>
      </c>
      <c r="G779">
        <v>1</v>
      </c>
      <c r="H779">
        <v>39489</v>
      </c>
      <c r="I779">
        <v>39488</v>
      </c>
      <c r="J779">
        <v>1</v>
      </c>
      <c r="K779">
        <f>30-13</f>
        <v>17</v>
      </c>
      <c r="L779" t="s">
        <v>47</v>
      </c>
      <c r="M779">
        <v>2</v>
      </c>
    </row>
    <row r="780" spans="1:13" x14ac:dyDescent="0.25">
      <c r="A780" s="4">
        <v>42935</v>
      </c>
      <c r="B780" t="s">
        <v>30</v>
      </c>
      <c r="C780">
        <v>5</v>
      </c>
      <c r="D780">
        <v>1</v>
      </c>
      <c r="E780" t="s">
        <v>42</v>
      </c>
      <c r="F780" t="s">
        <v>36</v>
      </c>
      <c r="G780">
        <v>2</v>
      </c>
      <c r="H780">
        <v>39491</v>
      </c>
      <c r="I780">
        <v>39490</v>
      </c>
      <c r="J780">
        <v>0</v>
      </c>
      <c r="K780">
        <f>34.5-13</f>
        <v>21.5</v>
      </c>
      <c r="L780" t="s">
        <v>81</v>
      </c>
      <c r="M780">
        <v>2</v>
      </c>
    </row>
    <row r="781" spans="1:13" x14ac:dyDescent="0.25">
      <c r="A781" s="4">
        <v>42936</v>
      </c>
      <c r="B781" t="s">
        <v>30</v>
      </c>
      <c r="C781">
        <v>5</v>
      </c>
      <c r="D781">
        <v>1</v>
      </c>
      <c r="E781" t="s">
        <v>35</v>
      </c>
      <c r="F781" t="s">
        <v>36</v>
      </c>
      <c r="G781">
        <v>2</v>
      </c>
      <c r="H781">
        <v>39491</v>
      </c>
      <c r="I781">
        <v>39490</v>
      </c>
      <c r="J781">
        <v>0</v>
      </c>
      <c r="K781">
        <f>35-14.5</f>
        <v>20.5</v>
      </c>
      <c r="L781" t="s">
        <v>83</v>
      </c>
      <c r="M781">
        <v>2</v>
      </c>
    </row>
    <row r="782" spans="1:13" x14ac:dyDescent="0.25">
      <c r="A782" s="4">
        <v>42937</v>
      </c>
      <c r="B782" t="s">
        <v>30</v>
      </c>
      <c r="C782">
        <v>5</v>
      </c>
      <c r="D782">
        <v>1</v>
      </c>
      <c r="E782" t="s">
        <v>35</v>
      </c>
      <c r="F782" t="s">
        <v>36</v>
      </c>
      <c r="G782">
        <v>2</v>
      </c>
      <c r="H782">
        <v>39491</v>
      </c>
      <c r="I782">
        <v>39490</v>
      </c>
      <c r="J782">
        <v>0</v>
      </c>
      <c r="K782">
        <f>34-14</f>
        <v>20</v>
      </c>
      <c r="L782" t="s">
        <v>1039</v>
      </c>
      <c r="M782">
        <v>2</v>
      </c>
    </row>
    <row r="783" spans="1:13" x14ac:dyDescent="0.25">
      <c r="A783" s="4">
        <v>42935</v>
      </c>
      <c r="B783" t="s">
        <v>30</v>
      </c>
      <c r="C783">
        <v>3</v>
      </c>
      <c r="D783">
        <v>1</v>
      </c>
      <c r="E783" t="s">
        <v>42</v>
      </c>
      <c r="F783" t="s">
        <v>89</v>
      </c>
      <c r="G783">
        <v>1</v>
      </c>
      <c r="H783">
        <v>39494</v>
      </c>
      <c r="I783">
        <v>39493</v>
      </c>
      <c r="J783">
        <v>0</v>
      </c>
      <c r="K783">
        <f>28-14</f>
        <v>14</v>
      </c>
      <c r="L783" t="s">
        <v>65</v>
      </c>
      <c r="M783">
        <v>2</v>
      </c>
    </row>
    <row r="784" spans="1:13" x14ac:dyDescent="0.25">
      <c r="A784" s="4">
        <v>42936</v>
      </c>
      <c r="B784" t="s">
        <v>30</v>
      </c>
      <c r="C784">
        <v>3</v>
      </c>
      <c r="D784">
        <v>1</v>
      </c>
      <c r="E784" t="s">
        <v>35</v>
      </c>
      <c r="F784" t="s">
        <v>89</v>
      </c>
      <c r="G784">
        <v>1</v>
      </c>
      <c r="H784">
        <v>39494</v>
      </c>
      <c r="I784">
        <v>39393</v>
      </c>
      <c r="J784">
        <v>1</v>
      </c>
      <c r="K784">
        <f>34-14</f>
        <v>20</v>
      </c>
      <c r="L784" t="s">
        <v>65</v>
      </c>
      <c r="M784">
        <v>2</v>
      </c>
    </row>
    <row r="785" spans="1:13" x14ac:dyDescent="0.25">
      <c r="A785" s="4">
        <v>42937</v>
      </c>
      <c r="B785" t="s">
        <v>30</v>
      </c>
      <c r="C785">
        <v>3</v>
      </c>
      <c r="D785">
        <v>1</v>
      </c>
      <c r="E785" t="s">
        <v>35</v>
      </c>
      <c r="F785" t="s">
        <v>89</v>
      </c>
      <c r="G785">
        <v>1</v>
      </c>
      <c r="H785">
        <v>39494</v>
      </c>
      <c r="I785">
        <v>39493</v>
      </c>
      <c r="J785">
        <v>1</v>
      </c>
      <c r="K785">
        <f>30-14</f>
        <v>16</v>
      </c>
      <c r="L785" t="s">
        <v>65</v>
      </c>
      <c r="M785">
        <v>2</v>
      </c>
    </row>
    <row r="786" spans="1:13" x14ac:dyDescent="0.25">
      <c r="A786" s="4">
        <v>42947</v>
      </c>
      <c r="B786" t="s">
        <v>30</v>
      </c>
      <c r="C786">
        <v>3</v>
      </c>
      <c r="D786">
        <v>1</v>
      </c>
      <c r="E786" t="s">
        <v>35</v>
      </c>
      <c r="F786" t="s">
        <v>89</v>
      </c>
      <c r="G786">
        <v>1</v>
      </c>
      <c r="H786">
        <v>39494</v>
      </c>
      <c r="I786">
        <v>39493</v>
      </c>
      <c r="J786">
        <v>1</v>
      </c>
      <c r="K786">
        <f>28-13</f>
        <v>15</v>
      </c>
      <c r="M786">
        <v>2</v>
      </c>
    </row>
    <row r="787" spans="1:13" x14ac:dyDescent="0.25">
      <c r="A787" s="4">
        <v>42948</v>
      </c>
      <c r="B787" t="s">
        <v>30</v>
      </c>
      <c r="C787">
        <v>3</v>
      </c>
      <c r="D787">
        <v>1</v>
      </c>
      <c r="E787" t="s">
        <v>35</v>
      </c>
      <c r="F787" t="s">
        <v>114</v>
      </c>
      <c r="G787">
        <v>1</v>
      </c>
      <c r="H787">
        <v>39494</v>
      </c>
      <c r="I787">
        <v>39493</v>
      </c>
      <c r="J787">
        <v>1</v>
      </c>
      <c r="L787" t="s">
        <v>47</v>
      </c>
      <c r="M787">
        <v>2</v>
      </c>
    </row>
    <row r="788" spans="1:13" x14ac:dyDescent="0.25">
      <c r="A788" s="4">
        <v>42949</v>
      </c>
      <c r="B788" t="s">
        <v>30</v>
      </c>
      <c r="C788">
        <v>3</v>
      </c>
      <c r="D788">
        <v>1</v>
      </c>
      <c r="E788" t="s">
        <v>35</v>
      </c>
      <c r="F788" t="s">
        <v>114</v>
      </c>
      <c r="G788">
        <v>1</v>
      </c>
      <c r="H788">
        <v>39494</v>
      </c>
      <c r="I788">
        <v>39493</v>
      </c>
      <c r="J788">
        <v>1</v>
      </c>
      <c r="K788">
        <f>33.5-16</f>
        <v>17.5</v>
      </c>
      <c r="L788" t="s">
        <v>47</v>
      </c>
      <c r="M788">
        <v>2</v>
      </c>
    </row>
    <row r="789" spans="1:13" x14ac:dyDescent="0.25">
      <c r="A789" s="4">
        <v>42961</v>
      </c>
      <c r="B789" t="s">
        <v>30</v>
      </c>
      <c r="C789">
        <v>3</v>
      </c>
      <c r="D789">
        <v>1</v>
      </c>
      <c r="E789" t="s">
        <v>35</v>
      </c>
      <c r="F789" t="s">
        <v>89</v>
      </c>
      <c r="G789">
        <v>1</v>
      </c>
      <c r="H789">
        <v>39494</v>
      </c>
      <c r="I789">
        <v>39493</v>
      </c>
      <c r="J789">
        <v>0</v>
      </c>
      <c r="K789">
        <f>31-14</f>
        <v>17</v>
      </c>
      <c r="L789" t="s">
        <v>65</v>
      </c>
      <c r="M789">
        <v>2</v>
      </c>
    </row>
    <row r="790" spans="1:13" x14ac:dyDescent="0.25">
      <c r="A790" s="4">
        <v>42962</v>
      </c>
      <c r="B790" t="s">
        <v>30</v>
      </c>
      <c r="C790">
        <v>3</v>
      </c>
      <c r="D790">
        <v>1</v>
      </c>
      <c r="E790" t="s">
        <v>35</v>
      </c>
      <c r="F790" t="s">
        <v>89</v>
      </c>
      <c r="G790">
        <v>1</v>
      </c>
      <c r="H790">
        <v>39494</v>
      </c>
      <c r="I790">
        <v>39493</v>
      </c>
      <c r="J790">
        <v>0</v>
      </c>
      <c r="K790">
        <f>31-14</f>
        <v>17</v>
      </c>
      <c r="L790" t="s">
        <v>65</v>
      </c>
      <c r="M790">
        <v>2</v>
      </c>
    </row>
    <row r="791" spans="1:13" x14ac:dyDescent="0.25">
      <c r="A791" s="4">
        <v>42936</v>
      </c>
      <c r="B791" t="s">
        <v>30</v>
      </c>
      <c r="C791">
        <v>5</v>
      </c>
      <c r="D791">
        <v>1</v>
      </c>
      <c r="E791" t="s">
        <v>42</v>
      </c>
      <c r="F791" t="s">
        <v>114</v>
      </c>
      <c r="G791">
        <v>1</v>
      </c>
      <c r="H791">
        <v>39496</v>
      </c>
      <c r="I791">
        <v>39495</v>
      </c>
      <c r="J791">
        <v>0</v>
      </c>
      <c r="K791">
        <f>30-13.5</f>
        <v>16.5</v>
      </c>
      <c r="L791" t="s">
        <v>47</v>
      </c>
      <c r="M791">
        <v>2</v>
      </c>
    </row>
    <row r="792" spans="1:13" x14ac:dyDescent="0.25">
      <c r="A792" s="4">
        <v>42957</v>
      </c>
      <c r="B792" t="s">
        <v>30</v>
      </c>
      <c r="C792">
        <v>2</v>
      </c>
      <c r="D792">
        <v>1</v>
      </c>
      <c r="E792" t="s">
        <v>42</v>
      </c>
      <c r="F792" t="s">
        <v>36</v>
      </c>
      <c r="G792">
        <v>1</v>
      </c>
      <c r="H792">
        <v>39515</v>
      </c>
      <c r="I792">
        <v>39514</v>
      </c>
      <c r="J792">
        <v>0</v>
      </c>
      <c r="K792">
        <f>30-14</f>
        <v>16</v>
      </c>
      <c r="L792" t="s">
        <v>65</v>
      </c>
      <c r="M792">
        <v>2</v>
      </c>
    </row>
    <row r="793" spans="1:13" x14ac:dyDescent="0.25">
      <c r="A793" s="4">
        <v>42937</v>
      </c>
      <c r="B793" t="s">
        <v>30</v>
      </c>
      <c r="C793">
        <v>7</v>
      </c>
      <c r="D793">
        <v>1</v>
      </c>
      <c r="E793" t="s">
        <v>35</v>
      </c>
      <c r="F793" t="s">
        <v>36</v>
      </c>
      <c r="G793">
        <v>1</v>
      </c>
      <c r="H793">
        <v>39552</v>
      </c>
      <c r="I793">
        <v>39551</v>
      </c>
      <c r="J793">
        <v>0</v>
      </c>
      <c r="K793">
        <f>32-14</f>
        <v>18</v>
      </c>
      <c r="L793" t="s">
        <v>47</v>
      </c>
      <c r="M793">
        <v>2</v>
      </c>
    </row>
    <row r="794" spans="1:13" x14ac:dyDescent="0.25">
      <c r="A794" s="4">
        <v>42963</v>
      </c>
      <c r="B794" t="s">
        <v>30</v>
      </c>
      <c r="C794">
        <v>5</v>
      </c>
      <c r="D794">
        <v>1</v>
      </c>
      <c r="E794" t="s">
        <v>35</v>
      </c>
      <c r="F794" t="s">
        <v>36</v>
      </c>
      <c r="G794">
        <v>1</v>
      </c>
      <c r="H794">
        <v>39675</v>
      </c>
      <c r="I794">
        <v>39674</v>
      </c>
      <c r="J794">
        <v>0</v>
      </c>
      <c r="K794">
        <f>30-13</f>
        <v>17</v>
      </c>
      <c r="L794" t="s">
        <v>47</v>
      </c>
      <c r="M794">
        <v>2</v>
      </c>
    </row>
    <row r="795" spans="1:13" x14ac:dyDescent="0.25">
      <c r="A795" s="4">
        <v>42941</v>
      </c>
      <c r="B795" t="s">
        <v>30</v>
      </c>
      <c r="C795">
        <v>1</v>
      </c>
      <c r="D795">
        <v>1</v>
      </c>
      <c r="E795" t="s">
        <v>42</v>
      </c>
      <c r="F795" t="s">
        <v>36</v>
      </c>
      <c r="G795">
        <v>1</v>
      </c>
      <c r="H795">
        <v>39727</v>
      </c>
      <c r="I795">
        <v>39726</v>
      </c>
      <c r="J795">
        <v>1</v>
      </c>
      <c r="K795">
        <f>32-13</f>
        <v>19</v>
      </c>
      <c r="L795" t="s">
        <v>47</v>
      </c>
      <c r="M795">
        <v>2</v>
      </c>
    </row>
    <row r="796" spans="1:13" x14ac:dyDescent="0.25">
      <c r="A796" s="4">
        <v>42941</v>
      </c>
      <c r="B796" t="s">
        <v>30</v>
      </c>
      <c r="C796">
        <v>1</v>
      </c>
      <c r="D796">
        <v>1</v>
      </c>
      <c r="E796" t="s">
        <v>42</v>
      </c>
      <c r="F796" t="s">
        <v>114</v>
      </c>
      <c r="G796">
        <v>1</v>
      </c>
      <c r="H796">
        <v>39730</v>
      </c>
      <c r="I796">
        <v>39729</v>
      </c>
      <c r="J796">
        <v>0</v>
      </c>
      <c r="K796">
        <f>30-14</f>
        <v>16</v>
      </c>
      <c r="L796" t="s">
        <v>47</v>
      </c>
      <c r="M796">
        <v>2</v>
      </c>
    </row>
    <row r="797" spans="1:13" x14ac:dyDescent="0.25">
      <c r="A797" s="4">
        <v>42942</v>
      </c>
      <c r="B797" t="s">
        <v>30</v>
      </c>
      <c r="C797">
        <v>1</v>
      </c>
      <c r="D797">
        <v>1</v>
      </c>
      <c r="E797" t="s">
        <v>35</v>
      </c>
      <c r="F797" t="s">
        <v>89</v>
      </c>
      <c r="G797">
        <v>1</v>
      </c>
      <c r="H797">
        <v>39730</v>
      </c>
      <c r="I797">
        <v>39729</v>
      </c>
      <c r="J797">
        <v>0</v>
      </c>
      <c r="K797">
        <f>30.5-15</f>
        <v>15.5</v>
      </c>
      <c r="L797" t="s">
        <v>65</v>
      </c>
      <c r="M797">
        <v>2</v>
      </c>
    </row>
    <row r="798" spans="1:13" x14ac:dyDescent="0.25">
      <c r="A798" s="4">
        <v>42941</v>
      </c>
      <c r="B798" t="s">
        <v>30</v>
      </c>
      <c r="C798">
        <v>1</v>
      </c>
      <c r="D798">
        <v>1</v>
      </c>
      <c r="E798" t="s">
        <v>42</v>
      </c>
      <c r="F798" t="s">
        <v>36</v>
      </c>
      <c r="G798">
        <v>2</v>
      </c>
      <c r="H798">
        <v>39732</v>
      </c>
      <c r="I798">
        <v>39731</v>
      </c>
      <c r="J798">
        <v>1</v>
      </c>
      <c r="K798">
        <f>38-14</f>
        <v>24</v>
      </c>
      <c r="L798" t="s">
        <v>1041</v>
      </c>
      <c r="M798">
        <v>2</v>
      </c>
    </row>
    <row r="799" spans="1:13" x14ac:dyDescent="0.25">
      <c r="A799" s="4">
        <v>42942</v>
      </c>
      <c r="B799" t="s">
        <v>30</v>
      </c>
      <c r="C799">
        <v>1</v>
      </c>
      <c r="D799">
        <v>1</v>
      </c>
      <c r="E799" t="s">
        <v>35</v>
      </c>
      <c r="F799" t="s">
        <v>36</v>
      </c>
      <c r="G799">
        <v>2</v>
      </c>
      <c r="H799">
        <v>39732</v>
      </c>
      <c r="I799">
        <v>39731</v>
      </c>
      <c r="J799">
        <v>1</v>
      </c>
      <c r="K799">
        <f>35-14</f>
        <v>21</v>
      </c>
      <c r="L799" t="s">
        <v>1039</v>
      </c>
      <c r="M799">
        <v>2</v>
      </c>
    </row>
    <row r="800" spans="1:13" x14ac:dyDescent="0.25">
      <c r="A800" s="4">
        <v>42943</v>
      </c>
      <c r="B800" t="s">
        <v>30</v>
      </c>
      <c r="C800">
        <v>1</v>
      </c>
      <c r="D800">
        <v>1</v>
      </c>
      <c r="E800" t="s">
        <v>35</v>
      </c>
      <c r="F800" t="s">
        <v>36</v>
      </c>
      <c r="G800">
        <v>2</v>
      </c>
      <c r="H800">
        <v>39732</v>
      </c>
      <c r="I800">
        <v>39731</v>
      </c>
      <c r="J800">
        <v>1</v>
      </c>
      <c r="K800">
        <f>33-14</f>
        <v>19</v>
      </c>
      <c r="L800" t="s">
        <v>1039</v>
      </c>
      <c r="M800">
        <v>2</v>
      </c>
    </row>
    <row r="801" spans="1:13" x14ac:dyDescent="0.25">
      <c r="A801" s="4">
        <v>42941</v>
      </c>
      <c r="B801" t="s">
        <v>30</v>
      </c>
      <c r="C801">
        <v>1</v>
      </c>
      <c r="D801">
        <v>1</v>
      </c>
      <c r="E801" t="s">
        <v>42</v>
      </c>
      <c r="F801" t="s">
        <v>89</v>
      </c>
      <c r="G801">
        <v>2</v>
      </c>
      <c r="H801">
        <v>39734</v>
      </c>
      <c r="I801">
        <v>39733</v>
      </c>
      <c r="J801">
        <v>1</v>
      </c>
      <c r="K801">
        <f>28-13.5</f>
        <v>14.5</v>
      </c>
      <c r="L801" t="s">
        <v>38</v>
      </c>
      <c r="M801">
        <v>2</v>
      </c>
    </row>
    <row r="802" spans="1:13" x14ac:dyDescent="0.25">
      <c r="A802" s="4">
        <v>42942</v>
      </c>
      <c r="B802" t="s">
        <v>30</v>
      </c>
      <c r="C802">
        <v>1</v>
      </c>
      <c r="D802">
        <v>1</v>
      </c>
      <c r="E802" t="s">
        <v>35</v>
      </c>
      <c r="F802" t="s">
        <v>114</v>
      </c>
      <c r="G802">
        <v>2</v>
      </c>
      <c r="H802">
        <v>39734</v>
      </c>
      <c r="I802">
        <v>39733</v>
      </c>
      <c r="J802">
        <v>1</v>
      </c>
      <c r="K802">
        <f>30-15</f>
        <v>15</v>
      </c>
      <c r="L802" t="s">
        <v>38</v>
      </c>
      <c r="M802">
        <v>2</v>
      </c>
    </row>
    <row r="803" spans="1:13" x14ac:dyDescent="0.25">
      <c r="A803" s="4">
        <v>42956</v>
      </c>
      <c r="B803" t="s">
        <v>30</v>
      </c>
      <c r="C803">
        <v>1</v>
      </c>
      <c r="D803">
        <v>1</v>
      </c>
      <c r="E803" t="s">
        <v>35</v>
      </c>
      <c r="F803" t="s">
        <v>36</v>
      </c>
      <c r="G803">
        <v>2</v>
      </c>
      <c r="H803">
        <v>39734</v>
      </c>
      <c r="I803">
        <v>39733</v>
      </c>
      <c r="J803">
        <v>0</v>
      </c>
      <c r="K803">
        <f>32-15</f>
        <v>17</v>
      </c>
      <c r="L803" t="s">
        <v>38</v>
      </c>
      <c r="M803">
        <v>2</v>
      </c>
    </row>
    <row r="804" spans="1:13" x14ac:dyDescent="0.25">
      <c r="A804" s="4">
        <v>42937</v>
      </c>
      <c r="B804" t="s">
        <v>30</v>
      </c>
      <c r="C804">
        <v>9</v>
      </c>
      <c r="D804">
        <v>1</v>
      </c>
      <c r="E804" t="s">
        <v>42</v>
      </c>
      <c r="F804" t="s">
        <v>114</v>
      </c>
      <c r="G804">
        <v>1</v>
      </c>
      <c r="H804">
        <v>39736</v>
      </c>
      <c r="I804">
        <v>39735</v>
      </c>
      <c r="J804">
        <v>0</v>
      </c>
      <c r="K804">
        <f>29-13</f>
        <v>16</v>
      </c>
      <c r="L804" t="s">
        <v>65</v>
      </c>
      <c r="M804">
        <v>2</v>
      </c>
    </row>
    <row r="805" spans="1:13" x14ac:dyDescent="0.25">
      <c r="A805" s="4">
        <v>42949</v>
      </c>
      <c r="B805" t="s">
        <v>30</v>
      </c>
      <c r="C805">
        <v>9</v>
      </c>
      <c r="D805">
        <v>1</v>
      </c>
      <c r="E805" t="s">
        <v>35</v>
      </c>
      <c r="F805" t="s">
        <v>36</v>
      </c>
      <c r="G805">
        <v>1</v>
      </c>
      <c r="H805">
        <v>39736</v>
      </c>
      <c r="I805">
        <v>39735</v>
      </c>
      <c r="J805">
        <v>0</v>
      </c>
      <c r="K805">
        <f>31.5-14.5</f>
        <v>17</v>
      </c>
      <c r="L805" t="s">
        <v>47</v>
      </c>
      <c r="M805">
        <v>2</v>
      </c>
    </row>
    <row r="806" spans="1:13" x14ac:dyDescent="0.25">
      <c r="A806" s="4">
        <v>42963</v>
      </c>
      <c r="B806" t="s">
        <v>30</v>
      </c>
      <c r="C806">
        <v>9</v>
      </c>
      <c r="D806">
        <v>1</v>
      </c>
      <c r="E806" t="s">
        <v>35</v>
      </c>
      <c r="F806" t="s">
        <v>36</v>
      </c>
      <c r="G806">
        <v>1</v>
      </c>
      <c r="H806">
        <v>39736</v>
      </c>
      <c r="I806">
        <v>39735</v>
      </c>
      <c r="J806">
        <v>0</v>
      </c>
      <c r="K806">
        <f>32.5-13.5</f>
        <v>19</v>
      </c>
      <c r="L806" t="s">
        <v>47</v>
      </c>
      <c r="M806">
        <v>2</v>
      </c>
    </row>
    <row r="807" spans="1:13" x14ac:dyDescent="0.25">
      <c r="A807" s="4">
        <v>42937</v>
      </c>
      <c r="B807" t="s">
        <v>30</v>
      </c>
      <c r="C807">
        <v>8</v>
      </c>
      <c r="D807">
        <v>1</v>
      </c>
      <c r="E807" t="s">
        <v>42</v>
      </c>
      <c r="F807" t="s">
        <v>36</v>
      </c>
      <c r="G807">
        <v>1</v>
      </c>
      <c r="H807">
        <v>39738</v>
      </c>
      <c r="I807">
        <v>39737</v>
      </c>
      <c r="J807">
        <v>0</v>
      </c>
      <c r="K807">
        <f>36-14.5</f>
        <v>21.5</v>
      </c>
      <c r="L807" t="s">
        <v>47</v>
      </c>
      <c r="M807">
        <v>2</v>
      </c>
    </row>
    <row r="808" spans="1:13" x14ac:dyDescent="0.25">
      <c r="A808" s="4">
        <v>42937</v>
      </c>
      <c r="B808" t="s">
        <v>30</v>
      </c>
      <c r="C808">
        <v>7</v>
      </c>
      <c r="D808">
        <v>1</v>
      </c>
      <c r="E808" t="s">
        <v>42</v>
      </c>
      <c r="F808" t="s">
        <v>36</v>
      </c>
      <c r="G808">
        <v>1</v>
      </c>
      <c r="H808">
        <v>39741</v>
      </c>
      <c r="I808">
        <v>39740</v>
      </c>
      <c r="J808">
        <v>0</v>
      </c>
      <c r="K808">
        <f>37-15</f>
        <v>22</v>
      </c>
      <c r="L808" t="s">
        <v>47</v>
      </c>
      <c r="M808">
        <v>2</v>
      </c>
    </row>
    <row r="809" spans="1:13" x14ac:dyDescent="0.25">
      <c r="A809" s="4">
        <v>42947</v>
      </c>
      <c r="B809" t="s">
        <v>30</v>
      </c>
      <c r="C809">
        <v>7</v>
      </c>
      <c r="D809">
        <v>1</v>
      </c>
      <c r="E809" t="s">
        <v>35</v>
      </c>
      <c r="F809" t="s">
        <v>36</v>
      </c>
      <c r="G809">
        <v>1</v>
      </c>
      <c r="H809">
        <v>39741</v>
      </c>
      <c r="I809">
        <v>39740</v>
      </c>
      <c r="J809">
        <v>0</v>
      </c>
      <c r="K809">
        <f>37-14</f>
        <v>23</v>
      </c>
      <c r="L809" t="s">
        <v>47</v>
      </c>
      <c r="M809">
        <v>2</v>
      </c>
    </row>
    <row r="810" spans="1:13" x14ac:dyDescent="0.25">
      <c r="A810" s="4">
        <v>42948</v>
      </c>
      <c r="B810" t="s">
        <v>30</v>
      </c>
      <c r="C810">
        <v>7</v>
      </c>
      <c r="D810">
        <v>1</v>
      </c>
      <c r="E810" t="s">
        <v>35</v>
      </c>
      <c r="F810" t="s">
        <v>36</v>
      </c>
      <c r="G810">
        <v>1</v>
      </c>
      <c r="H810">
        <v>39741</v>
      </c>
      <c r="I810">
        <v>39740</v>
      </c>
      <c r="J810">
        <v>0</v>
      </c>
      <c r="K810">
        <f>37-15</f>
        <v>22</v>
      </c>
      <c r="L810" t="s">
        <v>47</v>
      </c>
      <c r="M810">
        <v>2</v>
      </c>
    </row>
    <row r="811" spans="1:13" x14ac:dyDescent="0.25">
      <c r="A811" s="4">
        <v>42949</v>
      </c>
      <c r="B811" t="s">
        <v>30</v>
      </c>
      <c r="C811">
        <v>7</v>
      </c>
      <c r="D811">
        <v>1</v>
      </c>
      <c r="E811" t="s">
        <v>35</v>
      </c>
      <c r="F811" t="s">
        <v>36</v>
      </c>
      <c r="G811">
        <v>1</v>
      </c>
      <c r="H811">
        <v>39741</v>
      </c>
      <c r="I811">
        <v>39740</v>
      </c>
      <c r="J811">
        <v>0</v>
      </c>
      <c r="K811">
        <f>36-13</f>
        <v>23</v>
      </c>
      <c r="L811" t="s">
        <v>47</v>
      </c>
      <c r="M811">
        <v>2</v>
      </c>
    </row>
    <row r="812" spans="1:13" x14ac:dyDescent="0.25">
      <c r="A812" s="4">
        <v>42961</v>
      </c>
      <c r="B812" t="s">
        <v>30</v>
      </c>
      <c r="C812">
        <v>7</v>
      </c>
      <c r="D812">
        <v>1</v>
      </c>
      <c r="E812" t="s">
        <v>35</v>
      </c>
      <c r="F812" t="s">
        <v>36</v>
      </c>
      <c r="G812">
        <v>1</v>
      </c>
      <c r="H812">
        <v>39741</v>
      </c>
      <c r="I812">
        <v>39740</v>
      </c>
      <c r="J812">
        <v>1</v>
      </c>
      <c r="K812">
        <f>36-14</f>
        <v>22</v>
      </c>
      <c r="L812" t="s">
        <v>65</v>
      </c>
      <c r="M812">
        <v>2</v>
      </c>
    </row>
    <row r="813" spans="1:13" x14ac:dyDescent="0.25">
      <c r="A813" s="4">
        <v>42962</v>
      </c>
      <c r="B813" t="s">
        <v>30</v>
      </c>
      <c r="C813">
        <v>7</v>
      </c>
      <c r="D813">
        <v>1</v>
      </c>
      <c r="E813" t="s">
        <v>35</v>
      </c>
      <c r="F813" t="s">
        <v>36</v>
      </c>
      <c r="G813">
        <v>1</v>
      </c>
      <c r="H813">
        <v>39741</v>
      </c>
      <c r="I813">
        <v>39740</v>
      </c>
      <c r="J813">
        <v>1</v>
      </c>
      <c r="K813">
        <f>34-13</f>
        <v>21</v>
      </c>
      <c r="L813" t="s">
        <v>47</v>
      </c>
      <c r="M813">
        <v>2</v>
      </c>
    </row>
    <row r="814" spans="1:13" x14ac:dyDescent="0.25">
      <c r="A814" s="4">
        <v>42963</v>
      </c>
      <c r="B814" t="s">
        <v>30</v>
      </c>
      <c r="C814">
        <v>7</v>
      </c>
      <c r="D814">
        <v>1</v>
      </c>
      <c r="E814" t="s">
        <v>35</v>
      </c>
      <c r="F814" t="s">
        <v>36</v>
      </c>
      <c r="G814">
        <v>1</v>
      </c>
      <c r="H814">
        <v>39741</v>
      </c>
      <c r="I814">
        <v>39740</v>
      </c>
      <c r="J814">
        <v>1</v>
      </c>
      <c r="K814">
        <f>35-14</f>
        <v>21</v>
      </c>
      <c r="L814" t="s">
        <v>47</v>
      </c>
      <c r="M814">
        <v>2</v>
      </c>
    </row>
    <row r="815" spans="1:13" x14ac:dyDescent="0.25">
      <c r="A815" s="4">
        <v>42937</v>
      </c>
      <c r="B815" t="s">
        <v>30</v>
      </c>
      <c r="C815">
        <v>7</v>
      </c>
      <c r="D815">
        <v>1</v>
      </c>
      <c r="E815" t="s">
        <v>35</v>
      </c>
      <c r="F815" t="s">
        <v>36</v>
      </c>
      <c r="G815">
        <v>1</v>
      </c>
      <c r="H815">
        <v>39743</v>
      </c>
      <c r="I815">
        <v>39742</v>
      </c>
      <c r="J815">
        <v>0</v>
      </c>
      <c r="K815">
        <f>33.5-13</f>
        <v>20.5</v>
      </c>
      <c r="L815" t="s">
        <v>47</v>
      </c>
      <c r="M815">
        <v>2</v>
      </c>
    </row>
    <row r="816" spans="1:13" x14ac:dyDescent="0.25">
      <c r="A816" s="4">
        <v>42948</v>
      </c>
      <c r="B816" t="s">
        <v>30</v>
      </c>
      <c r="C816">
        <v>7</v>
      </c>
      <c r="D816">
        <v>1</v>
      </c>
      <c r="E816" t="s">
        <v>35</v>
      </c>
      <c r="F816" t="s">
        <v>36</v>
      </c>
      <c r="G816">
        <v>1</v>
      </c>
      <c r="H816">
        <v>39743</v>
      </c>
      <c r="I816">
        <v>39742</v>
      </c>
      <c r="J816">
        <v>0</v>
      </c>
      <c r="K816">
        <f>35-14</f>
        <v>21</v>
      </c>
      <c r="L816" t="s">
        <v>65</v>
      </c>
      <c r="M816">
        <v>2</v>
      </c>
    </row>
    <row r="817" spans="1:13" x14ac:dyDescent="0.25">
      <c r="A817" s="4">
        <v>42949</v>
      </c>
      <c r="B817" t="s">
        <v>30</v>
      </c>
      <c r="C817">
        <v>7</v>
      </c>
      <c r="D817">
        <v>1</v>
      </c>
      <c r="E817" t="s">
        <v>35</v>
      </c>
      <c r="F817" t="s">
        <v>36</v>
      </c>
      <c r="G817">
        <v>1</v>
      </c>
      <c r="H817">
        <v>39743</v>
      </c>
      <c r="I817">
        <v>39742</v>
      </c>
      <c r="J817">
        <v>0</v>
      </c>
      <c r="K817">
        <f>33-14</f>
        <v>19</v>
      </c>
      <c r="L817" t="s">
        <v>47</v>
      </c>
      <c r="M817">
        <v>2</v>
      </c>
    </row>
    <row r="818" spans="1:13" x14ac:dyDescent="0.25">
      <c r="A818" s="4">
        <v>42961</v>
      </c>
      <c r="B818" t="s">
        <v>30</v>
      </c>
      <c r="C818">
        <v>7</v>
      </c>
      <c r="D818">
        <v>1</v>
      </c>
      <c r="E818" t="s">
        <v>35</v>
      </c>
      <c r="F818" t="s">
        <v>36</v>
      </c>
      <c r="G818">
        <v>1</v>
      </c>
      <c r="H818">
        <v>39743</v>
      </c>
      <c r="I818">
        <v>39742</v>
      </c>
      <c r="J818">
        <v>1</v>
      </c>
      <c r="K818">
        <f>36-14</f>
        <v>22</v>
      </c>
      <c r="L818" t="s">
        <v>47</v>
      </c>
      <c r="M818">
        <v>2</v>
      </c>
    </row>
    <row r="819" spans="1:13" x14ac:dyDescent="0.25">
      <c r="A819" s="4">
        <v>42962</v>
      </c>
      <c r="B819" t="s">
        <v>30</v>
      </c>
      <c r="C819">
        <v>7</v>
      </c>
      <c r="D819">
        <v>1</v>
      </c>
      <c r="E819" t="s">
        <v>35</v>
      </c>
      <c r="F819" t="s">
        <v>36</v>
      </c>
      <c r="G819">
        <v>1</v>
      </c>
      <c r="H819">
        <v>39743</v>
      </c>
      <c r="I819">
        <v>39742</v>
      </c>
      <c r="J819">
        <v>1</v>
      </c>
      <c r="K819">
        <f>32-13</f>
        <v>19</v>
      </c>
      <c r="L819" t="s">
        <v>47</v>
      </c>
      <c r="M819">
        <v>2</v>
      </c>
    </row>
    <row r="820" spans="1:13" x14ac:dyDescent="0.25">
      <c r="A820" s="4">
        <v>42963</v>
      </c>
      <c r="B820" t="s">
        <v>30</v>
      </c>
      <c r="C820">
        <v>7</v>
      </c>
      <c r="D820">
        <v>1</v>
      </c>
      <c r="E820" t="s">
        <v>35</v>
      </c>
      <c r="F820" t="s">
        <v>36</v>
      </c>
      <c r="G820">
        <v>1</v>
      </c>
      <c r="H820">
        <v>39743</v>
      </c>
      <c r="I820">
        <v>39742</v>
      </c>
      <c r="J820">
        <v>1</v>
      </c>
      <c r="K820">
        <f>34-13.5</f>
        <v>20.5</v>
      </c>
      <c r="L820" t="s">
        <v>47</v>
      </c>
      <c r="M820">
        <v>2</v>
      </c>
    </row>
    <row r="821" spans="1:13" x14ac:dyDescent="0.25">
      <c r="A821" s="4">
        <v>42937</v>
      </c>
      <c r="B821" t="s">
        <v>30</v>
      </c>
      <c r="C821">
        <v>7</v>
      </c>
      <c r="D821">
        <v>1</v>
      </c>
      <c r="E821" t="s">
        <v>42</v>
      </c>
      <c r="F821" t="s">
        <v>114</v>
      </c>
      <c r="G821">
        <v>2</v>
      </c>
      <c r="H821">
        <v>39745</v>
      </c>
      <c r="I821">
        <v>39744</v>
      </c>
      <c r="J821">
        <v>1</v>
      </c>
      <c r="K821">
        <f>29-14</f>
        <v>15</v>
      </c>
      <c r="L821" t="s">
        <v>83</v>
      </c>
      <c r="M821">
        <v>2</v>
      </c>
    </row>
    <row r="822" spans="1:13" x14ac:dyDescent="0.25">
      <c r="A822" s="4">
        <v>42937</v>
      </c>
      <c r="B822" t="s">
        <v>30</v>
      </c>
      <c r="C822">
        <v>7</v>
      </c>
      <c r="D822">
        <v>1</v>
      </c>
      <c r="E822" t="s">
        <v>42</v>
      </c>
      <c r="F822" t="s">
        <v>36</v>
      </c>
      <c r="G822">
        <v>1</v>
      </c>
      <c r="H822">
        <v>39747</v>
      </c>
      <c r="I822">
        <v>39746</v>
      </c>
      <c r="J822">
        <v>0</v>
      </c>
      <c r="K822">
        <f>32-14</f>
        <v>18</v>
      </c>
      <c r="L822" t="s">
        <v>47</v>
      </c>
      <c r="M822">
        <v>2</v>
      </c>
    </row>
    <row r="823" spans="1:13" x14ac:dyDescent="0.25">
      <c r="A823" s="4">
        <v>42947</v>
      </c>
      <c r="B823" t="s">
        <v>30</v>
      </c>
      <c r="C823">
        <v>7</v>
      </c>
      <c r="D823">
        <v>1</v>
      </c>
      <c r="E823" t="s">
        <v>35</v>
      </c>
      <c r="F823" t="s">
        <v>36</v>
      </c>
      <c r="G823">
        <v>1</v>
      </c>
      <c r="H823">
        <v>39747</v>
      </c>
      <c r="I823">
        <v>39746</v>
      </c>
      <c r="J823">
        <v>1</v>
      </c>
      <c r="K823">
        <f>34-14</f>
        <v>20</v>
      </c>
      <c r="L823" t="s">
        <v>47</v>
      </c>
      <c r="M823">
        <v>2</v>
      </c>
    </row>
    <row r="824" spans="1:13" x14ac:dyDescent="0.25">
      <c r="A824" s="4">
        <v>42961</v>
      </c>
      <c r="B824" t="s">
        <v>30</v>
      </c>
      <c r="C824">
        <v>7</v>
      </c>
      <c r="D824">
        <v>1</v>
      </c>
      <c r="E824" t="s">
        <v>35</v>
      </c>
      <c r="F824" t="s">
        <v>36</v>
      </c>
      <c r="G824">
        <v>1</v>
      </c>
      <c r="H824">
        <v>39747</v>
      </c>
      <c r="I824">
        <v>39746</v>
      </c>
      <c r="J824">
        <v>1</v>
      </c>
      <c r="K824">
        <f>33-13</f>
        <v>20</v>
      </c>
      <c r="L824" t="s">
        <v>47</v>
      </c>
      <c r="M824">
        <v>2</v>
      </c>
    </row>
    <row r="825" spans="1:13" x14ac:dyDescent="0.25">
      <c r="A825" s="4">
        <v>42936</v>
      </c>
      <c r="B825" t="s">
        <v>30</v>
      </c>
      <c r="C825">
        <v>4</v>
      </c>
      <c r="D825">
        <v>1</v>
      </c>
      <c r="E825" t="s">
        <v>42</v>
      </c>
      <c r="F825" t="s">
        <v>114</v>
      </c>
      <c r="G825">
        <v>2</v>
      </c>
      <c r="H825">
        <v>39749</v>
      </c>
      <c r="I825">
        <v>39748</v>
      </c>
      <c r="J825">
        <v>1</v>
      </c>
      <c r="K825">
        <f>30-14.5</f>
        <v>15.5</v>
      </c>
      <c r="L825" t="s">
        <v>83</v>
      </c>
      <c r="M825">
        <v>2</v>
      </c>
    </row>
    <row r="826" spans="1:13" x14ac:dyDescent="0.25">
      <c r="A826" s="4">
        <v>42929</v>
      </c>
      <c r="B826" t="s">
        <v>30</v>
      </c>
      <c r="C826">
        <v>8</v>
      </c>
      <c r="D826">
        <v>1</v>
      </c>
      <c r="E826" t="s">
        <v>35</v>
      </c>
      <c r="F826" t="s">
        <v>114</v>
      </c>
      <c r="G826">
        <v>1</v>
      </c>
      <c r="H826">
        <v>39755</v>
      </c>
      <c r="I826">
        <v>39754</v>
      </c>
      <c r="J826">
        <v>0</v>
      </c>
      <c r="K826">
        <f>32-16</f>
        <v>16</v>
      </c>
      <c r="L826" t="s">
        <v>47</v>
      </c>
      <c r="M826">
        <v>2</v>
      </c>
    </row>
    <row r="827" spans="1:13" x14ac:dyDescent="0.25">
      <c r="A827" s="4">
        <v>42935</v>
      </c>
      <c r="B827" t="s">
        <v>30</v>
      </c>
      <c r="C827">
        <v>8</v>
      </c>
      <c r="D827">
        <v>1</v>
      </c>
      <c r="E827" t="s">
        <v>35</v>
      </c>
      <c r="F827" t="s">
        <v>114</v>
      </c>
      <c r="G827">
        <v>1</v>
      </c>
      <c r="H827">
        <v>39755</v>
      </c>
      <c r="I827">
        <v>39754</v>
      </c>
      <c r="J827">
        <v>1</v>
      </c>
      <c r="K827">
        <f>29-14</f>
        <v>15</v>
      </c>
      <c r="L827" t="s">
        <v>65</v>
      </c>
      <c r="M827">
        <v>2</v>
      </c>
    </row>
    <row r="828" spans="1:13" x14ac:dyDescent="0.25">
      <c r="A828" s="4">
        <v>42937</v>
      </c>
      <c r="B828" t="s">
        <v>30</v>
      </c>
      <c r="C828">
        <v>8</v>
      </c>
      <c r="D828">
        <v>1</v>
      </c>
      <c r="E828" t="s">
        <v>35</v>
      </c>
      <c r="F828" t="s">
        <v>89</v>
      </c>
      <c r="G828">
        <v>1</v>
      </c>
      <c r="H828">
        <v>39755</v>
      </c>
      <c r="I828">
        <v>39754</v>
      </c>
      <c r="J828">
        <v>1</v>
      </c>
      <c r="K828">
        <f>29-14</f>
        <v>15</v>
      </c>
      <c r="L828" t="s">
        <v>65</v>
      </c>
      <c r="M828">
        <v>2</v>
      </c>
    </row>
    <row r="829" spans="1:13" x14ac:dyDescent="0.25">
      <c r="A829" s="4">
        <v>42929</v>
      </c>
      <c r="B829" t="s">
        <v>30</v>
      </c>
      <c r="C829">
        <v>8</v>
      </c>
      <c r="D829">
        <v>1</v>
      </c>
      <c r="E829" t="s">
        <v>35</v>
      </c>
      <c r="F829" t="s">
        <v>36</v>
      </c>
      <c r="G829">
        <v>2</v>
      </c>
      <c r="H829">
        <v>39758</v>
      </c>
      <c r="I829">
        <v>39757</v>
      </c>
      <c r="J829">
        <v>0</v>
      </c>
      <c r="K829">
        <f>33.5-15.5</f>
        <v>18</v>
      </c>
      <c r="L829" t="s">
        <v>1040</v>
      </c>
      <c r="M829">
        <v>2</v>
      </c>
    </row>
    <row r="830" spans="1:13" x14ac:dyDescent="0.25">
      <c r="A830" s="4">
        <v>42935</v>
      </c>
      <c r="B830" t="s">
        <v>30</v>
      </c>
      <c r="C830">
        <v>8</v>
      </c>
      <c r="D830">
        <v>1</v>
      </c>
      <c r="E830" t="s">
        <v>35</v>
      </c>
      <c r="F830" t="s">
        <v>36</v>
      </c>
      <c r="G830">
        <v>2</v>
      </c>
      <c r="H830">
        <v>39758</v>
      </c>
      <c r="I830">
        <v>39757</v>
      </c>
      <c r="J830">
        <v>0</v>
      </c>
      <c r="K830">
        <f>35-14</f>
        <v>21</v>
      </c>
      <c r="L830" t="s">
        <v>1041</v>
      </c>
      <c r="M830">
        <v>2</v>
      </c>
    </row>
    <row r="831" spans="1:13" x14ac:dyDescent="0.25">
      <c r="A831" s="4">
        <v>42937</v>
      </c>
      <c r="B831" t="s">
        <v>30</v>
      </c>
      <c r="C831">
        <v>8</v>
      </c>
      <c r="D831">
        <v>1</v>
      </c>
      <c r="E831" t="s">
        <v>35</v>
      </c>
      <c r="F831" t="s">
        <v>36</v>
      </c>
      <c r="G831">
        <v>2</v>
      </c>
      <c r="H831">
        <v>39758</v>
      </c>
      <c r="I831">
        <v>39757</v>
      </c>
      <c r="J831">
        <v>0</v>
      </c>
      <c r="K831">
        <f>39-14</f>
        <v>25</v>
      </c>
      <c r="L831" t="s">
        <v>81</v>
      </c>
      <c r="M831">
        <v>2</v>
      </c>
    </row>
    <row r="832" spans="1:13" x14ac:dyDescent="0.25">
      <c r="A832" s="4">
        <v>42929</v>
      </c>
      <c r="B832" t="s">
        <v>30</v>
      </c>
      <c r="C832">
        <v>9</v>
      </c>
      <c r="D832">
        <v>1</v>
      </c>
      <c r="E832" t="s">
        <v>35</v>
      </c>
      <c r="F832" t="s">
        <v>114</v>
      </c>
      <c r="G832">
        <v>1</v>
      </c>
      <c r="H832">
        <v>39762</v>
      </c>
      <c r="I832">
        <v>39761</v>
      </c>
      <c r="J832">
        <v>0</v>
      </c>
      <c r="K832">
        <f>47-25.5</f>
        <v>21.5</v>
      </c>
      <c r="L832" t="s">
        <v>65</v>
      </c>
      <c r="M832">
        <v>2</v>
      </c>
    </row>
    <row r="833" spans="1:13" x14ac:dyDescent="0.25">
      <c r="A833" s="4">
        <v>42929</v>
      </c>
      <c r="B833" t="s">
        <v>30</v>
      </c>
      <c r="C833">
        <v>9</v>
      </c>
      <c r="D833">
        <v>1</v>
      </c>
      <c r="E833" t="s">
        <v>35</v>
      </c>
      <c r="F833" t="s">
        <v>36</v>
      </c>
      <c r="G833">
        <v>2</v>
      </c>
      <c r="H833">
        <v>39764</v>
      </c>
      <c r="I833">
        <v>39763</v>
      </c>
      <c r="J833">
        <v>0</v>
      </c>
      <c r="K833">
        <f>43-15.5</f>
        <v>27.5</v>
      </c>
      <c r="L833" t="s">
        <v>81</v>
      </c>
      <c r="M833">
        <v>2</v>
      </c>
    </row>
    <row r="834" spans="1:13" x14ac:dyDescent="0.25">
      <c r="A834" s="4">
        <v>42935</v>
      </c>
      <c r="B834" t="s">
        <v>30</v>
      </c>
      <c r="C834">
        <v>9</v>
      </c>
      <c r="D834">
        <v>1</v>
      </c>
      <c r="E834" t="s">
        <v>35</v>
      </c>
      <c r="F834" t="s">
        <v>36</v>
      </c>
      <c r="G834">
        <v>2</v>
      </c>
      <c r="H834">
        <v>39764</v>
      </c>
      <c r="I834">
        <v>39763</v>
      </c>
      <c r="J834">
        <v>0</v>
      </c>
      <c r="K834">
        <f>35-14</f>
        <v>21</v>
      </c>
      <c r="L834" t="s">
        <v>38</v>
      </c>
      <c r="M834">
        <v>2</v>
      </c>
    </row>
    <row r="835" spans="1:13" x14ac:dyDescent="0.25">
      <c r="A835" s="4">
        <v>42936</v>
      </c>
      <c r="B835" t="s">
        <v>30</v>
      </c>
      <c r="C835">
        <v>9</v>
      </c>
      <c r="D835">
        <v>1</v>
      </c>
      <c r="E835" t="s">
        <v>35</v>
      </c>
      <c r="F835" t="s">
        <v>36</v>
      </c>
      <c r="G835">
        <v>2</v>
      </c>
      <c r="H835">
        <v>39764</v>
      </c>
      <c r="I835">
        <v>39763</v>
      </c>
      <c r="J835">
        <v>0</v>
      </c>
      <c r="K835">
        <f>35-14</f>
        <v>21</v>
      </c>
      <c r="L835" t="s">
        <v>83</v>
      </c>
      <c r="M835">
        <v>2</v>
      </c>
    </row>
    <row r="836" spans="1:13" x14ac:dyDescent="0.25">
      <c r="A836" s="4">
        <v>42937</v>
      </c>
      <c r="B836" t="s">
        <v>30</v>
      </c>
      <c r="C836">
        <v>9</v>
      </c>
      <c r="D836">
        <v>1</v>
      </c>
      <c r="E836" t="s">
        <v>35</v>
      </c>
      <c r="F836" t="s">
        <v>36</v>
      </c>
      <c r="G836">
        <v>2</v>
      </c>
      <c r="H836">
        <v>39764</v>
      </c>
      <c r="I836">
        <v>39763</v>
      </c>
      <c r="J836">
        <v>0</v>
      </c>
      <c r="K836">
        <f>33-14</f>
        <v>19</v>
      </c>
      <c r="L836" t="s">
        <v>1039</v>
      </c>
      <c r="M836">
        <v>2</v>
      </c>
    </row>
    <row r="837" spans="1:13" x14ac:dyDescent="0.25">
      <c r="A837" s="4">
        <v>42947</v>
      </c>
      <c r="B837" t="s">
        <v>30</v>
      </c>
      <c r="C837">
        <v>9</v>
      </c>
      <c r="D837">
        <v>1</v>
      </c>
      <c r="E837" t="s">
        <v>35</v>
      </c>
      <c r="F837" t="s">
        <v>36</v>
      </c>
      <c r="G837">
        <v>2</v>
      </c>
      <c r="H837">
        <v>39764</v>
      </c>
      <c r="I837">
        <v>39763</v>
      </c>
      <c r="J837">
        <v>0</v>
      </c>
      <c r="K837">
        <f>44-14</f>
        <v>30</v>
      </c>
      <c r="L837" t="s">
        <v>1041</v>
      </c>
      <c r="M837">
        <v>2</v>
      </c>
    </row>
    <row r="838" spans="1:13" x14ac:dyDescent="0.25">
      <c r="A838" s="4">
        <v>42948</v>
      </c>
      <c r="B838" t="s">
        <v>30</v>
      </c>
      <c r="C838">
        <v>9</v>
      </c>
      <c r="D838">
        <v>1</v>
      </c>
      <c r="E838" t="s">
        <v>35</v>
      </c>
      <c r="F838" t="s">
        <v>36</v>
      </c>
      <c r="G838">
        <v>2</v>
      </c>
      <c r="H838">
        <v>39764</v>
      </c>
      <c r="I838">
        <v>39763</v>
      </c>
      <c r="J838">
        <v>0</v>
      </c>
      <c r="K838">
        <f>38-14.5</f>
        <v>23.5</v>
      </c>
      <c r="L838" t="s">
        <v>1039</v>
      </c>
      <c r="M838">
        <v>2</v>
      </c>
    </row>
    <row r="839" spans="1:13" x14ac:dyDescent="0.25">
      <c r="A839" s="4">
        <v>42929</v>
      </c>
      <c r="B839" t="s">
        <v>30</v>
      </c>
      <c r="C839">
        <v>8</v>
      </c>
      <c r="D839">
        <v>1</v>
      </c>
      <c r="E839" t="s">
        <v>35</v>
      </c>
      <c r="F839" t="s">
        <v>114</v>
      </c>
      <c r="G839">
        <v>1</v>
      </c>
      <c r="H839">
        <v>39766</v>
      </c>
      <c r="I839">
        <v>39765</v>
      </c>
      <c r="J839">
        <v>0</v>
      </c>
      <c r="K839">
        <f>32-17</f>
        <v>15</v>
      </c>
      <c r="L839" t="s">
        <v>47</v>
      </c>
      <c r="M839">
        <v>2</v>
      </c>
    </row>
    <row r="840" spans="1:13" x14ac:dyDescent="0.25">
      <c r="A840" s="4">
        <v>42935</v>
      </c>
      <c r="B840" t="s">
        <v>30</v>
      </c>
      <c r="C840">
        <v>8</v>
      </c>
      <c r="D840">
        <v>1</v>
      </c>
      <c r="E840" t="s">
        <v>35</v>
      </c>
      <c r="F840" t="s">
        <v>114</v>
      </c>
      <c r="G840">
        <v>1</v>
      </c>
      <c r="H840">
        <v>39766</v>
      </c>
      <c r="I840">
        <v>39765</v>
      </c>
      <c r="J840">
        <v>0</v>
      </c>
      <c r="K840">
        <f>33-15</f>
        <v>18</v>
      </c>
      <c r="L840" t="s">
        <v>47</v>
      </c>
      <c r="M840">
        <v>2</v>
      </c>
    </row>
    <row r="841" spans="1:13" x14ac:dyDescent="0.25">
      <c r="A841" s="4">
        <v>42936</v>
      </c>
      <c r="B841" t="s">
        <v>30</v>
      </c>
      <c r="C841">
        <v>8</v>
      </c>
      <c r="D841">
        <v>1</v>
      </c>
      <c r="E841" t="s">
        <v>35</v>
      </c>
      <c r="F841" t="s">
        <v>114</v>
      </c>
      <c r="G841">
        <v>1</v>
      </c>
      <c r="H841">
        <v>39766</v>
      </c>
      <c r="I841">
        <v>39765</v>
      </c>
      <c r="J841">
        <v>0</v>
      </c>
      <c r="K841">
        <f>31-15</f>
        <v>16</v>
      </c>
      <c r="L841" t="s">
        <v>47</v>
      </c>
      <c r="M841">
        <v>2</v>
      </c>
    </row>
    <row r="842" spans="1:13" x14ac:dyDescent="0.25">
      <c r="A842" s="4">
        <v>42937</v>
      </c>
      <c r="B842" t="s">
        <v>30</v>
      </c>
      <c r="C842">
        <v>8</v>
      </c>
      <c r="D842">
        <v>1</v>
      </c>
      <c r="E842" t="s">
        <v>35</v>
      </c>
      <c r="F842" t="s">
        <v>114</v>
      </c>
      <c r="G842">
        <v>1</v>
      </c>
      <c r="H842">
        <v>39766</v>
      </c>
      <c r="I842">
        <v>39765</v>
      </c>
      <c r="J842">
        <v>0</v>
      </c>
      <c r="K842">
        <f>30.5-14.5</f>
        <v>16</v>
      </c>
      <c r="L842" t="s">
        <v>47</v>
      </c>
      <c r="M842">
        <v>2</v>
      </c>
    </row>
    <row r="843" spans="1:13" x14ac:dyDescent="0.25">
      <c r="A843" s="4">
        <v>42929</v>
      </c>
      <c r="B843" t="s">
        <v>30</v>
      </c>
      <c r="C843">
        <v>8</v>
      </c>
      <c r="D843">
        <v>1</v>
      </c>
      <c r="E843" t="s">
        <v>35</v>
      </c>
      <c r="F843" t="s">
        <v>36</v>
      </c>
      <c r="G843">
        <v>1</v>
      </c>
      <c r="H843">
        <v>39768</v>
      </c>
      <c r="I843">
        <v>39767</v>
      </c>
      <c r="J843">
        <v>0</v>
      </c>
      <c r="K843">
        <f>34.5-15</f>
        <v>19.5</v>
      </c>
      <c r="L843" t="s">
        <v>47</v>
      </c>
      <c r="M843">
        <v>2</v>
      </c>
    </row>
    <row r="844" spans="1:13" x14ac:dyDescent="0.25">
      <c r="A844" s="4">
        <v>42929</v>
      </c>
      <c r="B844" t="s">
        <v>30</v>
      </c>
      <c r="C844">
        <v>7</v>
      </c>
      <c r="D844">
        <v>1</v>
      </c>
      <c r="E844" t="s">
        <v>35</v>
      </c>
      <c r="F844" t="s">
        <v>36</v>
      </c>
      <c r="G844">
        <v>2</v>
      </c>
      <c r="H844">
        <v>39771</v>
      </c>
      <c r="I844">
        <v>39770</v>
      </c>
      <c r="J844">
        <v>0</v>
      </c>
      <c r="K844">
        <f>31-14</f>
        <v>17</v>
      </c>
      <c r="L844" t="s">
        <v>83</v>
      </c>
      <c r="M844">
        <v>2</v>
      </c>
    </row>
    <row r="845" spans="1:13" x14ac:dyDescent="0.25">
      <c r="A845" s="4">
        <v>42935</v>
      </c>
      <c r="B845" t="s">
        <v>30</v>
      </c>
      <c r="C845">
        <v>7</v>
      </c>
      <c r="D845">
        <v>1</v>
      </c>
      <c r="E845" t="s">
        <v>35</v>
      </c>
      <c r="F845" t="s">
        <v>36</v>
      </c>
      <c r="G845">
        <v>2</v>
      </c>
      <c r="H845">
        <v>39771</v>
      </c>
      <c r="I845">
        <v>39770</v>
      </c>
      <c r="J845">
        <v>1</v>
      </c>
      <c r="K845">
        <f>38-14</f>
        <v>24</v>
      </c>
      <c r="L845" t="s">
        <v>1041</v>
      </c>
      <c r="M845">
        <v>2</v>
      </c>
    </row>
    <row r="846" spans="1:13" x14ac:dyDescent="0.25">
      <c r="A846" s="4">
        <v>42936</v>
      </c>
      <c r="B846" t="s">
        <v>30</v>
      </c>
      <c r="C846">
        <v>7</v>
      </c>
      <c r="D846">
        <v>1</v>
      </c>
      <c r="E846" t="s">
        <v>35</v>
      </c>
      <c r="F846" t="s">
        <v>36</v>
      </c>
      <c r="G846">
        <v>2</v>
      </c>
      <c r="H846">
        <v>39771</v>
      </c>
      <c r="I846">
        <v>39770</v>
      </c>
      <c r="J846">
        <v>1</v>
      </c>
      <c r="K846">
        <f>38-14</f>
        <v>24</v>
      </c>
      <c r="L846" t="s">
        <v>81</v>
      </c>
      <c r="M846">
        <v>2</v>
      </c>
    </row>
    <row r="847" spans="1:13" x14ac:dyDescent="0.25">
      <c r="A847" s="4">
        <v>42937</v>
      </c>
      <c r="B847" t="s">
        <v>30</v>
      </c>
      <c r="C847">
        <v>7</v>
      </c>
      <c r="D847">
        <v>1</v>
      </c>
      <c r="E847" t="s">
        <v>35</v>
      </c>
      <c r="F847" t="s">
        <v>36</v>
      </c>
      <c r="G847">
        <v>2</v>
      </c>
      <c r="H847">
        <v>39771</v>
      </c>
      <c r="I847">
        <v>39770</v>
      </c>
      <c r="J847">
        <v>1</v>
      </c>
      <c r="K847">
        <f>39-13</f>
        <v>26</v>
      </c>
      <c r="L847" t="s">
        <v>81</v>
      </c>
      <c r="M847">
        <v>2</v>
      </c>
    </row>
    <row r="848" spans="1:13" x14ac:dyDescent="0.25">
      <c r="A848" s="4">
        <v>42947</v>
      </c>
      <c r="B848" t="s">
        <v>30</v>
      </c>
      <c r="C848">
        <v>7</v>
      </c>
      <c r="D848">
        <v>1</v>
      </c>
      <c r="E848" t="s">
        <v>35</v>
      </c>
      <c r="F848" t="s">
        <v>36</v>
      </c>
      <c r="G848">
        <v>2</v>
      </c>
      <c r="H848">
        <v>39771</v>
      </c>
      <c r="I848">
        <v>39770</v>
      </c>
      <c r="J848">
        <v>0</v>
      </c>
      <c r="K848">
        <f>34-14</f>
        <v>20</v>
      </c>
      <c r="L848" t="s">
        <v>1041</v>
      </c>
      <c r="M848">
        <v>2</v>
      </c>
    </row>
    <row r="849" spans="1:13" x14ac:dyDescent="0.25">
      <c r="A849" s="4">
        <v>42948</v>
      </c>
      <c r="B849" t="s">
        <v>30</v>
      </c>
      <c r="C849">
        <v>7</v>
      </c>
      <c r="D849">
        <v>1</v>
      </c>
      <c r="E849" t="s">
        <v>35</v>
      </c>
      <c r="F849" t="s">
        <v>36</v>
      </c>
      <c r="G849">
        <v>2</v>
      </c>
      <c r="H849">
        <v>39771</v>
      </c>
      <c r="I849">
        <v>39770</v>
      </c>
      <c r="J849">
        <v>0</v>
      </c>
      <c r="K849">
        <f>32-13</f>
        <v>19</v>
      </c>
      <c r="L849" t="s">
        <v>1041</v>
      </c>
      <c r="M849">
        <v>2</v>
      </c>
    </row>
    <row r="850" spans="1:13" x14ac:dyDescent="0.25">
      <c r="A850" s="4">
        <v>42949</v>
      </c>
      <c r="B850" t="s">
        <v>30</v>
      </c>
      <c r="C850">
        <v>7</v>
      </c>
      <c r="D850">
        <v>1</v>
      </c>
      <c r="E850" t="s">
        <v>35</v>
      </c>
      <c r="F850" t="s">
        <v>36</v>
      </c>
      <c r="G850">
        <v>2</v>
      </c>
      <c r="H850">
        <v>39771</v>
      </c>
      <c r="I850">
        <v>39770</v>
      </c>
      <c r="J850">
        <v>0</v>
      </c>
      <c r="K850">
        <f>32-14</f>
        <v>18</v>
      </c>
      <c r="L850" t="s">
        <v>1041</v>
      </c>
      <c r="M850">
        <v>2</v>
      </c>
    </row>
    <row r="851" spans="1:13" x14ac:dyDescent="0.25">
      <c r="A851" s="4">
        <v>42961</v>
      </c>
      <c r="B851" t="s">
        <v>30</v>
      </c>
      <c r="C851">
        <v>7</v>
      </c>
      <c r="D851">
        <v>1</v>
      </c>
      <c r="E851" t="s">
        <v>35</v>
      </c>
      <c r="F851" t="s">
        <v>36</v>
      </c>
      <c r="G851">
        <v>2</v>
      </c>
      <c r="H851">
        <v>39771</v>
      </c>
      <c r="I851">
        <v>39770</v>
      </c>
      <c r="J851">
        <v>1</v>
      </c>
      <c r="K851">
        <f>32-13</f>
        <v>19</v>
      </c>
      <c r="L851" t="s">
        <v>1039</v>
      </c>
      <c r="M851">
        <v>2</v>
      </c>
    </row>
    <row r="852" spans="1:13" x14ac:dyDescent="0.25">
      <c r="A852" s="4">
        <v>42962</v>
      </c>
      <c r="B852" t="s">
        <v>30</v>
      </c>
      <c r="C852">
        <v>7</v>
      </c>
      <c r="D852">
        <v>1</v>
      </c>
      <c r="E852" t="s">
        <v>35</v>
      </c>
      <c r="F852" t="s">
        <v>36</v>
      </c>
      <c r="G852">
        <v>2</v>
      </c>
      <c r="H852">
        <v>39771</v>
      </c>
      <c r="I852">
        <v>39770</v>
      </c>
      <c r="J852">
        <v>1</v>
      </c>
      <c r="K852">
        <f>34-14</f>
        <v>20</v>
      </c>
      <c r="L852" t="s">
        <v>1039</v>
      </c>
      <c r="M852">
        <v>2</v>
      </c>
    </row>
    <row r="853" spans="1:13" x14ac:dyDescent="0.25">
      <c r="A853" s="4">
        <v>42963</v>
      </c>
      <c r="B853" t="s">
        <v>30</v>
      </c>
      <c r="C853">
        <v>7</v>
      </c>
      <c r="D853">
        <v>1</v>
      </c>
      <c r="E853" t="s">
        <v>35</v>
      </c>
      <c r="F853" t="s">
        <v>36</v>
      </c>
      <c r="G853">
        <v>2</v>
      </c>
      <c r="H853">
        <v>39771</v>
      </c>
      <c r="I853">
        <v>39770</v>
      </c>
      <c r="J853">
        <v>1</v>
      </c>
      <c r="K853">
        <f>33-13</f>
        <v>20</v>
      </c>
      <c r="L853" t="s">
        <v>1039</v>
      </c>
      <c r="M853">
        <v>2</v>
      </c>
    </row>
    <row r="854" spans="1:13" x14ac:dyDescent="0.25">
      <c r="A854" s="4">
        <v>43300</v>
      </c>
      <c r="B854" t="s">
        <v>30</v>
      </c>
      <c r="C854">
        <v>7</v>
      </c>
      <c r="D854">
        <v>1</v>
      </c>
      <c r="E854" t="s">
        <v>35</v>
      </c>
      <c r="F854" t="s">
        <v>36</v>
      </c>
      <c r="G854">
        <v>2</v>
      </c>
      <c r="H854">
        <v>39771</v>
      </c>
      <c r="I854">
        <v>39770</v>
      </c>
      <c r="J854">
        <v>0</v>
      </c>
      <c r="K854">
        <f>37.75-15</f>
        <v>22.75</v>
      </c>
      <c r="L854" t="s">
        <v>1041</v>
      </c>
      <c r="M854">
        <v>3</v>
      </c>
    </row>
    <row r="855" spans="1:13" x14ac:dyDescent="0.25">
      <c r="A855" s="4">
        <v>43301</v>
      </c>
      <c r="B855" t="s">
        <v>30</v>
      </c>
      <c r="C855">
        <v>7</v>
      </c>
      <c r="D855">
        <v>1</v>
      </c>
      <c r="E855" t="s">
        <v>35</v>
      </c>
      <c r="F855" t="s">
        <v>36</v>
      </c>
      <c r="G855">
        <v>2</v>
      </c>
      <c r="H855">
        <v>39771</v>
      </c>
      <c r="I855">
        <v>39770</v>
      </c>
      <c r="J855">
        <v>0</v>
      </c>
      <c r="K855">
        <f>36-15</f>
        <v>21</v>
      </c>
      <c r="L855" t="s">
        <v>83</v>
      </c>
      <c r="M855">
        <v>3</v>
      </c>
    </row>
    <row r="856" spans="1:13" x14ac:dyDescent="0.25">
      <c r="A856" s="4">
        <v>43302</v>
      </c>
      <c r="B856" t="s">
        <v>30</v>
      </c>
      <c r="C856">
        <v>7</v>
      </c>
      <c r="D856">
        <v>1</v>
      </c>
      <c r="E856" t="s">
        <v>35</v>
      </c>
      <c r="F856" t="s">
        <v>36</v>
      </c>
      <c r="G856">
        <v>2</v>
      </c>
      <c r="H856">
        <v>39771</v>
      </c>
      <c r="I856">
        <v>39770</v>
      </c>
      <c r="J856">
        <v>0</v>
      </c>
      <c r="K856">
        <f>31-11</f>
        <v>20</v>
      </c>
      <c r="L856" t="s">
        <v>38</v>
      </c>
      <c r="M856">
        <v>3</v>
      </c>
    </row>
    <row r="857" spans="1:13" x14ac:dyDescent="0.25">
      <c r="A857" s="4">
        <v>43316</v>
      </c>
      <c r="B857" t="s">
        <v>30</v>
      </c>
      <c r="C857">
        <v>7</v>
      </c>
      <c r="D857">
        <v>1</v>
      </c>
      <c r="E857" t="s">
        <v>35</v>
      </c>
      <c r="F857" t="s">
        <v>36</v>
      </c>
      <c r="G857">
        <v>2</v>
      </c>
      <c r="H857">
        <v>39771</v>
      </c>
      <c r="I857">
        <v>39770</v>
      </c>
      <c r="J857">
        <v>0</v>
      </c>
      <c r="K857">
        <f>30-9</f>
        <v>21</v>
      </c>
      <c r="L857" t="s">
        <v>38</v>
      </c>
      <c r="M857">
        <v>3</v>
      </c>
    </row>
    <row r="858" spans="1:13" x14ac:dyDescent="0.25">
      <c r="A858" s="4">
        <v>43317</v>
      </c>
      <c r="B858" t="s">
        <v>30</v>
      </c>
      <c r="C858">
        <v>7</v>
      </c>
      <c r="D858">
        <v>1</v>
      </c>
      <c r="E858" t="s">
        <v>35</v>
      </c>
      <c r="F858" t="s">
        <v>36</v>
      </c>
      <c r="G858">
        <v>2</v>
      </c>
      <c r="H858">
        <v>39771</v>
      </c>
      <c r="I858">
        <v>39770</v>
      </c>
      <c r="J858">
        <v>0</v>
      </c>
      <c r="K858">
        <f>27.75-9.75</f>
        <v>18</v>
      </c>
      <c r="L858" t="s">
        <v>38</v>
      </c>
      <c r="M858">
        <v>3</v>
      </c>
    </row>
    <row r="859" spans="1:13" x14ac:dyDescent="0.25">
      <c r="A859" s="4">
        <v>43318</v>
      </c>
      <c r="B859" t="s">
        <v>30</v>
      </c>
      <c r="C859">
        <v>7</v>
      </c>
      <c r="D859">
        <v>1</v>
      </c>
      <c r="E859" t="s">
        <v>35</v>
      </c>
      <c r="F859" t="s">
        <v>36</v>
      </c>
      <c r="G859">
        <v>2</v>
      </c>
      <c r="H859">
        <v>39771</v>
      </c>
      <c r="I859">
        <v>39770</v>
      </c>
      <c r="J859">
        <v>0</v>
      </c>
      <c r="K859">
        <f>37.5-19</f>
        <v>18.5</v>
      </c>
      <c r="L859" t="s">
        <v>38</v>
      </c>
      <c r="M859">
        <v>3</v>
      </c>
    </row>
    <row r="860" spans="1:13" x14ac:dyDescent="0.25">
      <c r="A860" s="4">
        <v>43325</v>
      </c>
      <c r="B860" t="s">
        <v>30</v>
      </c>
      <c r="C860">
        <v>7</v>
      </c>
      <c r="D860">
        <v>1</v>
      </c>
      <c r="E860" t="s">
        <v>35</v>
      </c>
      <c r="F860" t="s">
        <v>36</v>
      </c>
      <c r="G860">
        <v>2</v>
      </c>
      <c r="H860">
        <v>39771</v>
      </c>
      <c r="I860">
        <v>39770</v>
      </c>
      <c r="J860">
        <v>0</v>
      </c>
      <c r="K860">
        <f>34-16</f>
        <v>18</v>
      </c>
      <c r="L860" t="s">
        <v>38</v>
      </c>
      <c r="M860">
        <v>3</v>
      </c>
    </row>
    <row r="861" spans="1:13" x14ac:dyDescent="0.25">
      <c r="A861" s="4">
        <v>43326</v>
      </c>
      <c r="B861" t="s">
        <v>30</v>
      </c>
      <c r="C861">
        <v>7</v>
      </c>
      <c r="D861">
        <v>1</v>
      </c>
      <c r="E861" t="s">
        <v>35</v>
      </c>
      <c r="F861" t="s">
        <v>36</v>
      </c>
      <c r="G861">
        <v>2</v>
      </c>
      <c r="H861">
        <v>39771</v>
      </c>
      <c r="I861">
        <v>39770</v>
      </c>
      <c r="J861">
        <v>0</v>
      </c>
      <c r="K861">
        <f>41-22</f>
        <v>19</v>
      </c>
      <c r="L861" t="s">
        <v>38</v>
      </c>
      <c r="M861">
        <v>3</v>
      </c>
    </row>
    <row r="862" spans="1:13" x14ac:dyDescent="0.25">
      <c r="A862" s="4">
        <v>43327</v>
      </c>
      <c r="B862" t="s">
        <v>30</v>
      </c>
      <c r="C862">
        <v>7</v>
      </c>
      <c r="D862">
        <v>1</v>
      </c>
      <c r="E862" t="s">
        <v>35</v>
      </c>
      <c r="F862" t="s">
        <v>36</v>
      </c>
      <c r="G862">
        <v>2</v>
      </c>
      <c r="H862">
        <v>39771</v>
      </c>
      <c r="I862">
        <v>39770</v>
      </c>
      <c r="J862">
        <v>0</v>
      </c>
      <c r="K862">
        <f>28.5-9.75</f>
        <v>18.75</v>
      </c>
      <c r="L862" t="s">
        <v>38</v>
      </c>
      <c r="M862">
        <v>3</v>
      </c>
    </row>
    <row r="863" spans="1:13" x14ac:dyDescent="0.25">
      <c r="A863" s="4">
        <v>42929</v>
      </c>
      <c r="B863" t="s">
        <v>30</v>
      </c>
      <c r="C863">
        <v>8</v>
      </c>
      <c r="D863">
        <v>1</v>
      </c>
      <c r="E863" t="s">
        <v>42</v>
      </c>
      <c r="F863" t="s">
        <v>89</v>
      </c>
      <c r="G863">
        <v>1</v>
      </c>
      <c r="H863">
        <v>39779</v>
      </c>
      <c r="I863">
        <v>39778</v>
      </c>
      <c r="J863">
        <v>0</v>
      </c>
      <c r="K863">
        <f>27.5-15</f>
        <v>12.5</v>
      </c>
      <c r="L863" t="s">
        <v>65</v>
      </c>
      <c r="M863">
        <v>2</v>
      </c>
    </row>
    <row r="864" spans="1:13" x14ac:dyDescent="0.25">
      <c r="A864" s="4">
        <v>42935</v>
      </c>
      <c r="B864" t="s">
        <v>30</v>
      </c>
      <c r="C864">
        <v>8</v>
      </c>
      <c r="D864">
        <v>1</v>
      </c>
      <c r="E864" t="s">
        <v>35</v>
      </c>
      <c r="F864" t="s">
        <v>114</v>
      </c>
      <c r="G864">
        <v>1</v>
      </c>
      <c r="H864">
        <v>39779</v>
      </c>
      <c r="I864">
        <v>39778</v>
      </c>
      <c r="J864">
        <v>1</v>
      </c>
      <c r="K864">
        <f>28-14</f>
        <v>14</v>
      </c>
      <c r="L864" t="s">
        <v>47</v>
      </c>
      <c r="M864">
        <v>2</v>
      </c>
    </row>
    <row r="865" spans="1:13" x14ac:dyDescent="0.25">
      <c r="A865" s="4">
        <v>42937</v>
      </c>
      <c r="B865" t="s">
        <v>30</v>
      </c>
      <c r="C865">
        <v>8</v>
      </c>
      <c r="D865">
        <v>1</v>
      </c>
      <c r="E865" t="s">
        <v>35</v>
      </c>
      <c r="F865" t="s">
        <v>114</v>
      </c>
      <c r="G865">
        <v>1</v>
      </c>
      <c r="H865">
        <v>39779</v>
      </c>
      <c r="I865">
        <v>39778</v>
      </c>
      <c r="J865">
        <v>1</v>
      </c>
      <c r="K865">
        <f>28-13</f>
        <v>15</v>
      </c>
      <c r="L865" t="s">
        <v>47</v>
      </c>
      <c r="M865">
        <v>2</v>
      </c>
    </row>
    <row r="866" spans="1:13" x14ac:dyDescent="0.25">
      <c r="A866" s="4">
        <v>42929</v>
      </c>
      <c r="B866" t="s">
        <v>30</v>
      </c>
      <c r="C866">
        <v>8</v>
      </c>
      <c r="D866">
        <v>1</v>
      </c>
      <c r="E866" t="s">
        <v>42</v>
      </c>
      <c r="F866" t="s">
        <v>36</v>
      </c>
      <c r="G866">
        <v>2</v>
      </c>
      <c r="H866">
        <v>39782</v>
      </c>
      <c r="I866">
        <v>39781</v>
      </c>
      <c r="J866">
        <v>0</v>
      </c>
      <c r="K866">
        <f>42.5-21.5</f>
        <v>21</v>
      </c>
      <c r="L866" t="s">
        <v>81</v>
      </c>
      <c r="M866">
        <v>2</v>
      </c>
    </row>
    <row r="867" spans="1:13" x14ac:dyDescent="0.25">
      <c r="A867" s="4">
        <v>42929</v>
      </c>
      <c r="B867" t="s">
        <v>30</v>
      </c>
      <c r="C867">
        <v>8</v>
      </c>
      <c r="D867">
        <v>1</v>
      </c>
      <c r="E867" t="s">
        <v>42</v>
      </c>
      <c r="F867" t="s">
        <v>114</v>
      </c>
      <c r="G867">
        <v>1</v>
      </c>
      <c r="H867">
        <v>39786</v>
      </c>
      <c r="I867">
        <v>39785</v>
      </c>
      <c r="J867">
        <v>0</v>
      </c>
      <c r="K867">
        <f>34-16</f>
        <v>18</v>
      </c>
      <c r="L867" t="s">
        <v>47</v>
      </c>
      <c r="M867">
        <v>2</v>
      </c>
    </row>
    <row r="868" spans="1:13" x14ac:dyDescent="0.25">
      <c r="A868" s="4">
        <v>42929</v>
      </c>
      <c r="B868" t="s">
        <v>30</v>
      </c>
      <c r="C868">
        <v>9</v>
      </c>
      <c r="D868">
        <v>1</v>
      </c>
      <c r="E868" t="s">
        <v>42</v>
      </c>
      <c r="F868" t="s">
        <v>36</v>
      </c>
      <c r="G868">
        <v>1</v>
      </c>
      <c r="H868">
        <v>39788</v>
      </c>
      <c r="I868">
        <v>39787</v>
      </c>
      <c r="J868">
        <v>0</v>
      </c>
      <c r="K868">
        <f>38-16.5</f>
        <v>21.5</v>
      </c>
      <c r="L868" t="s">
        <v>47</v>
      </c>
      <c r="M868">
        <v>2</v>
      </c>
    </row>
    <row r="869" spans="1:13" x14ac:dyDescent="0.25">
      <c r="A869" s="4">
        <v>42935</v>
      </c>
      <c r="B869" t="s">
        <v>30</v>
      </c>
      <c r="C869">
        <v>9</v>
      </c>
      <c r="D869">
        <v>1</v>
      </c>
      <c r="E869" t="s">
        <v>35</v>
      </c>
      <c r="F869" t="s">
        <v>36</v>
      </c>
      <c r="G869">
        <v>1</v>
      </c>
      <c r="H869">
        <v>39788</v>
      </c>
      <c r="I869">
        <v>39787</v>
      </c>
      <c r="J869">
        <v>0</v>
      </c>
      <c r="K869">
        <f>35-15</f>
        <v>20</v>
      </c>
      <c r="L869" t="s">
        <v>47</v>
      </c>
      <c r="M869">
        <v>2</v>
      </c>
    </row>
    <row r="870" spans="1:13" x14ac:dyDescent="0.25">
      <c r="A870" s="4">
        <v>42936</v>
      </c>
      <c r="B870" t="s">
        <v>30</v>
      </c>
      <c r="C870">
        <v>9</v>
      </c>
      <c r="D870">
        <v>1</v>
      </c>
      <c r="E870" t="s">
        <v>54</v>
      </c>
      <c r="F870" t="s">
        <v>36</v>
      </c>
      <c r="H870">
        <v>39788</v>
      </c>
      <c r="I870">
        <v>39787</v>
      </c>
      <c r="J870">
        <v>0</v>
      </c>
      <c r="M870">
        <v>2</v>
      </c>
    </row>
    <row r="871" spans="1:13" x14ac:dyDescent="0.25">
      <c r="A871" s="4">
        <v>42949</v>
      </c>
      <c r="B871" t="s">
        <v>30</v>
      </c>
      <c r="C871">
        <v>9</v>
      </c>
      <c r="D871">
        <v>1</v>
      </c>
      <c r="E871" t="s">
        <v>35</v>
      </c>
      <c r="F871" t="s">
        <v>36</v>
      </c>
      <c r="G871">
        <v>1</v>
      </c>
      <c r="H871">
        <v>39788</v>
      </c>
      <c r="I871">
        <v>39787</v>
      </c>
      <c r="J871">
        <v>0</v>
      </c>
      <c r="K871">
        <f>35-14</f>
        <v>21</v>
      </c>
      <c r="L871" t="s">
        <v>47</v>
      </c>
      <c r="M871">
        <v>2</v>
      </c>
    </row>
    <row r="872" spans="1:13" x14ac:dyDescent="0.25">
      <c r="A872" s="4">
        <v>42929</v>
      </c>
      <c r="B872" t="s">
        <v>30</v>
      </c>
      <c r="C872">
        <v>9</v>
      </c>
      <c r="D872">
        <v>1</v>
      </c>
      <c r="E872" t="s">
        <v>42</v>
      </c>
      <c r="F872" t="s">
        <v>36</v>
      </c>
      <c r="G872">
        <v>2</v>
      </c>
      <c r="H872">
        <v>39790</v>
      </c>
      <c r="I872">
        <v>39789</v>
      </c>
      <c r="J872">
        <v>0</v>
      </c>
      <c r="K872">
        <f>36-12</f>
        <v>24</v>
      </c>
      <c r="L872" t="s">
        <v>1041</v>
      </c>
      <c r="M872">
        <v>2</v>
      </c>
    </row>
    <row r="873" spans="1:13" x14ac:dyDescent="0.25">
      <c r="A873" s="4">
        <v>42930</v>
      </c>
      <c r="B873" t="s">
        <v>30</v>
      </c>
      <c r="C873">
        <v>1</v>
      </c>
      <c r="D873">
        <v>1</v>
      </c>
      <c r="E873" t="s">
        <v>42</v>
      </c>
      <c r="F873" t="s">
        <v>36</v>
      </c>
      <c r="G873">
        <v>2</v>
      </c>
      <c r="H873">
        <v>39792</v>
      </c>
      <c r="I873">
        <v>39791</v>
      </c>
      <c r="J873">
        <v>0</v>
      </c>
      <c r="K873">
        <f>38-14</f>
        <v>24</v>
      </c>
      <c r="L873" t="s">
        <v>81</v>
      </c>
      <c r="M873">
        <v>2</v>
      </c>
    </row>
    <row r="874" spans="1:13" x14ac:dyDescent="0.25">
      <c r="A874" s="4">
        <v>42930</v>
      </c>
      <c r="B874" t="s">
        <v>30</v>
      </c>
      <c r="C874">
        <v>4</v>
      </c>
      <c r="D874">
        <v>1</v>
      </c>
      <c r="E874" t="s">
        <v>42</v>
      </c>
      <c r="F874" t="s">
        <v>114</v>
      </c>
      <c r="G874">
        <v>1</v>
      </c>
      <c r="H874">
        <v>39795</v>
      </c>
      <c r="I874">
        <v>39794</v>
      </c>
      <c r="J874">
        <v>1</v>
      </c>
      <c r="K874">
        <f>32-16</f>
        <v>16</v>
      </c>
      <c r="L874" t="s">
        <v>47</v>
      </c>
      <c r="M874">
        <v>2</v>
      </c>
    </row>
    <row r="875" spans="1:13" x14ac:dyDescent="0.25">
      <c r="A875" s="4">
        <v>42931</v>
      </c>
      <c r="B875" t="s">
        <v>30</v>
      </c>
      <c r="C875">
        <v>4</v>
      </c>
      <c r="D875">
        <v>1</v>
      </c>
      <c r="E875" t="s">
        <v>35</v>
      </c>
      <c r="F875" t="s">
        <v>114</v>
      </c>
      <c r="G875">
        <v>1</v>
      </c>
      <c r="H875">
        <v>39795</v>
      </c>
      <c r="I875">
        <v>39794</v>
      </c>
      <c r="J875">
        <v>1</v>
      </c>
      <c r="K875">
        <f>30-14</f>
        <v>16</v>
      </c>
      <c r="L875" t="s">
        <v>47</v>
      </c>
      <c r="M875">
        <v>2</v>
      </c>
    </row>
    <row r="876" spans="1:13" x14ac:dyDescent="0.25">
      <c r="A876" s="4">
        <v>42932</v>
      </c>
      <c r="B876" t="s">
        <v>30</v>
      </c>
      <c r="C876">
        <v>4</v>
      </c>
      <c r="D876">
        <v>1</v>
      </c>
      <c r="E876" t="s">
        <v>35</v>
      </c>
      <c r="F876" t="s">
        <v>114</v>
      </c>
      <c r="G876">
        <v>1</v>
      </c>
      <c r="H876">
        <v>39795</v>
      </c>
      <c r="I876">
        <v>39794</v>
      </c>
      <c r="J876">
        <v>1</v>
      </c>
      <c r="K876">
        <f>28-13</f>
        <v>15</v>
      </c>
      <c r="L876" t="s">
        <v>47</v>
      </c>
      <c r="M876">
        <v>2</v>
      </c>
    </row>
    <row r="877" spans="1:13" x14ac:dyDescent="0.25">
      <c r="A877" s="4">
        <v>42941</v>
      </c>
      <c r="B877" t="s">
        <v>30</v>
      </c>
      <c r="C877">
        <v>4</v>
      </c>
      <c r="D877">
        <v>1</v>
      </c>
      <c r="E877" t="s">
        <v>141</v>
      </c>
      <c r="H877">
        <v>39795</v>
      </c>
      <c r="I877">
        <v>39794</v>
      </c>
      <c r="J877">
        <v>0</v>
      </c>
      <c r="M877">
        <v>2</v>
      </c>
    </row>
    <row r="878" spans="1:13" x14ac:dyDescent="0.25">
      <c r="A878" s="4">
        <v>42930</v>
      </c>
      <c r="B878" t="s">
        <v>30</v>
      </c>
      <c r="C878">
        <v>4</v>
      </c>
      <c r="D878">
        <v>1</v>
      </c>
      <c r="E878" t="s">
        <v>42</v>
      </c>
      <c r="F878" t="s">
        <v>36</v>
      </c>
      <c r="G878">
        <v>2</v>
      </c>
      <c r="H878">
        <v>39798</v>
      </c>
      <c r="I878">
        <v>39797</v>
      </c>
      <c r="J878">
        <v>0</v>
      </c>
      <c r="K878">
        <f>32-14</f>
        <v>18</v>
      </c>
      <c r="L878" t="s">
        <v>83</v>
      </c>
      <c r="M878">
        <v>2</v>
      </c>
    </row>
    <row r="879" spans="1:13" x14ac:dyDescent="0.25">
      <c r="A879" s="4">
        <v>42931</v>
      </c>
      <c r="B879" t="s">
        <v>30</v>
      </c>
      <c r="C879">
        <v>1</v>
      </c>
      <c r="D879">
        <v>1</v>
      </c>
      <c r="E879" t="s">
        <v>35</v>
      </c>
      <c r="F879" t="s">
        <v>36</v>
      </c>
      <c r="G879">
        <v>1</v>
      </c>
      <c r="H879">
        <v>39799</v>
      </c>
      <c r="I879">
        <v>39151</v>
      </c>
      <c r="J879">
        <v>0</v>
      </c>
      <c r="K879">
        <f>37-14.5</f>
        <v>22.5</v>
      </c>
      <c r="L879" t="s">
        <v>47</v>
      </c>
      <c r="M879">
        <v>2</v>
      </c>
    </row>
    <row r="880" spans="1:13" x14ac:dyDescent="0.25">
      <c r="A880" s="4">
        <v>42932</v>
      </c>
      <c r="B880" t="s">
        <v>30</v>
      </c>
      <c r="C880">
        <v>1</v>
      </c>
      <c r="D880">
        <v>1</v>
      </c>
      <c r="E880" t="s">
        <v>35</v>
      </c>
      <c r="F880" t="s">
        <v>36</v>
      </c>
      <c r="G880">
        <v>1</v>
      </c>
      <c r="H880">
        <v>39799</v>
      </c>
      <c r="I880">
        <v>39151</v>
      </c>
      <c r="J880">
        <v>0</v>
      </c>
      <c r="K880">
        <f>35-14</f>
        <v>21</v>
      </c>
      <c r="L880" t="s">
        <v>47</v>
      </c>
      <c r="M880">
        <v>2</v>
      </c>
    </row>
    <row r="881" spans="1:13" x14ac:dyDescent="0.25">
      <c r="A881" s="4">
        <v>42961</v>
      </c>
      <c r="B881" t="s">
        <v>30</v>
      </c>
      <c r="C881">
        <v>7</v>
      </c>
      <c r="D881">
        <v>1</v>
      </c>
      <c r="E881" t="s">
        <v>42</v>
      </c>
      <c r="F881" t="s">
        <v>114</v>
      </c>
      <c r="G881">
        <v>1</v>
      </c>
      <c r="H881">
        <v>39877</v>
      </c>
      <c r="I881">
        <v>39876</v>
      </c>
      <c r="J881">
        <v>1</v>
      </c>
      <c r="K881">
        <f>31.5-15</f>
        <v>16.5</v>
      </c>
      <c r="L881" t="s">
        <v>65</v>
      </c>
      <c r="M881">
        <v>2</v>
      </c>
    </row>
    <row r="882" spans="1:13" x14ac:dyDescent="0.25">
      <c r="A882" s="4">
        <v>42962</v>
      </c>
      <c r="B882" t="s">
        <v>30</v>
      </c>
      <c r="C882">
        <v>7</v>
      </c>
      <c r="D882">
        <v>1</v>
      </c>
      <c r="E882" t="s">
        <v>35</v>
      </c>
      <c r="F882" t="s">
        <v>36</v>
      </c>
      <c r="G882">
        <v>1</v>
      </c>
      <c r="H882">
        <v>39877</v>
      </c>
      <c r="I882">
        <v>39876</v>
      </c>
      <c r="J882">
        <v>1</v>
      </c>
      <c r="K882">
        <f>30-13</f>
        <v>17</v>
      </c>
      <c r="L882" t="s">
        <v>47</v>
      </c>
      <c r="M882">
        <v>2</v>
      </c>
    </row>
    <row r="883" spans="1:13" x14ac:dyDescent="0.25">
      <c r="A883" s="4">
        <v>42963</v>
      </c>
      <c r="B883" t="s">
        <v>30</v>
      </c>
      <c r="C883">
        <v>7</v>
      </c>
      <c r="D883">
        <v>1</v>
      </c>
      <c r="E883" t="s">
        <v>35</v>
      </c>
      <c r="F883" t="s">
        <v>36</v>
      </c>
      <c r="G883">
        <v>1</v>
      </c>
      <c r="H883">
        <v>39877</v>
      </c>
      <c r="I883">
        <v>39876</v>
      </c>
      <c r="J883">
        <v>1</v>
      </c>
      <c r="K883">
        <f>35-14.5</f>
        <v>20.5</v>
      </c>
      <c r="L883" t="s">
        <v>47</v>
      </c>
      <c r="M883">
        <v>2</v>
      </c>
    </row>
    <row r="884" spans="1:13" x14ac:dyDescent="0.25">
      <c r="A884" s="4">
        <v>42961</v>
      </c>
      <c r="B884" t="s">
        <v>30</v>
      </c>
      <c r="C884">
        <v>7</v>
      </c>
      <c r="D884">
        <v>1</v>
      </c>
      <c r="E884" t="s">
        <v>42</v>
      </c>
      <c r="F884" t="s">
        <v>36</v>
      </c>
      <c r="G884">
        <v>1</v>
      </c>
      <c r="H884">
        <v>39879</v>
      </c>
      <c r="I884">
        <v>39878</v>
      </c>
      <c r="J884">
        <v>1</v>
      </c>
      <c r="L884" t="s">
        <v>47</v>
      </c>
      <c r="M884">
        <v>2</v>
      </c>
    </row>
    <row r="885" spans="1:13" x14ac:dyDescent="0.25">
      <c r="A885" s="4">
        <v>42962</v>
      </c>
      <c r="B885" t="s">
        <v>30</v>
      </c>
      <c r="C885">
        <v>7</v>
      </c>
      <c r="D885">
        <v>1</v>
      </c>
      <c r="E885" t="s">
        <v>42</v>
      </c>
      <c r="F885" t="s">
        <v>89</v>
      </c>
      <c r="G885">
        <v>1</v>
      </c>
      <c r="H885">
        <v>39885</v>
      </c>
      <c r="I885">
        <v>39884</v>
      </c>
      <c r="J885">
        <v>1</v>
      </c>
      <c r="K885">
        <f>20-13</f>
        <v>7</v>
      </c>
      <c r="L885" t="s">
        <v>65</v>
      </c>
      <c r="M885">
        <v>2</v>
      </c>
    </row>
    <row r="886" spans="1:13" x14ac:dyDescent="0.25">
      <c r="A886" s="4">
        <v>42962</v>
      </c>
      <c r="B886" t="s">
        <v>30</v>
      </c>
      <c r="C886">
        <v>8</v>
      </c>
      <c r="D886">
        <v>1</v>
      </c>
      <c r="E886" t="s">
        <v>42</v>
      </c>
      <c r="F886" t="s">
        <v>36</v>
      </c>
      <c r="G886">
        <v>1</v>
      </c>
      <c r="H886">
        <v>39887</v>
      </c>
      <c r="I886">
        <v>39886</v>
      </c>
      <c r="J886">
        <v>0</v>
      </c>
      <c r="K886">
        <f>35-14.5</f>
        <v>20.5</v>
      </c>
      <c r="L886" t="s">
        <v>47</v>
      </c>
      <c r="M886">
        <v>2</v>
      </c>
    </row>
    <row r="887" spans="1:13" x14ac:dyDescent="0.25">
      <c r="A887" s="4">
        <v>42957</v>
      </c>
      <c r="B887" t="s">
        <v>30</v>
      </c>
      <c r="C887">
        <v>1</v>
      </c>
      <c r="D887">
        <v>1</v>
      </c>
      <c r="E887" t="s">
        <v>42</v>
      </c>
      <c r="F887" t="s">
        <v>36</v>
      </c>
      <c r="G887">
        <v>2</v>
      </c>
      <c r="H887">
        <v>39898</v>
      </c>
      <c r="I887">
        <v>39897</v>
      </c>
      <c r="J887">
        <v>0</v>
      </c>
      <c r="K887">
        <f>39-14.5</f>
        <v>24.5</v>
      </c>
      <c r="L887" t="s">
        <v>81</v>
      </c>
      <c r="M887">
        <v>2</v>
      </c>
    </row>
    <row r="888" spans="1:13" x14ac:dyDescent="0.25">
      <c r="A888" s="4">
        <v>42957</v>
      </c>
      <c r="B888" t="s">
        <v>30</v>
      </c>
      <c r="C888">
        <v>1</v>
      </c>
      <c r="D888">
        <v>1</v>
      </c>
      <c r="E888" t="s">
        <v>42</v>
      </c>
      <c r="F888" t="s">
        <v>36</v>
      </c>
      <c r="G888">
        <v>1</v>
      </c>
      <c r="H888">
        <v>39900</v>
      </c>
      <c r="I888">
        <v>39899</v>
      </c>
      <c r="J888">
        <v>1</v>
      </c>
      <c r="K888">
        <f>35-15</f>
        <v>20</v>
      </c>
      <c r="L888" t="s">
        <v>47</v>
      </c>
      <c r="M888">
        <v>2</v>
      </c>
    </row>
    <row r="889" spans="1:13" x14ac:dyDescent="0.25">
      <c r="A889" s="4">
        <v>42563</v>
      </c>
      <c r="B889" t="s">
        <v>30</v>
      </c>
      <c r="C889">
        <v>3</v>
      </c>
      <c r="D889">
        <v>1</v>
      </c>
      <c r="E889" t="s">
        <v>35</v>
      </c>
      <c r="F889" t="s">
        <v>36</v>
      </c>
      <c r="G889">
        <v>1</v>
      </c>
      <c r="H889" s="5">
        <v>50321</v>
      </c>
      <c r="I889" s="5">
        <v>50320</v>
      </c>
      <c r="J889">
        <v>1</v>
      </c>
      <c r="K889">
        <f>35-11.5</f>
        <v>23.5</v>
      </c>
      <c r="L889" t="s">
        <v>47</v>
      </c>
      <c r="M889">
        <v>1</v>
      </c>
    </row>
    <row r="890" spans="1:13" x14ac:dyDescent="0.25">
      <c r="A890" s="4">
        <v>42564</v>
      </c>
      <c r="B890" t="s">
        <v>30</v>
      </c>
      <c r="C890">
        <v>3</v>
      </c>
      <c r="D890">
        <v>1</v>
      </c>
      <c r="E890" t="s">
        <v>35</v>
      </c>
      <c r="F890" t="s">
        <v>36</v>
      </c>
      <c r="G890">
        <v>1</v>
      </c>
      <c r="H890" s="5">
        <v>50321</v>
      </c>
      <c r="I890" s="5">
        <v>50320</v>
      </c>
      <c r="J890">
        <v>1</v>
      </c>
      <c r="K890">
        <v>22</v>
      </c>
      <c r="L890" t="s">
        <v>65</v>
      </c>
      <c r="M890">
        <v>1</v>
      </c>
    </row>
    <row r="891" spans="1:13" x14ac:dyDescent="0.25">
      <c r="A891" s="4">
        <v>42570</v>
      </c>
      <c r="B891" t="s">
        <v>30</v>
      </c>
      <c r="C891">
        <v>2</v>
      </c>
      <c r="D891">
        <v>1</v>
      </c>
      <c r="E891" t="s">
        <v>35</v>
      </c>
      <c r="F891" t="s">
        <v>36</v>
      </c>
      <c r="G891">
        <v>1</v>
      </c>
      <c r="H891" s="5">
        <v>50335</v>
      </c>
      <c r="I891" s="5">
        <v>50334</v>
      </c>
      <c r="J891">
        <v>1</v>
      </c>
      <c r="K891">
        <f>35.5-14</f>
        <v>21.5</v>
      </c>
      <c r="L891" t="s">
        <v>47</v>
      </c>
      <c r="M891">
        <v>1</v>
      </c>
    </row>
    <row r="892" spans="1:13" x14ac:dyDescent="0.25">
      <c r="A892" s="4">
        <v>42571</v>
      </c>
      <c r="B892" t="s">
        <v>30</v>
      </c>
      <c r="C892">
        <v>2</v>
      </c>
      <c r="D892">
        <v>1</v>
      </c>
      <c r="E892" t="s">
        <v>35</v>
      </c>
      <c r="F892" t="s">
        <v>36</v>
      </c>
      <c r="G892">
        <v>1</v>
      </c>
      <c r="H892" s="5">
        <v>50335</v>
      </c>
      <c r="I892" s="5">
        <v>50334</v>
      </c>
      <c r="J892">
        <v>1</v>
      </c>
      <c r="K892">
        <f>36-15</f>
        <v>21</v>
      </c>
      <c r="L892" t="s">
        <v>47</v>
      </c>
      <c r="M892">
        <v>1</v>
      </c>
    </row>
    <row r="893" spans="1:13" x14ac:dyDescent="0.25">
      <c r="A893" s="4">
        <v>42572</v>
      </c>
      <c r="B893" t="s">
        <v>30</v>
      </c>
      <c r="C893">
        <v>2</v>
      </c>
      <c r="D893">
        <v>1</v>
      </c>
      <c r="E893" t="s">
        <v>35</v>
      </c>
      <c r="F893" t="s">
        <v>36</v>
      </c>
      <c r="G893">
        <v>1</v>
      </c>
      <c r="H893" s="5">
        <v>50335</v>
      </c>
      <c r="I893" s="5">
        <v>50334</v>
      </c>
      <c r="J893">
        <v>1</v>
      </c>
      <c r="K893">
        <v>23</v>
      </c>
      <c r="L893" t="s">
        <v>47</v>
      </c>
      <c r="M893">
        <v>1</v>
      </c>
    </row>
    <row r="894" spans="1:13" x14ac:dyDescent="0.25">
      <c r="A894" s="4">
        <v>42585</v>
      </c>
      <c r="B894" t="s">
        <v>30</v>
      </c>
      <c r="C894">
        <v>2</v>
      </c>
      <c r="D894">
        <v>1</v>
      </c>
      <c r="E894" t="s">
        <v>35</v>
      </c>
      <c r="F894" t="s">
        <v>36</v>
      </c>
      <c r="G894">
        <v>1</v>
      </c>
      <c r="H894" s="5">
        <v>50335</v>
      </c>
      <c r="I894" s="5">
        <v>50334</v>
      </c>
      <c r="J894">
        <v>0</v>
      </c>
      <c r="K894">
        <f>35-12.5</f>
        <v>22.5</v>
      </c>
      <c r="L894" t="s">
        <v>47</v>
      </c>
      <c r="M894">
        <v>1</v>
      </c>
    </row>
    <row r="895" spans="1:13" x14ac:dyDescent="0.25">
      <c r="A895" s="4">
        <v>42599</v>
      </c>
      <c r="B895" t="s">
        <v>30</v>
      </c>
      <c r="C895">
        <v>2</v>
      </c>
      <c r="D895">
        <v>1</v>
      </c>
      <c r="E895" t="s">
        <v>35</v>
      </c>
      <c r="F895" t="s">
        <v>36</v>
      </c>
      <c r="G895">
        <v>1</v>
      </c>
      <c r="H895" s="5" t="s">
        <v>850</v>
      </c>
      <c r="I895" s="5" t="s">
        <v>851</v>
      </c>
      <c r="J895">
        <v>1</v>
      </c>
      <c r="K895">
        <f>34-14.5</f>
        <v>19.5</v>
      </c>
      <c r="L895" t="s">
        <v>47</v>
      </c>
      <c r="M895">
        <v>1</v>
      </c>
    </row>
    <row r="896" spans="1:13" x14ac:dyDescent="0.25">
      <c r="A896" s="4">
        <v>42600</v>
      </c>
      <c r="B896" t="s">
        <v>30</v>
      </c>
      <c r="C896">
        <v>2</v>
      </c>
      <c r="D896">
        <v>1</v>
      </c>
      <c r="E896" t="s">
        <v>35</v>
      </c>
      <c r="F896" t="s">
        <v>36</v>
      </c>
      <c r="G896">
        <v>1</v>
      </c>
      <c r="H896" s="5" t="s">
        <v>850</v>
      </c>
      <c r="I896" s="5" t="s">
        <v>851</v>
      </c>
      <c r="J896">
        <v>1</v>
      </c>
      <c r="K896">
        <f>35-14</f>
        <v>21</v>
      </c>
      <c r="L896" t="s">
        <v>47</v>
      </c>
      <c r="M896">
        <v>1</v>
      </c>
    </row>
    <row r="897" spans="1:13" x14ac:dyDescent="0.25">
      <c r="A897" s="4">
        <v>42584</v>
      </c>
      <c r="B897" t="s">
        <v>30</v>
      </c>
      <c r="C897">
        <v>2</v>
      </c>
      <c r="D897">
        <v>1</v>
      </c>
      <c r="E897" t="s">
        <v>51</v>
      </c>
      <c r="F897" t="s">
        <v>114</v>
      </c>
      <c r="G897">
        <v>2</v>
      </c>
      <c r="H897" s="5">
        <v>50342</v>
      </c>
      <c r="I897" s="5">
        <v>50932</v>
      </c>
      <c r="J897">
        <v>1</v>
      </c>
      <c r="K897">
        <f>34.5-15</f>
        <v>19.5</v>
      </c>
      <c r="L897" t="s">
        <v>83</v>
      </c>
      <c r="M897">
        <v>1</v>
      </c>
    </row>
    <row r="898" spans="1:13" x14ac:dyDescent="0.25">
      <c r="A898" s="4">
        <v>42575</v>
      </c>
      <c r="B898" t="s">
        <v>30</v>
      </c>
      <c r="C898">
        <v>5</v>
      </c>
      <c r="D898">
        <v>1</v>
      </c>
      <c r="E898" t="s">
        <v>42</v>
      </c>
      <c r="F898" t="s">
        <v>114</v>
      </c>
      <c r="G898">
        <v>1</v>
      </c>
      <c r="H898" s="5">
        <v>50346</v>
      </c>
      <c r="I898" s="5">
        <v>50345</v>
      </c>
      <c r="J898">
        <v>0</v>
      </c>
      <c r="K898">
        <f>31-12</f>
        <v>19</v>
      </c>
      <c r="L898" t="s">
        <v>47</v>
      </c>
      <c r="M898">
        <v>1</v>
      </c>
    </row>
    <row r="899" spans="1:13" x14ac:dyDescent="0.25">
      <c r="A899" s="4">
        <v>42570</v>
      </c>
      <c r="B899" t="s">
        <v>30</v>
      </c>
      <c r="C899">
        <v>1</v>
      </c>
      <c r="D899">
        <v>1</v>
      </c>
      <c r="E899" t="s">
        <v>35</v>
      </c>
      <c r="F899" t="s">
        <v>36</v>
      </c>
      <c r="G899">
        <v>2</v>
      </c>
      <c r="H899" s="5">
        <v>50348</v>
      </c>
      <c r="I899" s="5">
        <v>50347</v>
      </c>
      <c r="J899">
        <v>0</v>
      </c>
      <c r="K899">
        <f>31.5-9</f>
        <v>22.5</v>
      </c>
      <c r="L899" t="s">
        <v>81</v>
      </c>
      <c r="M899">
        <v>1</v>
      </c>
    </row>
    <row r="900" spans="1:13" x14ac:dyDescent="0.25">
      <c r="A900" s="4">
        <v>42571</v>
      </c>
      <c r="B900" t="s">
        <v>30</v>
      </c>
      <c r="C900">
        <v>1</v>
      </c>
      <c r="D900">
        <v>1</v>
      </c>
      <c r="E900" t="s">
        <v>35</v>
      </c>
      <c r="F900" t="s">
        <v>36</v>
      </c>
      <c r="G900">
        <v>2</v>
      </c>
      <c r="H900" s="5">
        <v>50348</v>
      </c>
      <c r="I900" s="5">
        <v>50347</v>
      </c>
      <c r="J900">
        <v>0</v>
      </c>
      <c r="K900">
        <f>35-14</f>
        <v>21</v>
      </c>
      <c r="L900" t="s">
        <v>38</v>
      </c>
      <c r="M900">
        <v>1</v>
      </c>
    </row>
    <row r="901" spans="1:13" x14ac:dyDescent="0.25">
      <c r="A901" s="4">
        <v>42572</v>
      </c>
      <c r="B901" t="s">
        <v>30</v>
      </c>
      <c r="C901">
        <v>1</v>
      </c>
      <c r="D901">
        <v>1</v>
      </c>
      <c r="E901" t="s">
        <v>35</v>
      </c>
      <c r="F901" t="s">
        <v>36</v>
      </c>
      <c r="G901">
        <v>2</v>
      </c>
      <c r="H901" s="5">
        <v>50348</v>
      </c>
      <c r="I901" s="5">
        <v>50347</v>
      </c>
      <c r="J901">
        <v>0</v>
      </c>
      <c r="K901">
        <v>20</v>
      </c>
      <c r="L901" t="s">
        <v>38</v>
      </c>
      <c r="M901">
        <v>1</v>
      </c>
    </row>
    <row r="902" spans="1:13" x14ac:dyDescent="0.25">
      <c r="A902" s="4">
        <v>42584</v>
      </c>
      <c r="B902" t="s">
        <v>30</v>
      </c>
      <c r="C902">
        <v>1</v>
      </c>
      <c r="D902">
        <v>1</v>
      </c>
      <c r="E902" t="s">
        <v>35</v>
      </c>
      <c r="F902" t="s">
        <v>36</v>
      </c>
      <c r="G902">
        <v>2</v>
      </c>
      <c r="H902" s="5">
        <v>50348</v>
      </c>
      <c r="I902" s="5">
        <v>50347</v>
      </c>
      <c r="J902">
        <v>0</v>
      </c>
      <c r="K902">
        <f>32-11.5</f>
        <v>20.5</v>
      </c>
      <c r="L902" t="s">
        <v>164</v>
      </c>
      <c r="M902">
        <v>1</v>
      </c>
    </row>
    <row r="903" spans="1:13" x14ac:dyDescent="0.25">
      <c r="A903" s="4">
        <v>42576</v>
      </c>
      <c r="B903" t="s">
        <v>30</v>
      </c>
      <c r="C903">
        <v>5</v>
      </c>
      <c r="D903">
        <v>1</v>
      </c>
      <c r="E903" t="s">
        <v>42</v>
      </c>
      <c r="F903" t="s">
        <v>114</v>
      </c>
      <c r="G903">
        <v>2</v>
      </c>
      <c r="H903" s="5">
        <v>50349</v>
      </c>
      <c r="I903" s="5">
        <v>50348</v>
      </c>
      <c r="J903">
        <v>0</v>
      </c>
      <c r="K903">
        <f>27-11</f>
        <v>16</v>
      </c>
      <c r="L903" t="s">
        <v>38</v>
      </c>
      <c r="M903">
        <v>1</v>
      </c>
    </row>
    <row r="904" spans="1:13" x14ac:dyDescent="0.25">
      <c r="A904" s="4">
        <v>42572</v>
      </c>
      <c r="B904" t="s">
        <v>30</v>
      </c>
      <c r="C904">
        <v>2</v>
      </c>
      <c r="D904">
        <v>1</v>
      </c>
      <c r="E904" t="s">
        <v>35</v>
      </c>
      <c r="F904" t="s">
        <v>36</v>
      </c>
      <c r="G904">
        <v>2</v>
      </c>
      <c r="H904" s="5">
        <v>50359</v>
      </c>
      <c r="I904" s="5">
        <v>50358</v>
      </c>
      <c r="J904">
        <v>0</v>
      </c>
      <c r="K904">
        <f>42-11</f>
        <v>31</v>
      </c>
      <c r="L904" t="s">
        <v>143</v>
      </c>
      <c r="M904">
        <v>1</v>
      </c>
    </row>
    <row r="905" spans="1:13" x14ac:dyDescent="0.25">
      <c r="A905" s="4">
        <v>42585</v>
      </c>
      <c r="B905" t="s">
        <v>30</v>
      </c>
      <c r="C905">
        <v>2</v>
      </c>
      <c r="D905">
        <v>1</v>
      </c>
      <c r="E905" t="s">
        <v>35</v>
      </c>
      <c r="F905" t="s">
        <v>36</v>
      </c>
      <c r="G905">
        <v>2</v>
      </c>
      <c r="H905" s="5">
        <v>50359</v>
      </c>
      <c r="I905" s="5">
        <v>50358</v>
      </c>
      <c r="J905">
        <v>1</v>
      </c>
      <c r="K905">
        <f>36-12</f>
        <v>24</v>
      </c>
      <c r="L905" t="s">
        <v>81</v>
      </c>
      <c r="M905">
        <v>1</v>
      </c>
    </row>
    <row r="906" spans="1:13" x14ac:dyDescent="0.25">
      <c r="A906" s="4">
        <v>42586</v>
      </c>
      <c r="B906" t="s">
        <v>30</v>
      </c>
      <c r="C906">
        <v>2</v>
      </c>
      <c r="D906">
        <v>1</v>
      </c>
      <c r="E906" t="s">
        <v>35</v>
      </c>
      <c r="F906" t="s">
        <v>36</v>
      </c>
      <c r="G906">
        <v>2</v>
      </c>
      <c r="H906" s="5">
        <v>50359</v>
      </c>
      <c r="I906" s="5">
        <v>50358</v>
      </c>
      <c r="J906">
        <v>1</v>
      </c>
      <c r="K906">
        <f>37-14</f>
        <v>23</v>
      </c>
      <c r="L906" t="s">
        <v>38</v>
      </c>
      <c r="M906">
        <v>1</v>
      </c>
    </row>
    <row r="907" spans="1:13" x14ac:dyDescent="0.25">
      <c r="A907" s="4">
        <v>42598</v>
      </c>
      <c r="B907" t="s">
        <v>30</v>
      </c>
      <c r="C907">
        <v>2</v>
      </c>
      <c r="D907">
        <v>1</v>
      </c>
      <c r="E907" t="s">
        <v>35</v>
      </c>
      <c r="F907" t="s">
        <v>36</v>
      </c>
      <c r="G907">
        <v>2</v>
      </c>
      <c r="H907" s="5" t="s">
        <v>752</v>
      </c>
      <c r="I907" s="5" t="s">
        <v>753</v>
      </c>
      <c r="J907">
        <v>1</v>
      </c>
      <c r="K907">
        <f>33-14</f>
        <v>19</v>
      </c>
      <c r="L907" t="s">
        <v>136</v>
      </c>
      <c r="M907">
        <v>1</v>
      </c>
    </row>
    <row r="908" spans="1:13" x14ac:dyDescent="0.25">
      <c r="A908" s="4">
        <v>42600</v>
      </c>
      <c r="B908" t="s">
        <v>30</v>
      </c>
      <c r="C908">
        <v>2</v>
      </c>
      <c r="D908">
        <v>1</v>
      </c>
      <c r="E908" t="s">
        <v>35</v>
      </c>
      <c r="F908" t="s">
        <v>36</v>
      </c>
      <c r="G908">
        <v>2</v>
      </c>
      <c r="H908" s="5" t="s">
        <v>752</v>
      </c>
      <c r="I908" s="5" t="s">
        <v>901</v>
      </c>
      <c r="J908">
        <v>1</v>
      </c>
      <c r="K908">
        <f>34-13</f>
        <v>21</v>
      </c>
      <c r="L908" t="s">
        <v>136</v>
      </c>
      <c r="M908">
        <v>1</v>
      </c>
    </row>
    <row r="909" spans="1:13" x14ac:dyDescent="0.25">
      <c r="A909" s="4">
        <v>42563</v>
      </c>
      <c r="B909" t="s">
        <v>30</v>
      </c>
      <c r="C909">
        <v>7</v>
      </c>
      <c r="D909">
        <v>1</v>
      </c>
      <c r="E909" t="s">
        <v>35</v>
      </c>
      <c r="F909" t="s">
        <v>114</v>
      </c>
      <c r="G909">
        <v>1</v>
      </c>
      <c r="H909" s="5">
        <v>50370</v>
      </c>
      <c r="I909" s="5">
        <v>60369</v>
      </c>
      <c r="J909">
        <v>0</v>
      </c>
      <c r="K909">
        <f>29-12</f>
        <v>17</v>
      </c>
      <c r="L909" t="s">
        <v>47</v>
      </c>
      <c r="M909">
        <v>1</v>
      </c>
    </row>
    <row r="910" spans="1:13" x14ac:dyDescent="0.25">
      <c r="A910" s="4">
        <v>42564</v>
      </c>
      <c r="B910" t="s">
        <v>30</v>
      </c>
      <c r="C910">
        <v>7</v>
      </c>
      <c r="D910">
        <v>1</v>
      </c>
      <c r="E910" t="s">
        <v>35</v>
      </c>
      <c r="F910" t="s">
        <v>114</v>
      </c>
      <c r="G910">
        <v>2</v>
      </c>
      <c r="H910" s="5">
        <v>50370</v>
      </c>
      <c r="I910" s="5">
        <v>50369</v>
      </c>
      <c r="J910">
        <v>0</v>
      </c>
      <c r="K910">
        <f>24.5-9</f>
        <v>15.5</v>
      </c>
      <c r="L910" t="s">
        <v>47</v>
      </c>
      <c r="M910">
        <v>1</v>
      </c>
    </row>
    <row r="911" spans="1:13" x14ac:dyDescent="0.25">
      <c r="A911" s="4">
        <v>42574</v>
      </c>
      <c r="B911" t="s">
        <v>30</v>
      </c>
      <c r="C911">
        <v>7</v>
      </c>
      <c r="D911">
        <v>1</v>
      </c>
      <c r="E911" t="s">
        <v>35</v>
      </c>
      <c r="F911" t="s">
        <v>36</v>
      </c>
      <c r="G911">
        <v>1</v>
      </c>
      <c r="H911" s="5">
        <v>50370</v>
      </c>
      <c r="I911" s="5">
        <v>50369</v>
      </c>
      <c r="J911">
        <v>1</v>
      </c>
      <c r="K911">
        <v>20</v>
      </c>
      <c r="L911" t="s">
        <v>65</v>
      </c>
      <c r="M911">
        <v>1</v>
      </c>
    </row>
    <row r="912" spans="1:13" x14ac:dyDescent="0.25">
      <c r="A912" s="4">
        <v>42575</v>
      </c>
      <c r="B912" t="s">
        <v>30</v>
      </c>
      <c r="C912">
        <v>7</v>
      </c>
      <c r="D912">
        <v>1</v>
      </c>
      <c r="E912" t="s">
        <v>35</v>
      </c>
      <c r="F912" t="s">
        <v>36</v>
      </c>
      <c r="G912">
        <v>1</v>
      </c>
      <c r="H912" s="5">
        <v>50370</v>
      </c>
      <c r="I912" s="5">
        <v>50369</v>
      </c>
      <c r="J912">
        <v>1</v>
      </c>
      <c r="K912">
        <v>20</v>
      </c>
      <c r="L912" t="s">
        <v>65</v>
      </c>
      <c r="M912">
        <v>1</v>
      </c>
    </row>
    <row r="913" spans="1:13" x14ac:dyDescent="0.25">
      <c r="A913" s="4">
        <v>42574</v>
      </c>
      <c r="B913" t="s">
        <v>30</v>
      </c>
      <c r="C913">
        <v>9</v>
      </c>
      <c r="D913">
        <v>1</v>
      </c>
      <c r="E913" t="s">
        <v>35</v>
      </c>
      <c r="F913" t="s">
        <v>36</v>
      </c>
      <c r="G913">
        <v>2</v>
      </c>
      <c r="H913" s="5">
        <v>50382</v>
      </c>
      <c r="I913" s="5">
        <v>50291</v>
      </c>
      <c r="J913">
        <v>0</v>
      </c>
      <c r="K913">
        <f>35-13</f>
        <v>22</v>
      </c>
      <c r="L913" t="s">
        <v>38</v>
      </c>
      <c r="M913">
        <v>1</v>
      </c>
    </row>
    <row r="914" spans="1:13" x14ac:dyDescent="0.25">
      <c r="A914" s="4">
        <v>42575</v>
      </c>
      <c r="B914" t="s">
        <v>30</v>
      </c>
      <c r="C914">
        <v>9</v>
      </c>
      <c r="D914">
        <v>1</v>
      </c>
      <c r="E914" t="s">
        <v>35</v>
      </c>
      <c r="F914" t="s">
        <v>36</v>
      </c>
      <c r="G914">
        <v>2</v>
      </c>
      <c r="H914" s="5">
        <v>50382</v>
      </c>
      <c r="I914" s="5">
        <v>50291</v>
      </c>
      <c r="J914">
        <v>0</v>
      </c>
      <c r="K914">
        <f>34-15.5</f>
        <v>18.5</v>
      </c>
      <c r="L914" t="s">
        <v>38</v>
      </c>
      <c r="M914">
        <v>1</v>
      </c>
    </row>
    <row r="915" spans="1:13" x14ac:dyDescent="0.25">
      <c r="A915" s="4">
        <v>42575</v>
      </c>
      <c r="B915" t="s">
        <v>30</v>
      </c>
      <c r="C915">
        <v>7</v>
      </c>
      <c r="D915">
        <v>1</v>
      </c>
      <c r="E915" t="s">
        <v>35</v>
      </c>
      <c r="F915" t="s">
        <v>36</v>
      </c>
      <c r="G915">
        <v>1</v>
      </c>
      <c r="H915" s="5">
        <v>50384</v>
      </c>
      <c r="I915" s="5">
        <v>50383</v>
      </c>
      <c r="J915">
        <v>0</v>
      </c>
      <c r="K915">
        <f>31.5-13.5</f>
        <v>18</v>
      </c>
      <c r="L915" t="s">
        <v>65</v>
      </c>
      <c r="M915">
        <v>1</v>
      </c>
    </row>
    <row r="916" spans="1:13" x14ac:dyDescent="0.25">
      <c r="A916" s="4">
        <v>42591</v>
      </c>
      <c r="B916" t="s">
        <v>30</v>
      </c>
      <c r="C916">
        <v>7</v>
      </c>
      <c r="D916">
        <v>1</v>
      </c>
      <c r="E916" t="s">
        <v>35</v>
      </c>
      <c r="F916" t="s">
        <v>114</v>
      </c>
      <c r="G916">
        <v>1</v>
      </c>
      <c r="H916" s="5" t="s">
        <v>579</v>
      </c>
      <c r="I916" s="5" t="s">
        <v>580</v>
      </c>
      <c r="J916">
        <v>1</v>
      </c>
      <c r="K916">
        <f>32-14</f>
        <v>18</v>
      </c>
      <c r="L916" t="s">
        <v>65</v>
      </c>
      <c r="M916">
        <v>1</v>
      </c>
    </row>
    <row r="917" spans="1:13" x14ac:dyDescent="0.25">
      <c r="A917" s="4">
        <v>42593</v>
      </c>
      <c r="B917" t="s">
        <v>30</v>
      </c>
      <c r="C917">
        <v>7</v>
      </c>
      <c r="D917">
        <v>1</v>
      </c>
      <c r="E917" t="s">
        <v>35</v>
      </c>
      <c r="F917" t="s">
        <v>114</v>
      </c>
      <c r="G917">
        <v>1</v>
      </c>
      <c r="H917" s="5" t="s">
        <v>579</v>
      </c>
      <c r="I917" s="5" t="s">
        <v>580</v>
      </c>
      <c r="J917">
        <v>1</v>
      </c>
      <c r="K917">
        <f>31.5-14</f>
        <v>17.5</v>
      </c>
      <c r="L917" t="s">
        <v>65</v>
      </c>
      <c r="M917">
        <v>1</v>
      </c>
    </row>
    <row r="918" spans="1:13" x14ac:dyDescent="0.25">
      <c r="A918" s="4">
        <v>42564</v>
      </c>
      <c r="B918" t="s">
        <v>30</v>
      </c>
      <c r="C918">
        <v>7</v>
      </c>
      <c r="D918">
        <v>1</v>
      </c>
      <c r="E918" t="s">
        <v>35</v>
      </c>
      <c r="F918" t="s">
        <v>114</v>
      </c>
      <c r="G918">
        <v>1</v>
      </c>
      <c r="H918" s="5">
        <v>50386</v>
      </c>
      <c r="I918" s="5">
        <v>50385</v>
      </c>
      <c r="J918">
        <v>0</v>
      </c>
      <c r="K918">
        <f>27-9</f>
        <v>18</v>
      </c>
      <c r="L918" t="s">
        <v>47</v>
      </c>
      <c r="M918">
        <v>1</v>
      </c>
    </row>
    <row r="919" spans="1:13" x14ac:dyDescent="0.25">
      <c r="A919" s="4">
        <v>42570</v>
      </c>
      <c r="B919" t="s">
        <v>30</v>
      </c>
      <c r="C919">
        <v>2</v>
      </c>
      <c r="D919">
        <v>1</v>
      </c>
      <c r="E919" t="s">
        <v>35</v>
      </c>
      <c r="F919" t="s">
        <v>36</v>
      </c>
      <c r="G919">
        <v>1</v>
      </c>
      <c r="H919" s="5">
        <v>50410</v>
      </c>
      <c r="I919" s="5">
        <v>50412</v>
      </c>
      <c r="J919">
        <v>1</v>
      </c>
      <c r="K919">
        <f>37-14</f>
        <v>23</v>
      </c>
      <c r="L919" t="s">
        <v>47</v>
      </c>
      <c r="M919">
        <v>1</v>
      </c>
    </row>
    <row r="920" spans="1:13" x14ac:dyDescent="0.25">
      <c r="A920" s="4">
        <v>42565</v>
      </c>
      <c r="B920" t="s">
        <v>30</v>
      </c>
      <c r="C920">
        <v>5</v>
      </c>
      <c r="D920">
        <v>1</v>
      </c>
      <c r="E920" t="s">
        <v>35</v>
      </c>
      <c r="F920" t="s">
        <v>36</v>
      </c>
      <c r="G920">
        <v>1</v>
      </c>
      <c r="H920" s="5">
        <v>50435</v>
      </c>
      <c r="I920" s="5">
        <v>50436</v>
      </c>
      <c r="J920">
        <v>0</v>
      </c>
      <c r="K920">
        <f>31-11</f>
        <v>20</v>
      </c>
      <c r="L920" t="s">
        <v>47</v>
      </c>
      <c r="M920">
        <v>1</v>
      </c>
    </row>
    <row r="921" spans="1:13" x14ac:dyDescent="0.25">
      <c r="A921" s="4">
        <v>42563</v>
      </c>
      <c r="B921" t="s">
        <v>30</v>
      </c>
      <c r="C921">
        <v>5</v>
      </c>
      <c r="D921">
        <v>1</v>
      </c>
      <c r="E921" t="s">
        <v>35</v>
      </c>
      <c r="F921" t="s">
        <v>36</v>
      </c>
      <c r="G921">
        <v>1</v>
      </c>
      <c r="H921" s="5">
        <v>50436</v>
      </c>
      <c r="I921" s="5">
        <v>50435</v>
      </c>
      <c r="J921">
        <v>0</v>
      </c>
      <c r="K921">
        <v>20</v>
      </c>
      <c r="L921" t="s">
        <v>47</v>
      </c>
      <c r="M921">
        <v>1</v>
      </c>
    </row>
    <row r="922" spans="1:13" x14ac:dyDescent="0.25">
      <c r="A922" s="4">
        <v>42564</v>
      </c>
      <c r="B922" t="s">
        <v>30</v>
      </c>
      <c r="C922">
        <v>5</v>
      </c>
      <c r="D922">
        <v>1</v>
      </c>
      <c r="E922" t="s">
        <v>35</v>
      </c>
      <c r="F922" t="s">
        <v>114</v>
      </c>
      <c r="G922">
        <v>1</v>
      </c>
      <c r="H922" s="5">
        <v>50436</v>
      </c>
      <c r="I922" s="5">
        <v>50435</v>
      </c>
      <c r="J922">
        <v>0</v>
      </c>
      <c r="K922">
        <f>34-14.5</f>
        <v>19.5</v>
      </c>
      <c r="L922" t="s">
        <v>47</v>
      </c>
      <c r="M922">
        <v>1</v>
      </c>
    </row>
    <row r="923" spans="1:13" x14ac:dyDescent="0.25">
      <c r="A923" s="4">
        <v>42574</v>
      </c>
      <c r="B923" t="s">
        <v>30</v>
      </c>
      <c r="C923">
        <v>5</v>
      </c>
      <c r="D923">
        <v>1</v>
      </c>
      <c r="E923" t="s">
        <v>35</v>
      </c>
      <c r="F923" t="s">
        <v>89</v>
      </c>
      <c r="G923">
        <v>1</v>
      </c>
      <c r="H923" s="5">
        <v>50440</v>
      </c>
      <c r="I923" s="5">
        <v>50441</v>
      </c>
      <c r="J923">
        <v>0</v>
      </c>
      <c r="K923">
        <f>23.5-10</f>
        <v>13.5</v>
      </c>
      <c r="L923" t="s">
        <v>65</v>
      </c>
      <c r="M923">
        <v>1</v>
      </c>
    </row>
    <row r="924" spans="1:13" x14ac:dyDescent="0.25">
      <c r="A924" s="4">
        <v>42564</v>
      </c>
      <c r="B924" t="s">
        <v>30</v>
      </c>
      <c r="C924">
        <v>5</v>
      </c>
      <c r="D924">
        <v>1</v>
      </c>
      <c r="E924" t="s">
        <v>35</v>
      </c>
      <c r="F924" t="s">
        <v>114</v>
      </c>
      <c r="G924">
        <v>2</v>
      </c>
      <c r="H924" s="5">
        <v>50442</v>
      </c>
      <c r="I924" s="5">
        <v>50441</v>
      </c>
      <c r="J924">
        <v>0</v>
      </c>
      <c r="K924">
        <f>24-10.5</f>
        <v>13.5</v>
      </c>
      <c r="L924" t="s">
        <v>38</v>
      </c>
      <c r="M924">
        <v>1</v>
      </c>
    </row>
    <row r="925" spans="1:13" x14ac:dyDescent="0.25">
      <c r="A925" s="4">
        <v>42565</v>
      </c>
      <c r="B925" t="s">
        <v>30</v>
      </c>
      <c r="C925">
        <v>5</v>
      </c>
      <c r="D925">
        <v>1</v>
      </c>
      <c r="E925" t="s">
        <v>35</v>
      </c>
      <c r="F925" t="s">
        <v>114</v>
      </c>
      <c r="G925">
        <v>2</v>
      </c>
      <c r="H925" s="5">
        <v>50442</v>
      </c>
      <c r="I925" s="5">
        <v>50441</v>
      </c>
      <c r="J925">
        <v>0</v>
      </c>
      <c r="K925">
        <v>13</v>
      </c>
      <c r="L925" t="s">
        <v>38</v>
      </c>
      <c r="M925">
        <v>1</v>
      </c>
    </row>
    <row r="926" spans="1:13" x14ac:dyDescent="0.25">
      <c r="A926" s="4">
        <v>42564</v>
      </c>
      <c r="B926" t="s">
        <v>30</v>
      </c>
      <c r="C926">
        <v>5</v>
      </c>
      <c r="D926">
        <v>1</v>
      </c>
      <c r="E926" t="s">
        <v>35</v>
      </c>
      <c r="F926" t="s">
        <v>114</v>
      </c>
      <c r="G926">
        <v>1</v>
      </c>
      <c r="H926" s="5">
        <v>50446</v>
      </c>
      <c r="I926" s="5">
        <v>50434</v>
      </c>
      <c r="J926">
        <v>0</v>
      </c>
      <c r="K926">
        <v>16</v>
      </c>
      <c r="L926" t="s">
        <v>47</v>
      </c>
      <c r="M926">
        <v>1</v>
      </c>
    </row>
    <row r="927" spans="1:13" x14ac:dyDescent="0.25">
      <c r="A927" s="4">
        <v>42565</v>
      </c>
      <c r="B927" t="s">
        <v>30</v>
      </c>
      <c r="C927">
        <v>5</v>
      </c>
      <c r="D927">
        <v>1</v>
      </c>
      <c r="E927" t="s">
        <v>35</v>
      </c>
      <c r="F927" t="s">
        <v>114</v>
      </c>
      <c r="G927">
        <v>1</v>
      </c>
      <c r="H927" s="5">
        <v>50446</v>
      </c>
      <c r="I927" s="5">
        <v>50434</v>
      </c>
      <c r="J927">
        <v>0</v>
      </c>
      <c r="K927">
        <f>28.5-13</f>
        <v>15.5</v>
      </c>
      <c r="L927" t="s">
        <v>65</v>
      </c>
      <c r="M927">
        <v>1</v>
      </c>
    </row>
    <row r="928" spans="1:13" x14ac:dyDescent="0.25">
      <c r="A928" s="4">
        <v>42572</v>
      </c>
      <c r="B928" t="s">
        <v>30</v>
      </c>
      <c r="C928">
        <v>1</v>
      </c>
      <c r="D928">
        <v>1</v>
      </c>
      <c r="E928" t="s">
        <v>35</v>
      </c>
      <c r="F928" t="s">
        <v>114</v>
      </c>
      <c r="G928">
        <v>1</v>
      </c>
      <c r="H928" s="5">
        <v>50447</v>
      </c>
      <c r="I928" s="5">
        <v>50446</v>
      </c>
      <c r="J928">
        <v>0</v>
      </c>
      <c r="K928">
        <v>18</v>
      </c>
      <c r="L928" t="s">
        <v>47</v>
      </c>
      <c r="M928">
        <v>1</v>
      </c>
    </row>
    <row r="929" spans="1:15" x14ac:dyDescent="0.25">
      <c r="A929" s="4">
        <v>42563</v>
      </c>
      <c r="B929" t="s">
        <v>30</v>
      </c>
      <c r="C929">
        <v>5</v>
      </c>
      <c r="D929">
        <v>1</v>
      </c>
      <c r="E929" t="s">
        <v>35</v>
      </c>
      <c r="F929" t="s">
        <v>36</v>
      </c>
      <c r="G929">
        <v>2</v>
      </c>
      <c r="H929" s="5">
        <v>50448</v>
      </c>
      <c r="I929" s="5">
        <v>50447</v>
      </c>
      <c r="J929">
        <v>0</v>
      </c>
      <c r="K929">
        <v>20</v>
      </c>
      <c r="L929" t="s">
        <v>81</v>
      </c>
      <c r="M929">
        <v>1</v>
      </c>
    </row>
    <row r="930" spans="1:15" x14ac:dyDescent="0.25">
      <c r="A930" s="4">
        <v>42564</v>
      </c>
      <c r="B930" t="s">
        <v>30</v>
      </c>
      <c r="C930">
        <v>5</v>
      </c>
      <c r="D930">
        <v>1</v>
      </c>
      <c r="E930" t="s">
        <v>35</v>
      </c>
      <c r="F930" t="s">
        <v>114</v>
      </c>
      <c r="G930">
        <v>2</v>
      </c>
      <c r="H930" s="5">
        <v>50448</v>
      </c>
      <c r="I930" s="5">
        <v>50447</v>
      </c>
      <c r="J930">
        <v>0</v>
      </c>
      <c r="K930">
        <f>29.5-11.5</f>
        <v>18</v>
      </c>
      <c r="L930" t="s">
        <v>38</v>
      </c>
      <c r="M930">
        <v>1</v>
      </c>
    </row>
    <row r="931" spans="1:15" x14ac:dyDescent="0.25">
      <c r="A931" s="4">
        <v>42565</v>
      </c>
      <c r="B931" t="s">
        <v>30</v>
      </c>
      <c r="C931">
        <v>5</v>
      </c>
      <c r="D931">
        <v>1</v>
      </c>
      <c r="E931" t="s">
        <v>35</v>
      </c>
      <c r="F931" t="s">
        <v>114</v>
      </c>
      <c r="G931">
        <v>2</v>
      </c>
      <c r="H931" s="5">
        <v>50448</v>
      </c>
      <c r="I931" s="5">
        <v>50447</v>
      </c>
      <c r="J931">
        <v>0</v>
      </c>
      <c r="K931">
        <f>28.5-11.5</f>
        <v>17</v>
      </c>
      <c r="L931" t="s">
        <v>65</v>
      </c>
      <c r="M931">
        <v>1</v>
      </c>
    </row>
    <row r="932" spans="1:15" x14ac:dyDescent="0.25">
      <c r="A932" s="4">
        <v>42565</v>
      </c>
      <c r="B932" t="s">
        <v>30</v>
      </c>
      <c r="C932">
        <v>8</v>
      </c>
      <c r="D932">
        <v>1</v>
      </c>
      <c r="E932" t="s">
        <v>35</v>
      </c>
      <c r="F932" t="s">
        <v>36</v>
      </c>
      <c r="G932">
        <v>2</v>
      </c>
      <c r="H932" s="5">
        <v>50451</v>
      </c>
      <c r="I932" s="5">
        <v>50450</v>
      </c>
      <c r="J932">
        <v>0</v>
      </c>
      <c r="K932">
        <f>30.5-12</f>
        <v>18.5</v>
      </c>
      <c r="L932" t="s">
        <v>164</v>
      </c>
      <c r="M932">
        <v>1</v>
      </c>
    </row>
    <row r="933" spans="1:15" x14ac:dyDescent="0.25">
      <c r="A933" s="4">
        <v>42563</v>
      </c>
      <c r="B933" t="s">
        <v>30</v>
      </c>
      <c r="C933">
        <v>8</v>
      </c>
      <c r="D933">
        <v>1</v>
      </c>
      <c r="E933" t="s">
        <v>35</v>
      </c>
      <c r="F933" t="s">
        <v>36</v>
      </c>
      <c r="G933">
        <v>2</v>
      </c>
      <c r="H933" s="5">
        <v>50457</v>
      </c>
      <c r="I933" s="5">
        <v>50456</v>
      </c>
      <c r="J933">
        <v>0</v>
      </c>
      <c r="K933">
        <f>20</f>
        <v>20</v>
      </c>
      <c r="L933" t="s">
        <v>143</v>
      </c>
      <c r="M933">
        <v>1</v>
      </c>
    </row>
    <row r="934" spans="1:15" x14ac:dyDescent="0.25">
      <c r="A934" s="4">
        <v>42564</v>
      </c>
      <c r="B934" t="s">
        <v>30</v>
      </c>
      <c r="C934">
        <v>8</v>
      </c>
      <c r="D934">
        <v>1</v>
      </c>
      <c r="E934" t="s">
        <v>35</v>
      </c>
      <c r="F934" t="s">
        <v>114</v>
      </c>
      <c r="G934">
        <v>2</v>
      </c>
      <c r="H934" s="5">
        <v>50457</v>
      </c>
      <c r="I934" s="5">
        <v>50456</v>
      </c>
      <c r="J934">
        <v>0</v>
      </c>
      <c r="K934">
        <f>29-13</f>
        <v>16</v>
      </c>
      <c r="L934" t="s">
        <v>164</v>
      </c>
      <c r="M934">
        <v>1</v>
      </c>
    </row>
    <row r="935" spans="1:15" x14ac:dyDescent="0.25">
      <c r="A935" s="4">
        <v>42563</v>
      </c>
      <c r="B935" t="s">
        <v>30</v>
      </c>
      <c r="C935">
        <v>7</v>
      </c>
      <c r="D935">
        <v>1</v>
      </c>
      <c r="E935" t="s">
        <v>35</v>
      </c>
      <c r="F935" t="s">
        <v>36</v>
      </c>
      <c r="G935">
        <v>2</v>
      </c>
      <c r="H935" s="5">
        <v>50459</v>
      </c>
      <c r="I935" s="5">
        <v>50458</v>
      </c>
      <c r="J935">
        <v>0</v>
      </c>
      <c r="K935">
        <f>25-9.5</f>
        <v>15.5</v>
      </c>
      <c r="L935" t="s">
        <v>120</v>
      </c>
      <c r="M935">
        <v>1</v>
      </c>
    </row>
    <row r="936" spans="1:15" x14ac:dyDescent="0.25">
      <c r="A936" s="4">
        <v>42574</v>
      </c>
      <c r="B936" t="s">
        <v>30</v>
      </c>
      <c r="C936">
        <v>7</v>
      </c>
      <c r="D936">
        <v>1</v>
      </c>
      <c r="E936" t="s">
        <v>35</v>
      </c>
      <c r="F936" t="s">
        <v>36</v>
      </c>
      <c r="G936">
        <v>2</v>
      </c>
      <c r="H936" s="5">
        <v>50459</v>
      </c>
      <c r="I936" s="5">
        <v>50458</v>
      </c>
      <c r="J936">
        <v>1</v>
      </c>
      <c r="K936">
        <f>30-12</f>
        <v>18</v>
      </c>
      <c r="L936" t="s">
        <v>38</v>
      </c>
      <c r="M936">
        <v>1</v>
      </c>
    </row>
    <row r="937" spans="1:15" x14ac:dyDescent="0.25">
      <c r="A937" s="4">
        <v>42575</v>
      </c>
      <c r="B937" t="s">
        <v>30</v>
      </c>
      <c r="C937">
        <v>7</v>
      </c>
      <c r="D937">
        <v>1</v>
      </c>
      <c r="E937" t="s">
        <v>35</v>
      </c>
      <c r="F937" t="s">
        <v>36</v>
      </c>
      <c r="G937">
        <v>2</v>
      </c>
      <c r="H937" s="5">
        <v>50459</v>
      </c>
      <c r="I937" s="5">
        <v>50458</v>
      </c>
      <c r="J937">
        <v>1</v>
      </c>
      <c r="K937">
        <f>36-14</f>
        <v>22</v>
      </c>
      <c r="L937" t="s">
        <v>38</v>
      </c>
      <c r="M937">
        <v>1</v>
      </c>
    </row>
    <row r="938" spans="1:15" x14ac:dyDescent="0.25">
      <c r="A938" s="4">
        <v>42576</v>
      </c>
      <c r="B938" t="s">
        <v>30</v>
      </c>
      <c r="C938">
        <v>7</v>
      </c>
      <c r="D938">
        <v>1</v>
      </c>
      <c r="E938" t="s">
        <v>35</v>
      </c>
      <c r="F938" t="s">
        <v>36</v>
      </c>
      <c r="G938">
        <v>2</v>
      </c>
      <c r="H938" s="5">
        <v>50459</v>
      </c>
      <c r="I938" s="5">
        <v>50458</v>
      </c>
      <c r="J938">
        <v>1</v>
      </c>
      <c r="K938">
        <f>28.5-11.5</f>
        <v>17</v>
      </c>
      <c r="L938" t="s">
        <v>38</v>
      </c>
      <c r="M938">
        <v>1</v>
      </c>
      <c r="O938" t="s">
        <v>789</v>
      </c>
    </row>
    <row r="939" spans="1:15" x14ac:dyDescent="0.25">
      <c r="A939" s="4">
        <v>42592</v>
      </c>
      <c r="B939" t="s">
        <v>30</v>
      </c>
      <c r="C939">
        <v>7</v>
      </c>
      <c r="D939">
        <v>1</v>
      </c>
      <c r="E939" t="s">
        <v>35</v>
      </c>
      <c r="F939" t="s">
        <v>36</v>
      </c>
      <c r="G939">
        <v>2</v>
      </c>
      <c r="H939" s="5" t="s">
        <v>625</v>
      </c>
      <c r="I939" s="5" t="s">
        <v>626</v>
      </c>
      <c r="J939">
        <v>1</v>
      </c>
      <c r="K939">
        <f>31-13</f>
        <v>18</v>
      </c>
      <c r="L939" t="s">
        <v>38</v>
      </c>
      <c r="M939">
        <v>1</v>
      </c>
    </row>
    <row r="940" spans="1:15" x14ac:dyDescent="0.25">
      <c r="A940" s="4">
        <v>42564</v>
      </c>
      <c r="B940" t="s">
        <v>30</v>
      </c>
      <c r="C940">
        <v>7</v>
      </c>
      <c r="D940">
        <v>1</v>
      </c>
      <c r="E940" t="s">
        <v>35</v>
      </c>
      <c r="F940" t="s">
        <v>36</v>
      </c>
      <c r="G940">
        <v>1</v>
      </c>
      <c r="H940" s="5">
        <v>50468</v>
      </c>
      <c r="I940" s="5">
        <v>50467</v>
      </c>
      <c r="J940">
        <v>1</v>
      </c>
      <c r="K940">
        <f>36-12</f>
        <v>24</v>
      </c>
      <c r="L940" t="s">
        <v>47</v>
      </c>
      <c r="M940">
        <v>1</v>
      </c>
    </row>
    <row r="941" spans="1:15" x14ac:dyDescent="0.25">
      <c r="A941" s="4">
        <v>42565</v>
      </c>
      <c r="B941" t="s">
        <v>30</v>
      </c>
      <c r="C941">
        <v>7</v>
      </c>
      <c r="D941">
        <v>1</v>
      </c>
      <c r="E941" t="s">
        <v>35</v>
      </c>
      <c r="F941" t="s">
        <v>36</v>
      </c>
      <c r="G941">
        <v>1</v>
      </c>
      <c r="H941" s="5">
        <v>50468</v>
      </c>
      <c r="I941" s="5">
        <v>50467</v>
      </c>
      <c r="J941">
        <v>1</v>
      </c>
      <c r="K941">
        <f>36-13</f>
        <v>23</v>
      </c>
      <c r="L941" t="s">
        <v>47</v>
      </c>
      <c r="M941">
        <v>1</v>
      </c>
    </row>
    <row r="942" spans="1:15" x14ac:dyDescent="0.25">
      <c r="A942" s="4">
        <v>42575</v>
      </c>
      <c r="B942" t="s">
        <v>30</v>
      </c>
      <c r="C942">
        <v>7</v>
      </c>
      <c r="D942">
        <v>1</v>
      </c>
      <c r="E942" t="s">
        <v>35</v>
      </c>
      <c r="F942" t="s">
        <v>36</v>
      </c>
      <c r="G942">
        <v>1</v>
      </c>
      <c r="H942" s="5">
        <v>50468</v>
      </c>
      <c r="I942" s="5">
        <v>50467</v>
      </c>
      <c r="J942">
        <v>0</v>
      </c>
      <c r="K942">
        <v>23</v>
      </c>
      <c r="L942" t="s">
        <v>47</v>
      </c>
      <c r="M942">
        <v>1</v>
      </c>
    </row>
    <row r="943" spans="1:15" x14ac:dyDescent="0.25">
      <c r="A943" s="4">
        <v>42576</v>
      </c>
      <c r="B943" t="s">
        <v>30</v>
      </c>
      <c r="C943">
        <v>7</v>
      </c>
      <c r="D943">
        <v>1</v>
      </c>
      <c r="E943" t="s">
        <v>35</v>
      </c>
      <c r="F943" t="s">
        <v>36</v>
      </c>
      <c r="G943">
        <v>1</v>
      </c>
      <c r="H943" s="5">
        <v>50468</v>
      </c>
      <c r="I943" s="5">
        <v>50467</v>
      </c>
      <c r="J943">
        <v>0</v>
      </c>
      <c r="K943">
        <f>31-9</f>
        <v>22</v>
      </c>
      <c r="L943" t="s">
        <v>65</v>
      </c>
      <c r="M943">
        <v>1</v>
      </c>
    </row>
    <row r="944" spans="1:15" x14ac:dyDescent="0.25">
      <c r="A944" s="4">
        <v>42564</v>
      </c>
      <c r="B944" t="s">
        <v>30</v>
      </c>
      <c r="C944">
        <v>7</v>
      </c>
      <c r="D944">
        <v>1</v>
      </c>
      <c r="E944" t="s">
        <v>35</v>
      </c>
      <c r="F944" t="s">
        <v>89</v>
      </c>
      <c r="G944">
        <v>1</v>
      </c>
      <c r="H944" s="5">
        <v>50470</v>
      </c>
      <c r="I944" s="5">
        <v>50469</v>
      </c>
      <c r="J944">
        <v>0</v>
      </c>
      <c r="K944">
        <f>24-9</f>
        <v>15</v>
      </c>
      <c r="L944" t="s">
        <v>65</v>
      </c>
      <c r="M944">
        <v>1</v>
      </c>
    </row>
    <row r="945" spans="1:13" x14ac:dyDescent="0.25">
      <c r="A945" s="4">
        <v>42565</v>
      </c>
      <c r="B945" t="s">
        <v>30</v>
      </c>
      <c r="C945">
        <v>7</v>
      </c>
      <c r="D945">
        <v>1</v>
      </c>
      <c r="E945" t="s">
        <v>35</v>
      </c>
      <c r="F945" t="s">
        <v>89</v>
      </c>
      <c r="G945">
        <v>1</v>
      </c>
      <c r="H945" s="5">
        <v>50470</v>
      </c>
      <c r="I945" s="5">
        <v>50469</v>
      </c>
      <c r="J945">
        <v>0</v>
      </c>
      <c r="K945">
        <f>26-11</f>
        <v>15</v>
      </c>
      <c r="L945" t="s">
        <v>38</v>
      </c>
      <c r="M945">
        <v>1</v>
      </c>
    </row>
    <row r="946" spans="1:13" x14ac:dyDescent="0.25">
      <c r="A946" s="4">
        <v>42575</v>
      </c>
      <c r="B946" t="s">
        <v>30</v>
      </c>
      <c r="C946">
        <v>7</v>
      </c>
      <c r="D946">
        <v>1</v>
      </c>
      <c r="E946" t="s">
        <v>35</v>
      </c>
      <c r="F946" t="s">
        <v>114</v>
      </c>
      <c r="G946">
        <v>1</v>
      </c>
      <c r="H946" s="5">
        <v>50470</v>
      </c>
      <c r="I946" s="5">
        <v>50469</v>
      </c>
      <c r="J946">
        <v>0</v>
      </c>
      <c r="K946">
        <v>16</v>
      </c>
      <c r="L946" t="s">
        <v>65</v>
      </c>
      <c r="M946">
        <v>1</v>
      </c>
    </row>
    <row r="947" spans="1:13" x14ac:dyDescent="0.25">
      <c r="A947" s="4">
        <v>42591</v>
      </c>
      <c r="B947" t="s">
        <v>30</v>
      </c>
      <c r="C947">
        <v>7</v>
      </c>
      <c r="D947">
        <v>1</v>
      </c>
      <c r="E947" t="s">
        <v>35</v>
      </c>
      <c r="F947" t="s">
        <v>114</v>
      </c>
      <c r="G947">
        <v>1</v>
      </c>
      <c r="H947" s="5" t="s">
        <v>565</v>
      </c>
      <c r="I947" s="5" t="s">
        <v>566</v>
      </c>
      <c r="J947">
        <v>0</v>
      </c>
      <c r="K947">
        <f>28-12.5</f>
        <v>15.5</v>
      </c>
      <c r="L947" t="s">
        <v>65</v>
      </c>
      <c r="M947">
        <v>1</v>
      </c>
    </row>
    <row r="948" spans="1:13" x14ac:dyDescent="0.25">
      <c r="A948" s="4">
        <v>42570</v>
      </c>
      <c r="B948" t="s">
        <v>30</v>
      </c>
      <c r="C948">
        <v>1</v>
      </c>
      <c r="D948">
        <v>1</v>
      </c>
      <c r="E948" t="s">
        <v>35</v>
      </c>
      <c r="F948" t="s">
        <v>36</v>
      </c>
      <c r="G948">
        <v>1</v>
      </c>
      <c r="H948" s="5">
        <v>50475</v>
      </c>
      <c r="I948" s="5">
        <v>50308</v>
      </c>
      <c r="J948">
        <v>0</v>
      </c>
      <c r="K948">
        <v>21</v>
      </c>
      <c r="L948" t="s">
        <v>47</v>
      </c>
      <c r="M948">
        <v>1</v>
      </c>
    </row>
    <row r="949" spans="1:13" x14ac:dyDescent="0.25">
      <c r="A949" s="4">
        <v>42571</v>
      </c>
      <c r="B949" t="s">
        <v>30</v>
      </c>
      <c r="C949">
        <v>1</v>
      </c>
      <c r="D949">
        <v>1</v>
      </c>
      <c r="E949" t="s">
        <v>35</v>
      </c>
      <c r="F949" t="s">
        <v>36</v>
      </c>
      <c r="G949">
        <v>1</v>
      </c>
      <c r="H949" s="5">
        <v>50475</v>
      </c>
      <c r="I949" s="5">
        <v>50308</v>
      </c>
      <c r="J949">
        <v>0</v>
      </c>
      <c r="K949">
        <f>32.5-11.5</f>
        <v>21</v>
      </c>
      <c r="L949" t="s">
        <v>47</v>
      </c>
      <c r="M949">
        <v>1</v>
      </c>
    </row>
    <row r="950" spans="1:13" x14ac:dyDescent="0.25">
      <c r="A950" s="4">
        <v>42572</v>
      </c>
      <c r="B950" t="s">
        <v>30</v>
      </c>
      <c r="C950">
        <v>1</v>
      </c>
      <c r="D950">
        <v>1</v>
      </c>
      <c r="E950" t="s">
        <v>35</v>
      </c>
      <c r="F950" t="s">
        <v>36</v>
      </c>
      <c r="G950">
        <v>1</v>
      </c>
      <c r="H950" s="5">
        <v>50475</v>
      </c>
      <c r="I950" s="5">
        <v>50308</v>
      </c>
      <c r="J950">
        <v>0</v>
      </c>
      <c r="K950">
        <f>32.5-12</f>
        <v>20.5</v>
      </c>
      <c r="L950" t="s">
        <v>47</v>
      </c>
      <c r="M950">
        <v>1</v>
      </c>
    </row>
    <row r="951" spans="1:13" x14ac:dyDescent="0.25">
      <c r="A951" s="4">
        <v>42584</v>
      </c>
      <c r="B951" t="s">
        <v>30</v>
      </c>
      <c r="C951">
        <v>1</v>
      </c>
      <c r="D951">
        <v>1</v>
      </c>
      <c r="E951" t="s">
        <v>35</v>
      </c>
      <c r="F951" t="s">
        <v>114</v>
      </c>
      <c r="G951">
        <v>1</v>
      </c>
      <c r="H951" s="5">
        <v>50475</v>
      </c>
      <c r="I951" s="5">
        <v>50308</v>
      </c>
      <c r="J951">
        <v>0</v>
      </c>
      <c r="K951">
        <f>31-12</f>
        <v>19</v>
      </c>
      <c r="L951" t="s">
        <v>47</v>
      </c>
      <c r="M951">
        <v>1</v>
      </c>
    </row>
    <row r="952" spans="1:13" x14ac:dyDescent="0.25">
      <c r="A952" s="4">
        <v>42563</v>
      </c>
      <c r="B952" t="s">
        <v>30</v>
      </c>
      <c r="C952">
        <v>7</v>
      </c>
      <c r="D952">
        <v>1</v>
      </c>
      <c r="E952" t="s">
        <v>35</v>
      </c>
      <c r="F952" t="s">
        <v>89</v>
      </c>
      <c r="G952">
        <v>2</v>
      </c>
      <c r="H952" s="5">
        <v>50480</v>
      </c>
      <c r="I952" s="5">
        <v>50479</v>
      </c>
      <c r="J952">
        <v>0</v>
      </c>
      <c r="K952">
        <f>27-13</f>
        <v>14</v>
      </c>
      <c r="L952" t="s">
        <v>38</v>
      </c>
      <c r="M952">
        <v>1</v>
      </c>
    </row>
    <row r="953" spans="1:13" x14ac:dyDescent="0.25">
      <c r="A953" s="4">
        <v>42564</v>
      </c>
      <c r="B953" t="s">
        <v>30</v>
      </c>
      <c r="C953">
        <v>7</v>
      </c>
      <c r="D953">
        <v>1</v>
      </c>
      <c r="E953" t="s">
        <v>35</v>
      </c>
      <c r="F953" t="s">
        <v>89</v>
      </c>
      <c r="G953">
        <v>2</v>
      </c>
      <c r="H953" s="5">
        <v>50480</v>
      </c>
      <c r="I953" s="5">
        <v>50479</v>
      </c>
      <c r="J953">
        <v>0</v>
      </c>
      <c r="K953">
        <f>22.5-10</f>
        <v>12.5</v>
      </c>
      <c r="L953" t="s">
        <v>38</v>
      </c>
      <c r="M953">
        <v>1</v>
      </c>
    </row>
    <row r="954" spans="1:13" x14ac:dyDescent="0.25">
      <c r="A954" s="4">
        <v>42565</v>
      </c>
      <c r="B954" t="s">
        <v>30</v>
      </c>
      <c r="C954">
        <v>7</v>
      </c>
      <c r="D954">
        <v>1</v>
      </c>
      <c r="E954" t="s">
        <v>35</v>
      </c>
      <c r="F954" t="s">
        <v>89</v>
      </c>
      <c r="G954">
        <v>2</v>
      </c>
      <c r="H954" s="5">
        <v>50480</v>
      </c>
      <c r="I954" s="5">
        <v>50479</v>
      </c>
      <c r="J954">
        <v>0</v>
      </c>
      <c r="K954">
        <f>22-9</f>
        <v>13</v>
      </c>
      <c r="L954" t="s">
        <v>38</v>
      </c>
      <c r="M954">
        <v>1</v>
      </c>
    </row>
    <row r="955" spans="1:13" x14ac:dyDescent="0.25">
      <c r="A955" s="4">
        <v>42570</v>
      </c>
      <c r="B955" t="s">
        <v>30</v>
      </c>
      <c r="C955">
        <v>2</v>
      </c>
      <c r="D955">
        <v>1</v>
      </c>
      <c r="E955" t="s">
        <v>35</v>
      </c>
      <c r="F955" t="s">
        <v>36</v>
      </c>
      <c r="G955">
        <v>1</v>
      </c>
      <c r="H955" s="5">
        <v>50491</v>
      </c>
      <c r="I955" s="5">
        <v>50357</v>
      </c>
      <c r="J955">
        <v>1</v>
      </c>
      <c r="K955">
        <f>32-12</f>
        <v>20</v>
      </c>
      <c r="L955" t="s">
        <v>47</v>
      </c>
      <c r="M955">
        <v>1</v>
      </c>
    </row>
    <row r="956" spans="1:13" x14ac:dyDescent="0.25">
      <c r="A956" s="4">
        <v>42585</v>
      </c>
      <c r="B956" t="s">
        <v>30</v>
      </c>
      <c r="C956">
        <v>2</v>
      </c>
      <c r="D956">
        <v>1</v>
      </c>
      <c r="E956" t="s">
        <v>35</v>
      </c>
      <c r="F956" t="s">
        <v>36</v>
      </c>
      <c r="G956">
        <v>1</v>
      </c>
      <c r="H956" s="5">
        <v>50491</v>
      </c>
      <c r="I956" s="5">
        <v>50357</v>
      </c>
      <c r="J956">
        <v>1</v>
      </c>
      <c r="K956">
        <f>41-17</f>
        <v>24</v>
      </c>
      <c r="L956" t="s">
        <v>47</v>
      </c>
      <c r="M956">
        <v>1</v>
      </c>
    </row>
    <row r="957" spans="1:13" x14ac:dyDescent="0.25">
      <c r="A957" s="4">
        <v>42598</v>
      </c>
      <c r="B957" t="s">
        <v>30</v>
      </c>
      <c r="C957">
        <v>2</v>
      </c>
      <c r="D957">
        <v>1</v>
      </c>
      <c r="E957" t="s">
        <v>35</v>
      </c>
      <c r="F957" t="s">
        <v>36</v>
      </c>
      <c r="G957">
        <v>1</v>
      </c>
      <c r="H957" s="5" t="s">
        <v>769</v>
      </c>
      <c r="I957" s="5" t="s">
        <v>770</v>
      </c>
      <c r="J957">
        <v>1</v>
      </c>
      <c r="K957">
        <f>34-14</f>
        <v>20</v>
      </c>
      <c r="L957" t="s">
        <v>65</v>
      </c>
      <c r="M957">
        <v>1</v>
      </c>
    </row>
    <row r="958" spans="1:13" x14ac:dyDescent="0.25">
      <c r="A958" s="4">
        <v>42570</v>
      </c>
      <c r="B958" t="s">
        <v>30</v>
      </c>
      <c r="C958">
        <v>1</v>
      </c>
      <c r="D958">
        <v>1</v>
      </c>
      <c r="E958" t="s">
        <v>35</v>
      </c>
      <c r="F958" t="s">
        <v>36</v>
      </c>
      <c r="G958">
        <v>1</v>
      </c>
      <c r="H958" s="5">
        <v>50497</v>
      </c>
      <c r="I958" s="5">
        <v>50496</v>
      </c>
      <c r="J958">
        <v>0</v>
      </c>
      <c r="K958">
        <f>31.5-11.5</f>
        <v>20</v>
      </c>
      <c r="L958" t="s">
        <v>47</v>
      </c>
      <c r="M958">
        <v>1</v>
      </c>
    </row>
    <row r="959" spans="1:13" x14ac:dyDescent="0.25">
      <c r="A959" s="4">
        <v>42571</v>
      </c>
      <c r="B959" t="s">
        <v>30</v>
      </c>
      <c r="C959">
        <v>1</v>
      </c>
      <c r="D959">
        <v>1</v>
      </c>
      <c r="E959" t="s">
        <v>35</v>
      </c>
      <c r="F959" t="s">
        <v>114</v>
      </c>
      <c r="G959">
        <v>1</v>
      </c>
      <c r="H959" s="5">
        <v>50497</v>
      </c>
      <c r="I959" s="5">
        <v>50496</v>
      </c>
      <c r="J959">
        <v>0</v>
      </c>
      <c r="K959">
        <f>29-11</f>
        <v>18</v>
      </c>
      <c r="L959">
        <v>25.2</v>
      </c>
      <c r="M959">
        <v>1</v>
      </c>
    </row>
    <row r="960" spans="1:13" x14ac:dyDescent="0.25">
      <c r="A960" s="4">
        <v>42585</v>
      </c>
      <c r="B960" t="s">
        <v>30</v>
      </c>
      <c r="C960">
        <v>1</v>
      </c>
      <c r="D960">
        <v>1</v>
      </c>
      <c r="E960" t="s">
        <v>35</v>
      </c>
      <c r="F960" t="s">
        <v>36</v>
      </c>
      <c r="G960">
        <v>1</v>
      </c>
      <c r="H960" s="5">
        <v>50497</v>
      </c>
      <c r="I960" s="5">
        <v>50496</v>
      </c>
      <c r="J960">
        <v>0</v>
      </c>
      <c r="K960">
        <v>20</v>
      </c>
      <c r="L960" t="s">
        <v>47</v>
      </c>
      <c r="M960">
        <v>1</v>
      </c>
    </row>
    <row r="961" spans="1:13" x14ac:dyDescent="0.25">
      <c r="A961" s="4">
        <v>42586</v>
      </c>
      <c r="B961" t="s">
        <v>30</v>
      </c>
      <c r="C961">
        <v>1</v>
      </c>
      <c r="D961">
        <v>1</v>
      </c>
      <c r="E961" t="s">
        <v>35</v>
      </c>
      <c r="F961" t="s">
        <v>36</v>
      </c>
      <c r="G961">
        <v>1</v>
      </c>
      <c r="H961" s="5" t="s">
        <v>393</v>
      </c>
      <c r="I961" s="5" t="s">
        <v>394</v>
      </c>
      <c r="J961">
        <v>1</v>
      </c>
      <c r="K961">
        <f>36-16.5</f>
        <v>19.5</v>
      </c>
      <c r="L961" t="s">
        <v>47</v>
      </c>
      <c r="M961">
        <v>1</v>
      </c>
    </row>
    <row r="962" spans="1:13" x14ac:dyDescent="0.25">
      <c r="A962" s="4">
        <v>42588</v>
      </c>
      <c r="B962" t="s">
        <v>30</v>
      </c>
      <c r="C962">
        <v>1</v>
      </c>
      <c r="D962">
        <v>1</v>
      </c>
      <c r="E962" t="s">
        <v>35</v>
      </c>
      <c r="F962" t="s">
        <v>36</v>
      </c>
      <c r="G962">
        <v>1</v>
      </c>
      <c r="H962" s="7">
        <v>50497</v>
      </c>
      <c r="I962" s="7">
        <v>50496</v>
      </c>
      <c r="J962">
        <v>1</v>
      </c>
      <c r="K962">
        <f>35-16</f>
        <v>19</v>
      </c>
      <c r="L962" t="s">
        <v>47</v>
      </c>
      <c r="M962">
        <v>1</v>
      </c>
    </row>
    <row r="963" spans="1:13" x14ac:dyDescent="0.25">
      <c r="A963" s="4">
        <v>42564</v>
      </c>
      <c r="B963" t="s">
        <v>30</v>
      </c>
      <c r="C963">
        <v>7</v>
      </c>
      <c r="D963">
        <v>1</v>
      </c>
      <c r="E963" t="s">
        <v>42</v>
      </c>
      <c r="F963" t="s">
        <v>114</v>
      </c>
      <c r="G963">
        <v>1</v>
      </c>
      <c r="H963" s="5">
        <v>50503</v>
      </c>
      <c r="I963" s="5">
        <v>50502</v>
      </c>
      <c r="J963">
        <v>0</v>
      </c>
      <c r="K963">
        <f>28.5-13</f>
        <v>15.5</v>
      </c>
      <c r="L963" t="s">
        <v>65</v>
      </c>
      <c r="M963">
        <v>1</v>
      </c>
    </row>
    <row r="964" spans="1:13" x14ac:dyDescent="0.25">
      <c r="A964" s="4">
        <v>42565</v>
      </c>
      <c r="B964" t="s">
        <v>30</v>
      </c>
      <c r="C964">
        <v>7</v>
      </c>
      <c r="D964">
        <v>1</v>
      </c>
      <c r="E964" t="s">
        <v>35</v>
      </c>
      <c r="F964" t="s">
        <v>89</v>
      </c>
      <c r="G964">
        <v>1</v>
      </c>
      <c r="H964" s="5">
        <v>50503</v>
      </c>
      <c r="I964" s="5">
        <v>50502</v>
      </c>
      <c r="J964">
        <v>0</v>
      </c>
      <c r="K964">
        <f>23-9.5</f>
        <v>13.5</v>
      </c>
      <c r="L964" t="s">
        <v>65</v>
      </c>
      <c r="M964">
        <v>1</v>
      </c>
    </row>
    <row r="965" spans="1:13" x14ac:dyDescent="0.25">
      <c r="A965" s="4">
        <v>42575</v>
      </c>
      <c r="B965" t="s">
        <v>30</v>
      </c>
      <c r="C965">
        <v>7</v>
      </c>
      <c r="D965">
        <v>1</v>
      </c>
      <c r="E965" t="s">
        <v>35</v>
      </c>
      <c r="F965" t="s">
        <v>114</v>
      </c>
      <c r="G965">
        <v>1</v>
      </c>
      <c r="H965" s="5">
        <v>50503</v>
      </c>
      <c r="I965" s="5">
        <v>50502</v>
      </c>
      <c r="J965">
        <v>0</v>
      </c>
      <c r="K965">
        <v>14.5</v>
      </c>
      <c r="L965" t="s">
        <v>65</v>
      </c>
      <c r="M965">
        <v>1</v>
      </c>
    </row>
    <row r="966" spans="1:13" x14ac:dyDescent="0.25">
      <c r="A966" s="4">
        <v>42576</v>
      </c>
      <c r="B966" t="s">
        <v>30</v>
      </c>
      <c r="C966">
        <v>7</v>
      </c>
      <c r="D966">
        <v>1</v>
      </c>
      <c r="E966" t="s">
        <v>35</v>
      </c>
      <c r="F966" t="s">
        <v>114</v>
      </c>
      <c r="G966">
        <v>1</v>
      </c>
      <c r="H966" s="5">
        <v>50503</v>
      </c>
      <c r="I966" s="5">
        <v>50502</v>
      </c>
      <c r="J966">
        <v>0</v>
      </c>
      <c r="K966">
        <f>26-10.5</f>
        <v>15.5</v>
      </c>
      <c r="L966" t="s">
        <v>65</v>
      </c>
      <c r="M966">
        <v>1</v>
      </c>
    </row>
    <row r="967" spans="1:13" x14ac:dyDescent="0.25">
      <c r="A967" s="4">
        <v>42591</v>
      </c>
      <c r="B967" t="s">
        <v>30</v>
      </c>
      <c r="C967">
        <v>7</v>
      </c>
      <c r="D967">
        <v>1</v>
      </c>
      <c r="E967" t="s">
        <v>35</v>
      </c>
      <c r="F967" t="s">
        <v>114</v>
      </c>
      <c r="G967">
        <v>1</v>
      </c>
      <c r="H967" s="5" t="s">
        <v>585</v>
      </c>
      <c r="I967" s="5" t="s">
        <v>586</v>
      </c>
      <c r="J967">
        <v>1</v>
      </c>
      <c r="K967">
        <f>32-14.5</f>
        <v>17.5</v>
      </c>
      <c r="L967" t="s">
        <v>65</v>
      </c>
      <c r="M967">
        <v>1</v>
      </c>
    </row>
    <row r="968" spans="1:13" x14ac:dyDescent="0.25">
      <c r="A968" s="4">
        <v>42592</v>
      </c>
      <c r="B968" t="s">
        <v>30</v>
      </c>
      <c r="C968">
        <v>7</v>
      </c>
      <c r="D968">
        <v>1</v>
      </c>
      <c r="E968" t="s">
        <v>35</v>
      </c>
      <c r="F968" t="s">
        <v>114</v>
      </c>
      <c r="G968">
        <v>1</v>
      </c>
      <c r="H968" s="5" t="s">
        <v>585</v>
      </c>
      <c r="I968" s="5" t="s">
        <v>586</v>
      </c>
      <c r="J968">
        <v>1</v>
      </c>
      <c r="K968">
        <f>29-13</f>
        <v>16</v>
      </c>
      <c r="L968" t="s">
        <v>65</v>
      </c>
      <c r="M968">
        <v>1</v>
      </c>
    </row>
    <row r="969" spans="1:13" x14ac:dyDescent="0.25">
      <c r="A969" s="4">
        <v>42593</v>
      </c>
      <c r="B969" t="s">
        <v>30</v>
      </c>
      <c r="C969">
        <v>7</v>
      </c>
      <c r="D969">
        <v>1</v>
      </c>
      <c r="E969" t="s">
        <v>35</v>
      </c>
      <c r="F969" t="s">
        <v>114</v>
      </c>
      <c r="G969">
        <v>1</v>
      </c>
      <c r="H969" s="5" t="s">
        <v>585</v>
      </c>
      <c r="I969" s="5" t="s">
        <v>586</v>
      </c>
      <c r="J969">
        <v>1</v>
      </c>
      <c r="K969">
        <f>31.5-16</f>
        <v>15.5</v>
      </c>
      <c r="L969" t="s">
        <v>65</v>
      </c>
      <c r="M969">
        <v>1</v>
      </c>
    </row>
    <row r="970" spans="1:13" x14ac:dyDescent="0.25">
      <c r="A970" s="4">
        <v>42605</v>
      </c>
      <c r="B970" t="s">
        <v>30</v>
      </c>
      <c r="C970">
        <v>7</v>
      </c>
      <c r="D970">
        <v>1</v>
      </c>
      <c r="E970" t="s">
        <v>35</v>
      </c>
      <c r="F970" t="s">
        <v>114</v>
      </c>
      <c r="G970">
        <v>1</v>
      </c>
      <c r="H970" s="5" t="s">
        <v>585</v>
      </c>
      <c r="I970" s="5" t="s">
        <v>586</v>
      </c>
      <c r="J970">
        <v>1</v>
      </c>
      <c r="K970">
        <f>31.5-14</f>
        <v>17.5</v>
      </c>
      <c r="L970" t="s">
        <v>65</v>
      </c>
      <c r="M970">
        <v>1</v>
      </c>
    </row>
    <row r="971" spans="1:13" x14ac:dyDescent="0.25">
      <c r="A971" s="4">
        <v>42564</v>
      </c>
      <c r="B971" t="s">
        <v>30</v>
      </c>
      <c r="C971">
        <v>7</v>
      </c>
      <c r="D971">
        <v>1</v>
      </c>
      <c r="E971" t="s">
        <v>42</v>
      </c>
      <c r="F971" t="s">
        <v>114</v>
      </c>
      <c r="G971">
        <v>1</v>
      </c>
      <c r="H971" s="5">
        <v>50506</v>
      </c>
      <c r="I971" s="5">
        <v>50505</v>
      </c>
      <c r="J971">
        <v>1</v>
      </c>
      <c r="K971">
        <f>28-11</f>
        <v>17</v>
      </c>
      <c r="L971" t="s">
        <v>47</v>
      </c>
      <c r="M971">
        <v>1</v>
      </c>
    </row>
    <row r="972" spans="1:13" x14ac:dyDescent="0.25">
      <c r="A972" s="4">
        <v>42565</v>
      </c>
      <c r="B972" t="s">
        <v>30</v>
      </c>
      <c r="C972">
        <v>7</v>
      </c>
      <c r="D972">
        <v>1</v>
      </c>
      <c r="E972" t="s">
        <v>35</v>
      </c>
      <c r="F972" t="s">
        <v>114</v>
      </c>
      <c r="G972">
        <v>1</v>
      </c>
      <c r="H972" s="5">
        <v>50506</v>
      </c>
      <c r="I972" s="5">
        <v>50505</v>
      </c>
      <c r="J972">
        <v>1</v>
      </c>
      <c r="K972">
        <f>27-10</f>
        <v>17</v>
      </c>
      <c r="L972" t="s">
        <v>65</v>
      </c>
      <c r="M972">
        <v>1</v>
      </c>
    </row>
    <row r="973" spans="1:13" x14ac:dyDescent="0.25">
      <c r="A973" s="4">
        <v>42574</v>
      </c>
      <c r="B973" t="s">
        <v>30</v>
      </c>
      <c r="C973">
        <v>7</v>
      </c>
      <c r="D973">
        <v>1</v>
      </c>
      <c r="E973" t="s">
        <v>35</v>
      </c>
      <c r="F973" t="s">
        <v>114</v>
      </c>
      <c r="G973">
        <v>1</v>
      </c>
      <c r="H973" s="5">
        <v>50506</v>
      </c>
      <c r="I973" s="5">
        <v>50505</v>
      </c>
      <c r="J973">
        <v>1</v>
      </c>
      <c r="K973">
        <f>29.5-13</f>
        <v>16.5</v>
      </c>
      <c r="L973" t="s">
        <v>65</v>
      </c>
      <c r="M973">
        <v>1</v>
      </c>
    </row>
    <row r="974" spans="1:13" x14ac:dyDescent="0.25">
      <c r="A974" s="4">
        <v>42575</v>
      </c>
      <c r="B974" t="s">
        <v>30</v>
      </c>
      <c r="C974">
        <v>7</v>
      </c>
      <c r="D974">
        <v>1</v>
      </c>
      <c r="E974" t="s">
        <v>35</v>
      </c>
      <c r="F974" t="s">
        <v>114</v>
      </c>
      <c r="G974">
        <v>1</v>
      </c>
      <c r="H974" s="5">
        <v>50506</v>
      </c>
      <c r="I974" s="5">
        <v>50505</v>
      </c>
      <c r="J974">
        <v>1</v>
      </c>
      <c r="K974">
        <v>17</v>
      </c>
      <c r="L974" t="s">
        <v>65</v>
      </c>
      <c r="M974">
        <v>1</v>
      </c>
    </row>
    <row r="975" spans="1:13" x14ac:dyDescent="0.25">
      <c r="A975" s="4">
        <v>42576</v>
      </c>
      <c r="B975" t="s">
        <v>30</v>
      </c>
      <c r="C975">
        <v>7</v>
      </c>
      <c r="D975">
        <v>1</v>
      </c>
      <c r="E975" t="s">
        <v>35</v>
      </c>
      <c r="F975" t="s">
        <v>114</v>
      </c>
      <c r="G975">
        <v>1</v>
      </c>
      <c r="H975" s="5">
        <v>50506</v>
      </c>
      <c r="I975" s="5">
        <v>50505</v>
      </c>
      <c r="J975">
        <v>1</v>
      </c>
      <c r="K975">
        <f>24.5-9</f>
        <v>15.5</v>
      </c>
      <c r="L975" t="s">
        <v>65</v>
      </c>
      <c r="M975">
        <v>1</v>
      </c>
    </row>
    <row r="976" spans="1:13" x14ac:dyDescent="0.25">
      <c r="A976" s="4">
        <v>42591</v>
      </c>
      <c r="B976" t="s">
        <v>30</v>
      </c>
      <c r="C976">
        <v>7</v>
      </c>
      <c r="D976">
        <v>1</v>
      </c>
      <c r="E976" t="s">
        <v>35</v>
      </c>
      <c r="F976" t="s">
        <v>114</v>
      </c>
      <c r="G976">
        <v>1</v>
      </c>
      <c r="H976" s="5" t="s">
        <v>588</v>
      </c>
      <c r="I976" s="5" t="s">
        <v>589</v>
      </c>
      <c r="J976">
        <v>1</v>
      </c>
      <c r="K976">
        <f>33-15</f>
        <v>18</v>
      </c>
      <c r="L976" t="s">
        <v>65</v>
      </c>
      <c r="M976">
        <v>1</v>
      </c>
    </row>
    <row r="977" spans="1:13" x14ac:dyDescent="0.25">
      <c r="A977" s="4">
        <v>42592</v>
      </c>
      <c r="B977" t="s">
        <v>30</v>
      </c>
      <c r="C977">
        <v>7</v>
      </c>
      <c r="D977">
        <v>1</v>
      </c>
      <c r="E977" t="s">
        <v>35</v>
      </c>
      <c r="F977" t="s">
        <v>114</v>
      </c>
      <c r="G977">
        <v>1</v>
      </c>
      <c r="H977" s="5" t="s">
        <v>588</v>
      </c>
      <c r="I977" s="5" t="s">
        <v>589</v>
      </c>
      <c r="J977">
        <v>1</v>
      </c>
      <c r="K977">
        <f>36-19</f>
        <v>17</v>
      </c>
      <c r="L977" t="s">
        <v>65</v>
      </c>
      <c r="M977">
        <v>1</v>
      </c>
    </row>
    <row r="978" spans="1:13" x14ac:dyDescent="0.25">
      <c r="A978" s="4">
        <v>42593</v>
      </c>
      <c r="B978" t="s">
        <v>30</v>
      </c>
      <c r="C978">
        <v>7</v>
      </c>
      <c r="D978">
        <v>1</v>
      </c>
      <c r="E978" t="s">
        <v>35</v>
      </c>
      <c r="F978" t="s">
        <v>114</v>
      </c>
      <c r="G978">
        <v>1</v>
      </c>
      <c r="H978" s="5" t="s">
        <v>588</v>
      </c>
      <c r="I978" s="5" t="s">
        <v>589</v>
      </c>
      <c r="J978">
        <v>1</v>
      </c>
      <c r="K978">
        <f>29.5-14</f>
        <v>15.5</v>
      </c>
      <c r="L978" t="s">
        <v>65</v>
      </c>
      <c r="M978">
        <v>1</v>
      </c>
    </row>
    <row r="979" spans="1:13" x14ac:dyDescent="0.25">
      <c r="A979" s="4">
        <v>42604</v>
      </c>
      <c r="B979" t="s">
        <v>30</v>
      </c>
      <c r="C979">
        <v>7</v>
      </c>
      <c r="D979">
        <v>1</v>
      </c>
      <c r="E979" t="s">
        <v>35</v>
      </c>
      <c r="F979" t="s">
        <v>114</v>
      </c>
      <c r="G979">
        <v>1</v>
      </c>
      <c r="H979" s="5" t="s">
        <v>588</v>
      </c>
      <c r="I979" s="5" t="s">
        <v>589</v>
      </c>
      <c r="J979">
        <v>1</v>
      </c>
      <c r="K979">
        <f>30-13</f>
        <v>17</v>
      </c>
      <c r="L979" t="s">
        <v>65</v>
      </c>
      <c r="M979">
        <v>1</v>
      </c>
    </row>
    <row r="980" spans="1:13" x14ac:dyDescent="0.25">
      <c r="A980" s="4">
        <v>42564</v>
      </c>
      <c r="B980" t="s">
        <v>30</v>
      </c>
      <c r="C980">
        <v>7</v>
      </c>
      <c r="D980">
        <v>1</v>
      </c>
      <c r="E980" t="s">
        <v>42</v>
      </c>
      <c r="F980" t="s">
        <v>89</v>
      </c>
      <c r="G980">
        <v>2</v>
      </c>
      <c r="H980" s="5">
        <v>50508</v>
      </c>
      <c r="I980" s="5">
        <v>50507</v>
      </c>
      <c r="J980">
        <v>0</v>
      </c>
      <c r="K980">
        <f>23.5-9</f>
        <v>14.5</v>
      </c>
      <c r="L980" t="s">
        <v>38</v>
      </c>
      <c r="M980">
        <v>1</v>
      </c>
    </row>
    <row r="981" spans="1:13" x14ac:dyDescent="0.25">
      <c r="A981" s="4">
        <v>42565</v>
      </c>
      <c r="B981" t="s">
        <v>30</v>
      </c>
      <c r="C981">
        <v>7</v>
      </c>
      <c r="D981">
        <v>1</v>
      </c>
      <c r="E981" t="s">
        <v>35</v>
      </c>
      <c r="F981" t="s">
        <v>114</v>
      </c>
      <c r="G981">
        <v>2</v>
      </c>
      <c r="H981" s="5">
        <v>50508</v>
      </c>
      <c r="I981" s="5">
        <v>50507</v>
      </c>
      <c r="J981">
        <v>0</v>
      </c>
      <c r="K981">
        <f>26-9.5</f>
        <v>16.5</v>
      </c>
      <c r="L981" t="s">
        <v>38</v>
      </c>
      <c r="M981">
        <v>1</v>
      </c>
    </row>
    <row r="982" spans="1:13" x14ac:dyDescent="0.25">
      <c r="A982" s="4">
        <v>42563</v>
      </c>
      <c r="B982" t="s">
        <v>30</v>
      </c>
      <c r="C982">
        <v>7</v>
      </c>
      <c r="D982">
        <v>1</v>
      </c>
      <c r="E982" t="s">
        <v>42</v>
      </c>
      <c r="F982" t="s">
        <v>89</v>
      </c>
      <c r="G982">
        <v>2</v>
      </c>
      <c r="H982" s="5">
        <v>50517</v>
      </c>
      <c r="I982" s="5">
        <v>50516</v>
      </c>
      <c r="J982">
        <v>0</v>
      </c>
      <c r="K982">
        <f>24-9</f>
        <v>15</v>
      </c>
      <c r="L982" t="s">
        <v>38</v>
      </c>
      <c r="M982">
        <v>1</v>
      </c>
    </row>
    <row r="983" spans="1:13" x14ac:dyDescent="0.25">
      <c r="A983" s="4">
        <v>42564</v>
      </c>
      <c r="B983" t="s">
        <v>30</v>
      </c>
      <c r="C983">
        <v>7</v>
      </c>
      <c r="D983">
        <v>1</v>
      </c>
      <c r="E983" t="s">
        <v>35</v>
      </c>
      <c r="F983" t="s">
        <v>89</v>
      </c>
      <c r="G983">
        <v>2</v>
      </c>
      <c r="H983" s="5">
        <v>50517</v>
      </c>
      <c r="I983" s="5">
        <v>50516</v>
      </c>
      <c r="J983">
        <v>0</v>
      </c>
      <c r="K983">
        <f>23.5-9</f>
        <v>14.5</v>
      </c>
      <c r="L983" t="s">
        <v>38</v>
      </c>
      <c r="M983">
        <v>1</v>
      </c>
    </row>
    <row r="984" spans="1:13" x14ac:dyDescent="0.25">
      <c r="A984" s="4">
        <v>42565</v>
      </c>
      <c r="B984" t="s">
        <v>30</v>
      </c>
      <c r="C984">
        <v>7</v>
      </c>
      <c r="D984">
        <v>1</v>
      </c>
      <c r="E984" t="s">
        <v>35</v>
      </c>
      <c r="F984" t="s">
        <v>89</v>
      </c>
      <c r="G984">
        <v>2</v>
      </c>
      <c r="H984" s="5">
        <v>50517</v>
      </c>
      <c r="I984" s="5">
        <v>50516</v>
      </c>
      <c r="J984">
        <v>0</v>
      </c>
      <c r="K984">
        <f>27-12</f>
        <v>15</v>
      </c>
      <c r="L984" t="s">
        <v>38</v>
      </c>
      <c r="M984">
        <v>1</v>
      </c>
    </row>
    <row r="985" spans="1:13" x14ac:dyDescent="0.25">
      <c r="A985" s="4">
        <v>42575</v>
      </c>
      <c r="B985" t="s">
        <v>30</v>
      </c>
      <c r="C985">
        <v>7</v>
      </c>
      <c r="D985">
        <v>1</v>
      </c>
      <c r="E985" t="s">
        <v>35</v>
      </c>
      <c r="F985" t="s">
        <v>114</v>
      </c>
      <c r="G985">
        <v>2</v>
      </c>
      <c r="H985" s="5">
        <v>50517</v>
      </c>
      <c r="I985" s="5">
        <v>50516</v>
      </c>
      <c r="J985">
        <v>0</v>
      </c>
      <c r="K985">
        <v>15</v>
      </c>
      <c r="L985" t="s">
        <v>38</v>
      </c>
      <c r="M985">
        <v>1</v>
      </c>
    </row>
    <row r="986" spans="1:13" x14ac:dyDescent="0.25">
      <c r="A986" s="4">
        <v>42591</v>
      </c>
      <c r="B986" t="s">
        <v>30</v>
      </c>
      <c r="C986">
        <v>7</v>
      </c>
      <c r="D986">
        <v>1</v>
      </c>
      <c r="E986" t="s">
        <v>35</v>
      </c>
      <c r="F986" t="s">
        <v>114</v>
      </c>
      <c r="G986">
        <v>2</v>
      </c>
      <c r="H986" s="5" t="s">
        <v>581</v>
      </c>
      <c r="I986" s="5" t="s">
        <v>582</v>
      </c>
      <c r="J986">
        <v>1</v>
      </c>
      <c r="K986">
        <f>31-15</f>
        <v>16</v>
      </c>
      <c r="L986" t="s">
        <v>38</v>
      </c>
      <c r="M986">
        <v>1</v>
      </c>
    </row>
    <row r="987" spans="1:13" x14ac:dyDescent="0.25">
      <c r="A987" s="4">
        <v>42592</v>
      </c>
      <c r="B987" t="s">
        <v>30</v>
      </c>
      <c r="C987">
        <v>7</v>
      </c>
      <c r="D987">
        <v>1</v>
      </c>
      <c r="E987" t="s">
        <v>35</v>
      </c>
      <c r="F987" t="s">
        <v>89</v>
      </c>
      <c r="G987">
        <v>2</v>
      </c>
      <c r="H987" s="5" t="s">
        <v>581</v>
      </c>
      <c r="I987" s="5" t="s">
        <v>582</v>
      </c>
      <c r="J987">
        <v>1</v>
      </c>
      <c r="K987">
        <f>29-15</f>
        <v>14</v>
      </c>
      <c r="L987" t="s">
        <v>38</v>
      </c>
      <c r="M987">
        <v>1</v>
      </c>
    </row>
    <row r="988" spans="1:13" x14ac:dyDescent="0.25">
      <c r="A988" s="4">
        <v>42593</v>
      </c>
      <c r="B988" t="s">
        <v>30</v>
      </c>
      <c r="C988">
        <v>7</v>
      </c>
      <c r="D988">
        <v>1</v>
      </c>
      <c r="E988" t="s">
        <v>35</v>
      </c>
      <c r="F988" t="s">
        <v>89</v>
      </c>
      <c r="G988">
        <v>2</v>
      </c>
      <c r="H988" s="5" t="s">
        <v>581</v>
      </c>
      <c r="I988" s="5" t="s">
        <v>582</v>
      </c>
      <c r="J988">
        <v>1</v>
      </c>
      <c r="K988">
        <f>32-17</f>
        <v>15</v>
      </c>
      <c r="L988" t="s">
        <v>38</v>
      </c>
      <c r="M988">
        <v>1</v>
      </c>
    </row>
    <row r="989" spans="1:13" x14ac:dyDescent="0.25">
      <c r="A989" s="4">
        <v>42570</v>
      </c>
      <c r="B989" t="s">
        <v>30</v>
      </c>
      <c r="C989">
        <v>1</v>
      </c>
      <c r="D989">
        <v>1</v>
      </c>
      <c r="E989" t="s">
        <v>35</v>
      </c>
      <c r="F989" t="s">
        <v>36</v>
      </c>
      <c r="G989">
        <v>2</v>
      </c>
      <c r="H989" s="5">
        <v>50520</v>
      </c>
      <c r="I989" s="5">
        <v>50519</v>
      </c>
      <c r="J989">
        <v>0</v>
      </c>
      <c r="K989">
        <v>22</v>
      </c>
      <c r="L989" t="s">
        <v>143</v>
      </c>
      <c r="M989">
        <v>1</v>
      </c>
    </row>
    <row r="990" spans="1:13" x14ac:dyDescent="0.25">
      <c r="A990" s="4">
        <v>42571</v>
      </c>
      <c r="B990" t="s">
        <v>30</v>
      </c>
      <c r="C990">
        <v>1</v>
      </c>
      <c r="D990">
        <v>1</v>
      </c>
      <c r="E990" t="s">
        <v>35</v>
      </c>
      <c r="F990" t="s">
        <v>114</v>
      </c>
      <c r="G990">
        <v>2</v>
      </c>
      <c r="H990" s="5">
        <v>50520</v>
      </c>
      <c r="I990" s="5">
        <v>50519</v>
      </c>
      <c r="J990">
        <v>0</v>
      </c>
      <c r="K990">
        <f>28-9.5</f>
        <v>18.5</v>
      </c>
      <c r="L990" t="s">
        <v>74</v>
      </c>
      <c r="M990">
        <v>1</v>
      </c>
    </row>
    <row r="991" spans="1:13" x14ac:dyDescent="0.25">
      <c r="A991" s="4">
        <v>42572</v>
      </c>
      <c r="B991" t="s">
        <v>30</v>
      </c>
      <c r="C991">
        <v>1</v>
      </c>
      <c r="D991">
        <v>1</v>
      </c>
      <c r="E991" t="s">
        <v>35</v>
      </c>
      <c r="F991" t="s">
        <v>114</v>
      </c>
      <c r="G991">
        <v>2</v>
      </c>
      <c r="H991" s="5">
        <v>50520</v>
      </c>
      <c r="I991" s="5">
        <v>50529</v>
      </c>
      <c r="J991">
        <v>0</v>
      </c>
      <c r="K991">
        <f>30-12.5</f>
        <v>17.5</v>
      </c>
      <c r="L991" t="s">
        <v>74</v>
      </c>
      <c r="M991">
        <v>1</v>
      </c>
    </row>
    <row r="992" spans="1:13" x14ac:dyDescent="0.25">
      <c r="A992" s="4">
        <v>42584</v>
      </c>
      <c r="B992" t="s">
        <v>30</v>
      </c>
      <c r="C992">
        <v>1</v>
      </c>
      <c r="D992">
        <v>1</v>
      </c>
      <c r="E992" t="s">
        <v>35</v>
      </c>
      <c r="F992" t="s">
        <v>36</v>
      </c>
      <c r="G992">
        <v>2</v>
      </c>
      <c r="H992" s="5">
        <v>50520</v>
      </c>
      <c r="I992" s="5">
        <v>50519</v>
      </c>
      <c r="J992">
        <v>0</v>
      </c>
      <c r="K992">
        <f>31.5-11</f>
        <v>20.5</v>
      </c>
      <c r="L992" t="s">
        <v>143</v>
      </c>
      <c r="M992">
        <v>1</v>
      </c>
    </row>
    <row r="993" spans="1:13" x14ac:dyDescent="0.25">
      <c r="A993" s="4">
        <v>42585</v>
      </c>
      <c r="B993" t="s">
        <v>30</v>
      </c>
      <c r="C993">
        <v>1</v>
      </c>
      <c r="D993">
        <v>1</v>
      </c>
      <c r="E993" t="s">
        <v>35</v>
      </c>
      <c r="F993" t="s">
        <v>36</v>
      </c>
      <c r="G993">
        <v>2</v>
      </c>
      <c r="H993" s="5">
        <v>50520</v>
      </c>
      <c r="I993" s="5">
        <v>50519</v>
      </c>
      <c r="J993">
        <v>0</v>
      </c>
      <c r="K993">
        <f>27-8</f>
        <v>19</v>
      </c>
      <c r="L993" t="s">
        <v>149</v>
      </c>
      <c r="M993">
        <v>1</v>
      </c>
    </row>
    <row r="994" spans="1:13" x14ac:dyDescent="0.25">
      <c r="A994" s="4">
        <v>42586</v>
      </c>
      <c r="B994" t="s">
        <v>30</v>
      </c>
      <c r="C994">
        <v>1</v>
      </c>
      <c r="D994">
        <v>1</v>
      </c>
      <c r="E994" t="s">
        <v>35</v>
      </c>
      <c r="F994" t="s">
        <v>36</v>
      </c>
      <c r="G994">
        <v>2</v>
      </c>
      <c r="H994" s="5" t="s">
        <v>409</v>
      </c>
      <c r="I994" s="5" t="s">
        <v>410</v>
      </c>
      <c r="J994">
        <v>0</v>
      </c>
      <c r="K994">
        <f>35-13</f>
        <v>22</v>
      </c>
      <c r="L994" t="s">
        <v>143</v>
      </c>
      <c r="M994">
        <v>1</v>
      </c>
    </row>
    <row r="995" spans="1:13" x14ac:dyDescent="0.25">
      <c r="A995" s="4">
        <v>42587</v>
      </c>
      <c r="B995" t="s">
        <v>30</v>
      </c>
      <c r="C995">
        <v>1</v>
      </c>
      <c r="D995">
        <v>1</v>
      </c>
      <c r="E995" t="s">
        <v>35</v>
      </c>
      <c r="F995" t="s">
        <v>36</v>
      </c>
      <c r="G995">
        <v>2</v>
      </c>
      <c r="H995" s="5" t="s">
        <v>409</v>
      </c>
      <c r="I995" s="5" t="s">
        <v>410</v>
      </c>
      <c r="J995">
        <v>0</v>
      </c>
      <c r="K995">
        <f>35-15.5</f>
        <v>19.5</v>
      </c>
      <c r="L995" t="s">
        <v>143</v>
      </c>
      <c r="M995">
        <v>1</v>
      </c>
    </row>
    <row r="996" spans="1:13" x14ac:dyDescent="0.25">
      <c r="A996" s="4">
        <v>42588</v>
      </c>
      <c r="B996" t="s">
        <v>30</v>
      </c>
      <c r="C996">
        <v>1</v>
      </c>
      <c r="D996">
        <v>1</v>
      </c>
      <c r="E996" t="s">
        <v>35</v>
      </c>
      <c r="F996" t="s">
        <v>114</v>
      </c>
      <c r="G996">
        <v>2</v>
      </c>
      <c r="H996" s="5" t="s">
        <v>409</v>
      </c>
      <c r="I996" s="5" t="s">
        <v>410</v>
      </c>
      <c r="J996">
        <v>0</v>
      </c>
      <c r="K996">
        <f>39-17</f>
        <v>22</v>
      </c>
      <c r="L996" t="s">
        <v>143</v>
      </c>
      <c r="M996">
        <v>1</v>
      </c>
    </row>
    <row r="997" spans="1:13" x14ac:dyDescent="0.25">
      <c r="A997" s="4">
        <v>42589</v>
      </c>
      <c r="B997" t="s">
        <v>30</v>
      </c>
      <c r="C997">
        <v>1</v>
      </c>
      <c r="D997">
        <v>1</v>
      </c>
      <c r="E997" t="s">
        <v>35</v>
      </c>
      <c r="F997" t="s">
        <v>36</v>
      </c>
      <c r="G997">
        <v>2</v>
      </c>
      <c r="H997" s="5" t="s">
        <v>409</v>
      </c>
      <c r="I997" s="5" t="s">
        <v>410</v>
      </c>
      <c r="J997">
        <v>0</v>
      </c>
      <c r="K997">
        <f>39-17.5</f>
        <v>21.5</v>
      </c>
      <c r="L997" t="s">
        <v>74</v>
      </c>
      <c r="M997">
        <v>1</v>
      </c>
    </row>
    <row r="998" spans="1:13" x14ac:dyDescent="0.25">
      <c r="A998" s="4">
        <v>42572</v>
      </c>
      <c r="B998" t="s">
        <v>30</v>
      </c>
      <c r="C998">
        <v>1</v>
      </c>
      <c r="D998">
        <v>1</v>
      </c>
      <c r="E998" t="s">
        <v>35</v>
      </c>
      <c r="F998" t="s">
        <v>36</v>
      </c>
      <c r="G998">
        <v>1</v>
      </c>
      <c r="H998" s="5">
        <v>50525</v>
      </c>
      <c r="I998" s="5">
        <v>50524</v>
      </c>
      <c r="J998">
        <v>0</v>
      </c>
      <c r="K998">
        <f>30-12</f>
        <v>18</v>
      </c>
      <c r="L998" t="s">
        <v>47</v>
      </c>
      <c r="M998">
        <v>1</v>
      </c>
    </row>
    <row r="999" spans="1:13" x14ac:dyDescent="0.25">
      <c r="A999" s="4">
        <v>42587</v>
      </c>
      <c r="B999" t="s">
        <v>30</v>
      </c>
      <c r="C999">
        <v>1</v>
      </c>
      <c r="D999">
        <v>1</v>
      </c>
      <c r="E999" t="s">
        <v>35</v>
      </c>
      <c r="F999" t="s">
        <v>36</v>
      </c>
      <c r="G999">
        <v>1</v>
      </c>
      <c r="H999" s="5" t="s">
        <v>456</v>
      </c>
      <c r="I999" s="5" t="s">
        <v>457</v>
      </c>
      <c r="J999">
        <v>1</v>
      </c>
      <c r="K999">
        <f>37.5-17</f>
        <v>20.5</v>
      </c>
      <c r="L999" t="s">
        <v>47</v>
      </c>
      <c r="M999">
        <v>1</v>
      </c>
    </row>
    <row r="1000" spans="1:13" x14ac:dyDescent="0.25">
      <c r="A1000" s="4">
        <v>42588</v>
      </c>
      <c r="B1000" t="s">
        <v>30</v>
      </c>
      <c r="C1000">
        <v>1</v>
      </c>
      <c r="D1000">
        <v>1</v>
      </c>
      <c r="E1000" t="s">
        <v>35</v>
      </c>
      <c r="F1000" t="s">
        <v>36</v>
      </c>
      <c r="G1000">
        <v>1</v>
      </c>
      <c r="H1000" s="5" t="s">
        <v>456</v>
      </c>
      <c r="I1000" s="5" t="s">
        <v>457</v>
      </c>
      <c r="J1000">
        <v>1</v>
      </c>
      <c r="K1000">
        <f>37-18</f>
        <v>19</v>
      </c>
      <c r="L1000" t="s">
        <v>47</v>
      </c>
      <c r="M1000">
        <v>1</v>
      </c>
    </row>
    <row r="1001" spans="1:13" x14ac:dyDescent="0.25">
      <c r="A1001" s="4">
        <v>42589</v>
      </c>
      <c r="B1001" t="s">
        <v>30</v>
      </c>
      <c r="C1001">
        <v>1</v>
      </c>
      <c r="D1001">
        <v>1</v>
      </c>
      <c r="E1001" t="s">
        <v>35</v>
      </c>
      <c r="F1001" t="s">
        <v>36</v>
      </c>
      <c r="G1001">
        <v>1</v>
      </c>
      <c r="H1001" s="5" t="s">
        <v>456</v>
      </c>
      <c r="I1001" s="5" t="s">
        <v>457</v>
      </c>
      <c r="J1001">
        <v>1</v>
      </c>
      <c r="K1001">
        <f>32-13.5</f>
        <v>18.5</v>
      </c>
      <c r="L1001" t="s">
        <v>47</v>
      </c>
      <c r="M1001">
        <v>1</v>
      </c>
    </row>
    <row r="1002" spans="1:13" x14ac:dyDescent="0.25">
      <c r="A1002" s="4">
        <v>42570</v>
      </c>
      <c r="B1002" t="s">
        <v>30</v>
      </c>
      <c r="C1002">
        <v>1</v>
      </c>
      <c r="D1002">
        <v>1</v>
      </c>
      <c r="E1002" t="s">
        <v>35</v>
      </c>
      <c r="F1002" t="s">
        <v>114</v>
      </c>
      <c r="G1002">
        <v>1</v>
      </c>
      <c r="H1002" s="5">
        <v>50530</v>
      </c>
      <c r="I1002" s="5">
        <v>50529</v>
      </c>
      <c r="J1002">
        <v>0</v>
      </c>
      <c r="K1002">
        <v>18</v>
      </c>
      <c r="L1002" t="s">
        <v>65</v>
      </c>
      <c r="M1002">
        <v>1</v>
      </c>
    </row>
    <row r="1003" spans="1:13" x14ac:dyDescent="0.25">
      <c r="A1003" s="4">
        <v>42571</v>
      </c>
      <c r="B1003" t="s">
        <v>30</v>
      </c>
      <c r="C1003">
        <v>1</v>
      </c>
      <c r="D1003">
        <v>1</v>
      </c>
      <c r="E1003" t="s">
        <v>35</v>
      </c>
      <c r="F1003" t="s">
        <v>114</v>
      </c>
      <c r="G1003">
        <v>1</v>
      </c>
      <c r="H1003" s="5">
        <v>50530</v>
      </c>
      <c r="I1003" s="5">
        <v>50529</v>
      </c>
      <c r="J1003">
        <v>0</v>
      </c>
      <c r="K1003">
        <f>27-9.5</f>
        <v>17.5</v>
      </c>
      <c r="L1003" t="s">
        <v>65</v>
      </c>
      <c r="M1003">
        <v>1</v>
      </c>
    </row>
    <row r="1004" spans="1:13" x14ac:dyDescent="0.25">
      <c r="A1004" s="4">
        <v>42572</v>
      </c>
      <c r="B1004" t="s">
        <v>30</v>
      </c>
      <c r="C1004">
        <v>1</v>
      </c>
      <c r="D1004">
        <v>1</v>
      </c>
      <c r="E1004" t="s">
        <v>35</v>
      </c>
      <c r="F1004" t="s">
        <v>114</v>
      </c>
      <c r="G1004">
        <v>1</v>
      </c>
      <c r="H1004" s="5">
        <v>50530</v>
      </c>
      <c r="I1004" s="5">
        <v>50529</v>
      </c>
      <c r="J1004">
        <v>0</v>
      </c>
      <c r="K1004">
        <f>28-9.5</f>
        <v>18.5</v>
      </c>
      <c r="L1004" t="s">
        <v>65</v>
      </c>
      <c r="M1004">
        <v>1</v>
      </c>
    </row>
    <row r="1005" spans="1:13" x14ac:dyDescent="0.25">
      <c r="A1005" s="4">
        <v>42584</v>
      </c>
      <c r="B1005" t="s">
        <v>30</v>
      </c>
      <c r="C1005">
        <v>1</v>
      </c>
      <c r="D1005">
        <v>1</v>
      </c>
      <c r="E1005" t="s">
        <v>35</v>
      </c>
      <c r="F1005" t="s">
        <v>114</v>
      </c>
      <c r="G1005">
        <v>1</v>
      </c>
      <c r="H1005" s="5">
        <v>50530</v>
      </c>
      <c r="I1005" s="5">
        <v>50529</v>
      </c>
      <c r="J1005">
        <v>1</v>
      </c>
      <c r="K1005">
        <f>35-16</f>
        <v>19</v>
      </c>
      <c r="L1005" t="s">
        <v>65</v>
      </c>
      <c r="M1005">
        <v>1</v>
      </c>
    </row>
    <row r="1006" spans="1:13" x14ac:dyDescent="0.25">
      <c r="A1006" s="4">
        <v>42572</v>
      </c>
      <c r="B1006" t="s">
        <v>30</v>
      </c>
      <c r="C1006">
        <v>1</v>
      </c>
      <c r="D1006">
        <v>1</v>
      </c>
      <c r="E1006" t="s">
        <v>35</v>
      </c>
      <c r="F1006" t="s">
        <v>36</v>
      </c>
      <c r="G1006">
        <v>1</v>
      </c>
      <c r="H1006" s="5">
        <v>50545</v>
      </c>
      <c r="I1006" s="5">
        <v>50544</v>
      </c>
      <c r="J1006">
        <v>0</v>
      </c>
      <c r="K1006">
        <f>33.5-11.5</f>
        <v>22</v>
      </c>
      <c r="L1006" t="s">
        <v>47</v>
      </c>
      <c r="M1006">
        <v>1</v>
      </c>
    </row>
    <row r="1007" spans="1:13" x14ac:dyDescent="0.25">
      <c r="A1007" s="4">
        <v>42563</v>
      </c>
      <c r="B1007" t="s">
        <v>30</v>
      </c>
      <c r="C1007">
        <v>5</v>
      </c>
      <c r="D1007">
        <v>1</v>
      </c>
      <c r="E1007" t="s">
        <v>35</v>
      </c>
      <c r="F1007" t="s">
        <v>114</v>
      </c>
      <c r="G1007">
        <v>2</v>
      </c>
      <c r="H1007" s="5">
        <v>50550</v>
      </c>
      <c r="I1007" s="5">
        <v>50549</v>
      </c>
      <c r="J1007">
        <v>0</v>
      </c>
      <c r="K1007">
        <f>26-12</f>
        <v>14</v>
      </c>
      <c r="L1007" t="s">
        <v>38</v>
      </c>
      <c r="M1007">
        <v>1</v>
      </c>
    </row>
    <row r="1008" spans="1:13" x14ac:dyDescent="0.25">
      <c r="A1008" s="4">
        <v>42564</v>
      </c>
      <c r="B1008" t="s">
        <v>30</v>
      </c>
      <c r="C1008">
        <v>5</v>
      </c>
      <c r="D1008">
        <v>1</v>
      </c>
      <c r="E1008" t="s">
        <v>35</v>
      </c>
      <c r="F1008" t="s">
        <v>114</v>
      </c>
      <c r="G1008">
        <v>2</v>
      </c>
      <c r="H1008" s="5">
        <v>50550</v>
      </c>
      <c r="I1008" s="5">
        <v>50549</v>
      </c>
      <c r="J1008">
        <v>0</v>
      </c>
      <c r="K1008">
        <v>12</v>
      </c>
      <c r="L1008" t="s">
        <v>38</v>
      </c>
      <c r="M1008">
        <v>1</v>
      </c>
    </row>
    <row r="1009" spans="1:13" x14ac:dyDescent="0.25">
      <c r="A1009" s="4">
        <v>42565</v>
      </c>
      <c r="B1009" t="s">
        <v>30</v>
      </c>
      <c r="C1009">
        <v>5</v>
      </c>
      <c r="D1009">
        <v>1</v>
      </c>
      <c r="E1009" t="s">
        <v>35</v>
      </c>
      <c r="F1009" t="s">
        <v>114</v>
      </c>
      <c r="G1009">
        <v>2</v>
      </c>
      <c r="H1009" s="5">
        <v>50550</v>
      </c>
      <c r="I1009" s="5">
        <v>50549</v>
      </c>
      <c r="J1009">
        <v>0</v>
      </c>
      <c r="K1009">
        <v>14</v>
      </c>
      <c r="L1009" t="s">
        <v>38</v>
      </c>
      <c r="M1009">
        <v>1</v>
      </c>
    </row>
    <row r="1010" spans="1:13" x14ac:dyDescent="0.25">
      <c r="A1010" s="4">
        <v>42570</v>
      </c>
      <c r="B1010" t="s">
        <v>30</v>
      </c>
      <c r="C1010">
        <v>1</v>
      </c>
      <c r="D1010">
        <v>1</v>
      </c>
      <c r="E1010" t="s">
        <v>35</v>
      </c>
      <c r="F1010" t="s">
        <v>36</v>
      </c>
      <c r="G1010">
        <v>1</v>
      </c>
      <c r="H1010" s="5">
        <v>50559</v>
      </c>
      <c r="I1010" s="5">
        <v>50558</v>
      </c>
      <c r="J1010">
        <v>0</v>
      </c>
      <c r="K1010">
        <v>21</v>
      </c>
      <c r="L1010" t="s">
        <v>47</v>
      </c>
      <c r="M1010">
        <v>1</v>
      </c>
    </row>
    <row r="1011" spans="1:13" x14ac:dyDescent="0.25">
      <c r="A1011" s="4">
        <v>42571</v>
      </c>
      <c r="B1011" t="s">
        <v>30</v>
      </c>
      <c r="C1011">
        <v>1</v>
      </c>
      <c r="D1011">
        <v>1</v>
      </c>
      <c r="E1011" t="s">
        <v>35</v>
      </c>
      <c r="F1011" t="s">
        <v>36</v>
      </c>
      <c r="G1011">
        <v>1</v>
      </c>
      <c r="H1011" s="5">
        <v>50559</v>
      </c>
      <c r="I1011" s="5">
        <v>50558</v>
      </c>
      <c r="J1011">
        <v>0</v>
      </c>
      <c r="K1011">
        <v>20</v>
      </c>
      <c r="L1011" t="s">
        <v>47</v>
      </c>
      <c r="M1011">
        <v>1</v>
      </c>
    </row>
    <row r="1012" spans="1:13" x14ac:dyDescent="0.25">
      <c r="A1012" s="4">
        <v>42570</v>
      </c>
      <c r="B1012" t="s">
        <v>30</v>
      </c>
      <c r="C1012">
        <v>3</v>
      </c>
      <c r="D1012">
        <v>1</v>
      </c>
      <c r="E1012" t="s">
        <v>35</v>
      </c>
      <c r="F1012" t="s">
        <v>114</v>
      </c>
      <c r="G1012">
        <v>1</v>
      </c>
      <c r="H1012" s="5">
        <v>50560</v>
      </c>
      <c r="I1012" s="5">
        <v>50565</v>
      </c>
      <c r="J1012">
        <v>0</v>
      </c>
      <c r="K1012">
        <f>29-13.5</f>
        <v>15.5</v>
      </c>
      <c r="L1012" t="s">
        <v>65</v>
      </c>
      <c r="M1012">
        <v>1</v>
      </c>
    </row>
    <row r="1013" spans="1:13" x14ac:dyDescent="0.25">
      <c r="A1013" s="4">
        <v>42584</v>
      </c>
      <c r="B1013" t="s">
        <v>30</v>
      </c>
      <c r="C1013">
        <v>1</v>
      </c>
      <c r="D1013">
        <v>1</v>
      </c>
      <c r="E1013" t="s">
        <v>35</v>
      </c>
      <c r="F1013" t="s">
        <v>36</v>
      </c>
      <c r="G1013">
        <v>1</v>
      </c>
      <c r="H1013" s="5">
        <v>50572</v>
      </c>
      <c r="I1013" s="5">
        <v>50571</v>
      </c>
      <c r="J1013">
        <v>1</v>
      </c>
      <c r="K1013">
        <f>32-11.5</f>
        <v>20.5</v>
      </c>
      <c r="L1013" t="s">
        <v>47</v>
      </c>
      <c r="M1013">
        <v>1</v>
      </c>
    </row>
    <row r="1014" spans="1:13" x14ac:dyDescent="0.25">
      <c r="A1014" s="4">
        <v>42586</v>
      </c>
      <c r="B1014" t="s">
        <v>30</v>
      </c>
      <c r="C1014">
        <v>1</v>
      </c>
      <c r="D1014">
        <v>1</v>
      </c>
      <c r="E1014" t="s">
        <v>35</v>
      </c>
      <c r="F1014" t="s">
        <v>36</v>
      </c>
      <c r="G1014">
        <v>1</v>
      </c>
      <c r="H1014" s="5" t="s">
        <v>382</v>
      </c>
      <c r="I1014" s="5" t="s">
        <v>383</v>
      </c>
      <c r="J1014">
        <v>1</v>
      </c>
      <c r="K1014">
        <f>35-14</f>
        <v>21</v>
      </c>
      <c r="L1014" t="s">
        <v>47</v>
      </c>
      <c r="M1014">
        <v>1</v>
      </c>
    </row>
    <row r="1015" spans="1:13" x14ac:dyDescent="0.25">
      <c r="A1015" s="4">
        <v>42587</v>
      </c>
      <c r="B1015" t="s">
        <v>30</v>
      </c>
      <c r="C1015">
        <v>1</v>
      </c>
      <c r="D1015">
        <v>1</v>
      </c>
      <c r="E1015" t="s">
        <v>35</v>
      </c>
      <c r="F1015" t="s">
        <v>36</v>
      </c>
      <c r="G1015">
        <v>1</v>
      </c>
      <c r="H1015" s="5" t="s">
        <v>382</v>
      </c>
      <c r="I1015" s="5" t="s">
        <v>383</v>
      </c>
      <c r="J1015">
        <v>1</v>
      </c>
      <c r="K1015">
        <f>37-16.5</f>
        <v>20.5</v>
      </c>
      <c r="L1015" t="s">
        <v>47</v>
      </c>
      <c r="M1015">
        <v>1</v>
      </c>
    </row>
    <row r="1016" spans="1:13" x14ac:dyDescent="0.25">
      <c r="A1016" s="4">
        <v>42588</v>
      </c>
      <c r="B1016" t="s">
        <v>30</v>
      </c>
      <c r="C1016">
        <v>1</v>
      </c>
      <c r="D1016">
        <v>1</v>
      </c>
      <c r="E1016" t="s">
        <v>35</v>
      </c>
      <c r="F1016" t="s">
        <v>36</v>
      </c>
      <c r="G1016">
        <v>1</v>
      </c>
      <c r="H1016" s="5" t="s">
        <v>382</v>
      </c>
      <c r="I1016" s="5" t="s">
        <v>383</v>
      </c>
      <c r="J1016">
        <v>1</v>
      </c>
      <c r="K1016">
        <f>37-15.5</f>
        <v>21.5</v>
      </c>
      <c r="L1016" t="s">
        <v>47</v>
      </c>
      <c r="M1016">
        <v>1</v>
      </c>
    </row>
    <row r="1017" spans="1:13" x14ac:dyDescent="0.25">
      <c r="A1017" s="4">
        <v>42589</v>
      </c>
      <c r="B1017" t="s">
        <v>30</v>
      </c>
      <c r="C1017">
        <v>1</v>
      </c>
      <c r="D1017">
        <v>1</v>
      </c>
      <c r="E1017" t="s">
        <v>35</v>
      </c>
      <c r="F1017" t="s">
        <v>36</v>
      </c>
      <c r="G1017">
        <v>1</v>
      </c>
      <c r="H1017" s="5" t="s">
        <v>382</v>
      </c>
      <c r="I1017" s="5" t="s">
        <v>383</v>
      </c>
      <c r="J1017">
        <v>1</v>
      </c>
      <c r="K1017">
        <f>37-15</f>
        <v>22</v>
      </c>
      <c r="L1017" t="s">
        <v>47</v>
      </c>
      <c r="M1017">
        <v>1</v>
      </c>
    </row>
    <row r="1018" spans="1:13" x14ac:dyDescent="0.25">
      <c r="A1018" s="4">
        <v>42571</v>
      </c>
      <c r="B1018" t="s">
        <v>30</v>
      </c>
      <c r="C1018">
        <v>1</v>
      </c>
      <c r="D1018">
        <v>1</v>
      </c>
      <c r="E1018" t="s">
        <v>35</v>
      </c>
      <c r="F1018" t="s">
        <v>36</v>
      </c>
      <c r="G1018">
        <v>1</v>
      </c>
      <c r="H1018" s="5">
        <v>50574</v>
      </c>
      <c r="I1018" s="5">
        <v>50573</v>
      </c>
      <c r="J1018">
        <v>0</v>
      </c>
      <c r="K1018">
        <f>32.5-11.5</f>
        <v>21</v>
      </c>
      <c r="L1018" t="s">
        <v>47</v>
      </c>
      <c r="M1018">
        <v>1</v>
      </c>
    </row>
    <row r="1019" spans="1:13" x14ac:dyDescent="0.25">
      <c r="A1019" s="4">
        <v>42572</v>
      </c>
      <c r="B1019" t="s">
        <v>30</v>
      </c>
      <c r="C1019">
        <v>1</v>
      </c>
      <c r="D1019">
        <v>1</v>
      </c>
      <c r="E1019" t="s">
        <v>35</v>
      </c>
      <c r="F1019" t="s">
        <v>36</v>
      </c>
      <c r="G1019">
        <v>1</v>
      </c>
      <c r="H1019" s="5">
        <v>50574</v>
      </c>
      <c r="I1019" s="5">
        <v>50573</v>
      </c>
      <c r="J1019">
        <v>0</v>
      </c>
      <c r="K1019">
        <f>31-9.5</f>
        <v>21.5</v>
      </c>
      <c r="L1019" t="s">
        <v>47</v>
      </c>
      <c r="M1019">
        <v>1</v>
      </c>
    </row>
    <row r="1020" spans="1:13" x14ac:dyDescent="0.25">
      <c r="A1020" s="4">
        <v>42584</v>
      </c>
      <c r="B1020" t="s">
        <v>30</v>
      </c>
      <c r="C1020">
        <v>1</v>
      </c>
      <c r="D1020">
        <v>1</v>
      </c>
      <c r="E1020" t="s">
        <v>35</v>
      </c>
      <c r="F1020" t="s">
        <v>114</v>
      </c>
      <c r="G1020">
        <v>1</v>
      </c>
      <c r="H1020" s="5">
        <v>50574</v>
      </c>
      <c r="I1020" s="5">
        <v>50573</v>
      </c>
      <c r="J1020">
        <v>1</v>
      </c>
      <c r="K1020">
        <f>30.5-12</f>
        <v>18.5</v>
      </c>
      <c r="L1020" t="s">
        <v>47</v>
      </c>
      <c r="M1020">
        <v>1</v>
      </c>
    </row>
    <row r="1021" spans="1:13" x14ac:dyDescent="0.25">
      <c r="A1021" s="4">
        <v>42585</v>
      </c>
      <c r="B1021" t="s">
        <v>30</v>
      </c>
      <c r="C1021">
        <v>1</v>
      </c>
      <c r="D1021">
        <v>1</v>
      </c>
      <c r="E1021" t="s">
        <v>35</v>
      </c>
      <c r="F1021" t="s">
        <v>114</v>
      </c>
      <c r="G1021">
        <v>1</v>
      </c>
      <c r="H1021" s="5">
        <v>50574</v>
      </c>
      <c r="I1021" s="5">
        <v>50573</v>
      </c>
      <c r="J1021">
        <v>1</v>
      </c>
      <c r="K1021">
        <f>21-4</f>
        <v>17</v>
      </c>
      <c r="L1021" t="s">
        <v>65</v>
      </c>
      <c r="M1021">
        <v>1</v>
      </c>
    </row>
    <row r="1022" spans="1:13" x14ac:dyDescent="0.25">
      <c r="A1022" s="4">
        <v>42587</v>
      </c>
      <c r="B1022" t="s">
        <v>30</v>
      </c>
      <c r="C1022">
        <v>1</v>
      </c>
      <c r="D1022">
        <v>1</v>
      </c>
      <c r="E1022" t="s">
        <v>35</v>
      </c>
      <c r="F1022" t="s">
        <v>36</v>
      </c>
      <c r="G1022">
        <v>1</v>
      </c>
      <c r="H1022" s="5" t="s">
        <v>454</v>
      </c>
      <c r="I1022" s="5" t="s">
        <v>455</v>
      </c>
      <c r="J1022">
        <v>1</v>
      </c>
      <c r="K1022">
        <f>33-13</f>
        <v>20</v>
      </c>
      <c r="L1022" t="s">
        <v>47</v>
      </c>
      <c r="M1022">
        <v>1</v>
      </c>
    </row>
    <row r="1023" spans="1:13" x14ac:dyDescent="0.25">
      <c r="A1023" s="4">
        <v>42588</v>
      </c>
      <c r="B1023" t="s">
        <v>30</v>
      </c>
      <c r="C1023">
        <v>1</v>
      </c>
      <c r="D1023">
        <v>1</v>
      </c>
      <c r="E1023" t="s">
        <v>35</v>
      </c>
      <c r="F1023" t="s">
        <v>36</v>
      </c>
      <c r="G1023">
        <v>1</v>
      </c>
      <c r="H1023" s="5" t="s">
        <v>454</v>
      </c>
      <c r="I1023" s="5" t="s">
        <v>455</v>
      </c>
      <c r="J1023">
        <v>1</v>
      </c>
      <c r="K1023">
        <f>33-14</f>
        <v>19</v>
      </c>
      <c r="L1023" t="s">
        <v>47</v>
      </c>
      <c r="M1023">
        <v>1</v>
      </c>
    </row>
    <row r="1024" spans="1:13" x14ac:dyDescent="0.25">
      <c r="A1024" s="4">
        <v>42589</v>
      </c>
      <c r="B1024" t="s">
        <v>30</v>
      </c>
      <c r="C1024">
        <v>1</v>
      </c>
      <c r="D1024">
        <v>1</v>
      </c>
      <c r="E1024" t="s">
        <v>35</v>
      </c>
      <c r="F1024" t="s">
        <v>36</v>
      </c>
      <c r="G1024">
        <v>1</v>
      </c>
      <c r="H1024" s="5" t="s">
        <v>454</v>
      </c>
      <c r="I1024" s="5" t="s">
        <v>455</v>
      </c>
      <c r="J1024">
        <v>1</v>
      </c>
      <c r="K1024">
        <f>34-15</f>
        <v>19</v>
      </c>
      <c r="L1024" t="s">
        <v>65</v>
      </c>
      <c r="M1024">
        <v>1</v>
      </c>
    </row>
    <row r="1025" spans="1:13" x14ac:dyDescent="0.25">
      <c r="A1025" s="4">
        <v>42598</v>
      </c>
      <c r="B1025" t="s">
        <v>30</v>
      </c>
      <c r="C1025">
        <v>1</v>
      </c>
      <c r="D1025">
        <v>1</v>
      </c>
      <c r="E1025" t="s">
        <v>35</v>
      </c>
      <c r="F1025" t="s">
        <v>36</v>
      </c>
      <c r="G1025">
        <v>1</v>
      </c>
      <c r="H1025" s="5" t="s">
        <v>454</v>
      </c>
      <c r="I1025" s="5" t="s">
        <v>455</v>
      </c>
      <c r="J1025">
        <v>1</v>
      </c>
      <c r="K1025">
        <f>38.5-18.5</f>
        <v>20</v>
      </c>
      <c r="L1025" t="s">
        <v>47</v>
      </c>
      <c r="M1025">
        <v>1</v>
      </c>
    </row>
    <row r="1026" spans="1:13" x14ac:dyDescent="0.25">
      <c r="A1026" s="4">
        <v>42599</v>
      </c>
      <c r="B1026" t="s">
        <v>30</v>
      </c>
      <c r="C1026">
        <v>1</v>
      </c>
      <c r="D1026">
        <v>1</v>
      </c>
      <c r="E1026" t="s">
        <v>35</v>
      </c>
      <c r="F1026" t="s">
        <v>36</v>
      </c>
      <c r="G1026">
        <v>1</v>
      </c>
      <c r="H1026" s="5" t="s">
        <v>454</v>
      </c>
      <c r="I1026" s="5" t="s">
        <v>455</v>
      </c>
      <c r="J1026">
        <v>1</v>
      </c>
      <c r="K1026">
        <f>32-13.5</f>
        <v>18.5</v>
      </c>
      <c r="L1026" t="s">
        <v>47</v>
      </c>
      <c r="M1026">
        <v>1</v>
      </c>
    </row>
    <row r="1027" spans="1:13" x14ac:dyDescent="0.25">
      <c r="A1027" s="4">
        <v>42563</v>
      </c>
      <c r="B1027" t="s">
        <v>30</v>
      </c>
      <c r="C1027">
        <v>3</v>
      </c>
      <c r="D1027">
        <v>1</v>
      </c>
      <c r="E1027" t="s">
        <v>35</v>
      </c>
      <c r="F1027" t="s">
        <v>36</v>
      </c>
      <c r="G1027">
        <v>2</v>
      </c>
      <c r="H1027" s="5">
        <v>50582</v>
      </c>
      <c r="I1027" s="5">
        <v>50581</v>
      </c>
      <c r="J1027">
        <v>0</v>
      </c>
      <c r="K1027">
        <v>22</v>
      </c>
      <c r="L1027" t="s">
        <v>83</v>
      </c>
      <c r="M1027">
        <v>1</v>
      </c>
    </row>
    <row r="1028" spans="1:13" x14ac:dyDescent="0.25">
      <c r="A1028" s="4">
        <v>42564</v>
      </c>
      <c r="B1028" t="s">
        <v>30</v>
      </c>
      <c r="C1028">
        <v>3</v>
      </c>
      <c r="D1028">
        <v>1</v>
      </c>
      <c r="E1028" t="s">
        <v>35</v>
      </c>
      <c r="F1028" t="s">
        <v>114</v>
      </c>
      <c r="G1028">
        <v>2</v>
      </c>
      <c r="H1028" s="5">
        <v>50582</v>
      </c>
      <c r="I1028" s="5" t="s">
        <v>1045</v>
      </c>
      <c r="J1028">
        <v>0</v>
      </c>
      <c r="K1028">
        <v>22</v>
      </c>
      <c r="L1028" t="s">
        <v>81</v>
      </c>
      <c r="M1028">
        <v>1</v>
      </c>
    </row>
    <row r="1029" spans="1:13" x14ac:dyDescent="0.25">
      <c r="A1029" s="4">
        <v>42565</v>
      </c>
      <c r="B1029" t="s">
        <v>30</v>
      </c>
      <c r="C1029">
        <v>3</v>
      </c>
      <c r="D1029">
        <v>1</v>
      </c>
      <c r="E1029" t="s">
        <v>35</v>
      </c>
      <c r="F1029" t="s">
        <v>36</v>
      </c>
      <c r="G1029">
        <v>2</v>
      </c>
      <c r="H1029" s="5">
        <v>50582</v>
      </c>
      <c r="I1029" s="5">
        <v>50581</v>
      </c>
      <c r="J1029">
        <v>0</v>
      </c>
      <c r="K1029">
        <v>22</v>
      </c>
      <c r="L1029" t="s">
        <v>81</v>
      </c>
      <c r="M1029">
        <v>1</v>
      </c>
    </row>
    <row r="1030" spans="1:13" x14ac:dyDescent="0.25">
      <c r="A1030" s="4">
        <v>42575</v>
      </c>
      <c r="B1030" t="s">
        <v>30</v>
      </c>
      <c r="C1030">
        <v>3</v>
      </c>
      <c r="D1030">
        <v>1</v>
      </c>
      <c r="E1030" t="s">
        <v>35</v>
      </c>
      <c r="F1030" t="s">
        <v>36</v>
      </c>
      <c r="G1030">
        <v>2</v>
      </c>
      <c r="H1030" s="5">
        <v>50582</v>
      </c>
      <c r="I1030" s="5">
        <v>50581</v>
      </c>
      <c r="J1030">
        <v>1</v>
      </c>
      <c r="K1030">
        <f>31.5-12.5</f>
        <v>19</v>
      </c>
      <c r="L1030" t="s">
        <v>143</v>
      </c>
      <c r="M1030">
        <v>1</v>
      </c>
    </row>
    <row r="1031" spans="1:13" x14ac:dyDescent="0.25">
      <c r="A1031" s="4">
        <v>42576</v>
      </c>
      <c r="B1031" t="s">
        <v>30</v>
      </c>
      <c r="C1031">
        <v>3</v>
      </c>
      <c r="D1031">
        <v>1</v>
      </c>
      <c r="E1031" t="s">
        <v>35</v>
      </c>
      <c r="F1031" t="s">
        <v>36</v>
      </c>
      <c r="G1031">
        <v>2</v>
      </c>
      <c r="H1031" s="5">
        <v>50582</v>
      </c>
      <c r="I1031" s="5">
        <v>50581</v>
      </c>
      <c r="J1031">
        <v>1</v>
      </c>
      <c r="K1031">
        <f>32-11.5</f>
        <v>20.5</v>
      </c>
      <c r="L1031" t="s">
        <v>164</v>
      </c>
      <c r="M1031">
        <v>1</v>
      </c>
    </row>
    <row r="1032" spans="1:13" x14ac:dyDescent="0.25">
      <c r="A1032" s="4">
        <v>42565</v>
      </c>
      <c r="B1032" t="s">
        <v>30</v>
      </c>
      <c r="C1032">
        <v>7</v>
      </c>
      <c r="D1032">
        <v>1</v>
      </c>
      <c r="E1032" t="s">
        <v>35</v>
      </c>
      <c r="F1032" t="s">
        <v>114</v>
      </c>
      <c r="G1032">
        <v>1</v>
      </c>
      <c r="H1032" s="5">
        <v>50584</v>
      </c>
      <c r="I1032" s="5">
        <v>50583</v>
      </c>
      <c r="J1032">
        <v>0</v>
      </c>
      <c r="K1032">
        <v>18</v>
      </c>
      <c r="L1032" t="s">
        <v>47</v>
      </c>
      <c r="M1032">
        <v>1</v>
      </c>
    </row>
    <row r="1033" spans="1:13" x14ac:dyDescent="0.25">
      <c r="A1033" s="4">
        <v>42563</v>
      </c>
      <c r="B1033" t="s">
        <v>30</v>
      </c>
      <c r="C1033">
        <v>4</v>
      </c>
      <c r="D1033">
        <v>1</v>
      </c>
      <c r="E1033" t="s">
        <v>35</v>
      </c>
      <c r="F1033" t="s">
        <v>114</v>
      </c>
      <c r="G1033">
        <v>1</v>
      </c>
      <c r="H1033" s="5">
        <v>50590</v>
      </c>
      <c r="I1033" s="5">
        <v>50589</v>
      </c>
      <c r="J1033">
        <v>0</v>
      </c>
      <c r="K1033">
        <v>20</v>
      </c>
      <c r="L1033" t="s">
        <v>47</v>
      </c>
      <c r="M1033">
        <v>1</v>
      </c>
    </row>
    <row r="1034" spans="1:13" x14ac:dyDescent="0.25">
      <c r="A1034" s="4">
        <v>42564</v>
      </c>
      <c r="B1034" t="s">
        <v>30</v>
      </c>
      <c r="C1034">
        <v>4</v>
      </c>
      <c r="D1034">
        <v>1</v>
      </c>
      <c r="E1034" t="s">
        <v>35</v>
      </c>
      <c r="F1034" t="s">
        <v>114</v>
      </c>
      <c r="G1034">
        <v>1</v>
      </c>
      <c r="H1034" s="5">
        <v>50590</v>
      </c>
      <c r="I1034" s="5">
        <v>50589</v>
      </c>
      <c r="J1034">
        <v>0</v>
      </c>
      <c r="K1034">
        <f>35-19</f>
        <v>16</v>
      </c>
      <c r="L1034" t="s">
        <v>47</v>
      </c>
      <c r="M1034">
        <v>1</v>
      </c>
    </row>
    <row r="1035" spans="1:13" x14ac:dyDescent="0.25">
      <c r="A1035" s="4">
        <v>42565</v>
      </c>
      <c r="B1035" t="s">
        <v>30</v>
      </c>
      <c r="C1035">
        <v>4</v>
      </c>
      <c r="D1035">
        <v>1</v>
      </c>
      <c r="E1035" t="s">
        <v>35</v>
      </c>
      <c r="F1035" t="s">
        <v>114</v>
      </c>
      <c r="G1035">
        <v>1</v>
      </c>
      <c r="H1035" s="5">
        <v>50590</v>
      </c>
      <c r="I1035" s="5">
        <v>50589</v>
      </c>
      <c r="J1035">
        <v>0</v>
      </c>
      <c r="K1035">
        <f>29-12</f>
        <v>17</v>
      </c>
      <c r="L1035" t="s">
        <v>47</v>
      </c>
      <c r="M1035">
        <v>1</v>
      </c>
    </row>
    <row r="1036" spans="1:13" x14ac:dyDescent="0.25">
      <c r="A1036" s="4">
        <v>42574</v>
      </c>
      <c r="B1036" t="s">
        <v>30</v>
      </c>
      <c r="C1036">
        <v>3</v>
      </c>
      <c r="D1036">
        <v>1</v>
      </c>
      <c r="E1036" t="s">
        <v>35</v>
      </c>
      <c r="F1036" t="s">
        <v>114</v>
      </c>
      <c r="G1036">
        <v>1</v>
      </c>
      <c r="H1036" s="5">
        <v>50590</v>
      </c>
      <c r="I1036" s="5">
        <v>50589</v>
      </c>
      <c r="J1036">
        <v>1</v>
      </c>
      <c r="K1036">
        <f>30-11.5</f>
        <v>18.5</v>
      </c>
      <c r="L1036" t="s">
        <v>47</v>
      </c>
      <c r="M1036">
        <v>1</v>
      </c>
    </row>
    <row r="1037" spans="1:13" x14ac:dyDescent="0.25">
      <c r="A1037" s="4">
        <v>42575</v>
      </c>
      <c r="B1037" t="s">
        <v>30</v>
      </c>
      <c r="C1037">
        <v>4</v>
      </c>
      <c r="D1037">
        <v>1</v>
      </c>
      <c r="E1037" t="s">
        <v>35</v>
      </c>
      <c r="F1037" t="s">
        <v>114</v>
      </c>
      <c r="G1037">
        <v>1</v>
      </c>
      <c r="H1037" s="5">
        <v>50590</v>
      </c>
      <c r="I1037" s="5">
        <v>50589</v>
      </c>
      <c r="J1037">
        <v>1</v>
      </c>
      <c r="K1037">
        <f>34.5-18</f>
        <v>16.5</v>
      </c>
      <c r="L1037" t="s">
        <v>47</v>
      </c>
      <c r="M1037">
        <v>1</v>
      </c>
    </row>
    <row r="1038" spans="1:13" x14ac:dyDescent="0.25">
      <c r="A1038" s="4">
        <v>42576</v>
      </c>
      <c r="B1038" t="s">
        <v>30</v>
      </c>
      <c r="C1038">
        <v>4</v>
      </c>
      <c r="D1038">
        <v>1</v>
      </c>
      <c r="E1038" t="s">
        <v>35</v>
      </c>
      <c r="F1038" t="s">
        <v>114</v>
      </c>
      <c r="G1038">
        <v>1</v>
      </c>
      <c r="H1038" s="5">
        <v>50590</v>
      </c>
      <c r="I1038" s="5">
        <v>50589</v>
      </c>
      <c r="J1038">
        <v>1</v>
      </c>
      <c r="K1038">
        <f>32-15</f>
        <v>17</v>
      </c>
      <c r="L1038" t="s">
        <v>47</v>
      </c>
      <c r="M1038">
        <v>1</v>
      </c>
    </row>
    <row r="1039" spans="1:13" x14ac:dyDescent="0.25">
      <c r="A1039" s="4">
        <v>42591</v>
      </c>
      <c r="B1039" t="s">
        <v>30</v>
      </c>
      <c r="C1039">
        <v>3</v>
      </c>
      <c r="D1039">
        <v>1</v>
      </c>
      <c r="E1039" t="s">
        <v>35</v>
      </c>
      <c r="F1039" t="s">
        <v>114</v>
      </c>
      <c r="G1039">
        <v>1</v>
      </c>
      <c r="H1039" s="5" t="s">
        <v>561</v>
      </c>
      <c r="I1039" s="5" t="s">
        <v>562</v>
      </c>
      <c r="J1039">
        <v>1</v>
      </c>
      <c r="K1039">
        <f>34.5-17</f>
        <v>17.5</v>
      </c>
      <c r="L1039" t="s">
        <v>65</v>
      </c>
      <c r="M1039">
        <v>1</v>
      </c>
    </row>
    <row r="1040" spans="1:13" x14ac:dyDescent="0.25">
      <c r="A1040" s="4">
        <v>42593</v>
      </c>
      <c r="B1040" t="s">
        <v>30</v>
      </c>
      <c r="C1040">
        <v>3</v>
      </c>
      <c r="D1040">
        <v>1</v>
      </c>
      <c r="E1040" t="s">
        <v>35</v>
      </c>
      <c r="F1040" t="s">
        <v>114</v>
      </c>
      <c r="G1040">
        <v>1</v>
      </c>
      <c r="H1040" s="5" t="s">
        <v>561</v>
      </c>
      <c r="I1040" s="5" t="s">
        <v>562</v>
      </c>
      <c r="J1040">
        <v>1</v>
      </c>
      <c r="K1040">
        <f>30-13</f>
        <v>17</v>
      </c>
      <c r="L1040" t="s">
        <v>65</v>
      </c>
      <c r="M1040">
        <v>1</v>
      </c>
    </row>
    <row r="1041" spans="1:13" x14ac:dyDescent="0.25">
      <c r="A1041" s="4">
        <v>42604</v>
      </c>
      <c r="B1041" t="s">
        <v>30</v>
      </c>
      <c r="C1041">
        <v>3</v>
      </c>
      <c r="D1041">
        <v>1</v>
      </c>
      <c r="E1041" t="s">
        <v>35</v>
      </c>
      <c r="F1041" t="s">
        <v>114</v>
      </c>
      <c r="G1041">
        <v>1</v>
      </c>
      <c r="H1041" s="5" t="s">
        <v>561</v>
      </c>
      <c r="I1041" s="5" t="s">
        <v>562</v>
      </c>
      <c r="J1041">
        <v>1</v>
      </c>
      <c r="K1041">
        <f>43-24.5</f>
        <v>18.5</v>
      </c>
      <c r="L1041" t="s">
        <v>47</v>
      </c>
      <c r="M1041">
        <v>1</v>
      </c>
    </row>
    <row r="1042" spans="1:13" x14ac:dyDescent="0.25">
      <c r="A1042" s="4">
        <v>42606</v>
      </c>
      <c r="B1042" t="s">
        <v>30</v>
      </c>
      <c r="C1042">
        <v>3</v>
      </c>
      <c r="D1042">
        <v>1</v>
      </c>
      <c r="E1042" t="s">
        <v>35</v>
      </c>
      <c r="F1042" t="s">
        <v>114</v>
      </c>
      <c r="G1042">
        <v>1</v>
      </c>
      <c r="H1042" s="5" t="s">
        <v>561</v>
      </c>
      <c r="I1042" s="5" t="s">
        <v>562</v>
      </c>
      <c r="J1042">
        <v>1</v>
      </c>
      <c r="K1042">
        <f>31.5-16</f>
        <v>15.5</v>
      </c>
      <c r="L1042" t="s">
        <v>65</v>
      </c>
      <c r="M1042">
        <v>1</v>
      </c>
    </row>
    <row r="1043" spans="1:13" x14ac:dyDescent="0.25">
      <c r="A1043" s="4">
        <v>42570</v>
      </c>
      <c r="B1043" t="s">
        <v>30</v>
      </c>
      <c r="C1043">
        <v>1</v>
      </c>
      <c r="D1043">
        <v>1</v>
      </c>
      <c r="E1043" t="s">
        <v>35</v>
      </c>
      <c r="F1043" t="s">
        <v>36</v>
      </c>
      <c r="G1043">
        <v>1</v>
      </c>
      <c r="H1043" s="5">
        <v>50595</v>
      </c>
      <c r="I1043" s="5">
        <v>50594</v>
      </c>
      <c r="J1043">
        <v>0</v>
      </c>
      <c r="K1043">
        <v>22</v>
      </c>
      <c r="L1043" t="s">
        <v>47</v>
      </c>
      <c r="M1043">
        <v>1</v>
      </c>
    </row>
    <row r="1044" spans="1:13" x14ac:dyDescent="0.25">
      <c r="A1044" s="4">
        <v>42571</v>
      </c>
      <c r="B1044" t="s">
        <v>30</v>
      </c>
      <c r="C1044">
        <v>1</v>
      </c>
      <c r="D1044">
        <v>1</v>
      </c>
      <c r="E1044" t="s">
        <v>35</v>
      </c>
      <c r="F1044" t="s">
        <v>36</v>
      </c>
      <c r="G1044">
        <v>1</v>
      </c>
      <c r="H1044" s="5">
        <v>50595</v>
      </c>
      <c r="I1044" s="5">
        <v>50594</v>
      </c>
      <c r="J1044">
        <v>0</v>
      </c>
      <c r="K1044">
        <f>34.5-13</f>
        <v>21.5</v>
      </c>
      <c r="L1044" t="s">
        <v>47</v>
      </c>
      <c r="M1044">
        <v>1</v>
      </c>
    </row>
    <row r="1045" spans="1:13" x14ac:dyDescent="0.25">
      <c r="A1045" s="4">
        <v>42584</v>
      </c>
      <c r="B1045" t="s">
        <v>30</v>
      </c>
      <c r="C1045">
        <v>1</v>
      </c>
      <c r="D1045">
        <v>1</v>
      </c>
      <c r="E1045" t="s">
        <v>35</v>
      </c>
      <c r="F1045" t="s">
        <v>36</v>
      </c>
      <c r="G1045">
        <v>1</v>
      </c>
      <c r="H1045" s="5">
        <v>50595</v>
      </c>
      <c r="I1045" s="5">
        <v>50594</v>
      </c>
      <c r="J1045">
        <v>1</v>
      </c>
      <c r="K1045">
        <v>21</v>
      </c>
      <c r="L1045" t="s">
        <v>47</v>
      </c>
      <c r="M1045">
        <v>1</v>
      </c>
    </row>
    <row r="1046" spans="1:13" x14ac:dyDescent="0.25">
      <c r="A1046" s="4">
        <v>42585</v>
      </c>
      <c r="B1046" t="s">
        <v>30</v>
      </c>
      <c r="C1046">
        <v>1</v>
      </c>
      <c r="D1046">
        <v>1</v>
      </c>
      <c r="E1046" t="s">
        <v>35</v>
      </c>
      <c r="F1046" t="s">
        <v>36</v>
      </c>
      <c r="G1046">
        <v>1</v>
      </c>
      <c r="H1046" s="5">
        <v>50595</v>
      </c>
      <c r="I1046" s="5">
        <v>50594</v>
      </c>
      <c r="J1046">
        <v>1</v>
      </c>
      <c r="K1046">
        <f>23.5-4</f>
        <v>19.5</v>
      </c>
      <c r="L1046" t="s">
        <v>47</v>
      </c>
      <c r="M1046">
        <v>1</v>
      </c>
    </row>
    <row r="1047" spans="1:13" x14ac:dyDescent="0.25">
      <c r="A1047" s="4">
        <v>42586</v>
      </c>
      <c r="B1047" t="s">
        <v>30</v>
      </c>
      <c r="C1047">
        <v>1</v>
      </c>
      <c r="D1047">
        <v>1</v>
      </c>
      <c r="E1047" t="s">
        <v>35</v>
      </c>
      <c r="F1047" t="s">
        <v>114</v>
      </c>
      <c r="G1047">
        <v>1</v>
      </c>
      <c r="H1047" s="5" t="s">
        <v>401</v>
      </c>
      <c r="I1047" s="5" t="s">
        <v>402</v>
      </c>
      <c r="J1047">
        <v>1</v>
      </c>
      <c r="K1047">
        <f>35-16</f>
        <v>19</v>
      </c>
      <c r="L1047" t="s">
        <v>47</v>
      </c>
      <c r="M1047">
        <v>1</v>
      </c>
    </row>
    <row r="1048" spans="1:13" x14ac:dyDescent="0.25">
      <c r="A1048" s="4">
        <v>42587</v>
      </c>
      <c r="B1048" t="s">
        <v>30</v>
      </c>
      <c r="C1048">
        <v>1</v>
      </c>
      <c r="D1048">
        <v>1</v>
      </c>
      <c r="E1048" t="s">
        <v>35</v>
      </c>
      <c r="F1048" t="s">
        <v>114</v>
      </c>
      <c r="G1048">
        <v>1</v>
      </c>
      <c r="H1048" s="5" t="s">
        <v>401</v>
      </c>
      <c r="I1048" s="5" t="s">
        <v>402</v>
      </c>
      <c r="J1048">
        <v>1</v>
      </c>
      <c r="K1048">
        <f>34-15</f>
        <v>19</v>
      </c>
      <c r="L1048" t="s">
        <v>47</v>
      </c>
      <c r="M1048">
        <v>1</v>
      </c>
    </row>
    <row r="1049" spans="1:13" x14ac:dyDescent="0.25">
      <c r="A1049" s="4">
        <v>42588</v>
      </c>
      <c r="B1049" t="s">
        <v>30</v>
      </c>
      <c r="C1049">
        <v>1</v>
      </c>
      <c r="D1049">
        <v>1</v>
      </c>
      <c r="E1049" t="s">
        <v>35</v>
      </c>
      <c r="F1049" t="s">
        <v>36</v>
      </c>
      <c r="G1049">
        <v>1</v>
      </c>
      <c r="H1049" s="5" t="s">
        <v>401</v>
      </c>
      <c r="I1049" s="5" t="s">
        <v>402</v>
      </c>
      <c r="J1049">
        <v>1</v>
      </c>
      <c r="K1049">
        <f>35-13</f>
        <v>22</v>
      </c>
      <c r="L1049" t="s">
        <v>47</v>
      </c>
      <c r="M1049">
        <v>1</v>
      </c>
    </row>
    <row r="1050" spans="1:13" x14ac:dyDescent="0.25">
      <c r="A1050" s="4">
        <v>42589</v>
      </c>
      <c r="B1050" t="s">
        <v>30</v>
      </c>
      <c r="C1050">
        <v>1</v>
      </c>
      <c r="D1050">
        <v>1</v>
      </c>
      <c r="E1050" t="s">
        <v>35</v>
      </c>
      <c r="F1050" t="s">
        <v>36</v>
      </c>
      <c r="G1050">
        <v>1</v>
      </c>
      <c r="H1050" s="5" t="s">
        <v>401</v>
      </c>
      <c r="I1050" s="5" t="s">
        <v>402</v>
      </c>
      <c r="J1050">
        <v>1</v>
      </c>
      <c r="K1050">
        <f>39-19</f>
        <v>20</v>
      </c>
      <c r="L1050" t="s">
        <v>47</v>
      </c>
      <c r="M1050">
        <v>1</v>
      </c>
    </row>
    <row r="1051" spans="1:13" x14ac:dyDescent="0.25">
      <c r="A1051" s="4">
        <v>42570</v>
      </c>
      <c r="B1051" t="s">
        <v>30</v>
      </c>
      <c r="C1051">
        <v>1</v>
      </c>
      <c r="D1051">
        <v>1</v>
      </c>
      <c r="E1051" t="s">
        <v>35</v>
      </c>
      <c r="F1051" t="s">
        <v>36</v>
      </c>
      <c r="G1051">
        <v>1</v>
      </c>
      <c r="H1051" s="5">
        <v>50602</v>
      </c>
      <c r="I1051" s="5">
        <v>50601</v>
      </c>
      <c r="J1051">
        <v>0</v>
      </c>
      <c r="K1051">
        <v>22</v>
      </c>
      <c r="L1051" t="s">
        <v>47</v>
      </c>
      <c r="M1051">
        <v>1</v>
      </c>
    </row>
    <row r="1052" spans="1:13" x14ac:dyDescent="0.25">
      <c r="A1052" s="4">
        <v>42571</v>
      </c>
      <c r="B1052" t="s">
        <v>30</v>
      </c>
      <c r="C1052">
        <v>1</v>
      </c>
      <c r="D1052">
        <v>1</v>
      </c>
      <c r="E1052" t="s">
        <v>35</v>
      </c>
      <c r="F1052" t="s">
        <v>36</v>
      </c>
      <c r="G1052">
        <v>1</v>
      </c>
      <c r="H1052" s="5">
        <v>50602</v>
      </c>
      <c r="I1052" s="5">
        <v>50601</v>
      </c>
      <c r="J1052">
        <v>0</v>
      </c>
      <c r="K1052">
        <v>22</v>
      </c>
      <c r="L1052" t="s">
        <v>47</v>
      </c>
      <c r="M1052">
        <v>1</v>
      </c>
    </row>
    <row r="1053" spans="1:13" x14ac:dyDescent="0.25">
      <c r="A1053" s="4">
        <v>42572</v>
      </c>
      <c r="B1053" t="s">
        <v>30</v>
      </c>
      <c r="C1053">
        <v>1</v>
      </c>
      <c r="D1053">
        <v>1</v>
      </c>
      <c r="E1053" t="s">
        <v>35</v>
      </c>
      <c r="F1053" t="s">
        <v>36</v>
      </c>
      <c r="G1053">
        <v>1</v>
      </c>
      <c r="H1053" s="5">
        <v>50602</v>
      </c>
      <c r="I1053" s="5">
        <v>50601</v>
      </c>
      <c r="J1053">
        <v>0</v>
      </c>
      <c r="K1053">
        <v>22</v>
      </c>
      <c r="L1053" t="s">
        <v>47</v>
      </c>
      <c r="M1053">
        <v>1</v>
      </c>
    </row>
    <row r="1054" spans="1:13" x14ac:dyDescent="0.25">
      <c r="A1054" s="4">
        <v>42584</v>
      </c>
      <c r="B1054" t="s">
        <v>30</v>
      </c>
      <c r="C1054">
        <v>1</v>
      </c>
      <c r="D1054">
        <v>1</v>
      </c>
      <c r="E1054" t="s">
        <v>35</v>
      </c>
      <c r="F1054" t="s">
        <v>36</v>
      </c>
      <c r="G1054">
        <v>1</v>
      </c>
      <c r="H1054" s="5">
        <v>50602</v>
      </c>
      <c r="I1054" s="5">
        <v>50601</v>
      </c>
      <c r="J1054">
        <v>1</v>
      </c>
      <c r="K1054">
        <f>31.5-10.5</f>
        <v>21</v>
      </c>
      <c r="L1054" t="s">
        <v>47</v>
      </c>
      <c r="M1054">
        <v>1</v>
      </c>
    </row>
    <row r="1055" spans="1:13" x14ac:dyDescent="0.25">
      <c r="A1055" s="4">
        <v>42563</v>
      </c>
      <c r="B1055" t="s">
        <v>30</v>
      </c>
      <c r="C1055">
        <v>7</v>
      </c>
      <c r="D1055">
        <v>1</v>
      </c>
      <c r="E1055" t="s">
        <v>35</v>
      </c>
      <c r="F1055" t="s">
        <v>89</v>
      </c>
      <c r="G1055">
        <v>2</v>
      </c>
      <c r="H1055" s="5">
        <v>50610</v>
      </c>
      <c r="I1055" s="5">
        <v>50609</v>
      </c>
      <c r="J1055">
        <v>0</v>
      </c>
      <c r="K1055">
        <f>22-9</f>
        <v>13</v>
      </c>
      <c r="L1055" t="s">
        <v>38</v>
      </c>
      <c r="M1055">
        <v>1</v>
      </c>
    </row>
    <row r="1056" spans="1:13" x14ac:dyDescent="0.25">
      <c r="A1056" s="4">
        <v>42564</v>
      </c>
      <c r="B1056" t="s">
        <v>30</v>
      </c>
      <c r="C1056">
        <v>7</v>
      </c>
      <c r="D1056">
        <v>1</v>
      </c>
      <c r="E1056" t="s">
        <v>35</v>
      </c>
      <c r="F1056" t="s">
        <v>89</v>
      </c>
      <c r="G1056">
        <v>2</v>
      </c>
      <c r="H1056" s="5">
        <v>50610</v>
      </c>
      <c r="I1056" s="5">
        <v>50609</v>
      </c>
      <c r="J1056">
        <v>0</v>
      </c>
      <c r="K1056">
        <v>12.5</v>
      </c>
      <c r="L1056" t="s">
        <v>38</v>
      </c>
      <c r="M1056">
        <v>1</v>
      </c>
    </row>
    <row r="1057" spans="1:13" x14ac:dyDescent="0.25">
      <c r="A1057" s="4">
        <v>42565</v>
      </c>
      <c r="B1057" t="s">
        <v>30</v>
      </c>
      <c r="C1057">
        <v>7</v>
      </c>
      <c r="D1057">
        <v>1</v>
      </c>
      <c r="E1057" t="s">
        <v>35</v>
      </c>
      <c r="F1057" t="s">
        <v>89</v>
      </c>
      <c r="G1057">
        <v>2</v>
      </c>
      <c r="H1057" s="5">
        <v>50610</v>
      </c>
      <c r="I1057" s="5">
        <v>50609</v>
      </c>
      <c r="J1057">
        <v>0</v>
      </c>
      <c r="K1057">
        <v>13</v>
      </c>
      <c r="L1057" t="s">
        <v>38</v>
      </c>
      <c r="M1057">
        <v>1</v>
      </c>
    </row>
    <row r="1058" spans="1:13" x14ac:dyDescent="0.25">
      <c r="A1058" s="4">
        <v>42574</v>
      </c>
      <c r="B1058" t="s">
        <v>30</v>
      </c>
      <c r="C1058">
        <v>7</v>
      </c>
      <c r="D1058">
        <v>1</v>
      </c>
      <c r="E1058" t="s">
        <v>35</v>
      </c>
      <c r="F1058" t="s">
        <v>114</v>
      </c>
      <c r="G1058">
        <v>2</v>
      </c>
      <c r="H1058" s="5">
        <v>50610</v>
      </c>
      <c r="I1058" s="5">
        <v>50609</v>
      </c>
      <c r="J1058">
        <v>0</v>
      </c>
      <c r="K1058">
        <f>28-13.5</f>
        <v>14.5</v>
      </c>
      <c r="L1058" t="s">
        <v>38</v>
      </c>
      <c r="M1058">
        <v>1</v>
      </c>
    </row>
    <row r="1059" spans="1:13" x14ac:dyDescent="0.25">
      <c r="A1059" s="4">
        <v>42575</v>
      </c>
      <c r="B1059" t="s">
        <v>30</v>
      </c>
      <c r="C1059">
        <v>7</v>
      </c>
      <c r="D1059">
        <v>1</v>
      </c>
      <c r="E1059" t="s">
        <v>35</v>
      </c>
      <c r="F1059" t="s">
        <v>89</v>
      </c>
      <c r="G1059">
        <v>2</v>
      </c>
      <c r="H1059" s="5">
        <v>50610</v>
      </c>
      <c r="I1059" s="5">
        <v>50609</v>
      </c>
      <c r="J1059">
        <v>0</v>
      </c>
      <c r="K1059">
        <v>13.5</v>
      </c>
      <c r="L1059" t="s">
        <v>38</v>
      </c>
      <c r="M1059">
        <v>1</v>
      </c>
    </row>
    <row r="1060" spans="1:13" x14ac:dyDescent="0.25">
      <c r="A1060" s="4">
        <v>42576</v>
      </c>
      <c r="B1060" t="s">
        <v>30</v>
      </c>
      <c r="C1060">
        <v>7</v>
      </c>
      <c r="D1060">
        <v>1</v>
      </c>
      <c r="E1060" t="s">
        <v>35</v>
      </c>
      <c r="F1060" t="s">
        <v>89</v>
      </c>
      <c r="G1060">
        <v>2</v>
      </c>
      <c r="H1060" s="5">
        <v>50610</v>
      </c>
      <c r="I1060" s="5">
        <v>50609</v>
      </c>
      <c r="J1060">
        <v>0</v>
      </c>
      <c r="K1060">
        <f>24-10.5</f>
        <v>13.5</v>
      </c>
      <c r="L1060" t="s">
        <v>38</v>
      </c>
      <c r="M1060">
        <v>1</v>
      </c>
    </row>
    <row r="1061" spans="1:13" x14ac:dyDescent="0.25">
      <c r="A1061" s="4">
        <v>42591</v>
      </c>
      <c r="B1061" t="s">
        <v>30</v>
      </c>
      <c r="C1061">
        <v>7</v>
      </c>
      <c r="D1061">
        <v>1</v>
      </c>
      <c r="E1061" t="s">
        <v>35</v>
      </c>
      <c r="F1061" t="s">
        <v>89</v>
      </c>
      <c r="G1061">
        <v>2</v>
      </c>
      <c r="H1061" s="5" t="s">
        <v>573</v>
      </c>
      <c r="I1061" s="5" t="s">
        <v>574</v>
      </c>
      <c r="J1061">
        <v>1</v>
      </c>
      <c r="K1061">
        <f>31-16</f>
        <v>15</v>
      </c>
      <c r="L1061" t="s">
        <v>38</v>
      </c>
      <c r="M1061">
        <v>1</v>
      </c>
    </row>
    <row r="1062" spans="1:13" x14ac:dyDescent="0.25">
      <c r="A1062" s="4">
        <v>42592</v>
      </c>
      <c r="B1062" t="s">
        <v>30</v>
      </c>
      <c r="C1062">
        <v>7</v>
      </c>
      <c r="D1062">
        <v>1</v>
      </c>
      <c r="E1062" t="s">
        <v>35</v>
      </c>
      <c r="F1062" t="s">
        <v>89</v>
      </c>
      <c r="G1062">
        <v>2</v>
      </c>
      <c r="H1062" s="5" t="s">
        <v>573</v>
      </c>
      <c r="I1062" s="5" t="s">
        <v>574</v>
      </c>
      <c r="J1062">
        <v>1</v>
      </c>
      <c r="K1062">
        <f>29-14</f>
        <v>15</v>
      </c>
      <c r="L1062" t="s">
        <v>38</v>
      </c>
      <c r="M1062">
        <v>1</v>
      </c>
    </row>
    <row r="1063" spans="1:13" x14ac:dyDescent="0.25">
      <c r="A1063" s="4">
        <v>42593</v>
      </c>
      <c r="B1063" t="s">
        <v>30</v>
      </c>
      <c r="C1063">
        <v>7</v>
      </c>
      <c r="D1063">
        <v>1</v>
      </c>
      <c r="E1063" t="s">
        <v>35</v>
      </c>
      <c r="F1063" t="s">
        <v>89</v>
      </c>
      <c r="G1063">
        <v>2</v>
      </c>
      <c r="H1063" s="5" t="s">
        <v>573</v>
      </c>
      <c r="I1063" s="5" t="s">
        <v>574</v>
      </c>
      <c r="J1063">
        <v>1</v>
      </c>
      <c r="K1063">
        <f>32-17</f>
        <v>15</v>
      </c>
      <c r="L1063" t="s">
        <v>38</v>
      </c>
      <c r="M1063">
        <v>1</v>
      </c>
    </row>
    <row r="1064" spans="1:13" x14ac:dyDescent="0.25">
      <c r="A1064" s="4">
        <v>42564</v>
      </c>
      <c r="B1064" t="s">
        <v>30</v>
      </c>
      <c r="C1064">
        <v>7</v>
      </c>
      <c r="D1064">
        <v>1</v>
      </c>
      <c r="E1064" t="s">
        <v>35</v>
      </c>
      <c r="F1064" t="s">
        <v>89</v>
      </c>
      <c r="G1064">
        <v>2</v>
      </c>
      <c r="H1064" s="5">
        <v>50612</v>
      </c>
      <c r="I1064" s="5">
        <v>50611</v>
      </c>
      <c r="J1064">
        <v>0</v>
      </c>
      <c r="K1064">
        <f>22-10</f>
        <v>12</v>
      </c>
      <c r="L1064" t="s">
        <v>38</v>
      </c>
      <c r="M1064">
        <v>1</v>
      </c>
    </row>
    <row r="1065" spans="1:13" x14ac:dyDescent="0.25">
      <c r="A1065" s="4">
        <v>42565</v>
      </c>
      <c r="B1065" t="s">
        <v>30</v>
      </c>
      <c r="C1065">
        <v>7</v>
      </c>
      <c r="D1065">
        <v>1</v>
      </c>
      <c r="E1065" t="s">
        <v>35</v>
      </c>
      <c r="F1065" t="s">
        <v>89</v>
      </c>
      <c r="G1065">
        <v>2</v>
      </c>
      <c r="H1065" s="5">
        <v>50612</v>
      </c>
      <c r="I1065" s="5">
        <v>50611</v>
      </c>
      <c r="J1065">
        <v>0</v>
      </c>
      <c r="K1065">
        <f>21-9.5</f>
        <v>11.5</v>
      </c>
      <c r="L1065" t="s">
        <v>38</v>
      </c>
      <c r="M1065">
        <v>1</v>
      </c>
    </row>
    <row r="1066" spans="1:13" x14ac:dyDescent="0.25">
      <c r="A1066" s="4">
        <v>42575</v>
      </c>
      <c r="B1066" t="s">
        <v>30</v>
      </c>
      <c r="C1066">
        <v>7</v>
      </c>
      <c r="D1066">
        <v>1</v>
      </c>
      <c r="E1066" t="s">
        <v>35</v>
      </c>
      <c r="F1066" t="s">
        <v>114</v>
      </c>
      <c r="G1066">
        <v>2</v>
      </c>
      <c r="H1066" s="5">
        <v>50612</v>
      </c>
      <c r="I1066" s="5">
        <v>50611</v>
      </c>
      <c r="J1066">
        <v>0</v>
      </c>
      <c r="K1066">
        <f>23.5-11</f>
        <v>12.5</v>
      </c>
      <c r="L1066" t="s">
        <v>38</v>
      </c>
      <c r="M1066">
        <v>1</v>
      </c>
    </row>
    <row r="1067" spans="1:13" x14ac:dyDescent="0.25">
      <c r="A1067" s="4">
        <v>42592</v>
      </c>
      <c r="B1067" t="s">
        <v>30</v>
      </c>
      <c r="C1067">
        <v>7</v>
      </c>
      <c r="D1067">
        <v>1</v>
      </c>
      <c r="E1067" t="s">
        <v>35</v>
      </c>
      <c r="F1067" t="s">
        <v>114</v>
      </c>
      <c r="G1067">
        <v>2</v>
      </c>
      <c r="H1067" s="5" t="s">
        <v>614</v>
      </c>
      <c r="I1067" s="5" t="s">
        <v>615</v>
      </c>
      <c r="J1067">
        <v>1</v>
      </c>
      <c r="K1067">
        <f>33-18.5</f>
        <v>14.5</v>
      </c>
      <c r="L1067" t="s">
        <v>38</v>
      </c>
      <c r="M1067">
        <v>1</v>
      </c>
    </row>
    <row r="1068" spans="1:13" x14ac:dyDescent="0.25">
      <c r="A1068" s="4">
        <v>42563</v>
      </c>
      <c r="B1068" t="s">
        <v>30</v>
      </c>
      <c r="C1068">
        <v>8</v>
      </c>
      <c r="D1068">
        <v>1</v>
      </c>
      <c r="E1068" t="s">
        <v>35</v>
      </c>
      <c r="F1068" t="s">
        <v>114</v>
      </c>
      <c r="G1068">
        <v>2</v>
      </c>
      <c r="H1068" s="5">
        <v>50614</v>
      </c>
      <c r="I1068" s="5">
        <v>50613</v>
      </c>
      <c r="J1068">
        <v>0</v>
      </c>
      <c r="K1068">
        <f>34-11</f>
        <v>23</v>
      </c>
      <c r="L1068" t="s">
        <v>120</v>
      </c>
      <c r="M1068">
        <v>1</v>
      </c>
    </row>
    <row r="1069" spans="1:13" x14ac:dyDescent="0.25">
      <c r="A1069" s="4">
        <v>42564</v>
      </c>
      <c r="B1069" t="s">
        <v>30</v>
      </c>
      <c r="C1069">
        <v>8</v>
      </c>
      <c r="D1069">
        <v>1</v>
      </c>
      <c r="E1069" t="s">
        <v>35</v>
      </c>
      <c r="F1069" t="s">
        <v>114</v>
      </c>
      <c r="G1069">
        <v>2</v>
      </c>
      <c r="H1069" s="5">
        <v>50614</v>
      </c>
      <c r="I1069" s="5">
        <v>50613</v>
      </c>
      <c r="J1069">
        <v>0</v>
      </c>
      <c r="K1069">
        <f>32.5-12</f>
        <v>20.5</v>
      </c>
      <c r="L1069" t="s">
        <v>120</v>
      </c>
      <c r="M1069">
        <v>1</v>
      </c>
    </row>
    <row r="1070" spans="1:13" x14ac:dyDescent="0.25">
      <c r="A1070" s="4">
        <v>42565</v>
      </c>
      <c r="B1070" t="s">
        <v>30</v>
      </c>
      <c r="C1070">
        <v>8</v>
      </c>
      <c r="D1070">
        <v>1</v>
      </c>
      <c r="E1070" t="s">
        <v>35</v>
      </c>
      <c r="F1070" t="s">
        <v>36</v>
      </c>
      <c r="G1070">
        <v>2</v>
      </c>
      <c r="H1070" s="5">
        <v>50614</v>
      </c>
      <c r="I1070" s="5">
        <v>50613</v>
      </c>
      <c r="J1070">
        <v>0</v>
      </c>
      <c r="K1070">
        <v>23</v>
      </c>
      <c r="L1070" t="s">
        <v>143</v>
      </c>
      <c r="M1070">
        <v>1</v>
      </c>
    </row>
    <row r="1071" spans="1:13" x14ac:dyDescent="0.25">
      <c r="A1071" s="4">
        <v>42574</v>
      </c>
      <c r="B1071" t="s">
        <v>30</v>
      </c>
      <c r="C1071">
        <v>8</v>
      </c>
      <c r="D1071">
        <v>1</v>
      </c>
      <c r="E1071" t="s">
        <v>35</v>
      </c>
      <c r="F1071" t="s">
        <v>114</v>
      </c>
      <c r="G1071">
        <v>2</v>
      </c>
      <c r="H1071" s="5">
        <v>50614</v>
      </c>
      <c r="I1071" s="5">
        <v>50613</v>
      </c>
      <c r="J1071">
        <v>0</v>
      </c>
      <c r="K1071">
        <v>21</v>
      </c>
      <c r="L1071" t="s">
        <v>81</v>
      </c>
      <c r="M1071">
        <v>1</v>
      </c>
    </row>
    <row r="1072" spans="1:13" x14ac:dyDescent="0.25">
      <c r="A1072" s="4">
        <v>42576</v>
      </c>
      <c r="B1072" t="s">
        <v>30</v>
      </c>
      <c r="C1072">
        <v>8</v>
      </c>
      <c r="D1072">
        <v>1</v>
      </c>
      <c r="E1072" t="s">
        <v>35</v>
      </c>
      <c r="F1072" t="s">
        <v>114</v>
      </c>
      <c r="G1072">
        <v>2</v>
      </c>
      <c r="H1072" s="5">
        <v>50614</v>
      </c>
      <c r="I1072" s="5">
        <v>50613</v>
      </c>
      <c r="J1072">
        <v>0</v>
      </c>
      <c r="K1072">
        <v>20</v>
      </c>
      <c r="L1072" t="s">
        <v>74</v>
      </c>
      <c r="M1072">
        <v>1</v>
      </c>
    </row>
    <row r="1073" spans="1:13" x14ac:dyDescent="0.25">
      <c r="A1073" s="4">
        <v>42563</v>
      </c>
      <c r="B1073" t="s">
        <v>30</v>
      </c>
      <c r="C1073">
        <v>9</v>
      </c>
      <c r="D1073">
        <v>1</v>
      </c>
      <c r="E1073" t="s">
        <v>35</v>
      </c>
      <c r="F1073" t="s">
        <v>36</v>
      </c>
      <c r="G1073">
        <v>2</v>
      </c>
      <c r="H1073" s="5">
        <v>50617</v>
      </c>
      <c r="I1073" s="5">
        <v>50616</v>
      </c>
      <c r="J1073">
        <v>0</v>
      </c>
      <c r="L1073" t="s">
        <v>143</v>
      </c>
      <c r="M1073">
        <v>1</v>
      </c>
    </row>
    <row r="1074" spans="1:13" x14ac:dyDescent="0.25">
      <c r="A1074" s="4">
        <v>42564</v>
      </c>
      <c r="B1074" t="s">
        <v>30</v>
      </c>
      <c r="C1074">
        <v>9</v>
      </c>
      <c r="D1074">
        <v>1</v>
      </c>
      <c r="E1074" t="s">
        <v>35</v>
      </c>
      <c r="F1074" t="s">
        <v>36</v>
      </c>
      <c r="G1074">
        <v>2</v>
      </c>
      <c r="H1074" s="5">
        <v>50617</v>
      </c>
      <c r="I1074" s="5">
        <v>50516</v>
      </c>
      <c r="J1074">
        <v>0</v>
      </c>
      <c r="K1074">
        <f>29-13</f>
        <v>16</v>
      </c>
      <c r="L1074" t="s">
        <v>143</v>
      </c>
      <c r="M1074">
        <v>1</v>
      </c>
    </row>
    <row r="1075" spans="1:13" x14ac:dyDescent="0.25">
      <c r="A1075" s="4">
        <v>42565</v>
      </c>
      <c r="B1075" t="s">
        <v>30</v>
      </c>
      <c r="C1075">
        <v>9</v>
      </c>
      <c r="D1075">
        <v>1</v>
      </c>
      <c r="E1075" t="s">
        <v>35</v>
      </c>
      <c r="F1075" t="s">
        <v>36</v>
      </c>
      <c r="G1075">
        <v>2</v>
      </c>
      <c r="H1075" s="5">
        <v>50617</v>
      </c>
      <c r="I1075" s="5">
        <v>50616</v>
      </c>
      <c r="J1075">
        <v>0</v>
      </c>
      <c r="K1075">
        <f>30-11.5</f>
        <v>18.5</v>
      </c>
      <c r="L1075" t="s">
        <v>143</v>
      </c>
      <c r="M1075">
        <v>1</v>
      </c>
    </row>
    <row r="1076" spans="1:13" x14ac:dyDescent="0.25">
      <c r="A1076" s="4">
        <v>42574</v>
      </c>
      <c r="B1076" t="s">
        <v>30</v>
      </c>
      <c r="C1076">
        <v>9</v>
      </c>
      <c r="D1076">
        <v>1</v>
      </c>
      <c r="E1076" t="s">
        <v>35</v>
      </c>
      <c r="F1076" t="s">
        <v>36</v>
      </c>
      <c r="G1076">
        <v>2</v>
      </c>
      <c r="H1076" s="5">
        <v>50617</v>
      </c>
      <c r="I1076" s="5">
        <v>50616</v>
      </c>
      <c r="J1076">
        <v>0</v>
      </c>
      <c r="K1076">
        <f>31.5-11</f>
        <v>20.5</v>
      </c>
      <c r="L1076" t="s">
        <v>38</v>
      </c>
      <c r="M1076">
        <v>1</v>
      </c>
    </row>
    <row r="1077" spans="1:13" x14ac:dyDescent="0.25">
      <c r="A1077" s="4">
        <v>42575</v>
      </c>
      <c r="B1077" t="s">
        <v>30</v>
      </c>
      <c r="C1077">
        <v>9</v>
      </c>
      <c r="D1077">
        <v>1</v>
      </c>
      <c r="E1077" t="s">
        <v>35</v>
      </c>
      <c r="F1077" t="s">
        <v>36</v>
      </c>
      <c r="G1077">
        <v>2</v>
      </c>
      <c r="H1077" s="5">
        <v>50617</v>
      </c>
      <c r="I1077" s="5">
        <v>50616</v>
      </c>
      <c r="J1077">
        <v>0</v>
      </c>
      <c r="K1077">
        <f>32-13</f>
        <v>19</v>
      </c>
      <c r="L1077" t="s">
        <v>38</v>
      </c>
      <c r="M1077">
        <v>1</v>
      </c>
    </row>
    <row r="1078" spans="1:13" x14ac:dyDescent="0.25">
      <c r="A1078" s="4">
        <v>42570</v>
      </c>
      <c r="B1078" t="s">
        <v>30</v>
      </c>
      <c r="C1078">
        <v>2</v>
      </c>
      <c r="D1078">
        <v>1</v>
      </c>
      <c r="E1078" t="s">
        <v>35</v>
      </c>
      <c r="F1078" t="s">
        <v>36</v>
      </c>
      <c r="G1078">
        <v>2</v>
      </c>
      <c r="H1078" s="5">
        <v>50627</v>
      </c>
      <c r="I1078" s="5">
        <v>50628</v>
      </c>
      <c r="J1078">
        <v>1</v>
      </c>
      <c r="K1078">
        <f>33.5-13</f>
        <v>20.5</v>
      </c>
      <c r="L1078" t="s">
        <v>164</v>
      </c>
      <c r="M1078">
        <v>1</v>
      </c>
    </row>
    <row r="1079" spans="1:13" x14ac:dyDescent="0.25">
      <c r="A1079" s="4">
        <v>42570</v>
      </c>
      <c r="B1079" t="s">
        <v>30</v>
      </c>
      <c r="C1079">
        <v>2</v>
      </c>
      <c r="D1079">
        <v>1</v>
      </c>
      <c r="E1079" t="s">
        <v>35</v>
      </c>
      <c r="F1079" t="s">
        <v>36</v>
      </c>
      <c r="G1079">
        <v>2</v>
      </c>
      <c r="H1079" s="5">
        <v>50633</v>
      </c>
      <c r="I1079" s="5">
        <v>50634</v>
      </c>
      <c r="J1079">
        <v>1</v>
      </c>
      <c r="K1079">
        <f>36.5-14.5</f>
        <v>22</v>
      </c>
      <c r="L1079" t="s">
        <v>143</v>
      </c>
      <c r="M1079">
        <v>1</v>
      </c>
    </row>
    <row r="1080" spans="1:13" x14ac:dyDescent="0.25">
      <c r="A1080" s="4">
        <v>42572</v>
      </c>
      <c r="B1080" t="s">
        <v>30</v>
      </c>
      <c r="C1080">
        <v>2</v>
      </c>
      <c r="D1080">
        <v>1</v>
      </c>
      <c r="E1080" t="s">
        <v>35</v>
      </c>
      <c r="F1080" t="s">
        <v>114</v>
      </c>
      <c r="G1080">
        <v>2</v>
      </c>
      <c r="H1080" s="5">
        <v>50633</v>
      </c>
      <c r="I1080" s="5">
        <v>50634</v>
      </c>
      <c r="J1080">
        <v>1</v>
      </c>
      <c r="K1080">
        <f>29.5-10</f>
        <v>19.5</v>
      </c>
      <c r="L1080" t="s">
        <v>164</v>
      </c>
      <c r="M1080">
        <v>1</v>
      </c>
    </row>
    <row r="1081" spans="1:13" x14ac:dyDescent="0.25">
      <c r="A1081" s="4">
        <v>42584</v>
      </c>
      <c r="B1081" t="s">
        <v>30</v>
      </c>
      <c r="C1081">
        <v>2</v>
      </c>
      <c r="D1081">
        <v>1</v>
      </c>
      <c r="E1081" t="s">
        <v>35</v>
      </c>
      <c r="F1081" t="s">
        <v>114</v>
      </c>
      <c r="G1081">
        <v>2</v>
      </c>
      <c r="H1081" s="5">
        <v>50633</v>
      </c>
      <c r="I1081" s="5">
        <v>50634</v>
      </c>
      <c r="J1081">
        <v>1</v>
      </c>
      <c r="K1081">
        <f>35-14</f>
        <v>21</v>
      </c>
      <c r="L1081" t="s">
        <v>149</v>
      </c>
      <c r="M1081">
        <v>1</v>
      </c>
    </row>
    <row r="1082" spans="1:13" x14ac:dyDescent="0.25">
      <c r="A1082" s="4">
        <v>42586</v>
      </c>
      <c r="B1082" t="s">
        <v>30</v>
      </c>
      <c r="C1082">
        <v>2</v>
      </c>
      <c r="D1082">
        <v>1</v>
      </c>
      <c r="E1082" t="s">
        <v>35</v>
      </c>
      <c r="F1082" t="s">
        <v>114</v>
      </c>
      <c r="G1082">
        <v>2</v>
      </c>
      <c r="H1082" s="5">
        <v>50633</v>
      </c>
      <c r="I1082" s="5">
        <v>50634</v>
      </c>
      <c r="J1082">
        <v>1</v>
      </c>
      <c r="K1082">
        <f>32-13</f>
        <v>19</v>
      </c>
      <c r="L1082" t="s">
        <v>74</v>
      </c>
      <c r="M1082">
        <v>1</v>
      </c>
    </row>
    <row r="1083" spans="1:13" x14ac:dyDescent="0.25">
      <c r="A1083" s="4">
        <v>42598</v>
      </c>
      <c r="B1083" t="s">
        <v>30</v>
      </c>
      <c r="C1083">
        <v>2</v>
      </c>
      <c r="D1083">
        <v>1</v>
      </c>
      <c r="E1083" t="s">
        <v>35</v>
      </c>
      <c r="F1083" t="s">
        <v>36</v>
      </c>
      <c r="G1083">
        <v>2</v>
      </c>
      <c r="H1083" s="5" t="s">
        <v>778</v>
      </c>
      <c r="I1083" s="5" t="s">
        <v>779</v>
      </c>
      <c r="J1083">
        <v>1</v>
      </c>
      <c r="K1083">
        <f>35-15</f>
        <v>20</v>
      </c>
      <c r="L1083" t="s">
        <v>136</v>
      </c>
      <c r="M1083">
        <v>1</v>
      </c>
    </row>
    <row r="1084" spans="1:13" x14ac:dyDescent="0.25">
      <c r="A1084" s="4">
        <v>42599</v>
      </c>
      <c r="B1084" t="s">
        <v>30</v>
      </c>
      <c r="C1084">
        <v>2</v>
      </c>
      <c r="D1084">
        <v>1</v>
      </c>
      <c r="E1084" t="s">
        <v>35</v>
      </c>
      <c r="F1084" t="s">
        <v>36</v>
      </c>
      <c r="G1084">
        <v>2</v>
      </c>
      <c r="H1084" s="5" t="s">
        <v>778</v>
      </c>
      <c r="I1084" s="5" t="s">
        <v>779</v>
      </c>
      <c r="J1084">
        <v>1</v>
      </c>
      <c r="K1084">
        <f>38-17</f>
        <v>21</v>
      </c>
      <c r="L1084" t="s">
        <v>38</v>
      </c>
      <c r="M1084">
        <v>1</v>
      </c>
    </row>
    <row r="1085" spans="1:13" x14ac:dyDescent="0.25">
      <c r="A1085" s="4">
        <v>42600</v>
      </c>
      <c r="B1085" t="s">
        <v>30</v>
      </c>
      <c r="C1085">
        <v>2</v>
      </c>
      <c r="D1085">
        <v>1</v>
      </c>
      <c r="E1085" t="s">
        <v>35</v>
      </c>
      <c r="F1085" t="s">
        <v>114</v>
      </c>
      <c r="G1085">
        <v>2</v>
      </c>
      <c r="H1085" s="5" t="s">
        <v>778</v>
      </c>
      <c r="I1085" s="5" t="s">
        <v>779</v>
      </c>
      <c r="J1085">
        <v>1</v>
      </c>
      <c r="K1085">
        <f>33-14</f>
        <v>19</v>
      </c>
      <c r="L1085" t="s">
        <v>38</v>
      </c>
      <c r="M1085">
        <v>1</v>
      </c>
    </row>
    <row r="1086" spans="1:13" x14ac:dyDescent="0.25">
      <c r="A1086" s="4">
        <v>42585</v>
      </c>
      <c r="B1086" t="s">
        <v>30</v>
      </c>
      <c r="C1086">
        <v>2</v>
      </c>
      <c r="D1086">
        <v>1</v>
      </c>
      <c r="E1086" t="s">
        <v>35</v>
      </c>
      <c r="F1086" t="s">
        <v>114</v>
      </c>
      <c r="G1086">
        <v>2</v>
      </c>
      <c r="H1086" s="5">
        <v>50634</v>
      </c>
      <c r="I1086" s="5">
        <v>50633</v>
      </c>
      <c r="J1086">
        <v>0</v>
      </c>
      <c r="K1086">
        <f>35-13.5</f>
        <v>21.5</v>
      </c>
      <c r="L1086" t="s">
        <v>312</v>
      </c>
      <c r="M1086">
        <v>1</v>
      </c>
    </row>
    <row r="1087" spans="1:13" x14ac:dyDescent="0.25">
      <c r="A1087" s="4">
        <v>42570</v>
      </c>
      <c r="B1087" t="s">
        <v>30</v>
      </c>
      <c r="C1087">
        <v>3</v>
      </c>
      <c r="D1087">
        <v>1</v>
      </c>
      <c r="E1087" t="s">
        <v>35</v>
      </c>
      <c r="F1087" t="s">
        <v>89</v>
      </c>
      <c r="G1087">
        <v>1</v>
      </c>
      <c r="H1087" s="5">
        <v>50650</v>
      </c>
      <c r="I1087" s="5">
        <v>50649</v>
      </c>
      <c r="J1087">
        <v>1</v>
      </c>
      <c r="K1087">
        <f>24-9</f>
        <v>15</v>
      </c>
      <c r="L1087" t="s">
        <v>65</v>
      </c>
      <c r="M1087">
        <v>1</v>
      </c>
    </row>
    <row r="1088" spans="1:13" x14ac:dyDescent="0.25">
      <c r="A1088" s="4">
        <v>42572</v>
      </c>
      <c r="B1088" t="s">
        <v>30</v>
      </c>
      <c r="C1088">
        <v>2</v>
      </c>
      <c r="D1088">
        <v>1</v>
      </c>
      <c r="E1088" t="s">
        <v>35</v>
      </c>
      <c r="F1088" t="s">
        <v>89</v>
      </c>
      <c r="G1088">
        <v>1</v>
      </c>
      <c r="H1088" s="5">
        <v>50665</v>
      </c>
      <c r="I1088" s="5">
        <v>50664</v>
      </c>
      <c r="J1088">
        <v>0</v>
      </c>
      <c r="K1088">
        <v>15</v>
      </c>
      <c r="L1088" t="s">
        <v>65</v>
      </c>
      <c r="M1088">
        <v>1</v>
      </c>
    </row>
    <row r="1089" spans="1:13" x14ac:dyDescent="0.25">
      <c r="A1089" s="4">
        <v>42584</v>
      </c>
      <c r="B1089" t="s">
        <v>30</v>
      </c>
      <c r="C1089">
        <v>2</v>
      </c>
      <c r="D1089">
        <v>1</v>
      </c>
      <c r="E1089" t="s">
        <v>35</v>
      </c>
      <c r="F1089" t="s">
        <v>114</v>
      </c>
      <c r="G1089">
        <v>1</v>
      </c>
      <c r="H1089" s="5">
        <v>50665</v>
      </c>
      <c r="I1089" s="5">
        <v>50664</v>
      </c>
      <c r="J1089">
        <v>0</v>
      </c>
      <c r="K1089">
        <f>30-13</f>
        <v>17</v>
      </c>
      <c r="L1089" t="s">
        <v>65</v>
      </c>
      <c r="M1089">
        <v>1</v>
      </c>
    </row>
    <row r="1090" spans="1:13" x14ac:dyDescent="0.25">
      <c r="A1090" s="4">
        <v>42585</v>
      </c>
      <c r="B1090" t="s">
        <v>30</v>
      </c>
      <c r="C1090">
        <v>2</v>
      </c>
      <c r="D1090">
        <v>1</v>
      </c>
      <c r="E1090" t="s">
        <v>35</v>
      </c>
      <c r="F1090" t="s">
        <v>114</v>
      </c>
      <c r="G1090">
        <v>1</v>
      </c>
      <c r="H1090" s="5">
        <v>50665</v>
      </c>
      <c r="I1090" s="5">
        <v>50664</v>
      </c>
      <c r="J1090">
        <v>0</v>
      </c>
      <c r="K1090">
        <f>29.5-13</f>
        <v>16.5</v>
      </c>
      <c r="L1090" t="s">
        <v>65</v>
      </c>
      <c r="M1090">
        <v>1</v>
      </c>
    </row>
    <row r="1091" spans="1:13" x14ac:dyDescent="0.25">
      <c r="A1091" s="4">
        <v>42586</v>
      </c>
      <c r="B1091" t="s">
        <v>30</v>
      </c>
      <c r="C1091">
        <v>2</v>
      </c>
      <c r="D1091">
        <v>1</v>
      </c>
      <c r="E1091" t="s">
        <v>35</v>
      </c>
      <c r="F1091" t="s">
        <v>114</v>
      </c>
      <c r="G1091">
        <v>1</v>
      </c>
      <c r="H1091" s="5">
        <v>50665</v>
      </c>
      <c r="I1091" s="5">
        <v>50664</v>
      </c>
      <c r="J1091">
        <v>0</v>
      </c>
      <c r="K1091">
        <f>29.5-13</f>
        <v>16.5</v>
      </c>
      <c r="L1091" t="s">
        <v>65</v>
      </c>
      <c r="M1091">
        <v>1</v>
      </c>
    </row>
    <row r="1092" spans="1:13" x14ac:dyDescent="0.25">
      <c r="A1092" s="4">
        <v>42598</v>
      </c>
      <c r="B1092" t="s">
        <v>30</v>
      </c>
      <c r="C1092">
        <v>2</v>
      </c>
      <c r="D1092">
        <v>1</v>
      </c>
      <c r="E1092" t="s">
        <v>35</v>
      </c>
      <c r="F1092" t="s">
        <v>114</v>
      </c>
      <c r="G1092">
        <v>1</v>
      </c>
      <c r="H1092" s="5" t="s">
        <v>773</v>
      </c>
      <c r="I1092" s="5" t="s">
        <v>774</v>
      </c>
      <c r="J1092">
        <v>1</v>
      </c>
      <c r="K1092">
        <f>31.5-14.5</f>
        <v>17</v>
      </c>
      <c r="L1092" t="s">
        <v>65</v>
      </c>
      <c r="M1092">
        <v>1</v>
      </c>
    </row>
    <row r="1093" spans="1:13" x14ac:dyDescent="0.25">
      <c r="A1093" s="4">
        <v>42570</v>
      </c>
      <c r="B1093" t="s">
        <v>30</v>
      </c>
      <c r="C1093">
        <v>2</v>
      </c>
      <c r="D1093">
        <v>1</v>
      </c>
      <c r="E1093" t="s">
        <v>35</v>
      </c>
      <c r="F1093" t="s">
        <v>36</v>
      </c>
      <c r="G1093">
        <v>2</v>
      </c>
      <c r="H1093" s="5">
        <v>50668</v>
      </c>
      <c r="I1093" s="5">
        <v>50667</v>
      </c>
      <c r="J1093">
        <v>1</v>
      </c>
      <c r="K1093">
        <f>33-9</f>
        <v>24</v>
      </c>
      <c r="L1093" t="s">
        <v>143</v>
      </c>
      <c r="M1093">
        <v>1</v>
      </c>
    </row>
    <row r="1094" spans="1:13" x14ac:dyDescent="0.25">
      <c r="A1094" s="4">
        <v>42563</v>
      </c>
      <c r="B1094" t="s">
        <v>30</v>
      </c>
      <c r="C1094">
        <v>8</v>
      </c>
      <c r="D1094">
        <v>1</v>
      </c>
      <c r="E1094" t="s">
        <v>35</v>
      </c>
      <c r="F1094" t="s">
        <v>36</v>
      </c>
      <c r="G1094">
        <v>1</v>
      </c>
      <c r="H1094" s="5">
        <v>50677</v>
      </c>
      <c r="I1094" s="5">
        <v>50676</v>
      </c>
      <c r="J1094">
        <v>0</v>
      </c>
      <c r="K1094">
        <v>23</v>
      </c>
      <c r="L1094" t="s">
        <v>47</v>
      </c>
      <c r="M1094">
        <v>1</v>
      </c>
    </row>
    <row r="1095" spans="1:13" x14ac:dyDescent="0.25">
      <c r="A1095" s="4">
        <v>42564</v>
      </c>
      <c r="B1095" t="s">
        <v>30</v>
      </c>
      <c r="C1095">
        <v>8</v>
      </c>
      <c r="D1095">
        <v>1</v>
      </c>
      <c r="E1095" t="s">
        <v>35</v>
      </c>
      <c r="F1095" t="s">
        <v>36</v>
      </c>
      <c r="G1095">
        <v>1</v>
      </c>
      <c r="H1095" s="5">
        <v>50677</v>
      </c>
      <c r="I1095" s="5">
        <v>50676</v>
      </c>
      <c r="J1095">
        <v>0</v>
      </c>
      <c r="K1095">
        <f>29-11</f>
        <v>18</v>
      </c>
      <c r="L1095" t="s">
        <v>47</v>
      </c>
      <c r="M1095">
        <v>1</v>
      </c>
    </row>
    <row r="1096" spans="1:13" x14ac:dyDescent="0.25">
      <c r="A1096" s="4">
        <v>42565</v>
      </c>
      <c r="B1096" t="s">
        <v>30</v>
      </c>
      <c r="C1096">
        <v>8</v>
      </c>
      <c r="D1096">
        <v>1</v>
      </c>
      <c r="E1096" t="s">
        <v>35</v>
      </c>
      <c r="F1096" t="s">
        <v>36</v>
      </c>
      <c r="G1096">
        <v>1</v>
      </c>
      <c r="H1096" s="5">
        <v>50677</v>
      </c>
      <c r="I1096" s="5">
        <v>50676</v>
      </c>
      <c r="J1096">
        <v>0</v>
      </c>
      <c r="K1096">
        <v>19</v>
      </c>
      <c r="L1096" t="s">
        <v>47</v>
      </c>
      <c r="M1096">
        <v>1</v>
      </c>
    </row>
    <row r="1097" spans="1:13" x14ac:dyDescent="0.25">
      <c r="A1097" s="4">
        <v>42574</v>
      </c>
      <c r="B1097" t="s">
        <v>30</v>
      </c>
      <c r="C1097">
        <v>8</v>
      </c>
      <c r="D1097">
        <v>1</v>
      </c>
      <c r="E1097" t="s">
        <v>35</v>
      </c>
      <c r="F1097" t="s">
        <v>36</v>
      </c>
      <c r="G1097">
        <v>1</v>
      </c>
      <c r="H1097" s="5">
        <v>50677</v>
      </c>
      <c r="I1097" s="5">
        <v>50676</v>
      </c>
      <c r="J1097">
        <v>1</v>
      </c>
      <c r="K1097">
        <v>24</v>
      </c>
      <c r="L1097" t="s">
        <v>47</v>
      </c>
      <c r="M1097">
        <v>1</v>
      </c>
    </row>
    <row r="1098" spans="1:13" x14ac:dyDescent="0.25">
      <c r="A1098" s="4">
        <v>42576</v>
      </c>
      <c r="B1098" t="s">
        <v>30</v>
      </c>
      <c r="C1098">
        <v>8</v>
      </c>
      <c r="D1098">
        <v>1</v>
      </c>
      <c r="E1098" t="s">
        <v>35</v>
      </c>
      <c r="F1098" t="s">
        <v>36</v>
      </c>
      <c r="G1098">
        <v>1</v>
      </c>
      <c r="H1098" s="5">
        <v>50677</v>
      </c>
      <c r="I1098" s="5">
        <v>50676</v>
      </c>
      <c r="J1098">
        <v>1</v>
      </c>
      <c r="K1098">
        <v>22</v>
      </c>
      <c r="L1098" t="s">
        <v>47</v>
      </c>
      <c r="M1098">
        <v>1</v>
      </c>
    </row>
    <row r="1099" spans="1:13" x14ac:dyDescent="0.25">
      <c r="A1099" s="4">
        <v>42563</v>
      </c>
      <c r="B1099" t="s">
        <v>30</v>
      </c>
      <c r="C1099">
        <v>7</v>
      </c>
      <c r="D1099">
        <v>1</v>
      </c>
      <c r="E1099" t="s">
        <v>35</v>
      </c>
      <c r="F1099" t="s">
        <v>89</v>
      </c>
      <c r="G1099">
        <v>2</v>
      </c>
      <c r="H1099" s="5">
        <v>50690</v>
      </c>
      <c r="I1099" s="5">
        <v>50689</v>
      </c>
      <c r="J1099">
        <v>1</v>
      </c>
      <c r="K1099">
        <f>22-9</f>
        <v>13</v>
      </c>
      <c r="L1099" t="s">
        <v>38</v>
      </c>
      <c r="M1099">
        <v>1</v>
      </c>
    </row>
    <row r="1100" spans="1:13" x14ac:dyDescent="0.25">
      <c r="A1100" s="4">
        <v>42565</v>
      </c>
      <c r="B1100" t="s">
        <v>30</v>
      </c>
      <c r="C1100">
        <v>7</v>
      </c>
      <c r="D1100">
        <v>1</v>
      </c>
      <c r="E1100" t="s">
        <v>35</v>
      </c>
      <c r="F1100" t="s">
        <v>89</v>
      </c>
      <c r="G1100">
        <v>2</v>
      </c>
      <c r="H1100" s="5">
        <v>50690</v>
      </c>
      <c r="I1100" s="5">
        <v>50689</v>
      </c>
      <c r="J1100">
        <v>1</v>
      </c>
      <c r="K1100">
        <f>24-11</f>
        <v>13</v>
      </c>
      <c r="L1100" t="s">
        <v>38</v>
      </c>
      <c r="M1100">
        <v>1</v>
      </c>
    </row>
    <row r="1101" spans="1:13" x14ac:dyDescent="0.25">
      <c r="A1101" s="4">
        <v>42574</v>
      </c>
      <c r="B1101" t="s">
        <v>30</v>
      </c>
      <c r="C1101">
        <v>7</v>
      </c>
      <c r="D1101">
        <v>1</v>
      </c>
      <c r="E1101" t="s">
        <v>35</v>
      </c>
      <c r="F1101" t="s">
        <v>114</v>
      </c>
      <c r="G1101">
        <v>2</v>
      </c>
      <c r="H1101" s="5">
        <v>50690</v>
      </c>
      <c r="I1101" s="5">
        <v>50689</v>
      </c>
      <c r="J1101">
        <v>0</v>
      </c>
      <c r="K1101">
        <f>28-14</f>
        <v>14</v>
      </c>
      <c r="L1101" t="s">
        <v>38</v>
      </c>
      <c r="M1101">
        <v>1</v>
      </c>
    </row>
    <row r="1102" spans="1:13" x14ac:dyDescent="0.25">
      <c r="A1102" s="4">
        <v>42575</v>
      </c>
      <c r="B1102" t="s">
        <v>30</v>
      </c>
      <c r="C1102">
        <v>7</v>
      </c>
      <c r="D1102">
        <v>1</v>
      </c>
      <c r="E1102" t="s">
        <v>35</v>
      </c>
      <c r="F1102" t="s">
        <v>114</v>
      </c>
      <c r="G1102">
        <v>2</v>
      </c>
      <c r="H1102" s="5">
        <v>50690</v>
      </c>
      <c r="I1102" s="5">
        <v>50689</v>
      </c>
      <c r="J1102">
        <v>0</v>
      </c>
      <c r="K1102">
        <v>14</v>
      </c>
      <c r="L1102" t="s">
        <v>38</v>
      </c>
      <c r="M1102">
        <v>1</v>
      </c>
    </row>
    <row r="1103" spans="1:13" x14ac:dyDescent="0.25">
      <c r="A1103" s="4">
        <v>42592</v>
      </c>
      <c r="B1103" t="s">
        <v>30</v>
      </c>
      <c r="C1103">
        <v>7</v>
      </c>
      <c r="D1103">
        <v>1</v>
      </c>
      <c r="E1103" t="s">
        <v>35</v>
      </c>
      <c r="F1103" t="s">
        <v>89</v>
      </c>
      <c r="G1103">
        <v>2</v>
      </c>
      <c r="H1103" s="5" t="s">
        <v>612</v>
      </c>
      <c r="I1103" s="5" t="s">
        <v>613</v>
      </c>
      <c r="J1103">
        <v>1</v>
      </c>
      <c r="K1103">
        <f>29.5-16.5</f>
        <v>13</v>
      </c>
      <c r="L1103" t="s">
        <v>38</v>
      </c>
      <c r="M1103">
        <v>1</v>
      </c>
    </row>
    <row r="1104" spans="1:13" x14ac:dyDescent="0.25">
      <c r="A1104" s="4">
        <v>42604</v>
      </c>
      <c r="B1104" t="s">
        <v>30</v>
      </c>
      <c r="C1104">
        <v>7</v>
      </c>
      <c r="D1104">
        <v>1</v>
      </c>
      <c r="E1104" t="s">
        <v>35</v>
      </c>
      <c r="F1104" t="s">
        <v>114</v>
      </c>
      <c r="G1104">
        <v>2</v>
      </c>
      <c r="H1104" s="5" t="s">
        <v>612</v>
      </c>
      <c r="I1104" s="5" t="s">
        <v>613</v>
      </c>
      <c r="J1104">
        <v>1</v>
      </c>
      <c r="K1104">
        <f>27-12.5</f>
        <v>14.5</v>
      </c>
      <c r="L1104" t="s">
        <v>38</v>
      </c>
      <c r="M1104">
        <v>1</v>
      </c>
    </row>
    <row r="1105" spans="1:13" x14ac:dyDescent="0.25">
      <c r="A1105" s="4">
        <v>42564</v>
      </c>
      <c r="B1105" t="s">
        <v>30</v>
      </c>
      <c r="C1105">
        <v>7</v>
      </c>
      <c r="D1105">
        <v>1</v>
      </c>
      <c r="E1105" t="s">
        <v>35</v>
      </c>
      <c r="F1105" t="s">
        <v>89</v>
      </c>
      <c r="G1105">
        <v>1</v>
      </c>
      <c r="H1105" s="5">
        <v>50692</v>
      </c>
      <c r="I1105" s="5">
        <v>50691</v>
      </c>
      <c r="J1105">
        <v>0</v>
      </c>
      <c r="K1105">
        <f>23-9</f>
        <v>14</v>
      </c>
      <c r="L1105" t="s">
        <v>65</v>
      </c>
      <c r="M1105">
        <v>1</v>
      </c>
    </row>
    <row r="1106" spans="1:13" x14ac:dyDescent="0.25">
      <c r="A1106" s="4">
        <v>42565</v>
      </c>
      <c r="B1106" t="s">
        <v>30</v>
      </c>
      <c r="C1106">
        <v>7</v>
      </c>
      <c r="D1106">
        <v>1</v>
      </c>
      <c r="E1106" t="s">
        <v>35</v>
      </c>
      <c r="F1106" t="s">
        <v>89</v>
      </c>
      <c r="G1106">
        <v>1</v>
      </c>
      <c r="H1106" s="5">
        <v>50692</v>
      </c>
      <c r="I1106" s="5">
        <v>50691</v>
      </c>
      <c r="J1106">
        <v>0</v>
      </c>
      <c r="K1106">
        <f>26-11.5</f>
        <v>14.5</v>
      </c>
      <c r="L1106" t="s">
        <v>65</v>
      </c>
      <c r="M1106">
        <v>1</v>
      </c>
    </row>
    <row r="1107" spans="1:13" x14ac:dyDescent="0.25">
      <c r="A1107" s="4">
        <v>42574</v>
      </c>
      <c r="B1107" t="s">
        <v>30</v>
      </c>
      <c r="C1107">
        <v>7</v>
      </c>
      <c r="D1107">
        <v>1</v>
      </c>
      <c r="E1107" t="s">
        <v>35</v>
      </c>
      <c r="F1107" t="s">
        <v>114</v>
      </c>
      <c r="G1107">
        <v>1</v>
      </c>
      <c r="H1107" s="5">
        <v>50692</v>
      </c>
      <c r="I1107" s="5">
        <v>50691</v>
      </c>
      <c r="J1107">
        <v>0</v>
      </c>
      <c r="K1107">
        <f>23-9.5</f>
        <v>13.5</v>
      </c>
      <c r="L1107" t="s">
        <v>65</v>
      </c>
      <c r="M1107">
        <v>1</v>
      </c>
    </row>
    <row r="1108" spans="1:13" x14ac:dyDescent="0.25">
      <c r="A1108" s="4">
        <v>42564</v>
      </c>
      <c r="B1108" t="s">
        <v>30</v>
      </c>
      <c r="C1108">
        <v>8</v>
      </c>
      <c r="D1108">
        <v>1</v>
      </c>
      <c r="E1108" t="s">
        <v>35</v>
      </c>
      <c r="F1108" t="s">
        <v>36</v>
      </c>
      <c r="G1108">
        <v>1</v>
      </c>
      <c r="H1108" s="5">
        <v>50697</v>
      </c>
      <c r="I1108" s="5">
        <v>50696</v>
      </c>
      <c r="J1108">
        <v>0</v>
      </c>
      <c r="K1108">
        <f>32-11.5</f>
        <v>20.5</v>
      </c>
      <c r="L1108" t="s">
        <v>47</v>
      </c>
      <c r="M1108">
        <v>1</v>
      </c>
    </row>
    <row r="1109" spans="1:13" x14ac:dyDescent="0.25">
      <c r="A1109" s="4">
        <v>42565</v>
      </c>
      <c r="B1109" t="s">
        <v>30</v>
      </c>
      <c r="C1109">
        <v>8</v>
      </c>
      <c r="D1109">
        <v>1</v>
      </c>
      <c r="E1109" t="s">
        <v>35</v>
      </c>
      <c r="F1109" t="s">
        <v>36</v>
      </c>
      <c r="G1109">
        <v>1</v>
      </c>
      <c r="H1109" s="5">
        <v>50697</v>
      </c>
      <c r="I1109" s="5">
        <v>50696</v>
      </c>
      <c r="J1109">
        <v>0</v>
      </c>
      <c r="K1109">
        <v>20</v>
      </c>
      <c r="L1109" t="s">
        <v>47</v>
      </c>
      <c r="M1109">
        <v>1</v>
      </c>
    </row>
    <row r="1110" spans="1:13" x14ac:dyDescent="0.25">
      <c r="A1110" s="4">
        <v>42576</v>
      </c>
      <c r="B1110" t="s">
        <v>30</v>
      </c>
      <c r="C1110">
        <v>8</v>
      </c>
      <c r="D1110">
        <v>1</v>
      </c>
      <c r="E1110" t="s">
        <v>35</v>
      </c>
      <c r="F1110" t="s">
        <v>114</v>
      </c>
      <c r="G1110">
        <v>1</v>
      </c>
      <c r="H1110" s="5">
        <v>50697</v>
      </c>
      <c r="I1110" s="5">
        <v>50696</v>
      </c>
      <c r="J1110">
        <v>0</v>
      </c>
      <c r="K1110">
        <f>30.5-12</f>
        <v>18.5</v>
      </c>
      <c r="L1110" t="s">
        <v>47</v>
      </c>
      <c r="M1110">
        <v>1</v>
      </c>
    </row>
    <row r="1111" spans="1:13" x14ac:dyDescent="0.25">
      <c r="A1111" s="4">
        <v>42563</v>
      </c>
      <c r="B1111" t="s">
        <v>30</v>
      </c>
      <c r="C1111">
        <v>7</v>
      </c>
      <c r="D1111">
        <v>1</v>
      </c>
      <c r="E1111" t="s">
        <v>35</v>
      </c>
      <c r="F1111" t="s">
        <v>89</v>
      </c>
      <c r="G1111">
        <v>2</v>
      </c>
      <c r="H1111" s="5">
        <v>50700</v>
      </c>
      <c r="I1111" s="5">
        <v>50769</v>
      </c>
      <c r="J1111">
        <v>0</v>
      </c>
      <c r="K1111">
        <f>25.5-13</f>
        <v>12.5</v>
      </c>
      <c r="L1111" t="s">
        <v>38</v>
      </c>
      <c r="M1111">
        <v>1</v>
      </c>
    </row>
    <row r="1112" spans="1:13" x14ac:dyDescent="0.25">
      <c r="A1112" s="4">
        <v>42564</v>
      </c>
      <c r="B1112" t="s">
        <v>30</v>
      </c>
      <c r="C1112">
        <v>7</v>
      </c>
      <c r="D1112">
        <v>1</v>
      </c>
      <c r="E1112" t="s">
        <v>35</v>
      </c>
      <c r="F1112" t="s">
        <v>89</v>
      </c>
      <c r="G1112">
        <v>2</v>
      </c>
      <c r="H1112" s="5">
        <v>50700</v>
      </c>
      <c r="I1112" s="5">
        <v>50699</v>
      </c>
      <c r="J1112">
        <v>0</v>
      </c>
      <c r="K1112">
        <f>22.5-11</f>
        <v>11.5</v>
      </c>
      <c r="L1112" t="s">
        <v>38</v>
      </c>
      <c r="M1112">
        <v>1</v>
      </c>
    </row>
    <row r="1113" spans="1:13" x14ac:dyDescent="0.25">
      <c r="A1113" s="4">
        <v>42565</v>
      </c>
      <c r="B1113" t="s">
        <v>30</v>
      </c>
      <c r="C1113">
        <v>7</v>
      </c>
      <c r="D1113">
        <v>1</v>
      </c>
      <c r="E1113" t="s">
        <v>35</v>
      </c>
      <c r="F1113" t="s">
        <v>89</v>
      </c>
      <c r="G1113">
        <v>2</v>
      </c>
      <c r="H1113" s="5">
        <v>50700</v>
      </c>
      <c r="I1113" s="5">
        <v>50699</v>
      </c>
      <c r="J1113">
        <v>0</v>
      </c>
      <c r="K1113">
        <f>23-10</f>
        <v>13</v>
      </c>
      <c r="L1113" t="s">
        <v>38</v>
      </c>
      <c r="M1113">
        <v>1</v>
      </c>
    </row>
    <row r="1114" spans="1:13" x14ac:dyDescent="0.25">
      <c r="A1114" s="4">
        <v>42574</v>
      </c>
      <c r="B1114" t="s">
        <v>30</v>
      </c>
      <c r="C1114">
        <v>7</v>
      </c>
      <c r="D1114">
        <v>1</v>
      </c>
      <c r="E1114" t="s">
        <v>35</v>
      </c>
      <c r="F1114" t="s">
        <v>114</v>
      </c>
      <c r="G1114">
        <v>2</v>
      </c>
      <c r="H1114" s="5">
        <v>50700</v>
      </c>
      <c r="I1114" s="5">
        <v>50699</v>
      </c>
      <c r="J1114">
        <v>0</v>
      </c>
      <c r="K1114">
        <f>28-15</f>
        <v>13</v>
      </c>
      <c r="L1114" t="s">
        <v>47</v>
      </c>
      <c r="M1114">
        <v>1</v>
      </c>
    </row>
    <row r="1115" spans="1:13" x14ac:dyDescent="0.25">
      <c r="A1115" s="4">
        <v>42575</v>
      </c>
      <c r="B1115" t="s">
        <v>30</v>
      </c>
      <c r="C1115">
        <v>7</v>
      </c>
      <c r="D1115">
        <v>1</v>
      </c>
      <c r="E1115" t="s">
        <v>35</v>
      </c>
      <c r="F1115" t="s">
        <v>114</v>
      </c>
      <c r="G1115">
        <v>2</v>
      </c>
      <c r="H1115" s="5">
        <v>50700</v>
      </c>
      <c r="I1115" s="5">
        <v>50699</v>
      </c>
      <c r="J1115">
        <v>0</v>
      </c>
      <c r="K1115">
        <f>27-13</f>
        <v>14</v>
      </c>
      <c r="L1115" t="s">
        <v>38</v>
      </c>
      <c r="M1115">
        <v>1</v>
      </c>
    </row>
    <row r="1116" spans="1:13" x14ac:dyDescent="0.25">
      <c r="A1116" s="4">
        <v>42591</v>
      </c>
      <c r="B1116" t="s">
        <v>30</v>
      </c>
      <c r="C1116">
        <v>7</v>
      </c>
      <c r="D1116">
        <v>1</v>
      </c>
      <c r="E1116" t="s">
        <v>35</v>
      </c>
      <c r="F1116" t="s">
        <v>89</v>
      </c>
      <c r="G1116">
        <v>2</v>
      </c>
      <c r="H1116" s="5" t="s">
        <v>571</v>
      </c>
      <c r="I1116" s="5" t="s">
        <v>572</v>
      </c>
      <c r="J1116">
        <v>1</v>
      </c>
      <c r="K1116">
        <f>36-20.5</f>
        <v>15.5</v>
      </c>
      <c r="L1116" t="s">
        <v>38</v>
      </c>
      <c r="M1116">
        <v>1</v>
      </c>
    </row>
    <row r="1117" spans="1:13" x14ac:dyDescent="0.25">
      <c r="A1117" s="4">
        <v>42592</v>
      </c>
      <c r="B1117" t="s">
        <v>30</v>
      </c>
      <c r="C1117">
        <v>7</v>
      </c>
      <c r="D1117">
        <v>1</v>
      </c>
      <c r="E1117" t="s">
        <v>35</v>
      </c>
      <c r="F1117" t="s">
        <v>89</v>
      </c>
      <c r="G1117">
        <v>2</v>
      </c>
      <c r="H1117" s="5" t="s">
        <v>571</v>
      </c>
      <c r="I1117" s="5" t="s">
        <v>572</v>
      </c>
      <c r="J1117">
        <v>1</v>
      </c>
      <c r="K1117">
        <f>30-16</f>
        <v>14</v>
      </c>
      <c r="L1117" t="s">
        <v>38</v>
      </c>
      <c r="M1117">
        <v>1</v>
      </c>
    </row>
    <row r="1118" spans="1:13" x14ac:dyDescent="0.25">
      <c r="A1118" s="4">
        <v>42593</v>
      </c>
      <c r="B1118" t="s">
        <v>30</v>
      </c>
      <c r="C1118">
        <v>7</v>
      </c>
      <c r="D1118">
        <v>1</v>
      </c>
      <c r="E1118" t="s">
        <v>35</v>
      </c>
      <c r="F1118" t="s">
        <v>89</v>
      </c>
      <c r="G1118">
        <v>2</v>
      </c>
      <c r="H1118" s="5" t="s">
        <v>571</v>
      </c>
      <c r="I1118" s="5" t="s">
        <v>572</v>
      </c>
      <c r="J1118">
        <v>1</v>
      </c>
      <c r="K1118">
        <f>27-13</f>
        <v>14</v>
      </c>
      <c r="L1118" t="s">
        <v>38</v>
      </c>
      <c r="M1118">
        <v>1</v>
      </c>
    </row>
    <row r="1119" spans="1:13" x14ac:dyDescent="0.25">
      <c r="A1119" s="4">
        <v>42570</v>
      </c>
      <c r="B1119" t="s">
        <v>30</v>
      </c>
      <c r="C1119">
        <v>1</v>
      </c>
      <c r="D1119">
        <v>1</v>
      </c>
      <c r="E1119" t="s">
        <v>42</v>
      </c>
      <c r="F1119" t="s">
        <v>114</v>
      </c>
      <c r="G1119">
        <v>2</v>
      </c>
      <c r="H1119" s="5">
        <v>50709</v>
      </c>
      <c r="I1119" s="5">
        <v>50708</v>
      </c>
      <c r="J1119">
        <v>0</v>
      </c>
      <c r="K1119">
        <f>28-11.5</f>
        <v>16.5</v>
      </c>
      <c r="L1119" t="s">
        <v>38</v>
      </c>
      <c r="M1119">
        <v>1</v>
      </c>
    </row>
    <row r="1120" spans="1:13" x14ac:dyDescent="0.25">
      <c r="A1120" s="4">
        <v>42571</v>
      </c>
      <c r="B1120" t="s">
        <v>30</v>
      </c>
      <c r="C1120">
        <v>1</v>
      </c>
      <c r="D1120">
        <v>1</v>
      </c>
      <c r="E1120" t="s">
        <v>35</v>
      </c>
      <c r="F1120" t="s">
        <v>114</v>
      </c>
      <c r="G1120">
        <v>2</v>
      </c>
      <c r="H1120" s="5">
        <v>50709</v>
      </c>
      <c r="I1120" s="5">
        <v>50708</v>
      </c>
      <c r="J1120">
        <v>0</v>
      </c>
      <c r="K1120">
        <v>17</v>
      </c>
      <c r="L1120" t="s">
        <v>38</v>
      </c>
      <c r="M1120">
        <v>1</v>
      </c>
    </row>
    <row r="1121" spans="1:13" x14ac:dyDescent="0.25">
      <c r="A1121" s="4">
        <v>42572</v>
      </c>
      <c r="B1121" t="s">
        <v>30</v>
      </c>
      <c r="C1121">
        <v>1</v>
      </c>
      <c r="D1121">
        <v>1</v>
      </c>
      <c r="E1121" t="s">
        <v>35</v>
      </c>
      <c r="F1121" t="s">
        <v>114</v>
      </c>
      <c r="G1121">
        <v>2</v>
      </c>
      <c r="H1121" s="5">
        <v>50709</v>
      </c>
      <c r="I1121" s="5">
        <v>50708</v>
      </c>
      <c r="J1121">
        <v>0</v>
      </c>
      <c r="K1121">
        <f>28-9.5</f>
        <v>18.5</v>
      </c>
      <c r="L1121" t="s">
        <v>38</v>
      </c>
      <c r="M1121">
        <v>1</v>
      </c>
    </row>
    <row r="1122" spans="1:13" x14ac:dyDescent="0.25">
      <c r="A1122" s="4">
        <v>42584</v>
      </c>
      <c r="B1122" t="s">
        <v>30</v>
      </c>
      <c r="C1122">
        <v>1</v>
      </c>
      <c r="D1122">
        <v>1</v>
      </c>
      <c r="E1122" t="s">
        <v>35</v>
      </c>
      <c r="F1122" t="s">
        <v>114</v>
      </c>
      <c r="G1122">
        <v>2</v>
      </c>
      <c r="H1122" s="5">
        <v>50709</v>
      </c>
      <c r="I1122" s="5">
        <v>50708</v>
      </c>
      <c r="J1122">
        <v>0</v>
      </c>
      <c r="K1122">
        <f>33-16</f>
        <v>17</v>
      </c>
      <c r="L1122" t="s">
        <v>164</v>
      </c>
      <c r="M1122">
        <v>1</v>
      </c>
    </row>
    <row r="1123" spans="1:13" x14ac:dyDescent="0.25">
      <c r="A1123" s="4">
        <v>42585</v>
      </c>
      <c r="B1123" t="s">
        <v>30</v>
      </c>
      <c r="C1123">
        <v>1</v>
      </c>
      <c r="D1123">
        <v>1</v>
      </c>
      <c r="E1123" t="s">
        <v>35</v>
      </c>
      <c r="F1123" t="s">
        <v>114</v>
      </c>
      <c r="G1123">
        <v>2</v>
      </c>
      <c r="H1123" s="5">
        <v>50709</v>
      </c>
      <c r="I1123" s="5">
        <v>50708</v>
      </c>
      <c r="J1123">
        <v>0</v>
      </c>
      <c r="K1123">
        <f>22-5.5</f>
        <v>16.5</v>
      </c>
      <c r="L1123" t="s">
        <v>164</v>
      </c>
      <c r="M1123">
        <v>1</v>
      </c>
    </row>
    <row r="1124" spans="1:13" x14ac:dyDescent="0.25">
      <c r="A1124" s="4">
        <v>42586</v>
      </c>
      <c r="B1124" t="s">
        <v>30</v>
      </c>
      <c r="C1124">
        <v>1</v>
      </c>
      <c r="D1124">
        <v>1</v>
      </c>
      <c r="E1124" t="s">
        <v>35</v>
      </c>
      <c r="F1124" t="s">
        <v>114</v>
      </c>
      <c r="G1124">
        <v>2</v>
      </c>
      <c r="H1124" s="5" t="s">
        <v>390</v>
      </c>
      <c r="I1124" s="5" t="s">
        <v>391</v>
      </c>
      <c r="J1124">
        <v>0</v>
      </c>
      <c r="K1124">
        <f>30.5-14.5</f>
        <v>16</v>
      </c>
      <c r="L1124" t="s">
        <v>63</v>
      </c>
      <c r="M1124">
        <v>1</v>
      </c>
    </row>
    <row r="1125" spans="1:13" x14ac:dyDescent="0.25">
      <c r="A1125" s="4">
        <v>42587</v>
      </c>
      <c r="B1125" t="s">
        <v>30</v>
      </c>
      <c r="C1125">
        <v>1</v>
      </c>
      <c r="D1125">
        <v>1</v>
      </c>
      <c r="E1125" t="s">
        <v>35</v>
      </c>
      <c r="F1125" t="s">
        <v>114</v>
      </c>
      <c r="G1125">
        <v>2</v>
      </c>
      <c r="H1125" s="5" t="s">
        <v>390</v>
      </c>
      <c r="I1125" s="5" t="s">
        <v>391</v>
      </c>
      <c r="J1125">
        <v>0</v>
      </c>
      <c r="K1125">
        <f>32.5-11.5</f>
        <v>21</v>
      </c>
      <c r="L1125" t="s">
        <v>63</v>
      </c>
      <c r="M1125">
        <v>1</v>
      </c>
    </row>
    <row r="1126" spans="1:13" x14ac:dyDescent="0.25">
      <c r="A1126" s="4">
        <v>42570</v>
      </c>
      <c r="B1126" t="s">
        <v>30</v>
      </c>
      <c r="C1126">
        <v>1</v>
      </c>
      <c r="D1126">
        <v>1</v>
      </c>
      <c r="E1126" t="s">
        <v>42</v>
      </c>
      <c r="F1126" t="s">
        <v>114</v>
      </c>
      <c r="G1126">
        <v>2</v>
      </c>
      <c r="H1126" s="5">
        <v>50712</v>
      </c>
      <c r="I1126" s="5">
        <v>50711</v>
      </c>
      <c r="J1126">
        <v>0</v>
      </c>
      <c r="K1126">
        <v>18</v>
      </c>
      <c r="L1126" t="s">
        <v>38</v>
      </c>
      <c r="M1126">
        <v>1</v>
      </c>
    </row>
    <row r="1127" spans="1:13" x14ac:dyDescent="0.25">
      <c r="A1127" s="4">
        <v>42571</v>
      </c>
      <c r="B1127" t="s">
        <v>30</v>
      </c>
      <c r="C1127">
        <v>1</v>
      </c>
      <c r="D1127">
        <v>1</v>
      </c>
      <c r="E1127" t="s">
        <v>35</v>
      </c>
      <c r="F1127" t="s">
        <v>114</v>
      </c>
      <c r="G1127">
        <v>2</v>
      </c>
      <c r="H1127" s="5">
        <v>50712</v>
      </c>
      <c r="I1127" s="5">
        <v>50711</v>
      </c>
      <c r="J1127">
        <v>0</v>
      </c>
      <c r="K1127">
        <f>26.5-9.5</f>
        <v>17</v>
      </c>
      <c r="L1127" t="s">
        <v>38</v>
      </c>
      <c r="M1127">
        <v>1</v>
      </c>
    </row>
    <row r="1128" spans="1:13" x14ac:dyDescent="0.25">
      <c r="A1128" s="4">
        <v>42570</v>
      </c>
      <c r="B1128" t="s">
        <v>30</v>
      </c>
      <c r="C1128">
        <v>1</v>
      </c>
      <c r="D1128">
        <v>1</v>
      </c>
      <c r="E1128" t="s">
        <v>42</v>
      </c>
      <c r="F1128" t="s">
        <v>114</v>
      </c>
      <c r="G1128">
        <v>1</v>
      </c>
      <c r="H1128" s="5">
        <v>50716</v>
      </c>
      <c r="I1128" s="5">
        <v>50715</v>
      </c>
      <c r="J1128">
        <v>0</v>
      </c>
      <c r="K1128">
        <f>30-12</f>
        <v>18</v>
      </c>
      <c r="L1128" t="s">
        <v>65</v>
      </c>
      <c r="M1128">
        <v>1</v>
      </c>
    </row>
    <row r="1129" spans="1:13" x14ac:dyDescent="0.25">
      <c r="A1129" s="4">
        <v>42571</v>
      </c>
      <c r="B1129" t="s">
        <v>30</v>
      </c>
      <c r="C1129">
        <v>1</v>
      </c>
      <c r="D1129">
        <v>1</v>
      </c>
      <c r="E1129" t="s">
        <v>35</v>
      </c>
      <c r="F1129" t="s">
        <v>114</v>
      </c>
      <c r="G1129">
        <v>1</v>
      </c>
      <c r="H1129" s="5">
        <v>50716</v>
      </c>
      <c r="I1129" s="5">
        <v>50715</v>
      </c>
      <c r="J1129">
        <v>0</v>
      </c>
      <c r="K1129">
        <f>28-10.5</f>
        <v>17.5</v>
      </c>
      <c r="L1129" t="s">
        <v>65</v>
      </c>
      <c r="M1129">
        <v>1</v>
      </c>
    </row>
    <row r="1130" spans="1:13" x14ac:dyDescent="0.25">
      <c r="A1130" s="4">
        <v>42572</v>
      </c>
      <c r="B1130" t="s">
        <v>30</v>
      </c>
      <c r="C1130">
        <v>1</v>
      </c>
      <c r="D1130">
        <v>1</v>
      </c>
      <c r="E1130" t="s">
        <v>35</v>
      </c>
      <c r="F1130" t="s">
        <v>114</v>
      </c>
      <c r="G1130">
        <v>1</v>
      </c>
      <c r="H1130" s="5">
        <v>50716</v>
      </c>
      <c r="I1130" s="5">
        <v>50715</v>
      </c>
      <c r="J1130">
        <v>0</v>
      </c>
      <c r="K1130">
        <v>16.5</v>
      </c>
      <c r="L1130" t="s">
        <v>65</v>
      </c>
      <c r="M1130">
        <v>1</v>
      </c>
    </row>
    <row r="1131" spans="1:13" x14ac:dyDescent="0.25">
      <c r="A1131" s="4">
        <v>42584</v>
      </c>
      <c r="B1131" t="s">
        <v>30</v>
      </c>
      <c r="C1131">
        <v>1</v>
      </c>
      <c r="D1131">
        <v>1</v>
      </c>
      <c r="E1131" t="s">
        <v>35</v>
      </c>
      <c r="F1131" t="s">
        <v>36</v>
      </c>
      <c r="G1131">
        <v>1</v>
      </c>
      <c r="H1131" s="5">
        <v>50716</v>
      </c>
      <c r="I1131" s="5">
        <v>50715</v>
      </c>
      <c r="J1131">
        <v>0</v>
      </c>
      <c r="K1131">
        <f>35-14.5</f>
        <v>20.5</v>
      </c>
      <c r="L1131" t="s">
        <v>47</v>
      </c>
      <c r="M1131">
        <v>1</v>
      </c>
    </row>
    <row r="1132" spans="1:13" x14ac:dyDescent="0.25">
      <c r="A1132" s="4">
        <v>42587</v>
      </c>
      <c r="B1132" t="s">
        <v>30</v>
      </c>
      <c r="C1132">
        <v>1</v>
      </c>
      <c r="D1132">
        <v>1</v>
      </c>
      <c r="E1132" t="s">
        <v>35</v>
      </c>
      <c r="F1132" t="s">
        <v>36</v>
      </c>
      <c r="G1132">
        <v>1</v>
      </c>
      <c r="H1132" s="5" t="s">
        <v>468</v>
      </c>
      <c r="I1132" s="5" t="s">
        <v>469</v>
      </c>
      <c r="J1132">
        <v>0</v>
      </c>
      <c r="K1132">
        <f>38-19</f>
        <v>19</v>
      </c>
      <c r="L1132" t="s">
        <v>47</v>
      </c>
      <c r="M1132">
        <v>1</v>
      </c>
    </row>
    <row r="1133" spans="1:13" x14ac:dyDescent="0.25">
      <c r="A1133" s="4">
        <v>42588</v>
      </c>
      <c r="B1133" t="s">
        <v>30</v>
      </c>
      <c r="C1133">
        <v>1</v>
      </c>
      <c r="D1133">
        <v>1</v>
      </c>
      <c r="E1133" t="s">
        <v>35</v>
      </c>
      <c r="F1133" t="s">
        <v>36</v>
      </c>
      <c r="G1133">
        <v>1</v>
      </c>
      <c r="H1133" s="5" t="s">
        <v>468</v>
      </c>
      <c r="I1133" s="5" t="s">
        <v>469</v>
      </c>
      <c r="J1133">
        <v>0</v>
      </c>
      <c r="K1133">
        <f>30-12.5</f>
        <v>17.5</v>
      </c>
      <c r="L1133" t="s">
        <v>47</v>
      </c>
      <c r="M1133">
        <v>1</v>
      </c>
    </row>
    <row r="1134" spans="1:13" x14ac:dyDescent="0.25">
      <c r="A1134" s="4">
        <v>42571</v>
      </c>
      <c r="B1134" t="s">
        <v>30</v>
      </c>
      <c r="C1134">
        <v>1</v>
      </c>
      <c r="D1134">
        <v>1</v>
      </c>
      <c r="E1134" t="s">
        <v>42</v>
      </c>
      <c r="F1134" t="s">
        <v>114</v>
      </c>
      <c r="G1134">
        <v>1</v>
      </c>
      <c r="H1134" s="5">
        <v>50719</v>
      </c>
      <c r="I1134" s="5">
        <v>50718</v>
      </c>
      <c r="J1134">
        <v>0</v>
      </c>
      <c r="K1134">
        <f>28-11</f>
        <v>17</v>
      </c>
      <c r="L1134" t="s">
        <v>65</v>
      </c>
      <c r="M1134">
        <v>1</v>
      </c>
    </row>
    <row r="1135" spans="1:13" x14ac:dyDescent="0.25">
      <c r="A1135" s="4">
        <v>42571</v>
      </c>
      <c r="B1135" t="s">
        <v>30</v>
      </c>
      <c r="C1135">
        <v>1</v>
      </c>
      <c r="D1135">
        <v>1</v>
      </c>
      <c r="E1135" t="s">
        <v>42</v>
      </c>
      <c r="F1135" t="s">
        <v>89</v>
      </c>
      <c r="G1135">
        <v>2</v>
      </c>
      <c r="H1135" s="5">
        <v>50721</v>
      </c>
      <c r="I1135" s="5">
        <v>50720</v>
      </c>
      <c r="J1135">
        <v>0</v>
      </c>
      <c r="K1135">
        <f>21.5-9</f>
        <v>12.5</v>
      </c>
      <c r="L1135" t="s">
        <v>38</v>
      </c>
      <c r="M1135">
        <v>1</v>
      </c>
    </row>
    <row r="1136" spans="1:13" x14ac:dyDescent="0.25">
      <c r="A1136" s="4">
        <v>42572</v>
      </c>
      <c r="B1136" t="s">
        <v>30</v>
      </c>
      <c r="C1136">
        <v>1</v>
      </c>
      <c r="D1136">
        <v>1</v>
      </c>
      <c r="E1136" t="s">
        <v>35</v>
      </c>
      <c r="F1136" t="s">
        <v>89</v>
      </c>
      <c r="G1136">
        <v>2</v>
      </c>
      <c r="H1136" s="5">
        <v>50721</v>
      </c>
      <c r="I1136" s="5">
        <v>50720</v>
      </c>
      <c r="J1136">
        <v>0</v>
      </c>
      <c r="K1136">
        <f>22-10.5</f>
        <v>11.5</v>
      </c>
      <c r="L1136" t="s">
        <v>38</v>
      </c>
      <c r="M1136">
        <v>1</v>
      </c>
    </row>
    <row r="1137" spans="1:13" x14ac:dyDescent="0.25">
      <c r="A1137" s="4">
        <v>42584</v>
      </c>
      <c r="B1137" t="s">
        <v>30</v>
      </c>
      <c r="C1137">
        <v>1</v>
      </c>
      <c r="D1137">
        <v>1</v>
      </c>
      <c r="E1137" t="s">
        <v>35</v>
      </c>
      <c r="F1137" t="s">
        <v>114</v>
      </c>
      <c r="G1137">
        <v>2</v>
      </c>
      <c r="H1137" s="5">
        <v>50721</v>
      </c>
      <c r="I1137" s="5">
        <v>50720</v>
      </c>
      <c r="J1137">
        <v>0</v>
      </c>
      <c r="K1137">
        <f>28-12.5</f>
        <v>15.5</v>
      </c>
      <c r="L1137" t="s">
        <v>38</v>
      </c>
      <c r="M1137">
        <v>1</v>
      </c>
    </row>
    <row r="1138" spans="1:13" x14ac:dyDescent="0.25">
      <c r="A1138" s="4">
        <v>42586</v>
      </c>
      <c r="B1138" t="s">
        <v>30</v>
      </c>
      <c r="C1138">
        <v>1</v>
      </c>
      <c r="D1138">
        <v>1</v>
      </c>
      <c r="E1138" t="s">
        <v>35</v>
      </c>
      <c r="F1138" t="s">
        <v>89</v>
      </c>
      <c r="G1138">
        <v>2</v>
      </c>
      <c r="H1138" s="5" t="s">
        <v>384</v>
      </c>
      <c r="I1138" s="5" t="s">
        <v>385</v>
      </c>
      <c r="J1138">
        <v>0</v>
      </c>
      <c r="K1138">
        <f>28-14.5</f>
        <v>13.5</v>
      </c>
      <c r="L1138" t="s">
        <v>38</v>
      </c>
      <c r="M1138">
        <v>1</v>
      </c>
    </row>
    <row r="1139" spans="1:13" x14ac:dyDescent="0.25">
      <c r="A1139" s="4">
        <v>42588</v>
      </c>
      <c r="B1139" t="s">
        <v>30</v>
      </c>
      <c r="C1139">
        <v>1</v>
      </c>
      <c r="D1139">
        <v>1</v>
      </c>
      <c r="E1139" t="s">
        <v>35</v>
      </c>
      <c r="F1139" t="s">
        <v>89</v>
      </c>
      <c r="G1139">
        <v>2</v>
      </c>
      <c r="H1139" s="5" t="s">
        <v>384</v>
      </c>
      <c r="I1139" s="5" t="s">
        <v>385</v>
      </c>
      <c r="J1139">
        <v>0</v>
      </c>
      <c r="K1139">
        <f>27-15</f>
        <v>12</v>
      </c>
      <c r="L1139" t="s">
        <v>38</v>
      </c>
      <c r="M1139">
        <v>1</v>
      </c>
    </row>
    <row r="1140" spans="1:13" x14ac:dyDescent="0.25">
      <c r="A1140" s="4">
        <v>42589</v>
      </c>
      <c r="B1140" t="s">
        <v>30</v>
      </c>
      <c r="C1140">
        <v>1</v>
      </c>
      <c r="D1140">
        <v>1</v>
      </c>
      <c r="E1140" t="s">
        <v>35</v>
      </c>
      <c r="F1140" t="s">
        <v>89</v>
      </c>
      <c r="G1140">
        <v>2</v>
      </c>
      <c r="H1140" s="5" t="s">
        <v>384</v>
      </c>
      <c r="I1140" s="5" t="s">
        <v>385</v>
      </c>
      <c r="J1140">
        <v>0</v>
      </c>
      <c r="K1140">
        <f>30-14.5</f>
        <v>15.5</v>
      </c>
      <c r="L1140" t="s">
        <v>38</v>
      </c>
      <c r="M1140">
        <v>1</v>
      </c>
    </row>
    <row r="1141" spans="1:13" x14ac:dyDescent="0.25">
      <c r="A1141" s="4">
        <v>42563</v>
      </c>
      <c r="B1141" t="s">
        <v>30</v>
      </c>
      <c r="C1141">
        <v>5</v>
      </c>
      <c r="D1141">
        <v>1</v>
      </c>
      <c r="E1141" t="s">
        <v>42</v>
      </c>
      <c r="F1141" t="s">
        <v>114</v>
      </c>
      <c r="G1141">
        <v>2</v>
      </c>
      <c r="H1141" s="5">
        <v>50729</v>
      </c>
      <c r="I1141" s="5">
        <v>50728</v>
      </c>
      <c r="J1141">
        <v>0</v>
      </c>
      <c r="K1141">
        <f>35-16</f>
        <v>19</v>
      </c>
      <c r="L1141" t="s">
        <v>81</v>
      </c>
      <c r="M1141">
        <v>1</v>
      </c>
    </row>
    <row r="1142" spans="1:13" x14ac:dyDescent="0.25">
      <c r="A1142" s="4">
        <v>42564</v>
      </c>
      <c r="B1142" t="s">
        <v>30</v>
      </c>
      <c r="C1142">
        <v>5</v>
      </c>
      <c r="D1142">
        <v>1</v>
      </c>
      <c r="E1142" t="s">
        <v>35</v>
      </c>
      <c r="F1142" t="s">
        <v>114</v>
      </c>
      <c r="G1142">
        <v>2</v>
      </c>
      <c r="H1142" s="5">
        <v>50729</v>
      </c>
      <c r="I1142" s="5">
        <v>50728</v>
      </c>
      <c r="J1142">
        <v>0</v>
      </c>
      <c r="K1142">
        <v>18.5</v>
      </c>
      <c r="L1142" t="s">
        <v>38</v>
      </c>
      <c r="M1142">
        <v>1</v>
      </c>
    </row>
    <row r="1143" spans="1:13" x14ac:dyDescent="0.25">
      <c r="A1143" s="4">
        <v>42565</v>
      </c>
      <c r="B1143" t="s">
        <v>30</v>
      </c>
      <c r="C1143">
        <v>5</v>
      </c>
      <c r="D1143">
        <v>1</v>
      </c>
      <c r="E1143" t="s">
        <v>35</v>
      </c>
      <c r="F1143" t="s">
        <v>114</v>
      </c>
      <c r="G1143">
        <v>2</v>
      </c>
      <c r="H1143" s="5">
        <v>50729</v>
      </c>
      <c r="I1143" s="5">
        <v>50728</v>
      </c>
      <c r="J1143">
        <v>0</v>
      </c>
      <c r="K1143">
        <f>31.5-14</f>
        <v>17.5</v>
      </c>
      <c r="L1143" t="s">
        <v>38</v>
      </c>
      <c r="M1143">
        <v>1</v>
      </c>
    </row>
    <row r="1144" spans="1:13" x14ac:dyDescent="0.25">
      <c r="A1144" s="4">
        <v>42565</v>
      </c>
      <c r="B1144" t="s">
        <v>30</v>
      </c>
      <c r="C1144">
        <v>5</v>
      </c>
      <c r="D1144">
        <v>1</v>
      </c>
      <c r="E1144" t="s">
        <v>42</v>
      </c>
      <c r="F1144" t="s">
        <v>114</v>
      </c>
      <c r="G1144">
        <v>2</v>
      </c>
      <c r="H1144" s="5">
        <v>50742</v>
      </c>
      <c r="I1144" s="5">
        <v>50741</v>
      </c>
      <c r="J1144">
        <v>0</v>
      </c>
      <c r="K1144">
        <v>16</v>
      </c>
      <c r="L1144" t="s">
        <v>38</v>
      </c>
      <c r="M1144">
        <v>1</v>
      </c>
    </row>
    <row r="1145" spans="1:13" x14ac:dyDescent="0.25">
      <c r="A1145" s="4">
        <v>42574</v>
      </c>
      <c r="B1145" t="s">
        <v>30</v>
      </c>
      <c r="C1145">
        <v>5</v>
      </c>
      <c r="D1145">
        <v>1</v>
      </c>
      <c r="E1145" t="s">
        <v>35</v>
      </c>
      <c r="F1145" t="s">
        <v>89</v>
      </c>
      <c r="G1145">
        <v>1</v>
      </c>
      <c r="H1145" s="5">
        <v>50742</v>
      </c>
      <c r="I1145" s="5">
        <v>50741</v>
      </c>
      <c r="J1145">
        <v>1</v>
      </c>
      <c r="K1145">
        <f>24-10.5</f>
        <v>13.5</v>
      </c>
      <c r="L1145" t="s">
        <v>65</v>
      </c>
      <c r="M1145">
        <v>1</v>
      </c>
    </row>
    <row r="1146" spans="1:13" x14ac:dyDescent="0.25">
      <c r="A1146" s="4">
        <v>42575</v>
      </c>
      <c r="B1146" t="s">
        <v>30</v>
      </c>
      <c r="C1146">
        <v>5</v>
      </c>
      <c r="D1146">
        <v>1</v>
      </c>
      <c r="E1146" t="s">
        <v>35</v>
      </c>
      <c r="F1146" t="s">
        <v>89</v>
      </c>
      <c r="G1146">
        <v>1</v>
      </c>
      <c r="H1146" s="5">
        <v>50742</v>
      </c>
      <c r="I1146" s="5">
        <v>50741</v>
      </c>
      <c r="J1146">
        <v>1</v>
      </c>
      <c r="K1146">
        <f>28-3</f>
        <v>25</v>
      </c>
      <c r="L1146" t="s">
        <v>65</v>
      </c>
      <c r="M1146">
        <v>1</v>
      </c>
    </row>
    <row r="1147" spans="1:13" x14ac:dyDescent="0.25">
      <c r="A1147" s="4">
        <v>42576</v>
      </c>
      <c r="B1147" t="s">
        <v>30</v>
      </c>
      <c r="C1147">
        <v>5</v>
      </c>
      <c r="D1147">
        <v>1</v>
      </c>
      <c r="E1147" t="s">
        <v>35</v>
      </c>
      <c r="F1147" t="s">
        <v>89</v>
      </c>
      <c r="G1147">
        <v>2</v>
      </c>
      <c r="H1147" s="5">
        <v>50742</v>
      </c>
      <c r="I1147" s="5">
        <v>50741</v>
      </c>
      <c r="J1147">
        <v>1</v>
      </c>
      <c r="K1147">
        <f>27-12.5</f>
        <v>14.5</v>
      </c>
      <c r="L1147" t="s">
        <v>38</v>
      </c>
      <c r="M1147">
        <v>1</v>
      </c>
    </row>
    <row r="1148" spans="1:13" x14ac:dyDescent="0.25">
      <c r="A1148" s="4">
        <v>42592</v>
      </c>
      <c r="B1148" t="s">
        <v>30</v>
      </c>
      <c r="C1148">
        <v>5</v>
      </c>
      <c r="D1148">
        <v>1</v>
      </c>
      <c r="E1148" t="s">
        <v>35</v>
      </c>
      <c r="F1148" t="s">
        <v>114</v>
      </c>
      <c r="G1148">
        <v>2</v>
      </c>
      <c r="H1148" s="5" t="s">
        <v>664</v>
      </c>
      <c r="I1148" s="5" t="s">
        <v>665</v>
      </c>
      <c r="J1148">
        <v>0</v>
      </c>
      <c r="K1148">
        <f>32.5-16</f>
        <v>16.5</v>
      </c>
      <c r="L1148" t="s">
        <v>38</v>
      </c>
      <c r="M1148">
        <v>1</v>
      </c>
    </row>
    <row r="1149" spans="1:13" x14ac:dyDescent="0.25">
      <c r="A1149" s="4">
        <v>42593</v>
      </c>
      <c r="B1149" t="s">
        <v>30</v>
      </c>
      <c r="C1149">
        <v>5</v>
      </c>
      <c r="D1149">
        <v>1</v>
      </c>
      <c r="E1149" t="s">
        <v>35</v>
      </c>
      <c r="F1149" t="s">
        <v>114</v>
      </c>
      <c r="G1149">
        <v>2</v>
      </c>
      <c r="H1149" s="5" t="s">
        <v>664</v>
      </c>
      <c r="I1149" s="5" t="s">
        <v>665</v>
      </c>
      <c r="J1149">
        <v>0</v>
      </c>
      <c r="K1149">
        <f>30.5-15.5</f>
        <v>15</v>
      </c>
      <c r="L1149" t="s">
        <v>38</v>
      </c>
      <c r="M1149">
        <v>1</v>
      </c>
    </row>
    <row r="1150" spans="1:13" x14ac:dyDescent="0.25">
      <c r="A1150" s="4">
        <v>42565</v>
      </c>
      <c r="B1150" t="s">
        <v>30</v>
      </c>
      <c r="C1150">
        <v>5</v>
      </c>
      <c r="D1150">
        <v>1</v>
      </c>
      <c r="E1150" t="s">
        <v>42</v>
      </c>
      <c r="F1150" t="s">
        <v>36</v>
      </c>
      <c r="G1150">
        <v>1</v>
      </c>
      <c r="H1150" s="5">
        <v>50744</v>
      </c>
      <c r="I1150" s="5">
        <v>50743</v>
      </c>
      <c r="J1150">
        <v>0</v>
      </c>
      <c r="K1150">
        <f>32-13</f>
        <v>19</v>
      </c>
      <c r="L1150" t="s">
        <v>47</v>
      </c>
      <c r="M1150">
        <v>1</v>
      </c>
    </row>
    <row r="1151" spans="1:13" x14ac:dyDescent="0.25">
      <c r="A1151" s="4">
        <v>42576</v>
      </c>
      <c r="B1151" t="s">
        <v>30</v>
      </c>
      <c r="C1151">
        <v>5</v>
      </c>
      <c r="D1151">
        <v>1</v>
      </c>
      <c r="E1151" t="s">
        <v>35</v>
      </c>
      <c r="F1151" t="s">
        <v>36</v>
      </c>
      <c r="G1151">
        <v>1</v>
      </c>
      <c r="H1151" s="5">
        <v>50744</v>
      </c>
      <c r="I1151" s="5">
        <v>50743</v>
      </c>
      <c r="J1151">
        <v>0</v>
      </c>
      <c r="K1151">
        <f>30.5-10.5</f>
        <v>20</v>
      </c>
      <c r="L1151" t="s">
        <v>47</v>
      </c>
      <c r="M1151">
        <v>1</v>
      </c>
    </row>
    <row r="1152" spans="1:13" x14ac:dyDescent="0.25">
      <c r="A1152" s="4">
        <v>42593</v>
      </c>
      <c r="B1152" t="s">
        <v>30</v>
      </c>
      <c r="C1152">
        <v>5</v>
      </c>
      <c r="D1152">
        <v>1</v>
      </c>
      <c r="E1152" t="s">
        <v>35</v>
      </c>
      <c r="F1152" t="s">
        <v>114</v>
      </c>
      <c r="G1152">
        <v>1</v>
      </c>
      <c r="H1152" s="5" t="s">
        <v>662</v>
      </c>
      <c r="I1152" s="5" t="s">
        <v>663</v>
      </c>
      <c r="J1152">
        <v>0</v>
      </c>
      <c r="K1152">
        <f>33.5-16</f>
        <v>17.5</v>
      </c>
      <c r="L1152" t="s">
        <v>47</v>
      </c>
      <c r="M1152">
        <v>1</v>
      </c>
    </row>
    <row r="1153" spans="1:13" x14ac:dyDescent="0.25">
      <c r="A1153" s="4">
        <v>42605</v>
      </c>
      <c r="B1153" t="s">
        <v>30</v>
      </c>
      <c r="C1153">
        <v>5</v>
      </c>
      <c r="D1153">
        <v>1</v>
      </c>
      <c r="E1153" t="s">
        <v>35</v>
      </c>
      <c r="F1153" t="s">
        <v>36</v>
      </c>
      <c r="G1153">
        <v>1</v>
      </c>
      <c r="H1153" s="5" t="s">
        <v>662</v>
      </c>
      <c r="I1153" s="5" t="s">
        <v>663</v>
      </c>
      <c r="J1153">
        <v>1</v>
      </c>
      <c r="K1153">
        <f>37-18</f>
        <v>19</v>
      </c>
      <c r="L1153" t="s">
        <v>65</v>
      </c>
      <c r="M1153">
        <v>1</v>
      </c>
    </row>
    <row r="1154" spans="1:13" x14ac:dyDescent="0.25">
      <c r="A1154" s="4">
        <v>42606</v>
      </c>
      <c r="B1154" t="s">
        <v>30</v>
      </c>
      <c r="C1154">
        <v>5</v>
      </c>
      <c r="D1154">
        <v>1</v>
      </c>
      <c r="E1154" t="s">
        <v>35</v>
      </c>
      <c r="F1154" t="s">
        <v>36</v>
      </c>
      <c r="G1154">
        <v>1</v>
      </c>
      <c r="H1154" s="5" t="s">
        <v>662</v>
      </c>
      <c r="I1154" s="5" t="s">
        <v>663</v>
      </c>
      <c r="J1154">
        <v>1</v>
      </c>
      <c r="K1154">
        <f>37.5-17.5</f>
        <v>20</v>
      </c>
      <c r="L1154" t="s">
        <v>65</v>
      </c>
      <c r="M1154">
        <v>1</v>
      </c>
    </row>
    <row r="1155" spans="1:13" x14ac:dyDescent="0.25">
      <c r="A1155" s="4">
        <v>42565</v>
      </c>
      <c r="B1155" t="s">
        <v>30</v>
      </c>
      <c r="C1155">
        <v>3</v>
      </c>
      <c r="D1155">
        <v>1</v>
      </c>
      <c r="E1155" t="s">
        <v>42</v>
      </c>
      <c r="F1155" t="s">
        <v>36</v>
      </c>
      <c r="G1155">
        <v>1</v>
      </c>
      <c r="H1155" s="5">
        <v>50746</v>
      </c>
      <c r="I1155" s="5">
        <v>50745</v>
      </c>
      <c r="J1155">
        <v>0</v>
      </c>
      <c r="K1155">
        <f>29.5-11</f>
        <v>18.5</v>
      </c>
      <c r="L1155" t="s">
        <v>47</v>
      </c>
      <c r="M1155">
        <v>1</v>
      </c>
    </row>
    <row r="1156" spans="1:13" x14ac:dyDescent="0.25">
      <c r="A1156" s="4">
        <v>42576</v>
      </c>
      <c r="B1156" t="s">
        <v>30</v>
      </c>
      <c r="C1156">
        <v>3</v>
      </c>
      <c r="D1156">
        <v>1</v>
      </c>
      <c r="E1156" t="s">
        <v>35</v>
      </c>
      <c r="F1156" t="s">
        <v>114</v>
      </c>
      <c r="G1156">
        <v>1</v>
      </c>
      <c r="H1156" s="5">
        <v>50746</v>
      </c>
      <c r="I1156" s="5">
        <v>50745</v>
      </c>
      <c r="J1156">
        <v>0</v>
      </c>
      <c r="K1156">
        <f>26-9.5</f>
        <v>16.5</v>
      </c>
      <c r="L1156" t="s">
        <v>65</v>
      </c>
      <c r="M1156">
        <v>1</v>
      </c>
    </row>
    <row r="1157" spans="1:13" x14ac:dyDescent="0.25">
      <c r="A1157" s="4">
        <v>42565</v>
      </c>
      <c r="B1157" t="s">
        <v>30</v>
      </c>
      <c r="C1157">
        <v>3</v>
      </c>
      <c r="D1157">
        <v>1</v>
      </c>
      <c r="E1157" t="s">
        <v>42</v>
      </c>
      <c r="F1157" t="s">
        <v>36</v>
      </c>
      <c r="G1157">
        <v>1</v>
      </c>
      <c r="H1157" s="5">
        <v>50749</v>
      </c>
      <c r="I1157" s="5">
        <v>50748</v>
      </c>
      <c r="J1157">
        <v>0</v>
      </c>
      <c r="K1157">
        <f>31-11</f>
        <v>20</v>
      </c>
      <c r="L1157" t="s">
        <v>47</v>
      </c>
      <c r="M1157">
        <v>1</v>
      </c>
    </row>
    <row r="1158" spans="1:13" x14ac:dyDescent="0.25">
      <c r="A1158" s="4">
        <v>42565</v>
      </c>
      <c r="B1158" t="s">
        <v>30</v>
      </c>
      <c r="C1158">
        <v>7</v>
      </c>
      <c r="D1158">
        <v>1</v>
      </c>
      <c r="E1158" t="s">
        <v>42</v>
      </c>
      <c r="F1158" t="s">
        <v>36</v>
      </c>
      <c r="G1158">
        <v>2</v>
      </c>
      <c r="H1158" s="5">
        <v>50758</v>
      </c>
      <c r="I1158" s="5">
        <v>50757</v>
      </c>
      <c r="J1158">
        <v>1</v>
      </c>
      <c r="K1158">
        <v>21</v>
      </c>
      <c r="L1158" t="s">
        <v>143</v>
      </c>
      <c r="M1158">
        <v>1</v>
      </c>
    </row>
    <row r="1159" spans="1:13" x14ac:dyDescent="0.25">
      <c r="A1159" s="4">
        <v>42576</v>
      </c>
      <c r="B1159" t="s">
        <v>30</v>
      </c>
      <c r="C1159">
        <v>7</v>
      </c>
      <c r="D1159">
        <v>1</v>
      </c>
      <c r="E1159" t="s">
        <v>35</v>
      </c>
      <c r="F1159" t="s">
        <v>36</v>
      </c>
      <c r="G1159">
        <v>2</v>
      </c>
      <c r="H1159" s="5">
        <v>50758</v>
      </c>
      <c r="I1159" s="5">
        <v>50757</v>
      </c>
      <c r="J1159">
        <v>0</v>
      </c>
      <c r="K1159">
        <v>21</v>
      </c>
      <c r="L1159" t="s">
        <v>38</v>
      </c>
      <c r="M1159">
        <v>1</v>
      </c>
    </row>
    <row r="1160" spans="1:13" x14ac:dyDescent="0.25">
      <c r="A1160" s="4">
        <v>42591</v>
      </c>
      <c r="B1160" t="s">
        <v>30</v>
      </c>
      <c r="C1160">
        <v>7</v>
      </c>
      <c r="D1160">
        <v>1</v>
      </c>
      <c r="E1160" t="s">
        <v>35</v>
      </c>
      <c r="F1160" t="s">
        <v>89</v>
      </c>
      <c r="G1160">
        <v>2</v>
      </c>
      <c r="H1160" s="5" t="s">
        <v>591</v>
      </c>
      <c r="I1160" s="5" t="s">
        <v>592</v>
      </c>
      <c r="J1160">
        <v>1</v>
      </c>
      <c r="K1160">
        <f>32-17</f>
        <v>15</v>
      </c>
      <c r="L1160" t="s">
        <v>38</v>
      </c>
      <c r="M1160">
        <v>1</v>
      </c>
    </row>
    <row r="1161" spans="1:13" x14ac:dyDescent="0.25">
      <c r="A1161" s="4">
        <v>42592</v>
      </c>
      <c r="B1161" t="s">
        <v>30</v>
      </c>
      <c r="C1161">
        <v>7</v>
      </c>
      <c r="D1161">
        <v>1</v>
      </c>
      <c r="E1161" t="s">
        <v>35</v>
      </c>
      <c r="F1161" t="s">
        <v>36</v>
      </c>
      <c r="G1161">
        <v>2</v>
      </c>
      <c r="H1161" s="5" t="s">
        <v>591</v>
      </c>
      <c r="I1161" s="5" t="s">
        <v>592</v>
      </c>
      <c r="J1161">
        <v>1</v>
      </c>
      <c r="K1161">
        <f>36-17</f>
        <v>19</v>
      </c>
      <c r="L1161" t="s">
        <v>38</v>
      </c>
      <c r="M1161">
        <v>1</v>
      </c>
    </row>
    <row r="1162" spans="1:13" x14ac:dyDescent="0.25">
      <c r="A1162" s="4">
        <v>42593</v>
      </c>
      <c r="B1162" t="s">
        <v>30</v>
      </c>
      <c r="C1162">
        <v>7</v>
      </c>
      <c r="D1162">
        <v>1</v>
      </c>
      <c r="E1162" t="s">
        <v>35</v>
      </c>
      <c r="F1162" t="s">
        <v>114</v>
      </c>
      <c r="G1162">
        <v>2</v>
      </c>
      <c r="H1162" s="5" t="s">
        <v>591</v>
      </c>
      <c r="I1162" s="5" t="s">
        <v>592</v>
      </c>
      <c r="J1162">
        <v>1</v>
      </c>
      <c r="K1162">
        <f>33-15</f>
        <v>18</v>
      </c>
      <c r="L1162" t="s">
        <v>38</v>
      </c>
      <c r="M1162">
        <v>1</v>
      </c>
    </row>
    <row r="1163" spans="1:13" x14ac:dyDescent="0.25">
      <c r="A1163" s="4">
        <v>42604</v>
      </c>
      <c r="B1163" t="s">
        <v>30</v>
      </c>
      <c r="C1163">
        <v>7</v>
      </c>
      <c r="D1163">
        <v>1</v>
      </c>
      <c r="E1163" t="s">
        <v>35</v>
      </c>
      <c r="F1163" t="s">
        <v>36</v>
      </c>
      <c r="G1163">
        <v>2</v>
      </c>
      <c r="H1163" s="5" t="s">
        <v>591</v>
      </c>
      <c r="I1163" s="5" t="s">
        <v>592</v>
      </c>
      <c r="J1163">
        <v>1</v>
      </c>
      <c r="K1163">
        <f>36-15.5</f>
        <v>20.5</v>
      </c>
      <c r="L1163" t="s">
        <v>38</v>
      </c>
      <c r="M1163">
        <v>1</v>
      </c>
    </row>
    <row r="1164" spans="1:13" x14ac:dyDescent="0.25">
      <c r="A1164" s="4">
        <v>42605</v>
      </c>
      <c r="B1164" t="s">
        <v>30</v>
      </c>
      <c r="C1164">
        <v>7</v>
      </c>
      <c r="D1164">
        <v>1</v>
      </c>
      <c r="E1164" t="s">
        <v>35</v>
      </c>
      <c r="F1164" t="s">
        <v>36</v>
      </c>
      <c r="G1164">
        <v>1</v>
      </c>
      <c r="H1164" s="5" t="s">
        <v>591</v>
      </c>
      <c r="I1164" s="5" t="s">
        <v>592</v>
      </c>
      <c r="J1164">
        <v>1</v>
      </c>
      <c r="K1164">
        <f>32-13</f>
        <v>19</v>
      </c>
      <c r="L1164" t="s">
        <v>65</v>
      </c>
      <c r="M1164">
        <v>1</v>
      </c>
    </row>
    <row r="1165" spans="1:13" x14ac:dyDescent="0.25">
      <c r="A1165" s="4">
        <v>42606</v>
      </c>
      <c r="B1165" t="s">
        <v>30</v>
      </c>
      <c r="C1165">
        <v>7</v>
      </c>
      <c r="D1165">
        <v>1</v>
      </c>
      <c r="E1165" t="s">
        <v>35</v>
      </c>
      <c r="F1165" t="s">
        <v>36</v>
      </c>
      <c r="G1165">
        <v>2</v>
      </c>
      <c r="H1165" s="5" t="s">
        <v>591</v>
      </c>
      <c r="I1165" s="5" t="s">
        <v>592</v>
      </c>
      <c r="J1165">
        <v>1</v>
      </c>
      <c r="K1165">
        <f>34-14</f>
        <v>20</v>
      </c>
      <c r="L1165" t="s">
        <v>38</v>
      </c>
      <c r="M1165">
        <v>1</v>
      </c>
    </row>
    <row r="1166" spans="1:13" x14ac:dyDescent="0.25">
      <c r="A1166" s="4">
        <v>42605</v>
      </c>
      <c r="B1166" t="s">
        <v>30</v>
      </c>
      <c r="C1166">
        <v>7</v>
      </c>
      <c r="D1166">
        <v>1</v>
      </c>
      <c r="E1166" t="s">
        <v>35</v>
      </c>
      <c r="F1166" t="s">
        <v>114</v>
      </c>
      <c r="G1166">
        <v>1</v>
      </c>
      <c r="H1166" s="5" t="s">
        <v>594</v>
      </c>
      <c r="I1166" s="5" t="s">
        <v>593</v>
      </c>
      <c r="J1166">
        <v>1</v>
      </c>
      <c r="K1166">
        <f>30-13.5</f>
        <v>16.5</v>
      </c>
      <c r="L1166" t="s">
        <v>65</v>
      </c>
      <c r="M1166">
        <v>1</v>
      </c>
    </row>
    <row r="1167" spans="1:13" x14ac:dyDescent="0.25">
      <c r="A1167" s="4">
        <v>42565</v>
      </c>
      <c r="B1167" t="s">
        <v>30</v>
      </c>
      <c r="C1167">
        <v>7</v>
      </c>
      <c r="D1167">
        <v>1</v>
      </c>
      <c r="E1167" t="s">
        <v>42</v>
      </c>
      <c r="F1167" t="s">
        <v>36</v>
      </c>
      <c r="G1167">
        <v>1</v>
      </c>
      <c r="H1167" s="5">
        <v>50761</v>
      </c>
      <c r="I1167" s="5">
        <v>50760</v>
      </c>
      <c r="J1167">
        <v>0</v>
      </c>
      <c r="L1167" t="s">
        <v>65</v>
      </c>
      <c r="M1167">
        <v>1</v>
      </c>
    </row>
    <row r="1168" spans="1:13" x14ac:dyDescent="0.25">
      <c r="A1168" s="4">
        <v>42575</v>
      </c>
      <c r="B1168" t="s">
        <v>30</v>
      </c>
      <c r="C1168">
        <v>7</v>
      </c>
      <c r="D1168">
        <v>1</v>
      </c>
      <c r="E1168" t="s">
        <v>35</v>
      </c>
      <c r="F1168" t="s">
        <v>114</v>
      </c>
      <c r="G1168">
        <v>1</v>
      </c>
      <c r="H1168" s="5">
        <v>50761</v>
      </c>
      <c r="I1168" s="5">
        <v>50760</v>
      </c>
      <c r="J1168">
        <v>1</v>
      </c>
      <c r="K1168">
        <v>17</v>
      </c>
      <c r="L1168" t="s">
        <v>65</v>
      </c>
      <c r="M1168">
        <v>1</v>
      </c>
    </row>
    <row r="1169" spans="1:13" x14ac:dyDescent="0.25">
      <c r="A1169" s="4">
        <v>42576</v>
      </c>
      <c r="B1169" t="s">
        <v>30</v>
      </c>
      <c r="C1169">
        <v>7</v>
      </c>
      <c r="D1169">
        <v>1</v>
      </c>
      <c r="E1169" t="s">
        <v>35</v>
      </c>
      <c r="F1169" t="s">
        <v>114</v>
      </c>
      <c r="G1169">
        <v>1</v>
      </c>
      <c r="H1169" s="5">
        <v>50761</v>
      </c>
      <c r="I1169" s="5">
        <v>50760</v>
      </c>
      <c r="J1169">
        <v>1</v>
      </c>
      <c r="K1169">
        <f>27.5-10</f>
        <v>17.5</v>
      </c>
      <c r="L1169" t="s">
        <v>65</v>
      </c>
      <c r="M1169">
        <v>1</v>
      </c>
    </row>
    <row r="1170" spans="1:13" x14ac:dyDescent="0.25">
      <c r="A1170" s="4">
        <v>42591</v>
      </c>
      <c r="B1170" t="s">
        <v>30</v>
      </c>
      <c r="C1170">
        <v>7</v>
      </c>
      <c r="D1170">
        <v>1</v>
      </c>
      <c r="E1170" t="s">
        <v>35</v>
      </c>
      <c r="F1170" t="s">
        <v>114</v>
      </c>
      <c r="G1170">
        <v>1</v>
      </c>
      <c r="H1170" s="5" t="s">
        <v>593</v>
      </c>
      <c r="I1170" s="5" t="s">
        <v>594</v>
      </c>
      <c r="J1170">
        <v>1</v>
      </c>
      <c r="K1170">
        <f>31-14</f>
        <v>17</v>
      </c>
      <c r="L1170" t="s">
        <v>65</v>
      </c>
      <c r="M1170">
        <v>1</v>
      </c>
    </row>
    <row r="1171" spans="1:13" x14ac:dyDescent="0.25">
      <c r="A1171" s="4">
        <v>42592</v>
      </c>
      <c r="B1171" t="s">
        <v>30</v>
      </c>
      <c r="C1171">
        <v>7</v>
      </c>
      <c r="D1171">
        <v>1</v>
      </c>
      <c r="E1171" t="s">
        <v>35</v>
      </c>
      <c r="F1171" t="s">
        <v>114</v>
      </c>
      <c r="G1171">
        <v>1</v>
      </c>
      <c r="H1171" s="5" t="s">
        <v>593</v>
      </c>
      <c r="I1171" s="5" t="s">
        <v>594</v>
      </c>
      <c r="J1171">
        <v>1</v>
      </c>
      <c r="K1171">
        <f>29-13</f>
        <v>16</v>
      </c>
      <c r="L1171" t="s">
        <v>65</v>
      </c>
      <c r="M1171">
        <v>1</v>
      </c>
    </row>
    <row r="1172" spans="1:13" x14ac:dyDescent="0.25">
      <c r="A1172" s="4">
        <v>42593</v>
      </c>
      <c r="B1172" t="s">
        <v>30</v>
      </c>
      <c r="C1172">
        <v>7</v>
      </c>
      <c r="D1172">
        <v>1</v>
      </c>
      <c r="E1172" t="s">
        <v>35</v>
      </c>
      <c r="F1172" t="s">
        <v>89</v>
      </c>
      <c r="G1172">
        <v>1</v>
      </c>
      <c r="H1172" s="5" t="s">
        <v>593</v>
      </c>
      <c r="I1172" s="5" t="s">
        <v>594</v>
      </c>
      <c r="J1172">
        <v>1</v>
      </c>
      <c r="K1172">
        <f>31-16</f>
        <v>15</v>
      </c>
      <c r="L1172" t="s">
        <v>65</v>
      </c>
      <c r="M1172">
        <v>1</v>
      </c>
    </row>
    <row r="1173" spans="1:13" x14ac:dyDescent="0.25">
      <c r="A1173" s="4">
        <v>42604</v>
      </c>
      <c r="B1173" t="s">
        <v>30</v>
      </c>
      <c r="C1173">
        <v>7</v>
      </c>
      <c r="D1173">
        <v>1</v>
      </c>
      <c r="E1173" t="s">
        <v>35</v>
      </c>
      <c r="F1173" t="s">
        <v>114</v>
      </c>
      <c r="G1173">
        <v>1</v>
      </c>
      <c r="H1173" s="5" t="s">
        <v>593</v>
      </c>
      <c r="I1173" s="5" t="s">
        <v>594</v>
      </c>
      <c r="J1173">
        <v>1</v>
      </c>
      <c r="K1173">
        <f>33-15</f>
        <v>18</v>
      </c>
      <c r="L1173" t="s">
        <v>65</v>
      </c>
      <c r="M1173">
        <v>1</v>
      </c>
    </row>
    <row r="1174" spans="1:13" x14ac:dyDescent="0.25">
      <c r="A1174" s="4">
        <v>42564</v>
      </c>
      <c r="B1174" t="s">
        <v>30</v>
      </c>
      <c r="C1174">
        <v>9</v>
      </c>
      <c r="D1174">
        <v>1</v>
      </c>
      <c r="E1174" t="s">
        <v>42</v>
      </c>
      <c r="F1174" t="s">
        <v>36</v>
      </c>
      <c r="G1174">
        <v>1</v>
      </c>
      <c r="H1174" s="5">
        <v>50766</v>
      </c>
      <c r="I1174" s="5">
        <v>50765</v>
      </c>
      <c r="J1174">
        <v>0</v>
      </c>
      <c r="K1174">
        <f>29-12</f>
        <v>17</v>
      </c>
      <c r="L1174" t="s">
        <v>47</v>
      </c>
      <c r="M1174">
        <v>1</v>
      </c>
    </row>
    <row r="1175" spans="1:13" x14ac:dyDescent="0.25">
      <c r="A1175" s="4">
        <v>42565</v>
      </c>
      <c r="B1175" t="s">
        <v>30</v>
      </c>
      <c r="C1175">
        <v>9</v>
      </c>
      <c r="D1175">
        <v>1</v>
      </c>
      <c r="E1175" t="s">
        <v>35</v>
      </c>
      <c r="F1175" t="s">
        <v>114</v>
      </c>
      <c r="G1175">
        <v>1</v>
      </c>
      <c r="H1175" s="5">
        <v>50766</v>
      </c>
      <c r="I1175" s="5">
        <v>50765</v>
      </c>
      <c r="J1175">
        <v>0</v>
      </c>
      <c r="K1175">
        <f>27-9</f>
        <v>18</v>
      </c>
      <c r="L1175" t="s">
        <v>47</v>
      </c>
      <c r="M1175">
        <v>1</v>
      </c>
    </row>
    <row r="1176" spans="1:13" x14ac:dyDescent="0.25">
      <c r="A1176" s="4">
        <v>42574</v>
      </c>
      <c r="B1176" t="s">
        <v>30</v>
      </c>
      <c r="C1176">
        <v>9</v>
      </c>
      <c r="D1176">
        <v>1</v>
      </c>
      <c r="E1176" t="s">
        <v>35</v>
      </c>
      <c r="F1176" t="s">
        <v>114</v>
      </c>
      <c r="G1176">
        <v>1</v>
      </c>
      <c r="H1176" s="5">
        <v>50766</v>
      </c>
      <c r="I1176" s="5">
        <v>50675</v>
      </c>
      <c r="J1176">
        <v>0</v>
      </c>
      <c r="K1176">
        <f>31-13</f>
        <v>18</v>
      </c>
      <c r="L1176" t="s">
        <v>47</v>
      </c>
      <c r="M1176">
        <v>1</v>
      </c>
    </row>
    <row r="1177" spans="1:13" x14ac:dyDescent="0.25">
      <c r="A1177" s="4">
        <v>42575</v>
      </c>
      <c r="B1177" t="s">
        <v>30</v>
      </c>
      <c r="C1177">
        <v>9</v>
      </c>
      <c r="D1177">
        <v>1</v>
      </c>
      <c r="E1177" t="s">
        <v>35</v>
      </c>
      <c r="F1177" t="s">
        <v>114</v>
      </c>
      <c r="G1177">
        <v>1</v>
      </c>
      <c r="H1177" s="5">
        <v>50766</v>
      </c>
      <c r="I1177" s="5">
        <v>50765</v>
      </c>
      <c r="J1177">
        <v>0</v>
      </c>
      <c r="K1177">
        <v>18</v>
      </c>
      <c r="L1177" t="s">
        <v>47</v>
      </c>
      <c r="M1177">
        <v>1</v>
      </c>
    </row>
    <row r="1178" spans="1:13" x14ac:dyDescent="0.25">
      <c r="A1178" s="4">
        <v>42576</v>
      </c>
      <c r="B1178" t="s">
        <v>30</v>
      </c>
      <c r="C1178">
        <v>9</v>
      </c>
      <c r="D1178">
        <v>1</v>
      </c>
      <c r="E1178" t="s">
        <v>35</v>
      </c>
      <c r="F1178" t="s">
        <v>114</v>
      </c>
      <c r="G1178">
        <v>1</v>
      </c>
      <c r="H1178" s="5">
        <v>50766</v>
      </c>
      <c r="I1178" s="5">
        <v>50765</v>
      </c>
      <c r="J1178">
        <v>0</v>
      </c>
      <c r="K1178">
        <f>26-9.5</f>
        <v>16.5</v>
      </c>
      <c r="L1178" t="s">
        <v>47</v>
      </c>
      <c r="M1178">
        <v>1</v>
      </c>
    </row>
    <row r="1179" spans="1:13" x14ac:dyDescent="0.25">
      <c r="A1179" s="4">
        <v>42564</v>
      </c>
      <c r="B1179" t="s">
        <v>30</v>
      </c>
      <c r="C1179">
        <v>9</v>
      </c>
      <c r="D1179">
        <v>1</v>
      </c>
      <c r="E1179" t="s">
        <v>42</v>
      </c>
      <c r="F1179" t="s">
        <v>36</v>
      </c>
      <c r="G1179">
        <v>1</v>
      </c>
      <c r="H1179" s="5">
        <v>50769</v>
      </c>
      <c r="I1179" s="5">
        <v>50768</v>
      </c>
      <c r="J1179">
        <v>0</v>
      </c>
      <c r="K1179">
        <f>31.5-11</f>
        <v>20.5</v>
      </c>
      <c r="L1179" t="s">
        <v>47</v>
      </c>
      <c r="M1179">
        <v>1</v>
      </c>
    </row>
    <row r="1180" spans="1:13" x14ac:dyDescent="0.25">
      <c r="A1180" s="4">
        <v>42575</v>
      </c>
      <c r="B1180" t="s">
        <v>30</v>
      </c>
      <c r="C1180">
        <v>9</v>
      </c>
      <c r="D1180">
        <v>1</v>
      </c>
      <c r="E1180" t="s">
        <v>35</v>
      </c>
      <c r="F1180" t="s">
        <v>36</v>
      </c>
      <c r="G1180">
        <v>1</v>
      </c>
      <c r="H1180" s="5">
        <v>50769</v>
      </c>
      <c r="I1180" s="5">
        <v>50768</v>
      </c>
      <c r="J1180">
        <v>0</v>
      </c>
      <c r="K1180">
        <f>34.5-14</f>
        <v>20.5</v>
      </c>
      <c r="L1180" t="s">
        <v>65</v>
      </c>
      <c r="M1180">
        <v>1</v>
      </c>
    </row>
    <row r="1181" spans="1:13" x14ac:dyDescent="0.25">
      <c r="A1181" s="4">
        <v>42564</v>
      </c>
      <c r="B1181" t="s">
        <v>30</v>
      </c>
      <c r="C1181">
        <v>8</v>
      </c>
      <c r="D1181">
        <v>1</v>
      </c>
      <c r="E1181" t="s">
        <v>42</v>
      </c>
      <c r="F1181" t="s">
        <v>36</v>
      </c>
      <c r="G1181">
        <v>1</v>
      </c>
      <c r="H1181" s="5">
        <v>50773</v>
      </c>
      <c r="I1181" s="5">
        <v>50772</v>
      </c>
      <c r="J1181">
        <v>0</v>
      </c>
      <c r="K1181">
        <f>30.5-11</f>
        <v>19.5</v>
      </c>
      <c r="L1181" t="s">
        <v>47</v>
      </c>
      <c r="M1181">
        <v>1</v>
      </c>
    </row>
    <row r="1182" spans="1:13" x14ac:dyDescent="0.25">
      <c r="A1182" s="4">
        <v>42565</v>
      </c>
      <c r="B1182" t="s">
        <v>30</v>
      </c>
      <c r="C1182">
        <v>8</v>
      </c>
      <c r="D1182">
        <v>1</v>
      </c>
      <c r="E1182" t="s">
        <v>35</v>
      </c>
      <c r="F1182" t="s">
        <v>36</v>
      </c>
      <c r="G1182">
        <v>1</v>
      </c>
      <c r="H1182" s="5">
        <v>50773</v>
      </c>
      <c r="I1182" s="5">
        <v>50772</v>
      </c>
      <c r="J1182">
        <v>1</v>
      </c>
      <c r="K1182">
        <f>33-13</f>
        <v>20</v>
      </c>
      <c r="L1182" t="s">
        <v>47</v>
      </c>
      <c r="M1182">
        <v>1</v>
      </c>
    </row>
    <row r="1183" spans="1:13" x14ac:dyDescent="0.25">
      <c r="A1183" s="4">
        <v>42564</v>
      </c>
      <c r="B1183" t="s">
        <v>30</v>
      </c>
      <c r="C1183">
        <v>8</v>
      </c>
      <c r="D1183">
        <v>1</v>
      </c>
      <c r="E1183" t="s">
        <v>42</v>
      </c>
      <c r="F1183" t="s">
        <v>114</v>
      </c>
      <c r="G1183">
        <v>2</v>
      </c>
      <c r="H1183" s="5">
        <v>50775</v>
      </c>
      <c r="I1183" s="5">
        <v>50774</v>
      </c>
      <c r="J1183">
        <v>0</v>
      </c>
      <c r="K1183">
        <f>25.5-9</f>
        <v>16.5</v>
      </c>
      <c r="L1183" t="s">
        <v>63</v>
      </c>
      <c r="M1183">
        <v>1</v>
      </c>
    </row>
    <row r="1184" spans="1:13" x14ac:dyDescent="0.25">
      <c r="A1184" s="4">
        <v>42571</v>
      </c>
      <c r="B1184" t="s">
        <v>30</v>
      </c>
      <c r="C1184">
        <v>2</v>
      </c>
      <c r="D1184">
        <v>1</v>
      </c>
      <c r="E1184" t="s">
        <v>42</v>
      </c>
      <c r="F1184" t="s">
        <v>89</v>
      </c>
      <c r="G1184">
        <v>2</v>
      </c>
      <c r="H1184" s="5">
        <v>50778</v>
      </c>
      <c r="I1184" s="5">
        <v>50777</v>
      </c>
      <c r="J1184">
        <v>1</v>
      </c>
      <c r="K1184">
        <f>26.5-11.5</f>
        <v>15</v>
      </c>
      <c r="L1184" t="s">
        <v>38</v>
      </c>
      <c r="M1184">
        <v>1</v>
      </c>
    </row>
    <row r="1185" spans="1:13" x14ac:dyDescent="0.25">
      <c r="A1185" s="4">
        <v>42572</v>
      </c>
      <c r="B1185" t="s">
        <v>30</v>
      </c>
      <c r="C1185">
        <v>2</v>
      </c>
      <c r="D1185">
        <v>1</v>
      </c>
      <c r="E1185" t="s">
        <v>35</v>
      </c>
      <c r="F1185" t="s">
        <v>89</v>
      </c>
      <c r="G1185">
        <v>2</v>
      </c>
      <c r="H1185" s="5">
        <v>50778</v>
      </c>
      <c r="I1185" s="5">
        <v>50777</v>
      </c>
      <c r="J1185">
        <v>1</v>
      </c>
      <c r="K1185">
        <f>26-12</f>
        <v>14</v>
      </c>
      <c r="L1185" t="s">
        <v>38</v>
      </c>
      <c r="M1185">
        <v>1</v>
      </c>
    </row>
    <row r="1186" spans="1:13" x14ac:dyDescent="0.25">
      <c r="A1186" s="4">
        <v>42584</v>
      </c>
      <c r="B1186" t="s">
        <v>30</v>
      </c>
      <c r="C1186">
        <v>2</v>
      </c>
      <c r="D1186">
        <v>1</v>
      </c>
      <c r="E1186" t="s">
        <v>35</v>
      </c>
      <c r="F1186" t="s">
        <v>114</v>
      </c>
      <c r="G1186">
        <v>2</v>
      </c>
      <c r="H1186" s="5">
        <v>50778</v>
      </c>
      <c r="I1186" s="5">
        <v>50777</v>
      </c>
      <c r="J1186">
        <v>1</v>
      </c>
      <c r="K1186">
        <v>16</v>
      </c>
      <c r="L1186" t="s">
        <v>81</v>
      </c>
      <c r="M1186">
        <v>1</v>
      </c>
    </row>
    <row r="1187" spans="1:13" x14ac:dyDescent="0.25">
      <c r="A1187" s="4">
        <v>42585</v>
      </c>
      <c r="B1187" t="s">
        <v>30</v>
      </c>
      <c r="C1187">
        <v>2</v>
      </c>
      <c r="D1187">
        <v>1</v>
      </c>
      <c r="E1187" t="s">
        <v>35</v>
      </c>
      <c r="F1187" t="s">
        <v>114</v>
      </c>
      <c r="G1187">
        <v>2</v>
      </c>
      <c r="H1187" s="5">
        <v>50778</v>
      </c>
      <c r="I1187" s="5">
        <v>50777</v>
      </c>
      <c r="J1187">
        <v>1</v>
      </c>
      <c r="K1187">
        <f>31.5-16.5</f>
        <v>15</v>
      </c>
      <c r="L1187" t="s">
        <v>38</v>
      </c>
      <c r="M1187">
        <v>1</v>
      </c>
    </row>
    <row r="1188" spans="1:13" x14ac:dyDescent="0.25">
      <c r="A1188" s="4">
        <v>42586</v>
      </c>
      <c r="B1188" t="s">
        <v>30</v>
      </c>
      <c r="C1188">
        <v>2</v>
      </c>
      <c r="D1188">
        <v>1</v>
      </c>
      <c r="E1188" t="s">
        <v>35</v>
      </c>
      <c r="F1188" t="s">
        <v>114</v>
      </c>
      <c r="G1188">
        <v>2</v>
      </c>
      <c r="H1188" s="5">
        <v>50778</v>
      </c>
      <c r="I1188" s="5">
        <v>50777</v>
      </c>
      <c r="J1188">
        <v>1</v>
      </c>
      <c r="K1188">
        <v>14</v>
      </c>
      <c r="L1188" t="s">
        <v>38</v>
      </c>
      <c r="M1188">
        <v>1</v>
      </c>
    </row>
    <row r="1189" spans="1:13" x14ac:dyDescent="0.25">
      <c r="A1189" s="4">
        <v>42572</v>
      </c>
      <c r="B1189" t="s">
        <v>30</v>
      </c>
      <c r="C1189">
        <v>2</v>
      </c>
      <c r="D1189">
        <v>1</v>
      </c>
      <c r="E1189" t="s">
        <v>42</v>
      </c>
      <c r="F1189" t="s">
        <v>36</v>
      </c>
      <c r="G1189">
        <v>2</v>
      </c>
      <c r="H1189" s="5">
        <v>50780</v>
      </c>
      <c r="I1189" s="5">
        <v>50779</v>
      </c>
      <c r="J1189">
        <v>1</v>
      </c>
      <c r="K1189">
        <f>33-11</f>
        <v>22</v>
      </c>
      <c r="L1189" t="s">
        <v>143</v>
      </c>
      <c r="M1189">
        <v>1</v>
      </c>
    </row>
    <row r="1190" spans="1:13" x14ac:dyDescent="0.25">
      <c r="A1190" s="4">
        <v>42584</v>
      </c>
      <c r="B1190" t="s">
        <v>30</v>
      </c>
      <c r="C1190">
        <v>2</v>
      </c>
      <c r="D1190">
        <v>1</v>
      </c>
      <c r="E1190" t="s">
        <v>35</v>
      </c>
      <c r="F1190" t="s">
        <v>114</v>
      </c>
      <c r="G1190">
        <v>2</v>
      </c>
      <c r="H1190" s="5">
        <v>50780</v>
      </c>
      <c r="I1190" s="5">
        <v>50779</v>
      </c>
      <c r="J1190">
        <v>1</v>
      </c>
      <c r="K1190">
        <f>31-12.5</f>
        <v>18.5</v>
      </c>
      <c r="L1190" t="s">
        <v>38</v>
      </c>
      <c r="M1190">
        <v>1</v>
      </c>
    </row>
    <row r="1191" spans="1:13" x14ac:dyDescent="0.25">
      <c r="A1191" s="4">
        <v>42585</v>
      </c>
      <c r="B1191" t="s">
        <v>30</v>
      </c>
      <c r="C1191">
        <v>2</v>
      </c>
      <c r="D1191">
        <v>1</v>
      </c>
      <c r="E1191" t="s">
        <v>35</v>
      </c>
      <c r="F1191" t="s">
        <v>114</v>
      </c>
      <c r="G1191">
        <v>2</v>
      </c>
      <c r="H1191" s="5">
        <v>50780</v>
      </c>
      <c r="I1191" s="5">
        <v>50779</v>
      </c>
      <c r="J1191">
        <v>1</v>
      </c>
      <c r="K1191">
        <f>33-13</f>
        <v>20</v>
      </c>
      <c r="L1191" t="s">
        <v>38</v>
      </c>
      <c r="M1191">
        <v>1</v>
      </c>
    </row>
    <row r="1192" spans="1:13" x14ac:dyDescent="0.25">
      <c r="A1192" s="4">
        <v>42586</v>
      </c>
      <c r="B1192" t="s">
        <v>30</v>
      </c>
      <c r="C1192">
        <v>2</v>
      </c>
      <c r="D1192">
        <v>1</v>
      </c>
      <c r="E1192" t="s">
        <v>35</v>
      </c>
      <c r="F1192" t="s">
        <v>114</v>
      </c>
      <c r="G1192">
        <v>2</v>
      </c>
      <c r="H1192" s="5">
        <v>50780</v>
      </c>
      <c r="I1192" s="5">
        <v>50779</v>
      </c>
      <c r="J1192">
        <v>1</v>
      </c>
      <c r="K1192">
        <f>31.5-13</f>
        <v>18.5</v>
      </c>
      <c r="L1192" t="s">
        <v>38</v>
      </c>
      <c r="M1192">
        <v>1</v>
      </c>
    </row>
    <row r="1193" spans="1:13" x14ac:dyDescent="0.25">
      <c r="A1193" s="4">
        <v>42598</v>
      </c>
      <c r="B1193" t="s">
        <v>30</v>
      </c>
      <c r="C1193">
        <v>2</v>
      </c>
      <c r="D1193">
        <v>1</v>
      </c>
      <c r="E1193" t="s">
        <v>35</v>
      </c>
      <c r="F1193" t="s">
        <v>114</v>
      </c>
      <c r="G1193">
        <v>2</v>
      </c>
      <c r="H1193" s="5" t="s">
        <v>741</v>
      </c>
      <c r="I1193" s="5" t="s">
        <v>742</v>
      </c>
      <c r="J1193">
        <v>1</v>
      </c>
      <c r="K1193">
        <f>31-14</f>
        <v>17</v>
      </c>
      <c r="L1193" t="s">
        <v>136</v>
      </c>
      <c r="M1193">
        <v>1</v>
      </c>
    </row>
    <row r="1194" spans="1:13" x14ac:dyDescent="0.25">
      <c r="A1194" s="4">
        <v>42599</v>
      </c>
      <c r="B1194" t="s">
        <v>30</v>
      </c>
      <c r="C1194">
        <v>2</v>
      </c>
      <c r="D1194">
        <v>1</v>
      </c>
      <c r="E1194" t="s">
        <v>35</v>
      </c>
      <c r="F1194" t="s">
        <v>114</v>
      </c>
      <c r="G1194">
        <v>2</v>
      </c>
      <c r="H1194" s="5" t="s">
        <v>741</v>
      </c>
      <c r="I1194" s="5" t="s">
        <v>742</v>
      </c>
      <c r="J1194">
        <v>1</v>
      </c>
      <c r="K1194">
        <f>32.5-15</f>
        <v>17.5</v>
      </c>
      <c r="L1194" t="s">
        <v>38</v>
      </c>
      <c r="M1194">
        <v>1</v>
      </c>
    </row>
    <row r="1195" spans="1:13" x14ac:dyDescent="0.25">
      <c r="A1195" s="4">
        <v>42600</v>
      </c>
      <c r="B1195" t="s">
        <v>30</v>
      </c>
      <c r="C1195">
        <v>2</v>
      </c>
      <c r="D1195">
        <v>1</v>
      </c>
      <c r="E1195" t="s">
        <v>35</v>
      </c>
      <c r="F1195" t="s">
        <v>114</v>
      </c>
      <c r="G1195">
        <v>2</v>
      </c>
      <c r="H1195" s="5" t="s">
        <v>741</v>
      </c>
      <c r="I1195" s="5" t="s">
        <v>742</v>
      </c>
      <c r="J1195">
        <v>1</v>
      </c>
      <c r="K1195">
        <f>31-14.5</f>
        <v>16.5</v>
      </c>
      <c r="L1195" t="s">
        <v>136</v>
      </c>
      <c r="M1195">
        <v>1</v>
      </c>
    </row>
    <row r="1196" spans="1:13" x14ac:dyDescent="0.25">
      <c r="A1196" s="4">
        <v>42570</v>
      </c>
      <c r="B1196" t="s">
        <v>30</v>
      </c>
      <c r="C1196">
        <v>3</v>
      </c>
      <c r="D1196">
        <v>1</v>
      </c>
      <c r="E1196" t="s">
        <v>42</v>
      </c>
      <c r="F1196" t="s">
        <v>36</v>
      </c>
      <c r="G1196">
        <v>2</v>
      </c>
      <c r="H1196" s="5">
        <v>50784</v>
      </c>
      <c r="I1196" s="5">
        <v>50783</v>
      </c>
      <c r="J1196">
        <v>0</v>
      </c>
      <c r="K1196">
        <f>35-13.5</f>
        <v>21.5</v>
      </c>
      <c r="L1196" t="s">
        <v>143</v>
      </c>
      <c r="M1196">
        <v>1</v>
      </c>
    </row>
    <row r="1197" spans="1:13" x14ac:dyDescent="0.25">
      <c r="A1197" s="4">
        <v>42570</v>
      </c>
      <c r="B1197" t="s">
        <v>30</v>
      </c>
      <c r="C1197">
        <v>2</v>
      </c>
      <c r="D1197">
        <v>1</v>
      </c>
      <c r="E1197" t="s">
        <v>42</v>
      </c>
      <c r="F1197" t="s">
        <v>89</v>
      </c>
      <c r="G1197">
        <v>1</v>
      </c>
      <c r="H1197" s="5">
        <v>50786</v>
      </c>
      <c r="I1197" s="5">
        <v>50785</v>
      </c>
      <c r="J1197">
        <v>1</v>
      </c>
      <c r="K1197">
        <f>27.5-16</f>
        <v>11.5</v>
      </c>
      <c r="L1197" t="s">
        <v>65</v>
      </c>
      <c r="M1197">
        <v>1</v>
      </c>
    </row>
    <row r="1198" spans="1:13" x14ac:dyDescent="0.25">
      <c r="A1198" s="4">
        <v>42572</v>
      </c>
      <c r="B1198" t="s">
        <v>30</v>
      </c>
      <c r="C1198">
        <v>2</v>
      </c>
      <c r="D1198">
        <v>1</v>
      </c>
      <c r="E1198" t="s">
        <v>35</v>
      </c>
      <c r="F1198" t="s">
        <v>89</v>
      </c>
      <c r="G1198">
        <v>1</v>
      </c>
      <c r="H1198" s="5">
        <v>50786</v>
      </c>
      <c r="I1198" s="5">
        <v>50785</v>
      </c>
      <c r="J1198">
        <v>1</v>
      </c>
      <c r="K1198">
        <f>27-14.5</f>
        <v>12.5</v>
      </c>
      <c r="L1198" t="s">
        <v>65</v>
      </c>
      <c r="M1198">
        <v>1</v>
      </c>
    </row>
    <row r="1199" spans="1:13" x14ac:dyDescent="0.25">
      <c r="A1199" s="4">
        <v>42585</v>
      </c>
      <c r="B1199" t="s">
        <v>30</v>
      </c>
      <c r="C1199">
        <v>2</v>
      </c>
      <c r="D1199">
        <v>1</v>
      </c>
      <c r="E1199" t="s">
        <v>35</v>
      </c>
      <c r="F1199" t="s">
        <v>89</v>
      </c>
      <c r="G1199">
        <v>2</v>
      </c>
      <c r="H1199" s="5">
        <v>50786</v>
      </c>
      <c r="I1199" s="5">
        <v>50785</v>
      </c>
      <c r="J1199">
        <v>1</v>
      </c>
      <c r="K1199">
        <f>29-14.5</f>
        <v>14.5</v>
      </c>
      <c r="L1199" t="s">
        <v>38</v>
      </c>
      <c r="M1199">
        <v>1</v>
      </c>
    </row>
    <row r="1200" spans="1:13" x14ac:dyDescent="0.25">
      <c r="A1200" s="4">
        <v>42586</v>
      </c>
      <c r="B1200" t="s">
        <v>30</v>
      </c>
      <c r="C1200">
        <v>2</v>
      </c>
      <c r="D1200">
        <v>1</v>
      </c>
      <c r="E1200" t="s">
        <v>35</v>
      </c>
      <c r="F1200" t="s">
        <v>114</v>
      </c>
      <c r="G1200">
        <v>1</v>
      </c>
      <c r="H1200" s="5">
        <v>50786</v>
      </c>
      <c r="I1200" s="5">
        <v>50785</v>
      </c>
      <c r="J1200">
        <v>1</v>
      </c>
      <c r="K1200">
        <f>30-15.5</f>
        <v>14.5</v>
      </c>
      <c r="L1200" t="s">
        <v>65</v>
      </c>
      <c r="M1200">
        <v>1</v>
      </c>
    </row>
    <row r="1201" spans="1:13" x14ac:dyDescent="0.25">
      <c r="A1201" s="4">
        <v>42598</v>
      </c>
      <c r="B1201" t="s">
        <v>30</v>
      </c>
      <c r="C1201">
        <v>2</v>
      </c>
      <c r="D1201">
        <v>1</v>
      </c>
      <c r="E1201" t="s">
        <v>35</v>
      </c>
      <c r="F1201" t="s">
        <v>114</v>
      </c>
      <c r="G1201">
        <v>1</v>
      </c>
      <c r="H1201" s="5" t="s">
        <v>784</v>
      </c>
      <c r="I1201" s="5" t="s">
        <v>785</v>
      </c>
      <c r="J1201">
        <v>1</v>
      </c>
      <c r="L1201" t="s">
        <v>65</v>
      </c>
      <c r="M1201">
        <v>1</v>
      </c>
    </row>
    <row r="1202" spans="1:13" x14ac:dyDescent="0.25">
      <c r="A1202" s="4">
        <v>42570</v>
      </c>
      <c r="B1202" t="s">
        <v>30</v>
      </c>
      <c r="C1202">
        <v>2</v>
      </c>
      <c r="D1202">
        <v>1</v>
      </c>
      <c r="E1202" t="s">
        <v>42</v>
      </c>
      <c r="F1202" t="s">
        <v>114</v>
      </c>
      <c r="G1202">
        <v>1</v>
      </c>
      <c r="H1202" s="5">
        <v>50788</v>
      </c>
      <c r="I1202" s="5">
        <v>50787</v>
      </c>
      <c r="J1202">
        <v>1</v>
      </c>
      <c r="K1202">
        <f>28-9.5</f>
        <v>18.5</v>
      </c>
      <c r="L1202" t="s">
        <v>65</v>
      </c>
      <c r="M1202">
        <v>1</v>
      </c>
    </row>
    <row r="1203" spans="1:13" x14ac:dyDescent="0.25">
      <c r="A1203" s="4">
        <v>42571</v>
      </c>
      <c r="B1203" t="s">
        <v>30</v>
      </c>
      <c r="C1203">
        <v>2</v>
      </c>
      <c r="D1203">
        <v>1</v>
      </c>
      <c r="E1203" t="s">
        <v>35</v>
      </c>
      <c r="F1203" t="s">
        <v>114</v>
      </c>
      <c r="G1203">
        <v>1</v>
      </c>
      <c r="H1203" s="5">
        <v>50788</v>
      </c>
      <c r="I1203" s="5">
        <v>50787</v>
      </c>
      <c r="J1203">
        <v>1</v>
      </c>
      <c r="K1203">
        <f>24.5-9</f>
        <v>15.5</v>
      </c>
      <c r="L1203" t="s">
        <v>65</v>
      </c>
      <c r="M1203">
        <v>1</v>
      </c>
    </row>
    <row r="1204" spans="1:13" x14ac:dyDescent="0.25">
      <c r="A1204" s="4">
        <v>42570</v>
      </c>
      <c r="B1204" t="s">
        <v>30</v>
      </c>
      <c r="C1204">
        <v>2</v>
      </c>
      <c r="D1204">
        <v>1</v>
      </c>
      <c r="E1204" t="s">
        <v>42</v>
      </c>
      <c r="F1204" t="s">
        <v>89</v>
      </c>
      <c r="G1204">
        <v>2</v>
      </c>
      <c r="H1204" s="5">
        <v>50790</v>
      </c>
      <c r="I1204" s="5">
        <v>50789</v>
      </c>
      <c r="J1204">
        <v>0</v>
      </c>
      <c r="K1204">
        <f>26.5-13</f>
        <v>13.5</v>
      </c>
      <c r="L1204" t="s">
        <v>38</v>
      </c>
      <c r="M1204">
        <v>1</v>
      </c>
    </row>
    <row r="1205" spans="1:13" x14ac:dyDescent="0.25">
      <c r="A1205" s="4">
        <v>42570</v>
      </c>
      <c r="B1205" t="s">
        <v>30</v>
      </c>
      <c r="C1205">
        <v>2</v>
      </c>
      <c r="D1205">
        <v>1</v>
      </c>
      <c r="E1205" t="s">
        <v>42</v>
      </c>
      <c r="F1205" t="s">
        <v>36</v>
      </c>
      <c r="G1205">
        <v>1</v>
      </c>
      <c r="H1205" s="5">
        <v>50792</v>
      </c>
      <c r="I1205" s="5">
        <v>50791</v>
      </c>
      <c r="J1205">
        <v>0</v>
      </c>
      <c r="K1205">
        <f>35-9</f>
        <v>26</v>
      </c>
      <c r="L1205" t="s">
        <v>47</v>
      </c>
      <c r="M1205">
        <v>1</v>
      </c>
    </row>
    <row r="1206" spans="1:13" x14ac:dyDescent="0.25">
      <c r="A1206" s="4">
        <v>42565</v>
      </c>
      <c r="B1206" t="s">
        <v>30</v>
      </c>
      <c r="C1206">
        <v>9</v>
      </c>
      <c r="D1206">
        <v>1</v>
      </c>
      <c r="E1206" t="s">
        <v>42</v>
      </c>
      <c r="F1206" t="s">
        <v>89</v>
      </c>
      <c r="G1206">
        <v>2</v>
      </c>
      <c r="H1206" s="5">
        <v>50797</v>
      </c>
      <c r="I1206" s="5">
        <v>50796</v>
      </c>
      <c r="J1206">
        <v>0</v>
      </c>
      <c r="K1206">
        <v>14</v>
      </c>
      <c r="L1206" t="s">
        <v>38</v>
      </c>
      <c r="M1206">
        <v>1</v>
      </c>
    </row>
    <row r="1207" spans="1:13" x14ac:dyDescent="0.25">
      <c r="A1207" s="4">
        <v>42565</v>
      </c>
      <c r="B1207" t="s">
        <v>30</v>
      </c>
      <c r="C1207">
        <v>9</v>
      </c>
      <c r="D1207">
        <v>1</v>
      </c>
      <c r="E1207" t="s">
        <v>42</v>
      </c>
      <c r="F1207" t="s">
        <v>114</v>
      </c>
      <c r="G1207">
        <v>1</v>
      </c>
      <c r="H1207" s="5">
        <v>50799</v>
      </c>
      <c r="I1207" s="5">
        <v>50798</v>
      </c>
      <c r="J1207">
        <v>0</v>
      </c>
      <c r="K1207">
        <v>16</v>
      </c>
      <c r="L1207" t="s">
        <v>47</v>
      </c>
      <c r="M1207">
        <v>1</v>
      </c>
    </row>
    <row r="1208" spans="1:13" x14ac:dyDescent="0.25">
      <c r="A1208" s="4">
        <v>42575</v>
      </c>
      <c r="B1208" t="s">
        <v>30</v>
      </c>
      <c r="C1208">
        <v>9</v>
      </c>
      <c r="D1208">
        <v>1</v>
      </c>
      <c r="E1208" t="s">
        <v>35</v>
      </c>
      <c r="F1208" t="s">
        <v>114</v>
      </c>
      <c r="G1208">
        <v>1</v>
      </c>
      <c r="H1208" s="5">
        <v>50799</v>
      </c>
      <c r="I1208" s="5">
        <v>50798</v>
      </c>
      <c r="J1208">
        <v>1</v>
      </c>
      <c r="K1208">
        <v>15</v>
      </c>
      <c r="L1208" t="s">
        <v>65</v>
      </c>
      <c r="M1208">
        <v>1</v>
      </c>
    </row>
    <row r="1209" spans="1:13" x14ac:dyDescent="0.25">
      <c r="A1209" s="4">
        <v>42576</v>
      </c>
      <c r="B1209" t="s">
        <v>30</v>
      </c>
      <c r="C1209">
        <v>9</v>
      </c>
      <c r="D1209">
        <v>1</v>
      </c>
      <c r="E1209" t="s">
        <v>35</v>
      </c>
      <c r="F1209" t="s">
        <v>36</v>
      </c>
      <c r="G1209">
        <v>1</v>
      </c>
      <c r="H1209" s="5">
        <v>50799</v>
      </c>
      <c r="I1209" s="5">
        <v>50798</v>
      </c>
      <c r="J1209">
        <v>1</v>
      </c>
      <c r="K1209">
        <v>14</v>
      </c>
      <c r="L1209" t="s">
        <v>47</v>
      </c>
      <c r="M1209">
        <v>1</v>
      </c>
    </row>
    <row r="1210" spans="1:13" x14ac:dyDescent="0.25">
      <c r="A1210" s="4">
        <v>42571</v>
      </c>
      <c r="B1210" t="s">
        <v>30</v>
      </c>
      <c r="C1210">
        <v>1</v>
      </c>
      <c r="D1210">
        <v>1</v>
      </c>
      <c r="E1210" t="s">
        <v>42</v>
      </c>
      <c r="F1210" t="s">
        <v>114</v>
      </c>
      <c r="G1210">
        <v>2</v>
      </c>
      <c r="H1210" s="5">
        <v>50804</v>
      </c>
      <c r="I1210" s="5">
        <v>50803</v>
      </c>
      <c r="J1210">
        <v>0</v>
      </c>
      <c r="K1210">
        <f>33-10.5</f>
        <v>22.5</v>
      </c>
      <c r="L1210" t="s">
        <v>81</v>
      </c>
      <c r="M1210">
        <v>1</v>
      </c>
    </row>
    <row r="1211" spans="1:13" x14ac:dyDescent="0.25">
      <c r="A1211" s="4">
        <v>42572</v>
      </c>
      <c r="B1211" t="s">
        <v>30</v>
      </c>
      <c r="C1211">
        <v>1</v>
      </c>
      <c r="D1211">
        <v>1</v>
      </c>
      <c r="E1211" t="s">
        <v>35</v>
      </c>
      <c r="F1211" t="s">
        <v>114</v>
      </c>
      <c r="G1211">
        <v>2</v>
      </c>
      <c r="H1211" s="5">
        <v>50804</v>
      </c>
      <c r="I1211" s="5">
        <v>50803</v>
      </c>
      <c r="J1211">
        <v>0</v>
      </c>
      <c r="K1211">
        <f>34.5-11</f>
        <v>23.5</v>
      </c>
      <c r="L1211" t="s">
        <v>81</v>
      </c>
      <c r="M1211">
        <v>1</v>
      </c>
    </row>
    <row r="1212" spans="1:13" x14ac:dyDescent="0.25">
      <c r="A1212" s="4">
        <v>42587</v>
      </c>
      <c r="B1212" t="s">
        <v>30</v>
      </c>
      <c r="C1212">
        <v>1</v>
      </c>
      <c r="D1212">
        <v>1</v>
      </c>
      <c r="E1212" t="s">
        <v>35</v>
      </c>
      <c r="F1212" t="s">
        <v>36</v>
      </c>
      <c r="G1212">
        <v>2</v>
      </c>
      <c r="H1212" s="5" t="s">
        <v>460</v>
      </c>
      <c r="I1212" s="5" t="s">
        <v>461</v>
      </c>
      <c r="J1212">
        <v>1</v>
      </c>
      <c r="K1212">
        <f>39-17</f>
        <v>22</v>
      </c>
      <c r="L1212" t="s">
        <v>143</v>
      </c>
      <c r="M1212">
        <v>1</v>
      </c>
    </row>
    <row r="1213" spans="1:13" x14ac:dyDescent="0.25">
      <c r="A1213" s="4">
        <v>42588</v>
      </c>
      <c r="B1213" t="s">
        <v>30</v>
      </c>
      <c r="C1213">
        <v>1</v>
      </c>
      <c r="D1213">
        <v>1</v>
      </c>
      <c r="E1213" t="s">
        <v>35</v>
      </c>
      <c r="F1213" t="s">
        <v>114</v>
      </c>
      <c r="G1213">
        <v>2</v>
      </c>
      <c r="H1213" s="5" t="s">
        <v>460</v>
      </c>
      <c r="I1213" s="5" t="s">
        <v>461</v>
      </c>
      <c r="J1213">
        <v>1</v>
      </c>
      <c r="K1213">
        <f>34-16</f>
        <v>18</v>
      </c>
      <c r="L1213" t="s">
        <v>136</v>
      </c>
      <c r="M1213">
        <v>1</v>
      </c>
    </row>
    <row r="1214" spans="1:13" x14ac:dyDescent="0.25">
      <c r="A1214" s="4">
        <v>42589</v>
      </c>
      <c r="B1214" t="s">
        <v>30</v>
      </c>
      <c r="C1214">
        <v>1</v>
      </c>
      <c r="D1214">
        <v>1</v>
      </c>
      <c r="E1214" t="s">
        <v>35</v>
      </c>
      <c r="F1214" t="s">
        <v>114</v>
      </c>
      <c r="G1214">
        <v>2</v>
      </c>
      <c r="H1214" s="5" t="s">
        <v>460</v>
      </c>
      <c r="I1214" s="5" t="s">
        <v>461</v>
      </c>
      <c r="J1214">
        <v>1</v>
      </c>
      <c r="K1214">
        <f>33-13.5</f>
        <v>19.5</v>
      </c>
      <c r="L1214" t="s">
        <v>38</v>
      </c>
      <c r="M1214">
        <v>1</v>
      </c>
    </row>
    <row r="1215" spans="1:13" x14ac:dyDescent="0.25">
      <c r="A1215" s="4">
        <v>42572</v>
      </c>
      <c r="B1215" t="s">
        <v>30</v>
      </c>
      <c r="C1215">
        <v>1</v>
      </c>
      <c r="D1215">
        <v>1</v>
      </c>
      <c r="E1215" t="s">
        <v>42</v>
      </c>
      <c r="F1215" t="s">
        <v>252</v>
      </c>
      <c r="G1215">
        <v>1</v>
      </c>
      <c r="H1215" s="5">
        <v>50809</v>
      </c>
      <c r="I1215" s="5">
        <v>50808</v>
      </c>
      <c r="J1215">
        <v>0</v>
      </c>
      <c r="K1215">
        <f>26-12</f>
        <v>14</v>
      </c>
      <c r="L1215" t="s">
        <v>65</v>
      </c>
      <c r="M1215">
        <v>1</v>
      </c>
    </row>
    <row r="1216" spans="1:13" x14ac:dyDescent="0.25">
      <c r="A1216" s="4">
        <v>42584</v>
      </c>
      <c r="B1216" t="s">
        <v>30</v>
      </c>
      <c r="C1216">
        <v>1</v>
      </c>
      <c r="D1216">
        <v>1</v>
      </c>
      <c r="E1216" t="s">
        <v>35</v>
      </c>
      <c r="F1216" t="s">
        <v>89</v>
      </c>
      <c r="G1216">
        <v>1</v>
      </c>
      <c r="H1216" s="5">
        <v>50809</v>
      </c>
      <c r="I1216" s="5">
        <v>50808</v>
      </c>
      <c r="J1216">
        <v>0</v>
      </c>
      <c r="K1216">
        <f>25-10</f>
        <v>15</v>
      </c>
      <c r="L1216" t="s">
        <v>65</v>
      </c>
      <c r="M1216">
        <v>1</v>
      </c>
    </row>
    <row r="1217" spans="1:13" x14ac:dyDescent="0.25">
      <c r="A1217" s="4">
        <v>42572</v>
      </c>
      <c r="B1217" t="s">
        <v>30</v>
      </c>
      <c r="C1217">
        <v>1</v>
      </c>
      <c r="D1217">
        <v>1</v>
      </c>
      <c r="E1217" t="s">
        <v>42</v>
      </c>
      <c r="F1217" t="s">
        <v>114</v>
      </c>
      <c r="G1217">
        <v>2</v>
      </c>
      <c r="H1217" s="5">
        <v>50811</v>
      </c>
      <c r="I1217" s="5">
        <v>50810</v>
      </c>
      <c r="J1217">
        <v>0</v>
      </c>
      <c r="K1217">
        <v>21</v>
      </c>
      <c r="L1217" t="s">
        <v>143</v>
      </c>
      <c r="M1217">
        <v>1</v>
      </c>
    </row>
    <row r="1218" spans="1:13" x14ac:dyDescent="0.25">
      <c r="A1218" s="4">
        <v>42572</v>
      </c>
      <c r="B1218" t="s">
        <v>30</v>
      </c>
      <c r="C1218">
        <v>1</v>
      </c>
      <c r="D1218">
        <v>1</v>
      </c>
      <c r="E1218" t="s">
        <v>35</v>
      </c>
      <c r="F1218" t="s">
        <v>114</v>
      </c>
      <c r="G1218">
        <v>1</v>
      </c>
      <c r="H1218" s="5">
        <v>50811</v>
      </c>
      <c r="I1218" s="5">
        <v>50810</v>
      </c>
      <c r="J1218">
        <v>0</v>
      </c>
      <c r="K1218">
        <f>24-9.5</f>
        <v>14.5</v>
      </c>
      <c r="L1218" t="s">
        <v>65</v>
      </c>
      <c r="M1218">
        <v>1</v>
      </c>
    </row>
    <row r="1219" spans="1:13" x14ac:dyDescent="0.25">
      <c r="A1219" s="4">
        <v>42584</v>
      </c>
      <c r="B1219" t="s">
        <v>30</v>
      </c>
      <c r="C1219">
        <v>1</v>
      </c>
      <c r="D1219">
        <v>1</v>
      </c>
      <c r="E1219" t="s">
        <v>35</v>
      </c>
      <c r="F1219" t="s">
        <v>36</v>
      </c>
      <c r="G1219">
        <v>2</v>
      </c>
      <c r="H1219" s="5">
        <v>50811</v>
      </c>
      <c r="I1219" s="5">
        <v>50810</v>
      </c>
      <c r="J1219">
        <v>0</v>
      </c>
      <c r="K1219">
        <f>31.5-10.5</f>
        <v>21</v>
      </c>
      <c r="L1219" t="s">
        <v>143</v>
      </c>
      <c r="M1219">
        <v>1</v>
      </c>
    </row>
    <row r="1220" spans="1:13" x14ac:dyDescent="0.25">
      <c r="A1220" s="4">
        <v>42572</v>
      </c>
      <c r="B1220" t="s">
        <v>30</v>
      </c>
      <c r="C1220">
        <v>1</v>
      </c>
      <c r="D1220">
        <v>1</v>
      </c>
      <c r="E1220" t="s">
        <v>42</v>
      </c>
      <c r="F1220" t="s">
        <v>89</v>
      </c>
      <c r="G1220">
        <v>1</v>
      </c>
      <c r="H1220" s="5">
        <v>50813</v>
      </c>
      <c r="I1220" s="5">
        <v>50812</v>
      </c>
      <c r="J1220">
        <v>0</v>
      </c>
      <c r="K1220">
        <f>22-13</f>
        <v>9</v>
      </c>
      <c r="L1220" t="s">
        <v>65</v>
      </c>
      <c r="M1220">
        <v>1</v>
      </c>
    </row>
    <row r="1221" spans="1:13" x14ac:dyDescent="0.25">
      <c r="A1221" s="4">
        <v>42584</v>
      </c>
      <c r="B1221" t="s">
        <v>30</v>
      </c>
      <c r="C1221">
        <v>1</v>
      </c>
      <c r="D1221">
        <v>1</v>
      </c>
      <c r="E1221" t="s">
        <v>35</v>
      </c>
      <c r="F1221" t="s">
        <v>89</v>
      </c>
      <c r="G1221">
        <v>1</v>
      </c>
      <c r="H1221" s="5">
        <v>50813</v>
      </c>
      <c r="I1221" s="5">
        <v>50812</v>
      </c>
      <c r="J1221">
        <v>0</v>
      </c>
      <c r="K1221">
        <f>24-10.5</f>
        <v>13.5</v>
      </c>
      <c r="L1221" t="s">
        <v>65</v>
      </c>
      <c r="M1221">
        <v>1</v>
      </c>
    </row>
    <row r="1222" spans="1:13" x14ac:dyDescent="0.25">
      <c r="A1222" s="4">
        <v>42572</v>
      </c>
      <c r="B1222" t="s">
        <v>30</v>
      </c>
      <c r="C1222">
        <v>1</v>
      </c>
      <c r="D1222">
        <v>1</v>
      </c>
      <c r="E1222" t="s">
        <v>42</v>
      </c>
      <c r="F1222" t="s">
        <v>114</v>
      </c>
      <c r="G1222">
        <v>1</v>
      </c>
      <c r="H1222" s="5">
        <v>50815</v>
      </c>
      <c r="I1222" s="5">
        <v>50814</v>
      </c>
      <c r="J1222">
        <v>0</v>
      </c>
      <c r="K1222">
        <f>30.5-13</f>
        <v>17.5</v>
      </c>
      <c r="L1222" t="s">
        <v>47</v>
      </c>
      <c r="M1222">
        <v>1</v>
      </c>
    </row>
    <row r="1223" spans="1:13" x14ac:dyDescent="0.25">
      <c r="A1223" s="4">
        <v>42589</v>
      </c>
      <c r="B1223" t="s">
        <v>30</v>
      </c>
      <c r="C1223">
        <v>1</v>
      </c>
      <c r="D1223">
        <v>1</v>
      </c>
      <c r="E1223" t="s">
        <v>35</v>
      </c>
      <c r="F1223" t="s">
        <v>114</v>
      </c>
      <c r="G1223">
        <v>1</v>
      </c>
      <c r="H1223" s="5" t="s">
        <v>521</v>
      </c>
      <c r="I1223" s="5" t="s">
        <v>522</v>
      </c>
      <c r="J1223">
        <v>1</v>
      </c>
      <c r="K1223">
        <f>35-18</f>
        <v>17</v>
      </c>
      <c r="L1223" t="s">
        <v>47</v>
      </c>
      <c r="M1223">
        <v>1</v>
      </c>
    </row>
    <row r="1224" spans="1:13" x14ac:dyDescent="0.25">
      <c r="A1224" s="4">
        <v>42572</v>
      </c>
      <c r="B1224" t="s">
        <v>30</v>
      </c>
      <c r="C1224">
        <v>1</v>
      </c>
      <c r="D1224">
        <v>1</v>
      </c>
      <c r="E1224" t="s">
        <v>42</v>
      </c>
      <c r="F1224" t="s">
        <v>36</v>
      </c>
      <c r="G1224">
        <v>1</v>
      </c>
      <c r="H1224" s="5">
        <v>50821</v>
      </c>
      <c r="I1224" s="5">
        <v>50820</v>
      </c>
      <c r="J1224">
        <v>0</v>
      </c>
      <c r="K1224">
        <v>19</v>
      </c>
      <c r="L1224" t="s">
        <v>65</v>
      </c>
      <c r="M1224">
        <v>1</v>
      </c>
    </row>
    <row r="1225" spans="1:13" x14ac:dyDescent="0.25">
      <c r="A1225" s="4">
        <v>42572</v>
      </c>
      <c r="B1225" t="s">
        <v>30</v>
      </c>
      <c r="C1225">
        <v>1</v>
      </c>
      <c r="D1225">
        <v>1</v>
      </c>
      <c r="E1225" t="s">
        <v>42</v>
      </c>
      <c r="F1225" t="s">
        <v>89</v>
      </c>
      <c r="G1225">
        <v>1</v>
      </c>
      <c r="H1225" s="5">
        <v>50823</v>
      </c>
      <c r="I1225" s="5">
        <v>50822</v>
      </c>
      <c r="J1225">
        <v>0</v>
      </c>
      <c r="K1225">
        <f>20-10.5</f>
        <v>9.5</v>
      </c>
      <c r="L1225" t="s">
        <v>65</v>
      </c>
      <c r="M1225">
        <v>1</v>
      </c>
    </row>
    <row r="1226" spans="1:13" x14ac:dyDescent="0.25">
      <c r="A1226" s="4">
        <v>42572</v>
      </c>
      <c r="B1226" t="s">
        <v>30</v>
      </c>
      <c r="C1226">
        <v>1</v>
      </c>
      <c r="D1226">
        <v>1</v>
      </c>
      <c r="E1226" t="s">
        <v>42</v>
      </c>
      <c r="F1226" t="s">
        <v>89</v>
      </c>
      <c r="G1226">
        <v>1</v>
      </c>
      <c r="H1226" s="5">
        <v>50825</v>
      </c>
      <c r="I1226" s="5">
        <v>50824</v>
      </c>
      <c r="J1226">
        <v>0</v>
      </c>
      <c r="K1226">
        <v>14.5</v>
      </c>
      <c r="L1226" t="s">
        <v>47</v>
      </c>
      <c r="M1226">
        <v>1</v>
      </c>
    </row>
    <row r="1227" spans="1:13" x14ac:dyDescent="0.25">
      <c r="A1227" s="4">
        <v>42585</v>
      </c>
      <c r="B1227" t="s">
        <v>30</v>
      </c>
      <c r="C1227">
        <v>1</v>
      </c>
      <c r="D1227">
        <v>1</v>
      </c>
      <c r="E1227" t="s">
        <v>35</v>
      </c>
      <c r="F1227" t="s">
        <v>114</v>
      </c>
      <c r="G1227">
        <v>1</v>
      </c>
      <c r="H1227" s="5">
        <v>50825</v>
      </c>
      <c r="I1227" s="5">
        <v>50824</v>
      </c>
      <c r="J1227">
        <v>1</v>
      </c>
      <c r="K1227">
        <f>23.5-7.5</f>
        <v>16</v>
      </c>
      <c r="L1227" t="s">
        <v>47</v>
      </c>
      <c r="M1227">
        <v>1</v>
      </c>
    </row>
    <row r="1228" spans="1:13" x14ac:dyDescent="0.25">
      <c r="A1228" s="4">
        <v>42586</v>
      </c>
      <c r="B1228" t="s">
        <v>30</v>
      </c>
      <c r="C1228">
        <v>1</v>
      </c>
      <c r="D1228">
        <v>1</v>
      </c>
      <c r="E1228" t="s">
        <v>35</v>
      </c>
      <c r="F1228" t="s">
        <v>114</v>
      </c>
      <c r="G1228">
        <v>1</v>
      </c>
      <c r="H1228" s="5" t="s">
        <v>413</v>
      </c>
      <c r="I1228" s="5" t="s">
        <v>414</v>
      </c>
      <c r="J1228">
        <v>1</v>
      </c>
      <c r="K1228">
        <f>30.5-15</f>
        <v>15.5</v>
      </c>
      <c r="L1228" t="s">
        <v>65</v>
      </c>
      <c r="M1228">
        <v>1</v>
      </c>
    </row>
    <row r="1229" spans="1:13" x14ac:dyDescent="0.25">
      <c r="A1229" s="4">
        <v>42587</v>
      </c>
      <c r="B1229" t="s">
        <v>30</v>
      </c>
      <c r="C1229">
        <v>1</v>
      </c>
      <c r="D1229">
        <v>1</v>
      </c>
      <c r="E1229" t="s">
        <v>35</v>
      </c>
      <c r="F1229" t="s">
        <v>114</v>
      </c>
      <c r="G1229">
        <v>1</v>
      </c>
      <c r="H1229" s="5" t="s">
        <v>413</v>
      </c>
      <c r="I1229" s="5" t="s">
        <v>414</v>
      </c>
      <c r="J1229">
        <v>1</v>
      </c>
      <c r="K1229">
        <f>33-17</f>
        <v>16</v>
      </c>
      <c r="L1229" t="s">
        <v>47</v>
      </c>
      <c r="M1229">
        <v>1</v>
      </c>
    </row>
    <row r="1230" spans="1:13" x14ac:dyDescent="0.25">
      <c r="A1230" s="4">
        <v>42588</v>
      </c>
      <c r="B1230" t="s">
        <v>30</v>
      </c>
      <c r="C1230">
        <v>1</v>
      </c>
      <c r="D1230">
        <v>1</v>
      </c>
      <c r="E1230" t="s">
        <v>35</v>
      </c>
      <c r="F1230" t="s">
        <v>114</v>
      </c>
      <c r="G1230">
        <v>1</v>
      </c>
      <c r="H1230" s="5" t="s">
        <v>413</v>
      </c>
      <c r="I1230" s="5" t="s">
        <v>414</v>
      </c>
      <c r="J1230">
        <v>1</v>
      </c>
      <c r="K1230">
        <f>29.5-13</f>
        <v>16.5</v>
      </c>
      <c r="L1230" t="s">
        <v>47</v>
      </c>
      <c r="M1230">
        <v>1</v>
      </c>
    </row>
    <row r="1231" spans="1:13" x14ac:dyDescent="0.25">
      <c r="A1231" s="4">
        <v>42572</v>
      </c>
      <c r="B1231" t="s">
        <v>30</v>
      </c>
      <c r="C1231">
        <v>3</v>
      </c>
      <c r="D1231">
        <v>1</v>
      </c>
      <c r="E1231" t="s">
        <v>42</v>
      </c>
      <c r="F1231" t="s">
        <v>89</v>
      </c>
      <c r="G1231">
        <v>1</v>
      </c>
      <c r="H1231" s="5">
        <v>50829</v>
      </c>
      <c r="I1231" s="5">
        <v>50828</v>
      </c>
      <c r="J1231">
        <v>1</v>
      </c>
      <c r="K1231">
        <f>25-11.5</f>
        <v>13.5</v>
      </c>
      <c r="L1231" t="s">
        <v>65</v>
      </c>
      <c r="M1231">
        <v>1</v>
      </c>
    </row>
    <row r="1232" spans="1:13" x14ac:dyDescent="0.25">
      <c r="A1232" s="4">
        <v>42584</v>
      </c>
      <c r="B1232" t="s">
        <v>30</v>
      </c>
      <c r="C1232">
        <v>3</v>
      </c>
      <c r="D1232">
        <v>1</v>
      </c>
      <c r="E1232" t="s">
        <v>35</v>
      </c>
      <c r="F1232" t="s">
        <v>114</v>
      </c>
      <c r="G1232">
        <v>1</v>
      </c>
      <c r="H1232" s="5">
        <v>50829</v>
      </c>
      <c r="I1232" s="5">
        <v>50828</v>
      </c>
      <c r="J1232">
        <v>1</v>
      </c>
      <c r="K1232">
        <f>31-13</f>
        <v>18</v>
      </c>
      <c r="L1232" t="s">
        <v>65</v>
      </c>
      <c r="M1232">
        <v>1</v>
      </c>
    </row>
    <row r="1233" spans="1:13" x14ac:dyDescent="0.25">
      <c r="A1233" s="4">
        <v>42585</v>
      </c>
      <c r="B1233" t="s">
        <v>30</v>
      </c>
      <c r="C1233">
        <v>4</v>
      </c>
      <c r="D1233">
        <v>1</v>
      </c>
      <c r="E1233" t="s">
        <v>35</v>
      </c>
      <c r="F1233" t="s">
        <v>114</v>
      </c>
      <c r="G1233">
        <v>1</v>
      </c>
      <c r="H1233" s="5">
        <v>50829</v>
      </c>
      <c r="I1233" s="5">
        <v>50828</v>
      </c>
      <c r="J1233">
        <v>1</v>
      </c>
      <c r="K1233">
        <f>36-18</f>
        <v>18</v>
      </c>
      <c r="L1233" t="s">
        <v>65</v>
      </c>
      <c r="M1233">
        <v>1</v>
      </c>
    </row>
    <row r="1234" spans="1:13" x14ac:dyDescent="0.25">
      <c r="A1234" s="4">
        <v>42586</v>
      </c>
      <c r="B1234" t="s">
        <v>30</v>
      </c>
      <c r="C1234">
        <v>3</v>
      </c>
      <c r="D1234">
        <v>1</v>
      </c>
      <c r="E1234" t="s">
        <v>35</v>
      </c>
      <c r="F1234" t="s">
        <v>89</v>
      </c>
      <c r="G1234">
        <v>1</v>
      </c>
      <c r="H1234" s="5" t="s">
        <v>439</v>
      </c>
      <c r="I1234" s="5" t="s">
        <v>440</v>
      </c>
      <c r="J1234">
        <v>1</v>
      </c>
      <c r="K1234">
        <f>33.5-18</f>
        <v>15.5</v>
      </c>
      <c r="L1234" t="s">
        <v>65</v>
      </c>
      <c r="M1234">
        <v>1</v>
      </c>
    </row>
    <row r="1235" spans="1:13" x14ac:dyDescent="0.25">
      <c r="A1235" s="4">
        <v>42598</v>
      </c>
      <c r="B1235" t="s">
        <v>30</v>
      </c>
      <c r="C1235">
        <v>3</v>
      </c>
      <c r="D1235">
        <v>1</v>
      </c>
      <c r="E1235" t="s">
        <v>35</v>
      </c>
      <c r="F1235" t="s">
        <v>114</v>
      </c>
      <c r="G1235">
        <v>1</v>
      </c>
      <c r="H1235" s="5" t="s">
        <v>439</v>
      </c>
      <c r="I1235" s="5" t="s">
        <v>440</v>
      </c>
      <c r="J1235">
        <v>1</v>
      </c>
      <c r="K1235">
        <f>41-23</f>
        <v>18</v>
      </c>
      <c r="L1235" t="s">
        <v>65</v>
      </c>
      <c r="M1235">
        <v>1</v>
      </c>
    </row>
    <row r="1236" spans="1:13" x14ac:dyDescent="0.25">
      <c r="A1236" s="4">
        <v>42572</v>
      </c>
      <c r="B1236" t="s">
        <v>30</v>
      </c>
      <c r="C1236">
        <v>2</v>
      </c>
      <c r="D1236">
        <v>1</v>
      </c>
      <c r="E1236" t="s">
        <v>42</v>
      </c>
      <c r="F1236" t="s">
        <v>36</v>
      </c>
      <c r="G1236">
        <v>1</v>
      </c>
      <c r="H1236" s="5">
        <v>50833</v>
      </c>
      <c r="I1236" s="5"/>
      <c r="J1236">
        <v>1</v>
      </c>
      <c r="K1236">
        <f>33-13</f>
        <v>20</v>
      </c>
      <c r="L1236" t="s">
        <v>47</v>
      </c>
      <c r="M1236">
        <v>1</v>
      </c>
    </row>
    <row r="1237" spans="1:13" x14ac:dyDescent="0.25">
      <c r="A1237" s="4">
        <v>42585</v>
      </c>
      <c r="B1237" t="s">
        <v>30</v>
      </c>
      <c r="C1237">
        <v>2</v>
      </c>
      <c r="D1237">
        <v>1</v>
      </c>
      <c r="E1237" t="s">
        <v>51</v>
      </c>
      <c r="F1237" t="s">
        <v>114</v>
      </c>
      <c r="G1237">
        <v>1</v>
      </c>
      <c r="H1237" s="5">
        <v>50833</v>
      </c>
      <c r="I1237" s="5">
        <v>50945</v>
      </c>
      <c r="J1237">
        <v>1</v>
      </c>
      <c r="K1237">
        <f>30-14.5</f>
        <v>15.5</v>
      </c>
      <c r="L1237" t="s">
        <v>65</v>
      </c>
      <c r="M1237">
        <v>1</v>
      </c>
    </row>
    <row r="1238" spans="1:13" x14ac:dyDescent="0.25">
      <c r="A1238" s="4">
        <v>42586</v>
      </c>
      <c r="B1238" t="s">
        <v>30</v>
      </c>
      <c r="C1238">
        <v>2</v>
      </c>
      <c r="D1238">
        <v>1</v>
      </c>
      <c r="E1238" t="s">
        <v>35</v>
      </c>
      <c r="F1238" t="s">
        <v>114</v>
      </c>
      <c r="G1238">
        <v>1</v>
      </c>
      <c r="H1238" s="5">
        <v>50833</v>
      </c>
      <c r="I1238" s="5">
        <v>50945</v>
      </c>
      <c r="J1238">
        <v>1</v>
      </c>
      <c r="K1238">
        <f>30.5-15.5</f>
        <v>15</v>
      </c>
      <c r="L1238" t="s">
        <v>65</v>
      </c>
      <c r="M1238">
        <v>1</v>
      </c>
    </row>
    <row r="1239" spans="1:13" x14ac:dyDescent="0.25">
      <c r="A1239" s="4">
        <v>42572</v>
      </c>
      <c r="B1239" t="s">
        <v>30</v>
      </c>
      <c r="C1239">
        <v>2</v>
      </c>
      <c r="D1239">
        <v>1</v>
      </c>
      <c r="E1239" t="s">
        <v>42</v>
      </c>
      <c r="F1239" t="s">
        <v>89</v>
      </c>
      <c r="G1239">
        <v>1</v>
      </c>
      <c r="H1239" s="5">
        <v>50834</v>
      </c>
      <c r="I1239" s="5"/>
      <c r="J1239">
        <v>0</v>
      </c>
      <c r="K1239">
        <f>23-9.5</f>
        <v>13.5</v>
      </c>
      <c r="L1239" t="s">
        <v>65</v>
      </c>
      <c r="M1239">
        <v>1</v>
      </c>
    </row>
    <row r="1240" spans="1:13" x14ac:dyDescent="0.25">
      <c r="A1240" s="4">
        <v>42586</v>
      </c>
      <c r="B1240" t="s">
        <v>30</v>
      </c>
      <c r="C1240">
        <v>2</v>
      </c>
      <c r="D1240">
        <v>1</v>
      </c>
      <c r="E1240" t="s">
        <v>51</v>
      </c>
      <c r="F1240" t="s">
        <v>114</v>
      </c>
      <c r="G1240">
        <v>2</v>
      </c>
      <c r="H1240" s="5">
        <v>50834</v>
      </c>
      <c r="I1240" s="5" t="s">
        <v>366</v>
      </c>
      <c r="J1240">
        <v>0</v>
      </c>
      <c r="K1240">
        <f>30-14</f>
        <v>16</v>
      </c>
      <c r="L1240" t="s">
        <v>38</v>
      </c>
      <c r="M1240">
        <v>1</v>
      </c>
    </row>
    <row r="1241" spans="1:13" x14ac:dyDescent="0.25">
      <c r="A1241" s="4">
        <v>42584</v>
      </c>
      <c r="B1241" t="s">
        <v>30</v>
      </c>
      <c r="C1241">
        <v>2</v>
      </c>
      <c r="D1241">
        <v>1</v>
      </c>
      <c r="E1241" t="s">
        <v>51</v>
      </c>
      <c r="F1241" t="s">
        <v>114</v>
      </c>
      <c r="G1241">
        <v>2</v>
      </c>
      <c r="H1241" s="5">
        <v>50836</v>
      </c>
      <c r="I1241" s="5">
        <v>50935</v>
      </c>
      <c r="J1241">
        <v>0</v>
      </c>
      <c r="K1241">
        <f>29.5-14</f>
        <v>15.5</v>
      </c>
      <c r="L1241" t="s">
        <v>38</v>
      </c>
      <c r="M1241">
        <v>1</v>
      </c>
    </row>
    <row r="1242" spans="1:13" x14ac:dyDescent="0.25">
      <c r="A1242" s="4">
        <v>42585</v>
      </c>
      <c r="B1242" t="s">
        <v>30</v>
      </c>
      <c r="C1242">
        <v>2</v>
      </c>
      <c r="D1242">
        <v>1</v>
      </c>
      <c r="E1242" t="s">
        <v>35</v>
      </c>
      <c r="F1242" t="s">
        <v>114</v>
      </c>
      <c r="G1242">
        <v>2</v>
      </c>
      <c r="H1242" s="5">
        <v>50836</v>
      </c>
      <c r="I1242" s="5">
        <v>50935</v>
      </c>
      <c r="J1242">
        <v>0</v>
      </c>
      <c r="K1242">
        <f>28-13</f>
        <v>15</v>
      </c>
      <c r="L1242" t="s">
        <v>38</v>
      </c>
      <c r="M1242">
        <v>1</v>
      </c>
    </row>
    <row r="1243" spans="1:13" x14ac:dyDescent="0.25">
      <c r="A1243" s="4">
        <v>42586</v>
      </c>
      <c r="B1243" t="s">
        <v>30</v>
      </c>
      <c r="C1243">
        <v>2</v>
      </c>
      <c r="D1243">
        <v>1</v>
      </c>
      <c r="E1243" t="s">
        <v>35</v>
      </c>
      <c r="F1243" t="s">
        <v>36</v>
      </c>
      <c r="G1243">
        <v>2</v>
      </c>
      <c r="H1243" s="5">
        <v>50836</v>
      </c>
      <c r="I1243" s="5">
        <v>50935</v>
      </c>
      <c r="J1243">
        <v>0</v>
      </c>
      <c r="K1243">
        <f>29-13</f>
        <v>16</v>
      </c>
      <c r="L1243" t="s">
        <v>38</v>
      </c>
      <c r="M1243">
        <v>1</v>
      </c>
    </row>
    <row r="1244" spans="1:13" x14ac:dyDescent="0.25">
      <c r="A1244" s="4">
        <v>42598</v>
      </c>
      <c r="B1244" t="s">
        <v>30</v>
      </c>
      <c r="C1244">
        <v>2</v>
      </c>
      <c r="D1244">
        <v>1</v>
      </c>
      <c r="E1244" t="s">
        <v>35</v>
      </c>
      <c r="F1244" t="s">
        <v>114</v>
      </c>
      <c r="G1244">
        <v>2</v>
      </c>
      <c r="H1244" s="5" t="s">
        <v>780</v>
      </c>
      <c r="I1244" s="5" t="s">
        <v>781</v>
      </c>
      <c r="J1244">
        <v>1</v>
      </c>
      <c r="K1244">
        <f>33-17</f>
        <v>16</v>
      </c>
      <c r="L1244" t="s">
        <v>38</v>
      </c>
      <c r="M1244">
        <v>1</v>
      </c>
    </row>
    <row r="1245" spans="1:13" x14ac:dyDescent="0.25">
      <c r="A1245" s="4">
        <v>42600</v>
      </c>
      <c r="B1245" t="s">
        <v>30</v>
      </c>
      <c r="C1245">
        <v>2</v>
      </c>
      <c r="D1245">
        <v>1</v>
      </c>
      <c r="E1245" t="s">
        <v>35</v>
      </c>
      <c r="F1245" t="s">
        <v>114</v>
      </c>
      <c r="G1245">
        <v>2</v>
      </c>
      <c r="H1245" s="5" t="s">
        <v>780</v>
      </c>
      <c r="I1245" s="5" t="s">
        <v>781</v>
      </c>
      <c r="J1245">
        <v>1</v>
      </c>
      <c r="K1245">
        <f>31-15.5</f>
        <v>15.5</v>
      </c>
      <c r="L1245" t="s">
        <v>38</v>
      </c>
      <c r="M1245">
        <v>1</v>
      </c>
    </row>
    <row r="1246" spans="1:13" x14ac:dyDescent="0.25">
      <c r="A1246" s="4">
        <v>42572</v>
      </c>
      <c r="B1246" t="s">
        <v>30</v>
      </c>
      <c r="C1246">
        <v>2</v>
      </c>
      <c r="D1246">
        <v>1</v>
      </c>
      <c r="E1246" t="s">
        <v>42</v>
      </c>
      <c r="F1246" t="s">
        <v>114</v>
      </c>
      <c r="G1246">
        <v>1</v>
      </c>
      <c r="H1246" s="5" t="s">
        <v>247</v>
      </c>
      <c r="I1246" s="5"/>
      <c r="J1246">
        <v>0</v>
      </c>
      <c r="K1246">
        <f>29-11</f>
        <v>18</v>
      </c>
      <c r="L1246" t="s">
        <v>47</v>
      </c>
      <c r="M1246">
        <v>1</v>
      </c>
    </row>
    <row r="1247" spans="1:13" x14ac:dyDescent="0.25">
      <c r="A1247" s="4">
        <v>42584</v>
      </c>
      <c r="B1247" t="s">
        <v>30</v>
      </c>
      <c r="C1247">
        <v>2</v>
      </c>
      <c r="D1247">
        <v>1</v>
      </c>
      <c r="E1247" t="s">
        <v>51</v>
      </c>
      <c r="F1247" t="s">
        <v>114</v>
      </c>
      <c r="G1247">
        <v>1</v>
      </c>
      <c r="H1247" s="5">
        <v>50840</v>
      </c>
      <c r="I1247" s="5">
        <v>50933</v>
      </c>
      <c r="J1247">
        <v>0</v>
      </c>
      <c r="K1247">
        <f>31.5-13.5</f>
        <v>18</v>
      </c>
      <c r="L1247" t="s">
        <v>47</v>
      </c>
      <c r="M1247">
        <v>1</v>
      </c>
    </row>
    <row r="1248" spans="1:13" x14ac:dyDescent="0.25">
      <c r="A1248" s="4">
        <v>42585</v>
      </c>
      <c r="B1248" t="s">
        <v>30</v>
      </c>
      <c r="C1248">
        <v>2</v>
      </c>
      <c r="D1248">
        <v>1</v>
      </c>
      <c r="E1248" t="s">
        <v>35</v>
      </c>
      <c r="F1248" t="s">
        <v>114</v>
      </c>
      <c r="G1248">
        <v>1</v>
      </c>
      <c r="H1248" s="5">
        <v>50840</v>
      </c>
      <c r="I1248" s="5">
        <v>50933</v>
      </c>
      <c r="J1248">
        <v>0</v>
      </c>
      <c r="K1248">
        <f>33.5-14</f>
        <v>19.5</v>
      </c>
      <c r="L1248" t="s">
        <v>47</v>
      </c>
      <c r="M1248">
        <v>1</v>
      </c>
    </row>
    <row r="1249" spans="1:13" x14ac:dyDescent="0.25">
      <c r="A1249" s="4">
        <v>42586</v>
      </c>
      <c r="B1249" t="s">
        <v>30</v>
      </c>
      <c r="C1249">
        <v>2</v>
      </c>
      <c r="D1249">
        <v>1</v>
      </c>
      <c r="E1249" t="s">
        <v>35</v>
      </c>
      <c r="F1249" t="s">
        <v>114</v>
      </c>
      <c r="G1249">
        <v>1</v>
      </c>
      <c r="H1249" s="5">
        <v>50840</v>
      </c>
      <c r="I1249" s="5">
        <v>50933</v>
      </c>
      <c r="J1249">
        <v>0</v>
      </c>
      <c r="K1249">
        <f>31-12.5</f>
        <v>18.5</v>
      </c>
      <c r="L1249" t="s">
        <v>47</v>
      </c>
      <c r="M1249">
        <v>1</v>
      </c>
    </row>
    <row r="1250" spans="1:13" x14ac:dyDescent="0.25">
      <c r="A1250" s="4">
        <v>42572</v>
      </c>
      <c r="B1250" t="s">
        <v>30</v>
      </c>
      <c r="C1250">
        <v>2</v>
      </c>
      <c r="D1250">
        <v>1</v>
      </c>
      <c r="E1250" t="s">
        <v>42</v>
      </c>
      <c r="F1250" t="s">
        <v>89</v>
      </c>
      <c r="G1250">
        <v>2</v>
      </c>
      <c r="H1250" s="5">
        <v>50841</v>
      </c>
      <c r="I1250" s="5"/>
      <c r="J1250">
        <v>0</v>
      </c>
      <c r="K1250">
        <v>15</v>
      </c>
      <c r="L1250" t="s">
        <v>38</v>
      </c>
      <c r="M1250">
        <v>1</v>
      </c>
    </row>
    <row r="1251" spans="1:13" x14ac:dyDescent="0.25">
      <c r="A1251" s="4">
        <v>42584</v>
      </c>
      <c r="B1251" t="s">
        <v>30</v>
      </c>
      <c r="C1251">
        <v>2</v>
      </c>
      <c r="D1251">
        <v>1</v>
      </c>
      <c r="E1251" t="s">
        <v>51</v>
      </c>
      <c r="F1251" t="s">
        <v>114</v>
      </c>
      <c r="G1251">
        <v>2</v>
      </c>
      <c r="H1251" s="5">
        <v>50841</v>
      </c>
      <c r="I1251" s="5">
        <v>50950</v>
      </c>
      <c r="J1251">
        <v>1</v>
      </c>
      <c r="K1251">
        <f>31-14</f>
        <v>17</v>
      </c>
      <c r="L1251" t="s">
        <v>38</v>
      </c>
      <c r="M1251">
        <v>1</v>
      </c>
    </row>
    <row r="1252" spans="1:13" x14ac:dyDescent="0.25">
      <c r="A1252" s="4">
        <v>42585</v>
      </c>
      <c r="B1252" t="s">
        <v>30</v>
      </c>
      <c r="C1252">
        <v>2</v>
      </c>
      <c r="D1252">
        <v>1</v>
      </c>
      <c r="E1252" t="s">
        <v>35</v>
      </c>
      <c r="F1252" t="s">
        <v>114</v>
      </c>
      <c r="G1252">
        <v>2</v>
      </c>
      <c r="H1252" s="5">
        <v>50841</v>
      </c>
      <c r="I1252" s="5">
        <v>50950</v>
      </c>
      <c r="J1252">
        <v>1</v>
      </c>
      <c r="K1252">
        <f>30.5-15</f>
        <v>15.5</v>
      </c>
      <c r="L1252" t="s">
        <v>38</v>
      </c>
      <c r="M1252">
        <v>1</v>
      </c>
    </row>
    <row r="1253" spans="1:13" x14ac:dyDescent="0.25">
      <c r="A1253" s="4">
        <v>42586</v>
      </c>
      <c r="B1253" t="s">
        <v>30</v>
      </c>
      <c r="C1253">
        <v>2</v>
      </c>
      <c r="D1253">
        <v>1</v>
      </c>
      <c r="E1253" t="s">
        <v>35</v>
      </c>
      <c r="F1253" t="s">
        <v>114</v>
      </c>
      <c r="G1253">
        <v>2</v>
      </c>
      <c r="H1253" s="5">
        <v>50841</v>
      </c>
      <c r="I1253" s="5">
        <v>50950</v>
      </c>
      <c r="J1253">
        <v>1</v>
      </c>
      <c r="K1253">
        <f>30-14.5</f>
        <v>15.5</v>
      </c>
      <c r="L1253" t="s">
        <v>38</v>
      </c>
      <c r="M1253">
        <v>1</v>
      </c>
    </row>
    <row r="1254" spans="1:13" x14ac:dyDescent="0.25">
      <c r="A1254" s="4">
        <v>42598</v>
      </c>
      <c r="B1254" t="s">
        <v>30</v>
      </c>
      <c r="C1254">
        <v>2</v>
      </c>
      <c r="D1254">
        <v>1</v>
      </c>
      <c r="E1254" t="s">
        <v>35</v>
      </c>
      <c r="F1254" t="s">
        <v>89</v>
      </c>
      <c r="G1254">
        <v>2</v>
      </c>
      <c r="H1254" s="5" t="s">
        <v>761</v>
      </c>
      <c r="I1254" s="5" t="s">
        <v>762</v>
      </c>
      <c r="J1254">
        <v>1</v>
      </c>
      <c r="K1254">
        <f>32-16.5</f>
        <v>15.5</v>
      </c>
      <c r="L1254" t="s">
        <v>38</v>
      </c>
      <c r="M1254">
        <v>1</v>
      </c>
    </row>
    <row r="1255" spans="1:13" x14ac:dyDescent="0.25">
      <c r="A1255" s="4">
        <v>42600</v>
      </c>
      <c r="B1255" t="s">
        <v>30</v>
      </c>
      <c r="C1255">
        <v>2</v>
      </c>
      <c r="D1255">
        <v>1</v>
      </c>
      <c r="E1255" t="s">
        <v>35</v>
      </c>
      <c r="F1255" t="s">
        <v>114</v>
      </c>
      <c r="G1255">
        <v>2</v>
      </c>
      <c r="H1255" s="5" t="s">
        <v>761</v>
      </c>
      <c r="I1255" s="5" t="s">
        <v>762</v>
      </c>
      <c r="J1255">
        <v>1</v>
      </c>
      <c r="K1255">
        <f>30.5-13</f>
        <v>17.5</v>
      </c>
      <c r="L1255" t="s">
        <v>38</v>
      </c>
      <c r="M1255">
        <v>1</v>
      </c>
    </row>
    <row r="1256" spans="1:13" x14ac:dyDescent="0.25">
      <c r="A1256" s="4">
        <v>42572</v>
      </c>
      <c r="B1256" t="s">
        <v>30</v>
      </c>
      <c r="C1256">
        <v>2</v>
      </c>
      <c r="D1256">
        <v>1</v>
      </c>
      <c r="E1256" t="s">
        <v>42</v>
      </c>
      <c r="F1256" t="s">
        <v>89</v>
      </c>
      <c r="G1256">
        <v>2</v>
      </c>
      <c r="H1256" s="5">
        <v>50842</v>
      </c>
      <c r="I1256" s="5"/>
      <c r="J1256">
        <v>0</v>
      </c>
      <c r="K1256">
        <f>28-13</f>
        <v>15</v>
      </c>
      <c r="L1256" t="s">
        <v>38</v>
      </c>
      <c r="M1256">
        <v>1</v>
      </c>
    </row>
    <row r="1257" spans="1:13" x14ac:dyDescent="0.25">
      <c r="A1257" s="4">
        <v>42585</v>
      </c>
      <c r="B1257" t="s">
        <v>30</v>
      </c>
      <c r="C1257">
        <v>2</v>
      </c>
      <c r="D1257">
        <v>1</v>
      </c>
      <c r="E1257" t="s">
        <v>35</v>
      </c>
      <c r="F1257" t="s">
        <v>114</v>
      </c>
      <c r="G1257">
        <v>2</v>
      </c>
      <c r="H1257" s="5">
        <v>50842</v>
      </c>
      <c r="I1257" s="5">
        <v>50932</v>
      </c>
      <c r="J1257">
        <v>0</v>
      </c>
      <c r="K1257">
        <f>30-13.5</f>
        <v>16.5</v>
      </c>
      <c r="L1257" t="s">
        <v>38</v>
      </c>
      <c r="M1257">
        <v>1</v>
      </c>
    </row>
    <row r="1258" spans="1:13" x14ac:dyDescent="0.25">
      <c r="A1258" s="4">
        <v>42586</v>
      </c>
      <c r="B1258" t="s">
        <v>30</v>
      </c>
      <c r="C1258">
        <v>2</v>
      </c>
      <c r="D1258">
        <v>1</v>
      </c>
      <c r="E1258" t="s">
        <v>35</v>
      </c>
      <c r="F1258" t="s">
        <v>89</v>
      </c>
      <c r="G1258">
        <v>2</v>
      </c>
      <c r="H1258" s="5">
        <v>50842</v>
      </c>
      <c r="I1258" s="5">
        <v>50932</v>
      </c>
      <c r="J1258">
        <v>0</v>
      </c>
      <c r="K1258">
        <v>13</v>
      </c>
      <c r="L1258" t="s">
        <v>38</v>
      </c>
      <c r="M1258">
        <v>1</v>
      </c>
    </row>
    <row r="1259" spans="1:13" x14ac:dyDescent="0.25">
      <c r="A1259" s="4">
        <v>42598</v>
      </c>
      <c r="B1259" t="s">
        <v>30</v>
      </c>
      <c r="C1259">
        <v>2</v>
      </c>
      <c r="D1259">
        <v>1</v>
      </c>
      <c r="E1259" t="s">
        <v>35</v>
      </c>
      <c r="F1259" t="s">
        <v>114</v>
      </c>
      <c r="G1259">
        <v>2</v>
      </c>
      <c r="H1259" s="5" t="s">
        <v>763</v>
      </c>
      <c r="I1259" s="5" t="s">
        <v>764</v>
      </c>
      <c r="J1259">
        <v>1</v>
      </c>
      <c r="K1259">
        <f>31.5-15.5</f>
        <v>16</v>
      </c>
      <c r="L1259" t="s">
        <v>38</v>
      </c>
      <c r="M1259">
        <v>1</v>
      </c>
    </row>
    <row r="1260" spans="1:13" x14ac:dyDescent="0.25">
      <c r="A1260" s="4">
        <v>42600</v>
      </c>
      <c r="B1260" t="s">
        <v>30</v>
      </c>
      <c r="C1260">
        <v>2</v>
      </c>
      <c r="D1260">
        <v>1</v>
      </c>
      <c r="E1260" t="s">
        <v>35</v>
      </c>
      <c r="F1260" t="s">
        <v>114</v>
      </c>
      <c r="G1260">
        <v>2</v>
      </c>
      <c r="H1260" s="5" t="s">
        <v>763</v>
      </c>
      <c r="I1260" s="5" t="s">
        <v>764</v>
      </c>
      <c r="J1260">
        <v>1</v>
      </c>
      <c r="K1260">
        <f>30-14</f>
        <v>16</v>
      </c>
      <c r="L1260" t="s">
        <v>38</v>
      </c>
      <c r="M1260">
        <v>1</v>
      </c>
    </row>
    <row r="1261" spans="1:13" x14ac:dyDescent="0.25">
      <c r="A1261" s="4">
        <v>42572</v>
      </c>
      <c r="B1261" t="s">
        <v>30</v>
      </c>
      <c r="C1261">
        <v>2</v>
      </c>
      <c r="D1261">
        <v>1</v>
      </c>
      <c r="E1261" t="s">
        <v>42</v>
      </c>
      <c r="F1261" t="s">
        <v>89</v>
      </c>
      <c r="G1261">
        <v>1</v>
      </c>
      <c r="H1261" s="5">
        <v>50844</v>
      </c>
      <c r="I1261" s="5">
        <v>50843</v>
      </c>
      <c r="J1261">
        <v>1</v>
      </c>
      <c r="K1261">
        <f>24.5-12</f>
        <v>12.5</v>
      </c>
      <c r="L1261" t="s">
        <v>65</v>
      </c>
      <c r="M1261">
        <v>1</v>
      </c>
    </row>
    <row r="1262" spans="1:13" x14ac:dyDescent="0.25">
      <c r="A1262" s="4">
        <v>42585</v>
      </c>
      <c r="B1262" t="s">
        <v>30</v>
      </c>
      <c r="C1262">
        <v>2</v>
      </c>
      <c r="D1262">
        <v>1</v>
      </c>
      <c r="E1262" t="s">
        <v>35</v>
      </c>
      <c r="F1262" t="s">
        <v>114</v>
      </c>
      <c r="G1262">
        <v>2</v>
      </c>
      <c r="H1262" s="5">
        <v>50844</v>
      </c>
      <c r="I1262" s="5">
        <v>50843</v>
      </c>
      <c r="J1262">
        <v>1</v>
      </c>
      <c r="K1262">
        <f>29-14</f>
        <v>15</v>
      </c>
      <c r="L1262" t="s">
        <v>38</v>
      </c>
      <c r="M1262">
        <v>1</v>
      </c>
    </row>
    <row r="1263" spans="1:13" x14ac:dyDescent="0.25">
      <c r="A1263" s="4">
        <v>42586</v>
      </c>
      <c r="B1263" t="s">
        <v>30</v>
      </c>
      <c r="C1263">
        <v>2</v>
      </c>
      <c r="D1263">
        <v>1</v>
      </c>
      <c r="E1263" t="s">
        <v>35</v>
      </c>
      <c r="F1263" t="s">
        <v>114</v>
      </c>
      <c r="G1263">
        <v>2</v>
      </c>
      <c r="H1263" s="5">
        <v>50844</v>
      </c>
      <c r="I1263" s="5">
        <v>50843</v>
      </c>
      <c r="J1263">
        <v>1</v>
      </c>
      <c r="K1263">
        <f>29.5-14.5</f>
        <v>15</v>
      </c>
      <c r="L1263" t="s">
        <v>38</v>
      </c>
      <c r="M1263">
        <v>1</v>
      </c>
    </row>
    <row r="1264" spans="1:13" x14ac:dyDescent="0.25">
      <c r="A1264" s="4">
        <v>42599</v>
      </c>
      <c r="B1264" t="s">
        <v>30</v>
      </c>
      <c r="C1264">
        <v>2</v>
      </c>
      <c r="D1264">
        <v>1</v>
      </c>
      <c r="E1264" t="s">
        <v>35</v>
      </c>
      <c r="F1264" t="s">
        <v>114</v>
      </c>
      <c r="G1264">
        <v>2</v>
      </c>
      <c r="H1264" s="5" t="s">
        <v>852</v>
      </c>
      <c r="I1264" s="5" t="s">
        <v>853</v>
      </c>
      <c r="J1264">
        <v>1</v>
      </c>
      <c r="K1264">
        <f>31-14</f>
        <v>17</v>
      </c>
      <c r="L1264" t="s">
        <v>38</v>
      </c>
      <c r="M1264">
        <v>1</v>
      </c>
    </row>
    <row r="1265" spans="1:13" x14ac:dyDescent="0.25">
      <c r="A1265" s="4">
        <v>42600</v>
      </c>
      <c r="B1265" t="s">
        <v>30</v>
      </c>
      <c r="C1265">
        <v>2</v>
      </c>
      <c r="D1265">
        <v>1</v>
      </c>
      <c r="E1265" t="s">
        <v>35</v>
      </c>
      <c r="F1265" t="s">
        <v>114</v>
      </c>
      <c r="G1265">
        <v>2</v>
      </c>
      <c r="H1265" s="5" t="s">
        <v>852</v>
      </c>
      <c r="I1265" s="5" t="s">
        <v>853</v>
      </c>
      <c r="J1265">
        <v>1</v>
      </c>
      <c r="K1265">
        <f>33-16</f>
        <v>17</v>
      </c>
      <c r="L1265" t="s">
        <v>38</v>
      </c>
      <c r="M1265">
        <v>1</v>
      </c>
    </row>
    <row r="1266" spans="1:13" x14ac:dyDescent="0.25">
      <c r="A1266" s="4">
        <v>42572</v>
      </c>
      <c r="B1266" t="s">
        <v>30</v>
      </c>
      <c r="C1266">
        <v>2</v>
      </c>
      <c r="D1266">
        <v>1</v>
      </c>
      <c r="E1266" t="s">
        <v>42</v>
      </c>
      <c r="F1266" t="s">
        <v>89</v>
      </c>
      <c r="G1266">
        <v>2</v>
      </c>
      <c r="H1266" s="5">
        <v>50846</v>
      </c>
      <c r="I1266" s="5">
        <v>50845</v>
      </c>
      <c r="J1266">
        <v>0</v>
      </c>
      <c r="K1266">
        <v>11</v>
      </c>
      <c r="L1266" t="s">
        <v>38</v>
      </c>
      <c r="M1266">
        <v>1</v>
      </c>
    </row>
    <row r="1267" spans="1:13" x14ac:dyDescent="0.25">
      <c r="A1267" s="4">
        <v>42584</v>
      </c>
      <c r="B1267" t="s">
        <v>30</v>
      </c>
      <c r="C1267">
        <v>2</v>
      </c>
      <c r="D1267">
        <v>1</v>
      </c>
      <c r="E1267" t="s">
        <v>35</v>
      </c>
      <c r="F1267" t="s">
        <v>89</v>
      </c>
      <c r="G1267">
        <v>2</v>
      </c>
      <c r="H1267" s="5">
        <v>50846</v>
      </c>
      <c r="I1267" s="5">
        <v>50845</v>
      </c>
      <c r="J1267">
        <v>0</v>
      </c>
      <c r="K1267">
        <f>29-15.5</f>
        <v>13.5</v>
      </c>
      <c r="L1267" t="s">
        <v>38</v>
      </c>
      <c r="M1267">
        <v>1</v>
      </c>
    </row>
    <row r="1268" spans="1:13" x14ac:dyDescent="0.25">
      <c r="A1268" s="4">
        <v>42585</v>
      </c>
      <c r="B1268" t="s">
        <v>30</v>
      </c>
      <c r="C1268">
        <v>2</v>
      </c>
      <c r="D1268">
        <v>1</v>
      </c>
      <c r="E1268" t="s">
        <v>35</v>
      </c>
      <c r="F1268" t="s">
        <v>114</v>
      </c>
      <c r="G1268">
        <v>2</v>
      </c>
      <c r="H1268" s="5">
        <v>50846</v>
      </c>
      <c r="I1268" s="5">
        <v>50845</v>
      </c>
      <c r="J1268">
        <v>0</v>
      </c>
      <c r="K1268">
        <f>29-13</f>
        <v>16</v>
      </c>
      <c r="L1268" t="s">
        <v>38</v>
      </c>
      <c r="M1268">
        <v>1</v>
      </c>
    </row>
    <row r="1269" spans="1:13" x14ac:dyDescent="0.25">
      <c r="A1269" s="4">
        <v>42586</v>
      </c>
      <c r="B1269" t="s">
        <v>30</v>
      </c>
      <c r="C1269">
        <v>2</v>
      </c>
      <c r="D1269">
        <v>1</v>
      </c>
      <c r="E1269" t="s">
        <v>35</v>
      </c>
      <c r="F1269" t="s">
        <v>89</v>
      </c>
      <c r="G1269">
        <v>2</v>
      </c>
      <c r="H1269" s="5">
        <v>50846</v>
      </c>
      <c r="I1269" s="5">
        <v>50845</v>
      </c>
      <c r="J1269">
        <v>0</v>
      </c>
      <c r="K1269">
        <f>25-13</f>
        <v>12</v>
      </c>
      <c r="L1269" t="s">
        <v>38</v>
      </c>
      <c r="M1269">
        <v>1</v>
      </c>
    </row>
    <row r="1270" spans="1:13" x14ac:dyDescent="0.25">
      <c r="A1270" s="4">
        <v>42599</v>
      </c>
      <c r="B1270" t="s">
        <v>30</v>
      </c>
      <c r="C1270">
        <v>2</v>
      </c>
      <c r="D1270">
        <v>1</v>
      </c>
      <c r="E1270" t="s">
        <v>35</v>
      </c>
      <c r="F1270" t="s">
        <v>89</v>
      </c>
      <c r="G1270">
        <v>2</v>
      </c>
      <c r="H1270" s="5" t="s">
        <v>855</v>
      </c>
      <c r="I1270" s="5" t="s">
        <v>856</v>
      </c>
      <c r="J1270">
        <v>1</v>
      </c>
      <c r="K1270">
        <f>30-17</f>
        <v>13</v>
      </c>
      <c r="L1270" t="s">
        <v>38</v>
      </c>
      <c r="M1270">
        <v>1</v>
      </c>
    </row>
    <row r="1271" spans="1:13" x14ac:dyDescent="0.25">
      <c r="A1271" s="4">
        <v>42600</v>
      </c>
      <c r="B1271" t="s">
        <v>30</v>
      </c>
      <c r="C1271">
        <v>2</v>
      </c>
      <c r="D1271">
        <v>1</v>
      </c>
      <c r="E1271" t="s">
        <v>35</v>
      </c>
      <c r="F1271" t="s">
        <v>89</v>
      </c>
      <c r="G1271">
        <v>2</v>
      </c>
      <c r="H1271" s="5" t="s">
        <v>855</v>
      </c>
      <c r="I1271" s="5" t="s">
        <v>856</v>
      </c>
      <c r="J1271">
        <v>1</v>
      </c>
      <c r="K1271">
        <f>30-16.5</f>
        <v>13.5</v>
      </c>
      <c r="L1271" t="s">
        <v>38</v>
      </c>
      <c r="M1271">
        <v>1</v>
      </c>
    </row>
    <row r="1272" spans="1:13" x14ac:dyDescent="0.25">
      <c r="A1272" s="4">
        <v>42572</v>
      </c>
      <c r="B1272" t="s">
        <v>30</v>
      </c>
      <c r="C1272">
        <v>2</v>
      </c>
      <c r="D1272">
        <v>1</v>
      </c>
      <c r="E1272" t="s">
        <v>42</v>
      </c>
      <c r="F1272" t="s">
        <v>114</v>
      </c>
      <c r="G1272">
        <v>1</v>
      </c>
      <c r="H1272" s="5">
        <v>50848</v>
      </c>
      <c r="I1272" s="5">
        <v>50847</v>
      </c>
      <c r="J1272">
        <v>0</v>
      </c>
      <c r="K1272">
        <v>18</v>
      </c>
      <c r="L1272" t="s">
        <v>47</v>
      </c>
      <c r="M1272">
        <v>1</v>
      </c>
    </row>
    <row r="1273" spans="1:13" x14ac:dyDescent="0.25">
      <c r="A1273" s="4">
        <v>42584</v>
      </c>
      <c r="B1273" t="s">
        <v>30</v>
      </c>
      <c r="C1273">
        <v>2</v>
      </c>
      <c r="D1273">
        <v>1</v>
      </c>
      <c r="E1273" t="s">
        <v>35</v>
      </c>
      <c r="F1273" t="s">
        <v>114</v>
      </c>
      <c r="G1273">
        <v>1</v>
      </c>
      <c r="H1273" s="5">
        <v>50848</v>
      </c>
      <c r="I1273" s="5">
        <v>50847</v>
      </c>
      <c r="J1273">
        <v>1</v>
      </c>
      <c r="K1273">
        <f>30-13</f>
        <v>17</v>
      </c>
      <c r="L1273" t="s">
        <v>47</v>
      </c>
      <c r="M1273">
        <v>1</v>
      </c>
    </row>
    <row r="1274" spans="1:13" x14ac:dyDescent="0.25">
      <c r="A1274" s="4">
        <v>42585</v>
      </c>
      <c r="B1274" t="s">
        <v>30</v>
      </c>
      <c r="C1274">
        <v>2</v>
      </c>
      <c r="D1274">
        <v>1</v>
      </c>
      <c r="E1274" t="s">
        <v>35</v>
      </c>
      <c r="F1274" t="s">
        <v>114</v>
      </c>
      <c r="G1274">
        <v>1</v>
      </c>
      <c r="H1274" s="5">
        <v>50848</v>
      </c>
      <c r="I1274" s="5">
        <v>50847</v>
      </c>
      <c r="J1274">
        <v>1</v>
      </c>
      <c r="K1274">
        <f>31.5-14</f>
        <v>17.5</v>
      </c>
      <c r="L1274" t="s">
        <v>47</v>
      </c>
      <c r="M1274">
        <v>1</v>
      </c>
    </row>
    <row r="1275" spans="1:13" x14ac:dyDescent="0.25">
      <c r="A1275" s="4">
        <v>42586</v>
      </c>
      <c r="B1275" t="s">
        <v>30</v>
      </c>
      <c r="C1275">
        <v>2</v>
      </c>
      <c r="D1275">
        <v>1</v>
      </c>
      <c r="E1275" t="s">
        <v>35</v>
      </c>
      <c r="F1275" t="s">
        <v>114</v>
      </c>
      <c r="G1275">
        <v>1</v>
      </c>
      <c r="H1275" s="5">
        <v>50848</v>
      </c>
      <c r="I1275" s="5">
        <v>50847</v>
      </c>
      <c r="J1275">
        <v>1</v>
      </c>
      <c r="K1275">
        <f>31.5-15</f>
        <v>16.5</v>
      </c>
      <c r="L1275" t="s">
        <v>47</v>
      </c>
      <c r="M1275">
        <v>1</v>
      </c>
    </row>
    <row r="1276" spans="1:13" x14ac:dyDescent="0.25">
      <c r="A1276" s="4">
        <v>42598</v>
      </c>
      <c r="B1276" t="s">
        <v>30</v>
      </c>
      <c r="C1276">
        <v>2</v>
      </c>
      <c r="D1276">
        <v>1</v>
      </c>
      <c r="E1276" t="s">
        <v>35</v>
      </c>
      <c r="F1276" t="s">
        <v>36</v>
      </c>
      <c r="G1276">
        <v>1</v>
      </c>
      <c r="H1276" s="5" t="s">
        <v>754</v>
      </c>
      <c r="I1276" s="5" t="s">
        <v>755</v>
      </c>
      <c r="J1276">
        <v>1</v>
      </c>
      <c r="K1276">
        <f>33-17.5</f>
        <v>15.5</v>
      </c>
      <c r="L1276" t="s">
        <v>47</v>
      </c>
      <c r="M1276">
        <v>1</v>
      </c>
    </row>
    <row r="1277" spans="1:13" x14ac:dyDescent="0.25">
      <c r="A1277" s="4">
        <v>42599</v>
      </c>
      <c r="B1277" t="s">
        <v>30</v>
      </c>
      <c r="C1277">
        <v>2</v>
      </c>
      <c r="D1277">
        <v>1</v>
      </c>
      <c r="E1277" t="s">
        <v>35</v>
      </c>
      <c r="F1277" t="s">
        <v>114</v>
      </c>
      <c r="G1277">
        <v>1</v>
      </c>
      <c r="H1277" s="5" t="s">
        <v>754</v>
      </c>
      <c r="I1277" s="5" t="s">
        <v>755</v>
      </c>
      <c r="J1277">
        <v>1</v>
      </c>
      <c r="K1277">
        <f>32-16</f>
        <v>16</v>
      </c>
      <c r="L1277" t="s">
        <v>47</v>
      </c>
      <c r="M1277">
        <v>1</v>
      </c>
    </row>
    <row r="1278" spans="1:13" x14ac:dyDescent="0.25">
      <c r="A1278" s="4">
        <v>42600</v>
      </c>
      <c r="B1278" t="s">
        <v>30</v>
      </c>
      <c r="C1278">
        <v>2</v>
      </c>
      <c r="D1278">
        <v>1</v>
      </c>
      <c r="E1278" t="s">
        <v>35</v>
      </c>
      <c r="F1278" t="s">
        <v>89</v>
      </c>
      <c r="G1278">
        <v>1</v>
      </c>
      <c r="H1278" s="5" t="s">
        <v>754</v>
      </c>
      <c r="I1278" s="5" t="s">
        <v>755</v>
      </c>
      <c r="J1278">
        <v>1</v>
      </c>
      <c r="K1278">
        <f>29.5-14</f>
        <v>15.5</v>
      </c>
      <c r="L1278" t="s">
        <v>65</v>
      </c>
      <c r="M1278">
        <v>1</v>
      </c>
    </row>
    <row r="1279" spans="1:13" x14ac:dyDescent="0.25">
      <c r="A1279" s="4">
        <v>42572</v>
      </c>
      <c r="B1279" t="s">
        <v>30</v>
      </c>
      <c r="C1279">
        <v>2</v>
      </c>
      <c r="D1279">
        <v>1</v>
      </c>
      <c r="E1279" t="s">
        <v>42</v>
      </c>
      <c r="F1279" t="s">
        <v>114</v>
      </c>
      <c r="G1279">
        <v>1</v>
      </c>
      <c r="H1279" s="5">
        <v>50850</v>
      </c>
      <c r="I1279" s="5">
        <v>50849</v>
      </c>
      <c r="J1279">
        <v>0</v>
      </c>
      <c r="K1279">
        <f>27-10.5</f>
        <v>16.5</v>
      </c>
      <c r="L1279" t="s">
        <v>47</v>
      </c>
      <c r="M1279">
        <v>1</v>
      </c>
    </row>
    <row r="1280" spans="1:13" x14ac:dyDescent="0.25">
      <c r="A1280" s="4">
        <v>42584</v>
      </c>
      <c r="B1280" t="s">
        <v>30</v>
      </c>
      <c r="C1280">
        <v>2</v>
      </c>
      <c r="D1280">
        <v>1</v>
      </c>
      <c r="E1280" t="s">
        <v>35</v>
      </c>
      <c r="F1280" t="s">
        <v>114</v>
      </c>
      <c r="G1280">
        <v>1</v>
      </c>
      <c r="H1280" s="5">
        <v>50850</v>
      </c>
      <c r="I1280" s="5">
        <v>50849</v>
      </c>
      <c r="J1280">
        <v>1</v>
      </c>
      <c r="K1280">
        <f>32.5-13.5</f>
        <v>19</v>
      </c>
      <c r="L1280" t="s">
        <v>47</v>
      </c>
      <c r="M1280">
        <v>1</v>
      </c>
    </row>
    <row r="1281" spans="1:13" x14ac:dyDescent="0.25">
      <c r="A1281" s="4">
        <v>42585</v>
      </c>
      <c r="B1281" t="s">
        <v>30</v>
      </c>
      <c r="C1281">
        <v>2</v>
      </c>
      <c r="D1281">
        <v>1</v>
      </c>
      <c r="E1281" t="s">
        <v>35</v>
      </c>
      <c r="F1281" t="s">
        <v>114</v>
      </c>
      <c r="G1281">
        <v>1</v>
      </c>
      <c r="H1281" s="5">
        <v>50850</v>
      </c>
      <c r="I1281" s="5">
        <v>50849</v>
      </c>
      <c r="J1281">
        <v>1</v>
      </c>
      <c r="K1281">
        <f>32.5-14</f>
        <v>18.5</v>
      </c>
      <c r="L1281" t="s">
        <v>47</v>
      </c>
      <c r="M1281">
        <v>1</v>
      </c>
    </row>
    <row r="1282" spans="1:13" x14ac:dyDescent="0.25">
      <c r="A1282" s="4">
        <v>42586</v>
      </c>
      <c r="B1282" t="s">
        <v>30</v>
      </c>
      <c r="C1282">
        <v>2</v>
      </c>
      <c r="D1282">
        <v>1</v>
      </c>
      <c r="E1282" t="s">
        <v>35</v>
      </c>
      <c r="F1282" t="s">
        <v>114</v>
      </c>
      <c r="G1282">
        <v>1</v>
      </c>
      <c r="H1282" s="5">
        <v>50850</v>
      </c>
      <c r="I1282" s="5">
        <v>50849</v>
      </c>
      <c r="J1282">
        <v>1</v>
      </c>
      <c r="L1282" t="s">
        <v>47</v>
      </c>
      <c r="M1282">
        <v>1</v>
      </c>
    </row>
    <row r="1283" spans="1:13" x14ac:dyDescent="0.25">
      <c r="A1283" s="4">
        <v>42598</v>
      </c>
      <c r="B1283" t="s">
        <v>30</v>
      </c>
      <c r="C1283">
        <v>2</v>
      </c>
      <c r="D1283">
        <v>1</v>
      </c>
      <c r="E1283" t="s">
        <v>35</v>
      </c>
      <c r="F1283" t="s">
        <v>114</v>
      </c>
      <c r="G1283">
        <v>1</v>
      </c>
      <c r="H1283" s="5" t="s">
        <v>747</v>
      </c>
      <c r="I1283" s="5" t="s">
        <v>748</v>
      </c>
      <c r="J1283">
        <v>1</v>
      </c>
      <c r="K1283">
        <f>32-14</f>
        <v>18</v>
      </c>
      <c r="L1283" t="s">
        <v>47</v>
      </c>
      <c r="M1283">
        <v>1</v>
      </c>
    </row>
    <row r="1284" spans="1:13" x14ac:dyDescent="0.25">
      <c r="A1284" s="4">
        <v>42599</v>
      </c>
      <c r="B1284" t="s">
        <v>30</v>
      </c>
      <c r="C1284">
        <v>2</v>
      </c>
      <c r="D1284">
        <v>1</v>
      </c>
      <c r="E1284" t="s">
        <v>35</v>
      </c>
      <c r="F1284" t="s">
        <v>114</v>
      </c>
      <c r="G1284">
        <v>1</v>
      </c>
      <c r="H1284" s="5" t="s">
        <v>747</v>
      </c>
      <c r="I1284" s="5" t="s">
        <v>748</v>
      </c>
      <c r="J1284">
        <v>1</v>
      </c>
      <c r="K1284">
        <f>32-16</f>
        <v>16</v>
      </c>
      <c r="L1284" t="s">
        <v>47</v>
      </c>
      <c r="M1284">
        <v>1</v>
      </c>
    </row>
    <row r="1285" spans="1:13" x14ac:dyDescent="0.25">
      <c r="A1285" s="4">
        <v>42600</v>
      </c>
      <c r="B1285" t="s">
        <v>30</v>
      </c>
      <c r="C1285">
        <v>2</v>
      </c>
      <c r="D1285">
        <v>1</v>
      </c>
      <c r="E1285" t="s">
        <v>35</v>
      </c>
      <c r="F1285" t="s">
        <v>114</v>
      </c>
      <c r="G1285">
        <v>1</v>
      </c>
      <c r="H1285" s="5" t="s">
        <v>747</v>
      </c>
      <c r="I1285" s="5" t="s">
        <v>748</v>
      </c>
      <c r="J1285">
        <v>1</v>
      </c>
      <c r="K1285">
        <f>33-16</f>
        <v>17</v>
      </c>
      <c r="L1285" t="s">
        <v>47</v>
      </c>
      <c r="M1285">
        <v>1</v>
      </c>
    </row>
    <row r="1286" spans="1:13" x14ac:dyDescent="0.25">
      <c r="A1286" s="4">
        <v>42572</v>
      </c>
      <c r="B1286" t="s">
        <v>30</v>
      </c>
      <c r="C1286">
        <v>1</v>
      </c>
      <c r="D1286">
        <v>1</v>
      </c>
      <c r="E1286" t="s">
        <v>42</v>
      </c>
      <c r="F1286" t="s">
        <v>89</v>
      </c>
      <c r="G1286">
        <v>2</v>
      </c>
      <c r="H1286" s="5">
        <v>50852</v>
      </c>
      <c r="I1286" s="5">
        <v>50851</v>
      </c>
      <c r="J1286">
        <v>0</v>
      </c>
      <c r="K1286">
        <f>19-9.5</f>
        <v>9.5</v>
      </c>
      <c r="L1286" t="s">
        <v>38</v>
      </c>
      <c r="M1286">
        <v>1</v>
      </c>
    </row>
    <row r="1287" spans="1:13" x14ac:dyDescent="0.25">
      <c r="A1287" s="4">
        <v>42572</v>
      </c>
      <c r="B1287" t="s">
        <v>30</v>
      </c>
      <c r="C1287">
        <v>1</v>
      </c>
      <c r="D1287">
        <v>1</v>
      </c>
      <c r="E1287" t="s">
        <v>42</v>
      </c>
      <c r="F1287" t="s">
        <v>36</v>
      </c>
      <c r="G1287">
        <v>2</v>
      </c>
      <c r="H1287" s="5">
        <v>50854</v>
      </c>
      <c r="I1287" s="5">
        <v>50853</v>
      </c>
      <c r="J1287">
        <v>0</v>
      </c>
      <c r="K1287">
        <f>37-12</f>
        <v>25</v>
      </c>
      <c r="L1287" t="s">
        <v>143</v>
      </c>
      <c r="M1287">
        <v>1</v>
      </c>
    </row>
    <row r="1288" spans="1:13" x14ac:dyDescent="0.25">
      <c r="A1288" s="4">
        <v>42585</v>
      </c>
      <c r="B1288" t="s">
        <v>30</v>
      </c>
      <c r="C1288">
        <v>1</v>
      </c>
      <c r="D1288">
        <v>1</v>
      </c>
      <c r="E1288" t="s">
        <v>35</v>
      </c>
      <c r="F1288" t="s">
        <v>36</v>
      </c>
      <c r="G1288">
        <v>2</v>
      </c>
      <c r="H1288" s="5">
        <v>50854</v>
      </c>
      <c r="I1288" s="5">
        <v>50853</v>
      </c>
      <c r="J1288">
        <v>1</v>
      </c>
      <c r="K1288">
        <f>28.5-6</f>
        <v>22.5</v>
      </c>
      <c r="L1288" t="s">
        <v>149</v>
      </c>
      <c r="M1288">
        <v>1</v>
      </c>
    </row>
    <row r="1289" spans="1:13" x14ac:dyDescent="0.25">
      <c r="A1289" s="4">
        <v>42586</v>
      </c>
      <c r="B1289" t="s">
        <v>30</v>
      </c>
      <c r="C1289">
        <v>1</v>
      </c>
      <c r="D1289">
        <v>1</v>
      </c>
      <c r="E1289" t="s">
        <v>35</v>
      </c>
      <c r="F1289" t="s">
        <v>36</v>
      </c>
      <c r="G1289">
        <v>2</v>
      </c>
      <c r="H1289" s="5" t="s">
        <v>417</v>
      </c>
      <c r="I1289" s="5" t="s">
        <v>418</v>
      </c>
      <c r="J1289">
        <v>1</v>
      </c>
      <c r="K1289">
        <f>39-16</f>
        <v>23</v>
      </c>
      <c r="L1289" t="s">
        <v>143</v>
      </c>
      <c r="M1289">
        <v>1</v>
      </c>
    </row>
    <row r="1290" spans="1:13" x14ac:dyDescent="0.25">
      <c r="A1290" s="4">
        <v>42588</v>
      </c>
      <c r="B1290" t="s">
        <v>30</v>
      </c>
      <c r="C1290">
        <v>1</v>
      </c>
      <c r="D1290">
        <v>1</v>
      </c>
      <c r="E1290" t="s">
        <v>35</v>
      </c>
      <c r="F1290" t="s">
        <v>36</v>
      </c>
      <c r="G1290">
        <v>2</v>
      </c>
      <c r="H1290" s="5" t="s">
        <v>417</v>
      </c>
      <c r="I1290" s="5" t="s">
        <v>418</v>
      </c>
      <c r="J1290">
        <v>1</v>
      </c>
      <c r="K1290">
        <f>38-16</f>
        <v>22</v>
      </c>
      <c r="L1290" t="s">
        <v>143</v>
      </c>
      <c r="M1290">
        <v>1</v>
      </c>
    </row>
    <row r="1291" spans="1:13" x14ac:dyDescent="0.25">
      <c r="A1291" s="4">
        <v>42589</v>
      </c>
      <c r="B1291" t="s">
        <v>30</v>
      </c>
      <c r="C1291">
        <v>1</v>
      </c>
      <c r="D1291">
        <v>1</v>
      </c>
      <c r="E1291" t="s">
        <v>35</v>
      </c>
      <c r="F1291" t="s">
        <v>36</v>
      </c>
      <c r="G1291">
        <v>2</v>
      </c>
      <c r="H1291" s="5" t="s">
        <v>417</v>
      </c>
      <c r="I1291" s="5" t="s">
        <v>418</v>
      </c>
      <c r="J1291">
        <v>1</v>
      </c>
      <c r="K1291">
        <f>37.5-15.5</f>
        <v>22</v>
      </c>
      <c r="L1291" t="s">
        <v>164</v>
      </c>
      <c r="M1291">
        <v>1</v>
      </c>
    </row>
    <row r="1292" spans="1:13" x14ac:dyDescent="0.25">
      <c r="A1292" s="4">
        <v>42574</v>
      </c>
      <c r="B1292" t="s">
        <v>30</v>
      </c>
      <c r="C1292">
        <v>8</v>
      </c>
      <c r="D1292">
        <v>1</v>
      </c>
      <c r="E1292" t="s">
        <v>42</v>
      </c>
      <c r="F1292" t="s">
        <v>114</v>
      </c>
      <c r="G1292">
        <v>2</v>
      </c>
      <c r="H1292" s="5">
        <v>50860</v>
      </c>
      <c r="I1292" s="5">
        <v>50859</v>
      </c>
      <c r="J1292">
        <v>0</v>
      </c>
      <c r="K1292">
        <f>36.5-10.5</f>
        <v>26</v>
      </c>
      <c r="L1292" t="s">
        <v>149</v>
      </c>
      <c r="M1292">
        <v>1</v>
      </c>
    </row>
    <row r="1293" spans="1:13" x14ac:dyDescent="0.25">
      <c r="A1293" s="4">
        <v>42575</v>
      </c>
      <c r="B1293" t="s">
        <v>30</v>
      </c>
      <c r="C1293">
        <v>8</v>
      </c>
      <c r="D1293">
        <v>1</v>
      </c>
      <c r="E1293" t="s">
        <v>35</v>
      </c>
      <c r="F1293" t="s">
        <v>114</v>
      </c>
      <c r="G1293">
        <v>2</v>
      </c>
      <c r="H1293" s="5">
        <v>50860</v>
      </c>
      <c r="I1293" s="5">
        <v>50859</v>
      </c>
      <c r="J1293">
        <v>0</v>
      </c>
      <c r="K1293">
        <f>40-14</f>
        <v>26</v>
      </c>
      <c r="L1293" t="s">
        <v>81</v>
      </c>
      <c r="M1293">
        <v>1</v>
      </c>
    </row>
    <row r="1294" spans="1:13" x14ac:dyDescent="0.25">
      <c r="A1294" s="4">
        <v>42576</v>
      </c>
      <c r="B1294" t="s">
        <v>30</v>
      </c>
      <c r="C1294">
        <v>8</v>
      </c>
      <c r="D1294">
        <v>1</v>
      </c>
      <c r="E1294" t="s">
        <v>35</v>
      </c>
      <c r="F1294" t="s">
        <v>36</v>
      </c>
      <c r="G1294">
        <v>2</v>
      </c>
      <c r="H1294" s="5">
        <v>50860</v>
      </c>
      <c r="I1294" s="5">
        <v>50859</v>
      </c>
      <c r="J1294">
        <v>0</v>
      </c>
      <c r="K1294">
        <f>40-13.5</f>
        <v>26.5</v>
      </c>
      <c r="L1294" t="s">
        <v>81</v>
      </c>
      <c r="M1294">
        <v>1</v>
      </c>
    </row>
    <row r="1295" spans="1:13" x14ac:dyDescent="0.25">
      <c r="A1295" s="4">
        <v>42591</v>
      </c>
      <c r="B1295" t="s">
        <v>30</v>
      </c>
      <c r="C1295">
        <v>8</v>
      </c>
      <c r="D1295">
        <v>1</v>
      </c>
      <c r="E1295" t="s">
        <v>35</v>
      </c>
      <c r="F1295" t="s">
        <v>36</v>
      </c>
      <c r="G1295">
        <v>2</v>
      </c>
      <c r="H1295" s="5" t="s">
        <v>603</v>
      </c>
      <c r="I1295" s="5" t="s">
        <v>604</v>
      </c>
      <c r="J1295">
        <v>1</v>
      </c>
      <c r="K1295">
        <f>39-15</f>
        <v>24</v>
      </c>
      <c r="L1295" t="s">
        <v>143</v>
      </c>
      <c r="M1295">
        <v>1</v>
      </c>
    </row>
    <row r="1296" spans="1:13" x14ac:dyDescent="0.25">
      <c r="A1296" s="4">
        <v>42592</v>
      </c>
      <c r="B1296" t="s">
        <v>30</v>
      </c>
      <c r="C1296">
        <v>8</v>
      </c>
      <c r="D1296">
        <v>1</v>
      </c>
      <c r="E1296" t="s">
        <v>35</v>
      </c>
      <c r="F1296" t="s">
        <v>36</v>
      </c>
      <c r="G1296">
        <v>2</v>
      </c>
      <c r="H1296" s="5" t="s">
        <v>603</v>
      </c>
      <c r="I1296" s="5" t="s">
        <v>604</v>
      </c>
      <c r="J1296">
        <v>1</v>
      </c>
      <c r="K1296">
        <f>38-18</f>
        <v>20</v>
      </c>
      <c r="L1296" t="s">
        <v>164</v>
      </c>
      <c r="M1296">
        <v>1</v>
      </c>
    </row>
    <row r="1297" spans="1:13" x14ac:dyDescent="0.25">
      <c r="A1297" s="4">
        <v>42593</v>
      </c>
      <c r="B1297" t="s">
        <v>30</v>
      </c>
      <c r="C1297">
        <v>8</v>
      </c>
      <c r="D1297">
        <v>1</v>
      </c>
      <c r="E1297" t="s">
        <v>35</v>
      </c>
      <c r="F1297" t="s">
        <v>36</v>
      </c>
      <c r="G1297">
        <v>2</v>
      </c>
      <c r="H1297" s="5" t="s">
        <v>603</v>
      </c>
      <c r="I1297" s="5" t="s">
        <v>604</v>
      </c>
      <c r="J1297">
        <v>1</v>
      </c>
      <c r="K1297">
        <f>34-13</f>
        <v>21</v>
      </c>
      <c r="L1297" t="s">
        <v>136</v>
      </c>
      <c r="M1297">
        <v>1</v>
      </c>
    </row>
    <row r="1298" spans="1:13" x14ac:dyDescent="0.25">
      <c r="A1298" s="4">
        <v>42574</v>
      </c>
      <c r="B1298" t="s">
        <v>30</v>
      </c>
      <c r="C1298">
        <v>8</v>
      </c>
      <c r="D1298">
        <v>1</v>
      </c>
      <c r="E1298" t="s">
        <v>42</v>
      </c>
      <c r="F1298" t="s">
        <v>36</v>
      </c>
      <c r="G1298">
        <v>2</v>
      </c>
      <c r="H1298" s="5">
        <v>50862</v>
      </c>
      <c r="I1298" s="5">
        <v>50681</v>
      </c>
      <c r="J1298">
        <v>0</v>
      </c>
      <c r="K1298">
        <f>31.5-12</f>
        <v>19.5</v>
      </c>
      <c r="L1298" t="s">
        <v>38</v>
      </c>
      <c r="M1298">
        <v>1</v>
      </c>
    </row>
    <row r="1299" spans="1:13" x14ac:dyDescent="0.25">
      <c r="A1299" s="4">
        <v>42575</v>
      </c>
      <c r="B1299" t="s">
        <v>30</v>
      </c>
      <c r="C1299">
        <v>8</v>
      </c>
      <c r="D1299">
        <v>1</v>
      </c>
      <c r="E1299" t="s">
        <v>35</v>
      </c>
      <c r="F1299" t="s">
        <v>36</v>
      </c>
      <c r="G1299">
        <v>2</v>
      </c>
      <c r="H1299" s="5">
        <v>50862</v>
      </c>
      <c r="I1299" s="5">
        <v>50861</v>
      </c>
      <c r="J1299">
        <v>0</v>
      </c>
      <c r="K1299">
        <f>37.5-17</f>
        <v>20.5</v>
      </c>
      <c r="L1299" t="s">
        <v>38</v>
      </c>
      <c r="M1299">
        <v>1</v>
      </c>
    </row>
    <row r="1300" spans="1:13" x14ac:dyDescent="0.25">
      <c r="A1300" s="4">
        <v>42576</v>
      </c>
      <c r="B1300" t="s">
        <v>30</v>
      </c>
      <c r="C1300">
        <v>8</v>
      </c>
      <c r="D1300">
        <v>1</v>
      </c>
      <c r="E1300" t="s">
        <v>35</v>
      </c>
      <c r="F1300" t="s">
        <v>36</v>
      </c>
      <c r="G1300">
        <v>2</v>
      </c>
      <c r="H1300" s="5">
        <v>50862</v>
      </c>
      <c r="I1300" s="5">
        <v>50861</v>
      </c>
      <c r="J1300">
        <v>0</v>
      </c>
      <c r="K1300">
        <v>21</v>
      </c>
      <c r="L1300" t="s">
        <v>38</v>
      </c>
      <c r="M1300">
        <v>1</v>
      </c>
    </row>
    <row r="1301" spans="1:13" x14ac:dyDescent="0.25">
      <c r="A1301" s="4">
        <v>42574</v>
      </c>
      <c r="B1301" t="s">
        <v>30</v>
      </c>
      <c r="C1301">
        <v>8</v>
      </c>
      <c r="D1301">
        <v>1</v>
      </c>
      <c r="E1301" t="s">
        <v>42</v>
      </c>
      <c r="F1301" t="s">
        <v>114</v>
      </c>
      <c r="G1301">
        <v>1</v>
      </c>
      <c r="H1301" s="5">
        <v>50864</v>
      </c>
      <c r="I1301" s="5">
        <v>50863</v>
      </c>
      <c r="J1301">
        <v>0</v>
      </c>
      <c r="K1301">
        <f>33.5-15.5</f>
        <v>18</v>
      </c>
      <c r="L1301" t="s">
        <v>47</v>
      </c>
      <c r="M1301">
        <v>1</v>
      </c>
    </row>
    <row r="1302" spans="1:13" x14ac:dyDescent="0.25">
      <c r="A1302" s="4">
        <v>42575</v>
      </c>
      <c r="B1302" t="s">
        <v>30</v>
      </c>
      <c r="C1302">
        <v>8</v>
      </c>
      <c r="D1302">
        <v>1</v>
      </c>
      <c r="E1302" t="s">
        <v>35</v>
      </c>
      <c r="F1302" t="s">
        <v>114</v>
      </c>
      <c r="G1302">
        <v>1</v>
      </c>
      <c r="H1302" s="5">
        <v>50864</v>
      </c>
      <c r="I1302" s="5">
        <v>50863</v>
      </c>
      <c r="J1302">
        <v>0</v>
      </c>
      <c r="K1302">
        <f>30-13</f>
        <v>17</v>
      </c>
      <c r="L1302" t="s">
        <v>47</v>
      </c>
      <c r="M1302">
        <v>1</v>
      </c>
    </row>
    <row r="1303" spans="1:13" x14ac:dyDescent="0.25">
      <c r="A1303" s="4">
        <v>42576</v>
      </c>
      <c r="B1303" t="s">
        <v>30</v>
      </c>
      <c r="C1303">
        <v>8</v>
      </c>
      <c r="D1303">
        <v>1</v>
      </c>
      <c r="E1303" t="s">
        <v>35</v>
      </c>
      <c r="F1303" t="s">
        <v>114</v>
      </c>
      <c r="G1303">
        <v>1</v>
      </c>
      <c r="H1303" s="5">
        <v>50864</v>
      </c>
      <c r="I1303" s="5">
        <v>50863</v>
      </c>
      <c r="J1303">
        <v>0</v>
      </c>
      <c r="K1303">
        <f>26.5-10</f>
        <v>16.5</v>
      </c>
      <c r="L1303" t="s">
        <v>65</v>
      </c>
      <c r="M1303">
        <v>1</v>
      </c>
    </row>
    <row r="1304" spans="1:13" x14ac:dyDescent="0.25">
      <c r="A1304" s="4">
        <v>42575</v>
      </c>
      <c r="B1304" t="s">
        <v>30</v>
      </c>
      <c r="C1304">
        <v>7</v>
      </c>
      <c r="D1304">
        <v>1</v>
      </c>
      <c r="E1304" t="s">
        <v>42</v>
      </c>
      <c r="F1304" t="s">
        <v>36</v>
      </c>
      <c r="G1304">
        <v>1</v>
      </c>
      <c r="H1304" s="5">
        <v>50866</v>
      </c>
      <c r="I1304" s="5">
        <v>50865</v>
      </c>
      <c r="J1304">
        <v>0</v>
      </c>
      <c r="K1304">
        <f>32-11</f>
        <v>21</v>
      </c>
      <c r="L1304" t="s">
        <v>47</v>
      </c>
      <c r="M1304">
        <v>1</v>
      </c>
    </row>
    <row r="1305" spans="1:13" x14ac:dyDescent="0.25">
      <c r="A1305" s="4">
        <v>42591</v>
      </c>
      <c r="B1305" t="s">
        <v>30</v>
      </c>
      <c r="C1305">
        <v>7</v>
      </c>
      <c r="D1305">
        <v>1</v>
      </c>
      <c r="E1305" t="s">
        <v>35</v>
      </c>
      <c r="F1305" t="s">
        <v>36</v>
      </c>
      <c r="G1305">
        <v>1</v>
      </c>
      <c r="H1305" s="5" t="s">
        <v>569</v>
      </c>
      <c r="I1305" s="5" t="s">
        <v>570</v>
      </c>
      <c r="J1305">
        <v>1</v>
      </c>
      <c r="K1305">
        <f>38-15</f>
        <v>23</v>
      </c>
      <c r="L1305" t="s">
        <v>47</v>
      </c>
      <c r="M1305">
        <v>1</v>
      </c>
    </row>
    <row r="1306" spans="1:13" x14ac:dyDescent="0.25">
      <c r="A1306" s="4">
        <v>42592</v>
      </c>
      <c r="B1306" t="s">
        <v>30</v>
      </c>
      <c r="C1306">
        <v>7</v>
      </c>
      <c r="D1306">
        <v>1</v>
      </c>
      <c r="E1306" t="s">
        <v>35</v>
      </c>
      <c r="F1306" t="s">
        <v>36</v>
      </c>
      <c r="G1306">
        <v>1</v>
      </c>
      <c r="H1306" s="5" t="s">
        <v>569</v>
      </c>
      <c r="I1306" s="5" t="s">
        <v>570</v>
      </c>
      <c r="J1306">
        <v>1</v>
      </c>
      <c r="K1306">
        <f>36-16</f>
        <v>20</v>
      </c>
      <c r="L1306" t="s">
        <v>65</v>
      </c>
      <c r="M1306">
        <v>1</v>
      </c>
    </row>
    <row r="1307" spans="1:13" x14ac:dyDescent="0.25">
      <c r="A1307" s="4">
        <v>42593</v>
      </c>
      <c r="B1307" t="s">
        <v>30</v>
      </c>
      <c r="C1307">
        <v>7</v>
      </c>
      <c r="D1307">
        <v>1</v>
      </c>
      <c r="E1307" t="s">
        <v>35</v>
      </c>
      <c r="F1307" t="s">
        <v>36</v>
      </c>
      <c r="G1307">
        <v>1</v>
      </c>
      <c r="H1307" s="5" t="s">
        <v>569</v>
      </c>
      <c r="I1307" s="5" t="s">
        <v>570</v>
      </c>
      <c r="J1307">
        <v>1</v>
      </c>
      <c r="K1307">
        <f>36-14.5</f>
        <v>21.5</v>
      </c>
      <c r="L1307" t="s">
        <v>65</v>
      </c>
      <c r="M1307">
        <v>1</v>
      </c>
    </row>
    <row r="1308" spans="1:13" x14ac:dyDescent="0.25">
      <c r="A1308" s="4">
        <v>42575</v>
      </c>
      <c r="B1308" t="s">
        <v>30</v>
      </c>
      <c r="C1308">
        <v>8</v>
      </c>
      <c r="D1308">
        <v>1</v>
      </c>
      <c r="E1308" t="s">
        <v>42</v>
      </c>
      <c r="F1308" t="s">
        <v>114</v>
      </c>
      <c r="G1308">
        <v>2</v>
      </c>
      <c r="H1308" s="5">
        <v>50868</v>
      </c>
      <c r="I1308" s="5">
        <v>50867</v>
      </c>
      <c r="J1308">
        <v>0</v>
      </c>
      <c r="K1308">
        <f>27-10.5</f>
        <v>16.5</v>
      </c>
      <c r="L1308" t="s">
        <v>38</v>
      </c>
      <c r="M1308">
        <v>1</v>
      </c>
    </row>
    <row r="1309" spans="1:13" x14ac:dyDescent="0.25">
      <c r="A1309" s="4">
        <v>42576</v>
      </c>
      <c r="B1309" t="s">
        <v>30</v>
      </c>
      <c r="C1309">
        <v>8</v>
      </c>
      <c r="D1309">
        <v>1</v>
      </c>
      <c r="E1309" t="s">
        <v>35</v>
      </c>
      <c r="F1309" t="s">
        <v>114</v>
      </c>
      <c r="G1309">
        <v>2</v>
      </c>
      <c r="H1309" s="5">
        <v>50868</v>
      </c>
      <c r="I1309" s="5">
        <v>50867</v>
      </c>
      <c r="J1309">
        <v>0</v>
      </c>
      <c r="K1309">
        <f>24-9</f>
        <v>15</v>
      </c>
      <c r="L1309" t="s">
        <v>38</v>
      </c>
      <c r="M1309">
        <v>1</v>
      </c>
    </row>
    <row r="1310" spans="1:13" x14ac:dyDescent="0.25">
      <c r="A1310" s="4">
        <v>42575</v>
      </c>
      <c r="B1310" t="s">
        <v>30</v>
      </c>
      <c r="C1310">
        <v>8</v>
      </c>
      <c r="D1310">
        <v>1</v>
      </c>
      <c r="E1310" t="s">
        <v>42</v>
      </c>
      <c r="F1310" t="s">
        <v>114</v>
      </c>
      <c r="G1310">
        <v>1</v>
      </c>
      <c r="H1310" s="5">
        <v>50870</v>
      </c>
      <c r="I1310" s="5">
        <v>50869</v>
      </c>
      <c r="J1310">
        <v>0</v>
      </c>
      <c r="K1310">
        <f>33-13.5</f>
        <v>19.5</v>
      </c>
      <c r="L1310" t="s">
        <v>47</v>
      </c>
      <c r="M1310">
        <v>1</v>
      </c>
    </row>
    <row r="1311" spans="1:13" x14ac:dyDescent="0.25">
      <c r="A1311" s="4">
        <v>42576</v>
      </c>
      <c r="B1311" t="s">
        <v>30</v>
      </c>
      <c r="C1311">
        <v>8</v>
      </c>
      <c r="D1311">
        <v>1</v>
      </c>
      <c r="E1311" t="s">
        <v>42</v>
      </c>
      <c r="F1311" t="s">
        <v>89</v>
      </c>
      <c r="G1311">
        <v>2</v>
      </c>
      <c r="H1311" s="5">
        <v>50872</v>
      </c>
      <c r="I1311" s="5">
        <v>50871</v>
      </c>
      <c r="J1311">
        <v>0</v>
      </c>
      <c r="K1311">
        <f>24.5-12.5</f>
        <v>12</v>
      </c>
      <c r="L1311" t="s">
        <v>38</v>
      </c>
      <c r="M1311">
        <v>1</v>
      </c>
    </row>
    <row r="1312" spans="1:13" x14ac:dyDescent="0.25">
      <c r="A1312" s="4">
        <v>42593</v>
      </c>
      <c r="B1312" t="s">
        <v>30</v>
      </c>
      <c r="C1312">
        <v>8</v>
      </c>
      <c r="D1312">
        <v>1</v>
      </c>
      <c r="E1312" t="s">
        <v>35</v>
      </c>
      <c r="F1312" t="s">
        <v>114</v>
      </c>
      <c r="G1312">
        <v>2</v>
      </c>
      <c r="H1312" s="5" t="s">
        <v>716</v>
      </c>
      <c r="I1312" s="5" t="s">
        <v>717</v>
      </c>
      <c r="J1312">
        <v>1</v>
      </c>
      <c r="K1312">
        <f>31-15</f>
        <v>16</v>
      </c>
      <c r="L1312" t="s">
        <v>38</v>
      </c>
      <c r="M1312">
        <v>1</v>
      </c>
    </row>
    <row r="1313" spans="1:13" x14ac:dyDescent="0.25">
      <c r="A1313" s="4">
        <v>42576</v>
      </c>
      <c r="B1313" t="s">
        <v>30</v>
      </c>
      <c r="C1313">
        <v>8</v>
      </c>
      <c r="D1313">
        <v>1</v>
      </c>
      <c r="E1313" t="s">
        <v>42</v>
      </c>
      <c r="F1313" t="s">
        <v>89</v>
      </c>
      <c r="G1313">
        <v>2</v>
      </c>
      <c r="H1313" s="5">
        <v>50874</v>
      </c>
      <c r="I1313" s="5">
        <v>50873</v>
      </c>
      <c r="J1313">
        <v>0</v>
      </c>
      <c r="K1313">
        <f>22.5-10.5</f>
        <v>12</v>
      </c>
      <c r="L1313" t="s">
        <v>38</v>
      </c>
      <c r="M1313">
        <v>1</v>
      </c>
    </row>
    <row r="1314" spans="1:13" x14ac:dyDescent="0.25">
      <c r="A1314" s="4">
        <v>42593</v>
      </c>
      <c r="B1314" t="s">
        <v>30</v>
      </c>
      <c r="C1314">
        <v>8</v>
      </c>
      <c r="D1314">
        <v>1</v>
      </c>
      <c r="E1314" t="s">
        <v>35</v>
      </c>
      <c r="F1314" t="s">
        <v>89</v>
      </c>
      <c r="G1314">
        <v>2</v>
      </c>
      <c r="H1314" s="5" t="s">
        <v>723</v>
      </c>
      <c r="I1314" s="5" t="s">
        <v>724</v>
      </c>
      <c r="J1314">
        <v>0</v>
      </c>
      <c r="K1314">
        <f>29-14</f>
        <v>15</v>
      </c>
      <c r="L1314" t="s">
        <v>38</v>
      </c>
      <c r="M1314">
        <v>1</v>
      </c>
    </row>
    <row r="1315" spans="1:13" x14ac:dyDescent="0.25">
      <c r="A1315" s="4">
        <v>42576</v>
      </c>
      <c r="B1315" t="s">
        <v>30</v>
      </c>
      <c r="C1315">
        <v>8</v>
      </c>
      <c r="D1315">
        <v>1</v>
      </c>
      <c r="E1315" t="s">
        <v>42</v>
      </c>
      <c r="F1315" t="s">
        <v>89</v>
      </c>
      <c r="G1315">
        <v>2</v>
      </c>
      <c r="H1315" s="5">
        <v>50875</v>
      </c>
      <c r="I1315" s="5">
        <v>50925</v>
      </c>
      <c r="J1315">
        <v>0</v>
      </c>
      <c r="K1315">
        <v>11</v>
      </c>
      <c r="L1315" t="s">
        <v>38</v>
      </c>
      <c r="M1315">
        <v>1</v>
      </c>
    </row>
    <row r="1316" spans="1:13" x14ac:dyDescent="0.25">
      <c r="A1316" s="4">
        <v>42593</v>
      </c>
      <c r="B1316" t="s">
        <v>30</v>
      </c>
      <c r="C1316">
        <v>8</v>
      </c>
      <c r="D1316">
        <v>1</v>
      </c>
      <c r="E1316" t="s">
        <v>35</v>
      </c>
      <c r="F1316" t="s">
        <v>89</v>
      </c>
      <c r="G1316">
        <v>2</v>
      </c>
      <c r="H1316" s="5" t="s">
        <v>730</v>
      </c>
      <c r="I1316" s="5" t="s">
        <v>731</v>
      </c>
      <c r="J1316">
        <v>1</v>
      </c>
      <c r="K1316">
        <f>31-16</f>
        <v>15</v>
      </c>
      <c r="L1316" t="s">
        <v>38</v>
      </c>
      <c r="M1316">
        <v>1</v>
      </c>
    </row>
    <row r="1317" spans="1:13" x14ac:dyDescent="0.25">
      <c r="A1317" s="4">
        <v>42605</v>
      </c>
      <c r="B1317" t="s">
        <v>30</v>
      </c>
      <c r="C1317">
        <v>8</v>
      </c>
      <c r="D1317">
        <v>1</v>
      </c>
      <c r="E1317" t="s">
        <v>35</v>
      </c>
      <c r="F1317" t="s">
        <v>114</v>
      </c>
      <c r="G1317">
        <v>2</v>
      </c>
      <c r="H1317" s="5" t="s">
        <v>730</v>
      </c>
      <c r="I1317" s="5" t="s">
        <v>731</v>
      </c>
      <c r="J1317">
        <v>1</v>
      </c>
      <c r="K1317">
        <f>30.5-15</f>
        <v>15.5</v>
      </c>
      <c r="L1317" t="s">
        <v>38</v>
      </c>
      <c r="M1317">
        <v>1</v>
      </c>
    </row>
    <row r="1318" spans="1:13" x14ac:dyDescent="0.25">
      <c r="A1318" s="4">
        <v>42606</v>
      </c>
      <c r="B1318" t="s">
        <v>30</v>
      </c>
      <c r="C1318">
        <v>8</v>
      </c>
      <c r="D1318">
        <v>1</v>
      </c>
      <c r="E1318" t="s">
        <v>35</v>
      </c>
      <c r="F1318" t="s">
        <v>114</v>
      </c>
      <c r="G1318">
        <v>2</v>
      </c>
      <c r="H1318" s="5" t="s">
        <v>730</v>
      </c>
      <c r="I1318" s="5" t="s">
        <v>731</v>
      </c>
      <c r="J1318">
        <v>1</v>
      </c>
      <c r="K1318">
        <f>32.5-16</f>
        <v>16.5</v>
      </c>
      <c r="M1318">
        <v>1</v>
      </c>
    </row>
    <row r="1319" spans="1:13" x14ac:dyDescent="0.25">
      <c r="A1319" s="4">
        <v>42584</v>
      </c>
      <c r="B1319" t="s">
        <v>30</v>
      </c>
      <c r="C1319">
        <v>1</v>
      </c>
      <c r="D1319">
        <v>1</v>
      </c>
      <c r="E1319" t="s">
        <v>42</v>
      </c>
      <c r="F1319" t="s">
        <v>89</v>
      </c>
      <c r="G1319">
        <v>1</v>
      </c>
      <c r="H1319" s="5">
        <v>50891</v>
      </c>
      <c r="I1319" s="5">
        <v>50890</v>
      </c>
      <c r="J1319">
        <v>0</v>
      </c>
      <c r="K1319">
        <f>24-10</f>
        <v>14</v>
      </c>
      <c r="L1319" t="s">
        <v>65</v>
      </c>
      <c r="M1319">
        <v>1</v>
      </c>
    </row>
    <row r="1320" spans="1:13" x14ac:dyDescent="0.25">
      <c r="A1320" s="4">
        <v>42588</v>
      </c>
      <c r="B1320" t="s">
        <v>30</v>
      </c>
      <c r="C1320">
        <v>1</v>
      </c>
      <c r="D1320">
        <v>1</v>
      </c>
      <c r="E1320" t="s">
        <v>35</v>
      </c>
      <c r="F1320" t="s">
        <v>89</v>
      </c>
      <c r="G1320">
        <v>1</v>
      </c>
      <c r="H1320" s="5" t="s">
        <v>493</v>
      </c>
      <c r="I1320" s="5" t="s">
        <v>494</v>
      </c>
      <c r="J1320">
        <v>0</v>
      </c>
      <c r="K1320">
        <v>13</v>
      </c>
      <c r="L1320" t="s">
        <v>65</v>
      </c>
      <c r="M1320">
        <v>1</v>
      </c>
    </row>
    <row r="1321" spans="1:13" x14ac:dyDescent="0.25">
      <c r="A1321" s="4">
        <v>42584</v>
      </c>
      <c r="B1321" t="s">
        <v>30</v>
      </c>
      <c r="C1321">
        <v>1</v>
      </c>
      <c r="D1321">
        <v>1</v>
      </c>
      <c r="E1321" t="s">
        <v>42</v>
      </c>
      <c r="F1321" t="s">
        <v>89</v>
      </c>
      <c r="G1321">
        <v>2</v>
      </c>
      <c r="H1321" s="5">
        <v>50893</v>
      </c>
      <c r="I1321" s="5">
        <v>50892</v>
      </c>
      <c r="J1321">
        <v>0</v>
      </c>
      <c r="K1321">
        <f>27.5-12</f>
        <v>15.5</v>
      </c>
      <c r="L1321" t="s">
        <v>38</v>
      </c>
      <c r="M1321">
        <v>1</v>
      </c>
    </row>
    <row r="1322" spans="1:13" x14ac:dyDescent="0.25">
      <c r="A1322" s="4">
        <v>42585</v>
      </c>
      <c r="B1322" t="s">
        <v>30</v>
      </c>
      <c r="C1322">
        <v>1</v>
      </c>
      <c r="D1322">
        <v>1</v>
      </c>
      <c r="E1322" t="s">
        <v>35</v>
      </c>
      <c r="F1322" t="s">
        <v>89</v>
      </c>
      <c r="G1322">
        <v>2</v>
      </c>
      <c r="H1322" s="5">
        <v>50893</v>
      </c>
      <c r="I1322" s="5">
        <v>50892</v>
      </c>
      <c r="J1322">
        <v>0</v>
      </c>
      <c r="K1322">
        <f>17-4</f>
        <v>13</v>
      </c>
      <c r="L1322" t="s">
        <v>38</v>
      </c>
      <c r="M1322">
        <v>1</v>
      </c>
    </row>
    <row r="1323" spans="1:13" x14ac:dyDescent="0.25">
      <c r="A1323" s="4">
        <v>42588</v>
      </c>
      <c r="B1323" t="s">
        <v>30</v>
      </c>
      <c r="C1323">
        <v>1</v>
      </c>
      <c r="D1323">
        <v>1</v>
      </c>
      <c r="E1323" t="s">
        <v>35</v>
      </c>
      <c r="F1323" t="s">
        <v>89</v>
      </c>
      <c r="G1323">
        <v>2</v>
      </c>
      <c r="H1323" s="5" t="s">
        <v>495</v>
      </c>
      <c r="I1323" s="5" t="s">
        <v>496</v>
      </c>
      <c r="J1323">
        <v>0</v>
      </c>
      <c r="K1323">
        <f>34-18</f>
        <v>16</v>
      </c>
      <c r="L1323" t="s">
        <v>38</v>
      </c>
      <c r="M1323">
        <v>1</v>
      </c>
    </row>
    <row r="1324" spans="1:13" x14ac:dyDescent="0.25">
      <c r="A1324" s="4">
        <v>42584</v>
      </c>
      <c r="B1324" t="s">
        <v>30</v>
      </c>
      <c r="C1324">
        <v>1</v>
      </c>
      <c r="D1324">
        <v>1</v>
      </c>
      <c r="E1324" t="s">
        <v>42</v>
      </c>
      <c r="F1324" t="s">
        <v>89</v>
      </c>
      <c r="G1324">
        <v>2</v>
      </c>
      <c r="H1324" s="5">
        <v>50895</v>
      </c>
      <c r="I1324" s="5">
        <v>50894</v>
      </c>
      <c r="J1324">
        <v>1</v>
      </c>
      <c r="K1324">
        <f>23-11</f>
        <v>12</v>
      </c>
      <c r="L1324" t="s">
        <v>38</v>
      </c>
      <c r="M1324">
        <v>1</v>
      </c>
    </row>
    <row r="1325" spans="1:13" x14ac:dyDescent="0.25">
      <c r="A1325" s="4">
        <v>42586</v>
      </c>
      <c r="B1325" t="s">
        <v>30</v>
      </c>
      <c r="C1325">
        <v>1</v>
      </c>
      <c r="D1325">
        <v>1</v>
      </c>
      <c r="E1325" t="s">
        <v>35</v>
      </c>
      <c r="F1325" t="s">
        <v>89</v>
      </c>
      <c r="G1325">
        <v>2</v>
      </c>
      <c r="H1325" s="5" t="s">
        <v>415</v>
      </c>
      <c r="I1325" s="5" t="s">
        <v>416</v>
      </c>
      <c r="J1325">
        <v>1</v>
      </c>
      <c r="K1325">
        <f>26-13</f>
        <v>13</v>
      </c>
      <c r="L1325" t="s">
        <v>38</v>
      </c>
      <c r="M1325">
        <v>1</v>
      </c>
    </row>
    <row r="1326" spans="1:13" x14ac:dyDescent="0.25">
      <c r="A1326" s="4">
        <v>42587</v>
      </c>
      <c r="B1326" t="s">
        <v>30</v>
      </c>
      <c r="C1326">
        <v>1</v>
      </c>
      <c r="D1326">
        <v>1</v>
      </c>
      <c r="E1326" t="s">
        <v>35</v>
      </c>
      <c r="F1326" t="s">
        <v>89</v>
      </c>
      <c r="G1326">
        <v>2</v>
      </c>
      <c r="H1326" s="5" t="s">
        <v>415</v>
      </c>
      <c r="I1326" s="5" t="s">
        <v>416</v>
      </c>
      <c r="J1326">
        <v>1</v>
      </c>
      <c r="K1326">
        <f>28-16.5</f>
        <v>11.5</v>
      </c>
      <c r="L1326" t="s">
        <v>38</v>
      </c>
      <c r="M1326">
        <v>1</v>
      </c>
    </row>
    <row r="1327" spans="1:13" x14ac:dyDescent="0.25">
      <c r="A1327" s="4">
        <v>42589</v>
      </c>
      <c r="B1327" t="s">
        <v>30</v>
      </c>
      <c r="C1327">
        <v>1</v>
      </c>
      <c r="D1327">
        <v>1</v>
      </c>
      <c r="E1327" t="s">
        <v>35</v>
      </c>
      <c r="F1327" t="s">
        <v>89</v>
      </c>
      <c r="G1327">
        <v>2</v>
      </c>
      <c r="H1327" s="5" t="s">
        <v>415</v>
      </c>
      <c r="I1327" s="5" t="s">
        <v>416</v>
      </c>
      <c r="J1327">
        <v>1</v>
      </c>
      <c r="K1327">
        <f>34-20</f>
        <v>14</v>
      </c>
      <c r="L1327" t="s">
        <v>38</v>
      </c>
      <c r="M1327">
        <v>1</v>
      </c>
    </row>
    <row r="1328" spans="1:13" x14ac:dyDescent="0.25">
      <c r="A1328" s="4">
        <v>42584</v>
      </c>
      <c r="B1328" t="s">
        <v>30</v>
      </c>
      <c r="C1328">
        <v>1</v>
      </c>
      <c r="D1328">
        <v>1</v>
      </c>
      <c r="E1328" t="s">
        <v>42</v>
      </c>
      <c r="F1328" t="s">
        <v>89</v>
      </c>
      <c r="G1328">
        <v>1</v>
      </c>
      <c r="H1328" s="5">
        <v>50897</v>
      </c>
      <c r="I1328" s="5">
        <v>50896</v>
      </c>
      <c r="J1328">
        <v>1</v>
      </c>
      <c r="K1328">
        <f>30-16</f>
        <v>14</v>
      </c>
      <c r="L1328" t="s">
        <v>65</v>
      </c>
      <c r="M1328">
        <v>1</v>
      </c>
    </row>
    <row r="1329" spans="1:13" x14ac:dyDescent="0.25">
      <c r="A1329" s="4">
        <v>42586</v>
      </c>
      <c r="B1329" t="s">
        <v>30</v>
      </c>
      <c r="C1329">
        <v>1</v>
      </c>
      <c r="D1329">
        <v>1</v>
      </c>
      <c r="E1329" t="s">
        <v>35</v>
      </c>
      <c r="F1329" t="s">
        <v>89</v>
      </c>
      <c r="G1329">
        <v>1</v>
      </c>
      <c r="H1329" s="5" t="s">
        <v>423</v>
      </c>
      <c r="I1329" s="5" t="s">
        <v>424</v>
      </c>
      <c r="J1329">
        <v>1</v>
      </c>
      <c r="K1329">
        <f>31.5-17</f>
        <v>14.5</v>
      </c>
      <c r="L1329" t="s">
        <v>65</v>
      </c>
      <c r="M1329">
        <v>1</v>
      </c>
    </row>
    <row r="1330" spans="1:13" x14ac:dyDescent="0.25">
      <c r="A1330" s="4">
        <v>42588</v>
      </c>
      <c r="B1330" t="s">
        <v>30</v>
      </c>
      <c r="C1330">
        <v>1</v>
      </c>
      <c r="D1330">
        <v>1</v>
      </c>
      <c r="E1330" t="s">
        <v>35</v>
      </c>
      <c r="F1330" t="s">
        <v>89</v>
      </c>
      <c r="G1330">
        <v>1</v>
      </c>
      <c r="H1330" s="5" t="s">
        <v>423</v>
      </c>
      <c r="I1330" s="5" t="s">
        <v>424</v>
      </c>
      <c r="J1330">
        <v>1</v>
      </c>
      <c r="K1330">
        <f>28-13</f>
        <v>15</v>
      </c>
      <c r="L1330" t="s">
        <v>65</v>
      </c>
      <c r="M1330">
        <v>1</v>
      </c>
    </row>
    <row r="1331" spans="1:13" x14ac:dyDescent="0.25">
      <c r="A1331" s="4">
        <v>42589</v>
      </c>
      <c r="B1331" t="s">
        <v>30</v>
      </c>
      <c r="C1331">
        <v>1</v>
      </c>
      <c r="D1331">
        <v>1</v>
      </c>
      <c r="E1331" t="s">
        <v>35</v>
      </c>
      <c r="F1331" t="s">
        <v>89</v>
      </c>
      <c r="G1331">
        <v>1</v>
      </c>
      <c r="H1331" s="5" t="s">
        <v>423</v>
      </c>
      <c r="I1331" s="5" t="s">
        <v>424</v>
      </c>
      <c r="J1331">
        <v>1</v>
      </c>
      <c r="K1331">
        <f>28.5-13</f>
        <v>15.5</v>
      </c>
      <c r="L1331" t="s">
        <v>65</v>
      </c>
      <c r="M1331">
        <v>1</v>
      </c>
    </row>
    <row r="1332" spans="1:13" x14ac:dyDescent="0.25">
      <c r="A1332" s="4">
        <v>42584</v>
      </c>
      <c r="B1332" t="s">
        <v>30</v>
      </c>
      <c r="C1332">
        <v>1</v>
      </c>
      <c r="D1332">
        <v>1</v>
      </c>
      <c r="E1332" t="s">
        <v>42</v>
      </c>
      <c r="F1332" t="s">
        <v>36</v>
      </c>
      <c r="G1332">
        <v>1</v>
      </c>
      <c r="H1332" s="5">
        <v>50900</v>
      </c>
      <c r="I1332" s="5">
        <v>50899</v>
      </c>
      <c r="J1332">
        <v>1</v>
      </c>
      <c r="K1332">
        <f>31.5-13.5</f>
        <v>18</v>
      </c>
      <c r="L1332" t="s">
        <v>47</v>
      </c>
      <c r="M1332">
        <v>1</v>
      </c>
    </row>
    <row r="1333" spans="1:13" x14ac:dyDescent="0.25">
      <c r="A1333" s="4">
        <v>42585</v>
      </c>
      <c r="B1333" t="s">
        <v>30</v>
      </c>
      <c r="C1333">
        <v>1</v>
      </c>
      <c r="D1333">
        <v>1</v>
      </c>
      <c r="E1333" t="s">
        <v>35</v>
      </c>
      <c r="F1333" t="s">
        <v>114</v>
      </c>
      <c r="G1333">
        <v>1</v>
      </c>
      <c r="H1333" s="5">
        <v>50900</v>
      </c>
      <c r="I1333" s="5">
        <v>50899</v>
      </c>
      <c r="J1333">
        <v>1</v>
      </c>
      <c r="K1333">
        <f>21-2</f>
        <v>19</v>
      </c>
      <c r="L1333" t="s">
        <v>47</v>
      </c>
      <c r="M1333">
        <v>1</v>
      </c>
    </row>
    <row r="1334" spans="1:13" x14ac:dyDescent="0.25">
      <c r="A1334" s="4">
        <v>42587</v>
      </c>
      <c r="B1334" t="s">
        <v>30</v>
      </c>
      <c r="C1334">
        <v>1</v>
      </c>
      <c r="D1334">
        <v>1</v>
      </c>
      <c r="E1334" t="s">
        <v>35</v>
      </c>
      <c r="F1334" t="s">
        <v>114</v>
      </c>
      <c r="G1334">
        <v>1</v>
      </c>
      <c r="H1334" s="5" t="s">
        <v>475</v>
      </c>
      <c r="I1334" s="5" t="s">
        <v>476</v>
      </c>
      <c r="J1334">
        <v>1</v>
      </c>
      <c r="K1334">
        <f>35-15.5</f>
        <v>19.5</v>
      </c>
      <c r="L1334" t="s">
        <v>47</v>
      </c>
      <c r="M1334">
        <v>1</v>
      </c>
    </row>
    <row r="1335" spans="1:13" x14ac:dyDescent="0.25">
      <c r="A1335" s="4">
        <v>42589</v>
      </c>
      <c r="B1335" t="s">
        <v>30</v>
      </c>
      <c r="C1335">
        <v>1</v>
      </c>
      <c r="D1335">
        <v>1</v>
      </c>
      <c r="E1335" t="s">
        <v>35</v>
      </c>
      <c r="F1335" t="s">
        <v>114</v>
      </c>
      <c r="G1335">
        <v>1</v>
      </c>
      <c r="H1335" s="5" t="s">
        <v>475</v>
      </c>
      <c r="I1335" s="5" t="s">
        <v>476</v>
      </c>
      <c r="J1335">
        <v>1</v>
      </c>
      <c r="L1335" t="s">
        <v>47</v>
      </c>
      <c r="M1335">
        <v>1</v>
      </c>
    </row>
    <row r="1336" spans="1:13" x14ac:dyDescent="0.25">
      <c r="A1336" s="4">
        <v>42576</v>
      </c>
      <c r="B1336" t="s">
        <v>30</v>
      </c>
      <c r="C1336">
        <v>9</v>
      </c>
      <c r="D1336">
        <v>1</v>
      </c>
      <c r="E1336" t="s">
        <v>42</v>
      </c>
      <c r="F1336" t="s">
        <v>36</v>
      </c>
      <c r="G1336">
        <v>1</v>
      </c>
      <c r="H1336" s="5">
        <v>50920</v>
      </c>
      <c r="I1336" s="5">
        <v>50921</v>
      </c>
      <c r="J1336">
        <v>0</v>
      </c>
      <c r="K1336">
        <f>32.5-12</f>
        <v>20.5</v>
      </c>
      <c r="L1336" t="s">
        <v>65</v>
      </c>
      <c r="M1336">
        <v>1</v>
      </c>
    </row>
    <row r="1337" spans="1:13" x14ac:dyDescent="0.25">
      <c r="A1337" s="4">
        <v>42576</v>
      </c>
      <c r="B1337" t="s">
        <v>30</v>
      </c>
      <c r="C1337">
        <v>8</v>
      </c>
      <c r="D1337">
        <v>1</v>
      </c>
      <c r="E1337" t="s">
        <v>42</v>
      </c>
      <c r="F1337" t="s">
        <v>89</v>
      </c>
      <c r="G1337">
        <v>2</v>
      </c>
      <c r="H1337" s="5">
        <v>50923</v>
      </c>
      <c r="I1337" s="5">
        <v>50922</v>
      </c>
      <c r="J1337">
        <v>0</v>
      </c>
      <c r="K1337">
        <f>27-15.5</f>
        <v>11.5</v>
      </c>
      <c r="L1337" t="s">
        <v>38</v>
      </c>
      <c r="M1337">
        <v>1</v>
      </c>
    </row>
    <row r="1338" spans="1:13" x14ac:dyDescent="0.25">
      <c r="A1338" s="4">
        <v>42605</v>
      </c>
      <c r="B1338" t="s">
        <v>30</v>
      </c>
      <c r="C1338">
        <v>8</v>
      </c>
      <c r="D1338">
        <v>1</v>
      </c>
      <c r="E1338" t="s">
        <v>35</v>
      </c>
      <c r="F1338" t="s">
        <v>114</v>
      </c>
      <c r="G1338">
        <v>2</v>
      </c>
      <c r="H1338" s="5" t="s">
        <v>982</v>
      </c>
      <c r="I1338" s="5" t="s">
        <v>983</v>
      </c>
      <c r="J1338">
        <v>1</v>
      </c>
      <c r="K1338">
        <f>31-13</f>
        <v>18</v>
      </c>
      <c r="L1338" t="s">
        <v>38</v>
      </c>
      <c r="M1338">
        <v>1</v>
      </c>
    </row>
    <row r="1339" spans="1:13" x14ac:dyDescent="0.25">
      <c r="A1339" s="4">
        <v>42584</v>
      </c>
      <c r="B1339" t="s">
        <v>30</v>
      </c>
      <c r="C1339">
        <v>2</v>
      </c>
      <c r="D1339">
        <v>1</v>
      </c>
      <c r="E1339" t="s">
        <v>42</v>
      </c>
      <c r="F1339" t="s">
        <v>114</v>
      </c>
      <c r="G1339">
        <v>1</v>
      </c>
      <c r="H1339" s="5">
        <v>50928</v>
      </c>
      <c r="I1339" s="5">
        <v>50927</v>
      </c>
      <c r="J1339">
        <v>0</v>
      </c>
      <c r="K1339">
        <f>27-12.5</f>
        <v>14.5</v>
      </c>
      <c r="L1339" t="s">
        <v>65</v>
      </c>
      <c r="M1339">
        <v>1</v>
      </c>
    </row>
    <row r="1340" spans="1:13" x14ac:dyDescent="0.25">
      <c r="A1340" s="4">
        <v>42585</v>
      </c>
      <c r="B1340" t="s">
        <v>30</v>
      </c>
      <c r="C1340">
        <v>2</v>
      </c>
      <c r="D1340">
        <v>1</v>
      </c>
      <c r="E1340" t="s">
        <v>35</v>
      </c>
      <c r="F1340" t="s">
        <v>114</v>
      </c>
      <c r="G1340">
        <v>1</v>
      </c>
      <c r="H1340" s="5">
        <v>50928</v>
      </c>
      <c r="I1340" s="5">
        <v>50927</v>
      </c>
      <c r="J1340">
        <v>0</v>
      </c>
      <c r="K1340">
        <f>27.5-13</f>
        <v>14.5</v>
      </c>
      <c r="L1340" t="s">
        <v>47</v>
      </c>
      <c r="M1340">
        <v>1</v>
      </c>
    </row>
    <row r="1341" spans="1:13" x14ac:dyDescent="0.25">
      <c r="A1341" s="4">
        <v>42586</v>
      </c>
      <c r="B1341" t="s">
        <v>30</v>
      </c>
      <c r="C1341">
        <v>2</v>
      </c>
      <c r="D1341">
        <v>1</v>
      </c>
      <c r="E1341" t="s">
        <v>35</v>
      </c>
      <c r="F1341" t="s">
        <v>89</v>
      </c>
      <c r="G1341">
        <v>1</v>
      </c>
      <c r="H1341" s="5">
        <v>50928</v>
      </c>
      <c r="I1341" s="5">
        <v>50927</v>
      </c>
      <c r="J1341">
        <v>0</v>
      </c>
      <c r="K1341">
        <f>29-14.5</f>
        <v>14.5</v>
      </c>
      <c r="L1341" t="s">
        <v>65</v>
      </c>
      <c r="M1341">
        <v>1</v>
      </c>
    </row>
    <row r="1342" spans="1:13" x14ac:dyDescent="0.25">
      <c r="A1342" s="4">
        <v>42598</v>
      </c>
      <c r="B1342" t="s">
        <v>30</v>
      </c>
      <c r="C1342">
        <v>2</v>
      </c>
      <c r="D1342">
        <v>1</v>
      </c>
      <c r="E1342" t="s">
        <v>35</v>
      </c>
      <c r="F1342" t="s">
        <v>89</v>
      </c>
      <c r="G1342">
        <v>1</v>
      </c>
      <c r="H1342" s="5" t="s">
        <v>745</v>
      </c>
      <c r="I1342" s="5" t="s">
        <v>746</v>
      </c>
      <c r="J1342">
        <v>1</v>
      </c>
      <c r="K1342">
        <f>28.5-14</f>
        <v>14.5</v>
      </c>
      <c r="L1342" t="s">
        <v>65</v>
      </c>
      <c r="M1342">
        <v>1</v>
      </c>
    </row>
    <row r="1343" spans="1:13" x14ac:dyDescent="0.25">
      <c r="A1343" s="4">
        <v>42585</v>
      </c>
      <c r="B1343" t="s">
        <v>30</v>
      </c>
      <c r="C1343">
        <v>2</v>
      </c>
      <c r="D1343">
        <v>1</v>
      </c>
      <c r="E1343" t="s">
        <v>35</v>
      </c>
      <c r="F1343" t="s">
        <v>89</v>
      </c>
      <c r="G1343">
        <v>2</v>
      </c>
      <c r="H1343" s="5">
        <v>50929</v>
      </c>
      <c r="I1343" s="5">
        <v>50929</v>
      </c>
      <c r="J1343">
        <v>0</v>
      </c>
      <c r="K1343">
        <v>13</v>
      </c>
      <c r="L1343" t="s">
        <v>38</v>
      </c>
      <c r="M1343">
        <v>1</v>
      </c>
    </row>
    <row r="1344" spans="1:13" x14ac:dyDescent="0.25">
      <c r="A1344" s="4">
        <v>42584</v>
      </c>
      <c r="B1344" t="s">
        <v>30</v>
      </c>
      <c r="C1344">
        <v>2</v>
      </c>
      <c r="D1344">
        <v>1</v>
      </c>
      <c r="E1344" t="s">
        <v>42</v>
      </c>
      <c r="F1344" t="s">
        <v>89</v>
      </c>
      <c r="G1344">
        <v>2</v>
      </c>
      <c r="H1344" s="5">
        <v>50930</v>
      </c>
      <c r="I1344" s="5">
        <v>50929</v>
      </c>
      <c r="J1344">
        <v>0</v>
      </c>
      <c r="K1344">
        <f>27-14</f>
        <v>13</v>
      </c>
      <c r="L1344" t="s">
        <v>38</v>
      </c>
      <c r="M1344">
        <v>1</v>
      </c>
    </row>
    <row r="1345" spans="1:13" x14ac:dyDescent="0.25">
      <c r="A1345" s="4">
        <v>42584</v>
      </c>
      <c r="B1345" t="s">
        <v>30</v>
      </c>
      <c r="C1345">
        <v>2</v>
      </c>
      <c r="D1345">
        <v>1</v>
      </c>
      <c r="E1345" t="s">
        <v>42</v>
      </c>
      <c r="F1345" t="s">
        <v>114</v>
      </c>
      <c r="G1345">
        <v>1</v>
      </c>
      <c r="H1345" s="5">
        <v>50937</v>
      </c>
      <c r="I1345" s="5">
        <v>50936</v>
      </c>
      <c r="J1345">
        <v>0</v>
      </c>
      <c r="K1345">
        <f>28-12.5</f>
        <v>15.5</v>
      </c>
      <c r="L1345" t="s">
        <v>65</v>
      </c>
      <c r="M1345">
        <v>1</v>
      </c>
    </row>
    <row r="1346" spans="1:13" x14ac:dyDescent="0.25">
      <c r="A1346" s="4">
        <v>42585</v>
      </c>
      <c r="B1346" t="s">
        <v>30</v>
      </c>
      <c r="C1346">
        <v>2</v>
      </c>
      <c r="D1346">
        <v>1</v>
      </c>
      <c r="E1346" t="s">
        <v>35</v>
      </c>
      <c r="F1346" t="s">
        <v>114</v>
      </c>
      <c r="G1346">
        <v>1</v>
      </c>
      <c r="H1346" s="5">
        <v>50937</v>
      </c>
      <c r="I1346" s="5">
        <v>50936</v>
      </c>
      <c r="J1346">
        <v>0</v>
      </c>
      <c r="K1346">
        <f>29-14</f>
        <v>15</v>
      </c>
      <c r="L1346" t="s">
        <v>65</v>
      </c>
      <c r="M1346">
        <v>1</v>
      </c>
    </row>
    <row r="1347" spans="1:13" x14ac:dyDescent="0.25">
      <c r="A1347" s="4">
        <v>42586</v>
      </c>
      <c r="B1347" t="s">
        <v>30</v>
      </c>
      <c r="C1347">
        <v>2</v>
      </c>
      <c r="D1347">
        <v>1</v>
      </c>
      <c r="E1347" t="s">
        <v>35</v>
      </c>
      <c r="F1347" t="s">
        <v>114</v>
      </c>
      <c r="G1347">
        <v>1</v>
      </c>
      <c r="H1347" s="5">
        <v>50937</v>
      </c>
      <c r="I1347" s="5">
        <v>50936</v>
      </c>
      <c r="J1347">
        <v>0</v>
      </c>
      <c r="K1347">
        <v>16</v>
      </c>
      <c r="L1347" t="s">
        <v>47</v>
      </c>
      <c r="M1347">
        <v>1</v>
      </c>
    </row>
    <row r="1348" spans="1:13" x14ac:dyDescent="0.25">
      <c r="A1348" s="4">
        <v>42598</v>
      </c>
      <c r="B1348" t="s">
        <v>30</v>
      </c>
      <c r="C1348">
        <v>2</v>
      </c>
      <c r="D1348">
        <v>1</v>
      </c>
      <c r="E1348" t="s">
        <v>35</v>
      </c>
      <c r="F1348" t="s">
        <v>114</v>
      </c>
      <c r="G1348">
        <v>1</v>
      </c>
      <c r="H1348" s="5" t="s">
        <v>782</v>
      </c>
      <c r="I1348" s="5" t="s">
        <v>783</v>
      </c>
      <c r="J1348">
        <v>1</v>
      </c>
      <c r="K1348">
        <f>37-19</f>
        <v>18</v>
      </c>
      <c r="L1348" t="s">
        <v>65</v>
      </c>
      <c r="M1348">
        <v>1</v>
      </c>
    </row>
    <row r="1349" spans="1:13" x14ac:dyDescent="0.25">
      <c r="A1349" s="4">
        <v>42599</v>
      </c>
      <c r="B1349" t="s">
        <v>30</v>
      </c>
      <c r="C1349">
        <v>2</v>
      </c>
      <c r="D1349">
        <v>1</v>
      </c>
      <c r="E1349" t="s">
        <v>35</v>
      </c>
      <c r="F1349" t="s">
        <v>114</v>
      </c>
      <c r="G1349">
        <v>1</v>
      </c>
      <c r="H1349" s="5" t="s">
        <v>782</v>
      </c>
      <c r="I1349" s="5" t="s">
        <v>783</v>
      </c>
      <c r="J1349">
        <v>1</v>
      </c>
      <c r="K1349">
        <f>30-14</f>
        <v>16</v>
      </c>
      <c r="L1349" t="s">
        <v>65</v>
      </c>
      <c r="M1349">
        <v>1</v>
      </c>
    </row>
    <row r="1350" spans="1:13" x14ac:dyDescent="0.25">
      <c r="A1350" s="4">
        <v>42600</v>
      </c>
      <c r="B1350" t="s">
        <v>30</v>
      </c>
      <c r="C1350">
        <v>2</v>
      </c>
      <c r="D1350">
        <v>1</v>
      </c>
      <c r="E1350" t="s">
        <v>35</v>
      </c>
      <c r="F1350" t="s">
        <v>114</v>
      </c>
      <c r="G1350">
        <v>1</v>
      </c>
      <c r="H1350" s="5" t="s">
        <v>782</v>
      </c>
      <c r="I1350" s="5" t="s">
        <v>783</v>
      </c>
      <c r="J1350">
        <v>1</v>
      </c>
      <c r="K1350">
        <f>29.5-15</f>
        <v>14.5</v>
      </c>
      <c r="L1350" t="s">
        <v>65</v>
      </c>
      <c r="M1350">
        <v>1</v>
      </c>
    </row>
    <row r="1351" spans="1:13" x14ac:dyDescent="0.25">
      <c r="A1351" s="4">
        <v>42584</v>
      </c>
      <c r="B1351" t="s">
        <v>30</v>
      </c>
      <c r="C1351">
        <v>3</v>
      </c>
      <c r="D1351">
        <v>1</v>
      </c>
      <c r="E1351" t="s">
        <v>42</v>
      </c>
      <c r="F1351" t="s">
        <v>114</v>
      </c>
      <c r="G1351">
        <v>1</v>
      </c>
      <c r="H1351" s="5">
        <v>50944</v>
      </c>
      <c r="I1351" s="5">
        <v>50943</v>
      </c>
      <c r="J1351">
        <v>1</v>
      </c>
      <c r="L1351" t="s">
        <v>65</v>
      </c>
      <c r="M1351">
        <v>1</v>
      </c>
    </row>
    <row r="1352" spans="1:13" x14ac:dyDescent="0.25">
      <c r="A1352" s="4">
        <v>42585</v>
      </c>
      <c r="B1352" t="s">
        <v>30</v>
      </c>
      <c r="C1352">
        <v>3</v>
      </c>
      <c r="D1352">
        <v>1</v>
      </c>
      <c r="E1352" t="s">
        <v>35</v>
      </c>
      <c r="F1352" t="s">
        <v>114</v>
      </c>
      <c r="G1352">
        <v>1</v>
      </c>
      <c r="H1352" s="5">
        <v>50944</v>
      </c>
      <c r="I1352" s="5">
        <v>50943</v>
      </c>
      <c r="J1352">
        <v>1</v>
      </c>
      <c r="K1352">
        <f>30-13.5</f>
        <v>16.5</v>
      </c>
      <c r="L1352" t="s">
        <v>65</v>
      </c>
      <c r="M1352">
        <v>1</v>
      </c>
    </row>
    <row r="1353" spans="1:13" x14ac:dyDescent="0.25">
      <c r="A1353" s="4">
        <v>42585</v>
      </c>
      <c r="B1353" t="s">
        <v>30</v>
      </c>
      <c r="C1353">
        <v>2</v>
      </c>
      <c r="D1353">
        <v>1</v>
      </c>
      <c r="E1353" t="s">
        <v>42</v>
      </c>
      <c r="F1353" t="s">
        <v>114</v>
      </c>
      <c r="G1353">
        <v>1</v>
      </c>
      <c r="H1353" s="5">
        <v>50949</v>
      </c>
      <c r="I1353" s="5">
        <v>50948</v>
      </c>
      <c r="J1353">
        <v>0</v>
      </c>
      <c r="K1353">
        <f>28.5-13.5</f>
        <v>15</v>
      </c>
      <c r="L1353" t="s">
        <v>65</v>
      </c>
      <c r="M1353">
        <v>1</v>
      </c>
    </row>
    <row r="1354" spans="1:13" x14ac:dyDescent="0.25">
      <c r="A1354" s="4">
        <v>42586</v>
      </c>
      <c r="B1354" t="s">
        <v>30</v>
      </c>
      <c r="C1354">
        <v>2</v>
      </c>
      <c r="D1354">
        <v>1</v>
      </c>
      <c r="E1354" t="s">
        <v>35</v>
      </c>
      <c r="F1354" t="s">
        <v>114</v>
      </c>
      <c r="G1354">
        <v>1</v>
      </c>
      <c r="H1354" s="5">
        <v>50949</v>
      </c>
      <c r="I1354" s="5">
        <v>50948</v>
      </c>
      <c r="J1354">
        <v>0</v>
      </c>
      <c r="K1354">
        <f>29-13</f>
        <v>16</v>
      </c>
      <c r="L1354" t="s">
        <v>65</v>
      </c>
      <c r="M1354">
        <v>1</v>
      </c>
    </row>
    <row r="1355" spans="1:13" x14ac:dyDescent="0.25">
      <c r="A1355" s="4">
        <v>42584</v>
      </c>
      <c r="B1355" t="s">
        <v>30</v>
      </c>
      <c r="C1355">
        <v>1</v>
      </c>
      <c r="D1355">
        <v>1</v>
      </c>
      <c r="E1355" t="s">
        <v>42</v>
      </c>
      <c r="F1355" t="s">
        <v>89</v>
      </c>
      <c r="G1355">
        <v>1</v>
      </c>
      <c r="H1355" s="5">
        <v>50952</v>
      </c>
      <c r="I1355" s="5">
        <v>50951</v>
      </c>
      <c r="J1355">
        <v>1</v>
      </c>
      <c r="K1355">
        <f>24-9.5</f>
        <v>14.5</v>
      </c>
      <c r="L1355" t="s">
        <v>65</v>
      </c>
      <c r="M1355">
        <v>1</v>
      </c>
    </row>
    <row r="1356" spans="1:13" x14ac:dyDescent="0.25">
      <c r="A1356" s="4">
        <v>42587</v>
      </c>
      <c r="B1356" t="s">
        <v>30</v>
      </c>
      <c r="C1356">
        <v>1</v>
      </c>
      <c r="D1356">
        <v>1</v>
      </c>
      <c r="E1356" t="s">
        <v>35</v>
      </c>
      <c r="F1356" t="s">
        <v>89</v>
      </c>
      <c r="G1356">
        <v>1</v>
      </c>
      <c r="H1356" s="5" t="s">
        <v>442</v>
      </c>
      <c r="I1356" s="5" t="s">
        <v>443</v>
      </c>
      <c r="J1356">
        <v>1</v>
      </c>
      <c r="K1356">
        <f>26.5-12.5</f>
        <v>14</v>
      </c>
      <c r="L1356" t="s">
        <v>65</v>
      </c>
      <c r="M1356">
        <v>1</v>
      </c>
    </row>
    <row r="1357" spans="1:13" x14ac:dyDescent="0.25">
      <c r="A1357" s="4">
        <v>42588</v>
      </c>
      <c r="B1357" t="s">
        <v>30</v>
      </c>
      <c r="C1357">
        <v>1</v>
      </c>
      <c r="D1357">
        <v>1</v>
      </c>
      <c r="E1357" t="s">
        <v>35</v>
      </c>
      <c r="F1357" t="s">
        <v>89</v>
      </c>
      <c r="G1357">
        <v>1</v>
      </c>
      <c r="H1357" s="5" t="s">
        <v>442</v>
      </c>
      <c r="I1357" s="5" t="s">
        <v>443</v>
      </c>
      <c r="J1357">
        <v>1</v>
      </c>
      <c r="K1357">
        <v>14</v>
      </c>
      <c r="L1357" t="s">
        <v>65</v>
      </c>
      <c r="M1357">
        <v>1</v>
      </c>
    </row>
    <row r="1358" spans="1:13" x14ac:dyDescent="0.25">
      <c r="A1358" s="4">
        <v>42589</v>
      </c>
      <c r="B1358" t="s">
        <v>30</v>
      </c>
      <c r="C1358">
        <v>1</v>
      </c>
      <c r="D1358">
        <v>1</v>
      </c>
      <c r="E1358" t="s">
        <v>35</v>
      </c>
      <c r="F1358" t="s">
        <v>89</v>
      </c>
      <c r="G1358">
        <v>1</v>
      </c>
      <c r="H1358" s="5" t="s">
        <v>442</v>
      </c>
      <c r="I1358" s="5" t="s">
        <v>443</v>
      </c>
      <c r="J1358">
        <v>1</v>
      </c>
      <c r="K1358">
        <v>14</v>
      </c>
      <c r="L1358" t="s">
        <v>47</v>
      </c>
      <c r="M1358">
        <v>1</v>
      </c>
    </row>
    <row r="1359" spans="1:13" x14ac:dyDescent="0.25">
      <c r="A1359" s="4">
        <v>42598</v>
      </c>
      <c r="B1359" t="s">
        <v>30</v>
      </c>
      <c r="C1359">
        <v>1</v>
      </c>
      <c r="D1359">
        <v>1</v>
      </c>
      <c r="E1359" t="s">
        <v>35</v>
      </c>
      <c r="F1359" t="s">
        <v>114</v>
      </c>
      <c r="G1359">
        <v>1</v>
      </c>
      <c r="H1359" s="5" t="s">
        <v>442</v>
      </c>
      <c r="I1359" s="5" t="s">
        <v>443</v>
      </c>
      <c r="J1359">
        <v>1</v>
      </c>
      <c r="K1359">
        <f>28.5-13</f>
        <v>15.5</v>
      </c>
      <c r="L1359" t="s">
        <v>65</v>
      </c>
      <c r="M1359">
        <v>1</v>
      </c>
    </row>
    <row r="1360" spans="1:13" x14ac:dyDescent="0.25">
      <c r="A1360" s="4">
        <v>42930</v>
      </c>
      <c r="B1360" t="s">
        <v>30</v>
      </c>
      <c r="C1360">
        <v>1</v>
      </c>
      <c r="D1360">
        <v>1</v>
      </c>
      <c r="E1360" t="s">
        <v>35</v>
      </c>
      <c r="F1360" t="s">
        <v>36</v>
      </c>
      <c r="G1360">
        <v>1</v>
      </c>
      <c r="H1360">
        <v>50952</v>
      </c>
      <c r="I1360">
        <v>50951</v>
      </c>
      <c r="J1360">
        <v>0</v>
      </c>
      <c r="K1360">
        <f>35.5-14</f>
        <v>21.5</v>
      </c>
      <c r="L1360" t="s">
        <v>47</v>
      </c>
      <c r="M1360">
        <v>2</v>
      </c>
    </row>
    <row r="1361" spans="1:13" x14ac:dyDescent="0.25">
      <c r="A1361" s="4">
        <v>42931</v>
      </c>
      <c r="B1361" t="s">
        <v>30</v>
      </c>
      <c r="C1361">
        <v>1</v>
      </c>
      <c r="D1361">
        <v>1</v>
      </c>
      <c r="E1361" t="s">
        <v>35</v>
      </c>
      <c r="F1361" t="s">
        <v>36</v>
      </c>
      <c r="G1361">
        <v>1</v>
      </c>
      <c r="H1361">
        <v>50952</v>
      </c>
      <c r="I1361">
        <v>50951</v>
      </c>
      <c r="J1361">
        <v>0</v>
      </c>
      <c r="K1361">
        <f>35-14.5</f>
        <v>20.5</v>
      </c>
      <c r="L1361" t="s">
        <v>47</v>
      </c>
      <c r="M1361">
        <v>2</v>
      </c>
    </row>
    <row r="1362" spans="1:13" x14ac:dyDescent="0.25">
      <c r="A1362" s="4">
        <v>42584</v>
      </c>
      <c r="B1362" t="s">
        <v>30</v>
      </c>
      <c r="C1362">
        <v>1</v>
      </c>
      <c r="D1362">
        <v>1</v>
      </c>
      <c r="E1362" t="s">
        <v>42</v>
      </c>
      <c r="F1362" t="s">
        <v>114</v>
      </c>
      <c r="G1362">
        <v>2</v>
      </c>
      <c r="H1362" s="5">
        <v>50954</v>
      </c>
      <c r="I1362" s="5">
        <v>50953</v>
      </c>
      <c r="J1362">
        <v>0</v>
      </c>
      <c r="K1362">
        <f>38-13</f>
        <v>25</v>
      </c>
      <c r="L1362" t="s">
        <v>120</v>
      </c>
      <c r="M1362">
        <v>1</v>
      </c>
    </row>
    <row r="1363" spans="1:13" x14ac:dyDescent="0.25">
      <c r="A1363" s="4">
        <v>42585</v>
      </c>
      <c r="B1363" t="s">
        <v>30</v>
      </c>
      <c r="C1363">
        <v>1</v>
      </c>
      <c r="D1363">
        <v>1</v>
      </c>
      <c r="E1363" t="s">
        <v>35</v>
      </c>
      <c r="F1363" t="s">
        <v>114</v>
      </c>
      <c r="G1363">
        <v>2</v>
      </c>
      <c r="H1363" s="5">
        <v>50954</v>
      </c>
      <c r="I1363" s="5">
        <v>50953</v>
      </c>
      <c r="J1363">
        <v>0</v>
      </c>
      <c r="K1363">
        <v>20</v>
      </c>
      <c r="L1363" t="s">
        <v>164</v>
      </c>
      <c r="M1363">
        <v>1</v>
      </c>
    </row>
    <row r="1364" spans="1:13" x14ac:dyDescent="0.25">
      <c r="A1364" s="4">
        <v>42588</v>
      </c>
      <c r="B1364" t="s">
        <v>30</v>
      </c>
      <c r="C1364">
        <v>1</v>
      </c>
      <c r="D1364">
        <v>1</v>
      </c>
      <c r="E1364" t="s">
        <v>35</v>
      </c>
      <c r="F1364" t="s">
        <v>36</v>
      </c>
      <c r="G1364">
        <v>2</v>
      </c>
      <c r="H1364" s="5" t="s">
        <v>489</v>
      </c>
      <c r="I1364" s="5" t="s">
        <v>490</v>
      </c>
      <c r="J1364">
        <v>0</v>
      </c>
      <c r="K1364">
        <f>34-13</f>
        <v>21</v>
      </c>
      <c r="L1364" t="s">
        <v>74</v>
      </c>
      <c r="M1364">
        <v>1</v>
      </c>
    </row>
    <row r="1365" spans="1:13" x14ac:dyDescent="0.25">
      <c r="A1365" s="4">
        <v>42589</v>
      </c>
      <c r="B1365" t="s">
        <v>30</v>
      </c>
      <c r="C1365">
        <v>1</v>
      </c>
      <c r="D1365">
        <v>1</v>
      </c>
      <c r="E1365" t="s">
        <v>35</v>
      </c>
      <c r="F1365" t="s">
        <v>36</v>
      </c>
      <c r="G1365">
        <v>2</v>
      </c>
      <c r="H1365" s="5" t="s">
        <v>489</v>
      </c>
      <c r="I1365" s="5" t="s">
        <v>490</v>
      </c>
      <c r="J1365">
        <v>0</v>
      </c>
      <c r="K1365">
        <f>35-14</f>
        <v>21</v>
      </c>
      <c r="L1365" t="s">
        <v>74</v>
      </c>
      <c r="M1365">
        <v>1</v>
      </c>
    </row>
    <row r="1366" spans="1:13" x14ac:dyDescent="0.25">
      <c r="A1366" s="4">
        <v>42584</v>
      </c>
      <c r="B1366" t="s">
        <v>30</v>
      </c>
      <c r="C1366">
        <v>1</v>
      </c>
      <c r="D1366">
        <v>1</v>
      </c>
      <c r="E1366" t="s">
        <v>35</v>
      </c>
      <c r="F1366" t="s">
        <v>36</v>
      </c>
      <c r="G1366">
        <v>2</v>
      </c>
      <c r="H1366" s="5">
        <v>50956</v>
      </c>
      <c r="I1366" s="5">
        <v>50955</v>
      </c>
      <c r="J1366">
        <v>1</v>
      </c>
      <c r="K1366">
        <f>36-17</f>
        <v>19</v>
      </c>
      <c r="L1366" t="s">
        <v>74</v>
      </c>
      <c r="M1366">
        <v>1</v>
      </c>
    </row>
    <row r="1367" spans="1:13" x14ac:dyDescent="0.25">
      <c r="A1367" s="4">
        <v>42585</v>
      </c>
      <c r="B1367" t="s">
        <v>30</v>
      </c>
      <c r="C1367">
        <v>1</v>
      </c>
      <c r="D1367">
        <v>1</v>
      </c>
      <c r="E1367" t="s">
        <v>35</v>
      </c>
      <c r="F1367" t="s">
        <v>36</v>
      </c>
      <c r="G1367">
        <v>2</v>
      </c>
      <c r="H1367" s="5">
        <v>50956</v>
      </c>
      <c r="I1367" s="5">
        <v>50955</v>
      </c>
      <c r="J1367">
        <v>1</v>
      </c>
      <c r="K1367">
        <f>25-5</f>
        <v>20</v>
      </c>
      <c r="L1367" t="s">
        <v>164</v>
      </c>
      <c r="M1367">
        <v>1</v>
      </c>
    </row>
    <row r="1368" spans="1:13" x14ac:dyDescent="0.25">
      <c r="A1368" s="4">
        <v>42586</v>
      </c>
      <c r="B1368" t="s">
        <v>30</v>
      </c>
      <c r="C1368">
        <v>1</v>
      </c>
      <c r="D1368">
        <v>1</v>
      </c>
      <c r="E1368" t="s">
        <v>35</v>
      </c>
      <c r="F1368" t="s">
        <v>36</v>
      </c>
      <c r="G1368">
        <v>2</v>
      </c>
      <c r="H1368" s="5" t="s">
        <v>403</v>
      </c>
      <c r="I1368" s="5" t="s">
        <v>404</v>
      </c>
      <c r="J1368">
        <v>1</v>
      </c>
      <c r="K1368">
        <f>37-18</f>
        <v>19</v>
      </c>
      <c r="L1368" t="s">
        <v>164</v>
      </c>
      <c r="M1368">
        <v>1</v>
      </c>
    </row>
    <row r="1369" spans="1:13" x14ac:dyDescent="0.25">
      <c r="A1369" s="4">
        <v>42587</v>
      </c>
      <c r="B1369" t="s">
        <v>30</v>
      </c>
      <c r="C1369">
        <v>1</v>
      </c>
      <c r="D1369">
        <v>1</v>
      </c>
      <c r="E1369" t="s">
        <v>35</v>
      </c>
      <c r="F1369" t="s">
        <v>36</v>
      </c>
      <c r="G1369">
        <v>2</v>
      </c>
      <c r="H1369" s="5" t="s">
        <v>403</v>
      </c>
      <c r="I1369" s="5" t="s">
        <v>404</v>
      </c>
      <c r="J1369">
        <v>1</v>
      </c>
      <c r="K1369">
        <f>34.5-17</f>
        <v>17.5</v>
      </c>
      <c r="L1369" t="s">
        <v>63</v>
      </c>
      <c r="M1369">
        <v>1</v>
      </c>
    </row>
    <row r="1370" spans="1:13" x14ac:dyDescent="0.25">
      <c r="A1370" s="4">
        <v>42588</v>
      </c>
      <c r="B1370" t="s">
        <v>30</v>
      </c>
      <c r="C1370">
        <v>1</v>
      </c>
      <c r="D1370">
        <v>1</v>
      </c>
      <c r="E1370" t="s">
        <v>35</v>
      </c>
      <c r="F1370" t="s">
        <v>114</v>
      </c>
      <c r="G1370">
        <v>2</v>
      </c>
      <c r="H1370" s="5" t="s">
        <v>403</v>
      </c>
      <c r="I1370" s="5" t="s">
        <v>404</v>
      </c>
      <c r="J1370">
        <v>1</v>
      </c>
      <c r="K1370">
        <f>32.5-14</f>
        <v>18.5</v>
      </c>
      <c r="L1370" t="s">
        <v>164</v>
      </c>
      <c r="M1370">
        <v>1</v>
      </c>
    </row>
    <row r="1371" spans="1:13" x14ac:dyDescent="0.25">
      <c r="A1371" s="4">
        <v>42589</v>
      </c>
      <c r="B1371" t="s">
        <v>30</v>
      </c>
      <c r="C1371">
        <v>1</v>
      </c>
      <c r="D1371">
        <v>1</v>
      </c>
      <c r="E1371" t="s">
        <v>35</v>
      </c>
      <c r="F1371" t="s">
        <v>36</v>
      </c>
      <c r="G1371">
        <v>2</v>
      </c>
      <c r="H1371" s="5" t="s">
        <v>403</v>
      </c>
      <c r="I1371" s="5" t="s">
        <v>404</v>
      </c>
      <c r="J1371">
        <v>1</v>
      </c>
      <c r="K1371">
        <f>33-14.5</f>
        <v>18.5</v>
      </c>
      <c r="L1371" t="s">
        <v>38</v>
      </c>
      <c r="M1371">
        <v>1</v>
      </c>
    </row>
    <row r="1372" spans="1:13" x14ac:dyDescent="0.25">
      <c r="A1372" s="4">
        <v>42576</v>
      </c>
      <c r="B1372" t="s">
        <v>30</v>
      </c>
      <c r="C1372">
        <v>5</v>
      </c>
      <c r="D1372">
        <v>1</v>
      </c>
      <c r="E1372" t="s">
        <v>42</v>
      </c>
      <c r="F1372" t="s">
        <v>114</v>
      </c>
      <c r="G1372">
        <v>1</v>
      </c>
      <c r="H1372" s="5">
        <v>50962</v>
      </c>
      <c r="I1372" s="5">
        <v>50961</v>
      </c>
      <c r="J1372">
        <v>1</v>
      </c>
      <c r="K1372">
        <f>29-13</f>
        <v>16</v>
      </c>
      <c r="L1372" t="s">
        <v>47</v>
      </c>
      <c r="M1372">
        <v>1</v>
      </c>
    </row>
    <row r="1373" spans="1:13" x14ac:dyDescent="0.25">
      <c r="A1373" s="4">
        <v>42576</v>
      </c>
      <c r="B1373" t="s">
        <v>30</v>
      </c>
      <c r="C1373">
        <v>5</v>
      </c>
      <c r="D1373">
        <v>1</v>
      </c>
      <c r="E1373" t="s">
        <v>42</v>
      </c>
      <c r="F1373" t="s">
        <v>89</v>
      </c>
      <c r="G1373">
        <v>1</v>
      </c>
      <c r="H1373" s="5">
        <v>50964</v>
      </c>
      <c r="I1373" s="5">
        <v>50963</v>
      </c>
      <c r="J1373">
        <v>1</v>
      </c>
      <c r="K1373">
        <f>26.5-14</f>
        <v>12.5</v>
      </c>
      <c r="L1373" t="s">
        <v>65</v>
      </c>
      <c r="M1373">
        <v>1</v>
      </c>
    </row>
    <row r="1374" spans="1:13" x14ac:dyDescent="0.25">
      <c r="A1374" s="4">
        <v>42576</v>
      </c>
      <c r="B1374" t="s">
        <v>30</v>
      </c>
      <c r="C1374">
        <v>5</v>
      </c>
      <c r="D1374">
        <v>1</v>
      </c>
      <c r="E1374" t="s">
        <v>42</v>
      </c>
      <c r="F1374" t="s">
        <v>89</v>
      </c>
      <c r="G1374">
        <v>2</v>
      </c>
      <c r="H1374" s="5">
        <v>50966</v>
      </c>
      <c r="I1374" s="5">
        <v>50965</v>
      </c>
      <c r="J1374">
        <v>1</v>
      </c>
      <c r="K1374">
        <f>32-17</f>
        <v>15</v>
      </c>
      <c r="L1374" t="s">
        <v>38</v>
      </c>
      <c r="M1374">
        <v>1</v>
      </c>
    </row>
    <row r="1375" spans="1:13" x14ac:dyDescent="0.25">
      <c r="A1375" s="4">
        <v>42576</v>
      </c>
      <c r="B1375" t="s">
        <v>30</v>
      </c>
      <c r="C1375">
        <v>5</v>
      </c>
      <c r="D1375">
        <v>1</v>
      </c>
      <c r="E1375" t="s">
        <v>35</v>
      </c>
      <c r="F1375" t="s">
        <v>36</v>
      </c>
      <c r="G1375">
        <v>2</v>
      </c>
      <c r="H1375" s="5">
        <v>50968</v>
      </c>
      <c r="I1375" s="5">
        <v>50467</v>
      </c>
      <c r="J1375">
        <v>1</v>
      </c>
      <c r="K1375">
        <v>20</v>
      </c>
      <c r="L1375" t="s">
        <v>164</v>
      </c>
      <c r="M1375">
        <v>1</v>
      </c>
    </row>
    <row r="1376" spans="1:13" x14ac:dyDescent="0.25">
      <c r="A1376" s="4">
        <v>42593</v>
      </c>
      <c r="B1376" t="s">
        <v>30</v>
      </c>
      <c r="C1376">
        <v>5</v>
      </c>
      <c r="D1376">
        <v>1</v>
      </c>
      <c r="E1376" t="s">
        <v>35</v>
      </c>
      <c r="F1376" t="s">
        <v>114</v>
      </c>
      <c r="G1376">
        <v>2</v>
      </c>
      <c r="H1376" s="5" t="s">
        <v>683</v>
      </c>
      <c r="I1376" s="5" t="s">
        <v>1046</v>
      </c>
      <c r="J1376">
        <v>0</v>
      </c>
      <c r="K1376">
        <f>30-13</f>
        <v>17</v>
      </c>
      <c r="L1376" t="s">
        <v>38</v>
      </c>
      <c r="M1376">
        <v>1</v>
      </c>
    </row>
    <row r="1377" spans="1:13" x14ac:dyDescent="0.25">
      <c r="A1377" s="4">
        <v>42576</v>
      </c>
      <c r="B1377" t="s">
        <v>30</v>
      </c>
      <c r="C1377">
        <v>5</v>
      </c>
      <c r="D1377">
        <v>1</v>
      </c>
      <c r="E1377" t="s">
        <v>42</v>
      </c>
      <c r="F1377" t="s">
        <v>89</v>
      </c>
      <c r="G1377">
        <v>1</v>
      </c>
      <c r="H1377" s="5">
        <v>50971</v>
      </c>
      <c r="I1377" s="5">
        <v>50970</v>
      </c>
      <c r="J1377">
        <v>0</v>
      </c>
      <c r="K1377">
        <v>15</v>
      </c>
      <c r="L1377" t="s">
        <v>65</v>
      </c>
      <c r="M1377">
        <v>1</v>
      </c>
    </row>
    <row r="1378" spans="1:13" x14ac:dyDescent="0.25">
      <c r="A1378" s="4">
        <v>42591</v>
      </c>
      <c r="B1378" t="s">
        <v>30</v>
      </c>
      <c r="C1378">
        <v>5</v>
      </c>
      <c r="D1378">
        <v>1</v>
      </c>
      <c r="E1378" t="s">
        <v>35</v>
      </c>
      <c r="F1378" t="s">
        <v>114</v>
      </c>
      <c r="G1378">
        <v>1</v>
      </c>
      <c r="H1378" s="5" t="s">
        <v>553</v>
      </c>
      <c r="I1378" s="5" t="s">
        <v>551</v>
      </c>
      <c r="J1378">
        <v>1</v>
      </c>
      <c r="K1378">
        <f>29-15</f>
        <v>14</v>
      </c>
      <c r="L1378" t="s">
        <v>65</v>
      </c>
      <c r="M1378">
        <v>1</v>
      </c>
    </row>
    <row r="1379" spans="1:13" x14ac:dyDescent="0.25">
      <c r="A1379" s="4">
        <v>42592</v>
      </c>
      <c r="B1379" t="s">
        <v>30</v>
      </c>
      <c r="C1379">
        <v>5</v>
      </c>
      <c r="D1379">
        <v>1</v>
      </c>
      <c r="E1379" t="s">
        <v>35</v>
      </c>
      <c r="F1379" t="s">
        <v>114</v>
      </c>
      <c r="G1379">
        <v>1</v>
      </c>
      <c r="H1379" s="5" t="s">
        <v>553</v>
      </c>
      <c r="I1379" s="5" t="s">
        <v>551</v>
      </c>
      <c r="J1379">
        <v>1</v>
      </c>
      <c r="K1379">
        <f>27.5-14</f>
        <v>13.5</v>
      </c>
      <c r="L1379" t="s">
        <v>65</v>
      </c>
      <c r="M1379">
        <v>1</v>
      </c>
    </row>
    <row r="1380" spans="1:13" x14ac:dyDescent="0.25">
      <c r="A1380" s="4">
        <v>42593</v>
      </c>
      <c r="B1380" t="s">
        <v>30</v>
      </c>
      <c r="C1380">
        <v>5</v>
      </c>
      <c r="D1380">
        <v>1</v>
      </c>
      <c r="E1380" t="s">
        <v>35</v>
      </c>
      <c r="F1380" t="s">
        <v>89</v>
      </c>
      <c r="G1380">
        <v>1</v>
      </c>
      <c r="H1380" s="5" t="s">
        <v>553</v>
      </c>
      <c r="I1380" s="5" t="s">
        <v>551</v>
      </c>
      <c r="J1380">
        <v>1</v>
      </c>
      <c r="K1380">
        <v>13</v>
      </c>
      <c r="L1380" t="s">
        <v>65</v>
      </c>
      <c r="M1380">
        <v>1</v>
      </c>
    </row>
    <row r="1381" spans="1:13" x14ac:dyDescent="0.25">
      <c r="A1381" s="4">
        <v>42605</v>
      </c>
      <c r="B1381" t="s">
        <v>30</v>
      </c>
      <c r="C1381">
        <v>5</v>
      </c>
      <c r="D1381">
        <v>1</v>
      </c>
      <c r="E1381" t="s">
        <v>35</v>
      </c>
      <c r="F1381" t="s">
        <v>89</v>
      </c>
      <c r="G1381">
        <v>1</v>
      </c>
      <c r="H1381" s="5" t="s">
        <v>553</v>
      </c>
      <c r="I1381" s="5" t="s">
        <v>551</v>
      </c>
      <c r="J1381">
        <v>1</v>
      </c>
      <c r="K1381">
        <f>30.5-16</f>
        <v>14.5</v>
      </c>
      <c r="L1381" t="s">
        <v>65</v>
      </c>
      <c r="M1381">
        <v>1</v>
      </c>
    </row>
    <row r="1382" spans="1:13" x14ac:dyDescent="0.25">
      <c r="A1382" s="4">
        <v>42606</v>
      </c>
      <c r="B1382" t="s">
        <v>30</v>
      </c>
      <c r="C1382">
        <v>5</v>
      </c>
      <c r="D1382">
        <v>1</v>
      </c>
      <c r="E1382" t="s">
        <v>35</v>
      </c>
      <c r="F1382" t="s">
        <v>89</v>
      </c>
      <c r="G1382">
        <v>1</v>
      </c>
      <c r="H1382" s="5" t="s">
        <v>553</v>
      </c>
      <c r="I1382" s="5" t="s">
        <v>551</v>
      </c>
      <c r="J1382">
        <v>1</v>
      </c>
      <c r="K1382">
        <f>31.5-17</f>
        <v>14.5</v>
      </c>
      <c r="L1382" t="s">
        <v>65</v>
      </c>
      <c r="M1382">
        <v>1</v>
      </c>
    </row>
    <row r="1383" spans="1:13" x14ac:dyDescent="0.25">
      <c r="A1383" s="4">
        <v>42576</v>
      </c>
      <c r="B1383" t="s">
        <v>30</v>
      </c>
      <c r="C1383">
        <v>5</v>
      </c>
      <c r="D1383">
        <v>1</v>
      </c>
      <c r="E1383" t="s">
        <v>42</v>
      </c>
      <c r="F1383" t="s">
        <v>89</v>
      </c>
      <c r="G1383">
        <v>1</v>
      </c>
      <c r="H1383" s="5">
        <v>50973</v>
      </c>
      <c r="I1383" s="5">
        <v>50972</v>
      </c>
      <c r="J1383">
        <v>0</v>
      </c>
      <c r="K1383">
        <f>27-13</f>
        <v>14</v>
      </c>
      <c r="L1383" t="s">
        <v>65</v>
      </c>
      <c r="M1383">
        <v>1</v>
      </c>
    </row>
    <row r="1384" spans="1:13" x14ac:dyDescent="0.25">
      <c r="A1384" s="4">
        <v>42576</v>
      </c>
      <c r="B1384" t="s">
        <v>30</v>
      </c>
      <c r="C1384">
        <v>5</v>
      </c>
      <c r="D1384">
        <v>1</v>
      </c>
      <c r="E1384" t="s">
        <v>42</v>
      </c>
      <c r="F1384" t="s">
        <v>36</v>
      </c>
      <c r="G1384">
        <v>2</v>
      </c>
      <c r="H1384" s="5">
        <v>50975</v>
      </c>
      <c r="I1384" s="5">
        <v>50974</v>
      </c>
      <c r="J1384">
        <v>0</v>
      </c>
      <c r="K1384">
        <f>31.5-12</f>
        <v>19.5</v>
      </c>
      <c r="L1384" t="s">
        <v>63</v>
      </c>
      <c r="M1384">
        <v>1</v>
      </c>
    </row>
    <row r="1385" spans="1:13" x14ac:dyDescent="0.25">
      <c r="A1385" s="4">
        <v>42929</v>
      </c>
      <c r="B1385" t="s">
        <v>30</v>
      </c>
      <c r="C1385">
        <v>5</v>
      </c>
      <c r="D1385">
        <v>1</v>
      </c>
      <c r="E1385" t="s">
        <v>35</v>
      </c>
      <c r="F1385" t="s">
        <v>36</v>
      </c>
      <c r="G1385">
        <v>2</v>
      </c>
      <c r="H1385">
        <v>50984</v>
      </c>
      <c r="I1385">
        <v>50983</v>
      </c>
      <c r="J1385">
        <v>0</v>
      </c>
      <c r="K1385">
        <f>32-14</f>
        <v>18</v>
      </c>
      <c r="L1385" t="s">
        <v>1039</v>
      </c>
      <c r="M1385">
        <v>2</v>
      </c>
    </row>
    <row r="1386" spans="1:13" x14ac:dyDescent="0.25">
      <c r="A1386" s="4">
        <v>42576</v>
      </c>
      <c r="B1386" t="s">
        <v>30</v>
      </c>
      <c r="C1386">
        <v>8</v>
      </c>
      <c r="D1386">
        <v>1</v>
      </c>
      <c r="E1386" t="s">
        <v>42</v>
      </c>
      <c r="F1386" t="s">
        <v>89</v>
      </c>
      <c r="G1386">
        <v>2</v>
      </c>
      <c r="H1386" s="5">
        <v>50998</v>
      </c>
      <c r="I1386" s="5">
        <v>50999</v>
      </c>
      <c r="J1386">
        <v>0</v>
      </c>
      <c r="K1386">
        <v>13</v>
      </c>
      <c r="L1386" t="s">
        <v>38</v>
      </c>
      <c r="M1386">
        <v>1</v>
      </c>
    </row>
    <row r="1387" spans="1:13" x14ac:dyDescent="0.25">
      <c r="A1387" s="4">
        <v>42572</v>
      </c>
      <c r="B1387" t="s">
        <v>30</v>
      </c>
      <c r="C1387">
        <v>2</v>
      </c>
      <c r="D1387">
        <v>1</v>
      </c>
      <c r="E1387" t="s">
        <v>42</v>
      </c>
      <c r="F1387" t="s">
        <v>89</v>
      </c>
      <c r="G1387">
        <v>2</v>
      </c>
      <c r="H1387" s="5">
        <v>508336</v>
      </c>
      <c r="I1387" s="5"/>
      <c r="J1387">
        <v>0</v>
      </c>
      <c r="K1387">
        <v>15</v>
      </c>
      <c r="L1387" t="s">
        <v>38</v>
      </c>
      <c r="M1387">
        <v>1</v>
      </c>
    </row>
    <row r="1388" spans="1:13" x14ac:dyDescent="0.25">
      <c r="A1388" s="4">
        <v>42576</v>
      </c>
      <c r="B1388" t="s">
        <v>30</v>
      </c>
      <c r="C1388">
        <v>9</v>
      </c>
      <c r="D1388">
        <v>1</v>
      </c>
      <c r="E1388" t="s">
        <v>35</v>
      </c>
      <c r="F1388" t="s">
        <v>36</v>
      </c>
      <c r="G1388">
        <v>2</v>
      </c>
      <c r="H1388" s="5" t="s">
        <v>104</v>
      </c>
      <c r="I1388" s="5" t="s">
        <v>171</v>
      </c>
      <c r="J1388">
        <v>0</v>
      </c>
      <c r="K1388">
        <f>31-12</f>
        <v>19</v>
      </c>
      <c r="L1388" t="s">
        <v>38</v>
      </c>
      <c r="M1388">
        <v>1</v>
      </c>
    </row>
    <row r="1389" spans="1:13" x14ac:dyDescent="0.25">
      <c r="A1389" s="4">
        <v>42591</v>
      </c>
      <c r="B1389" t="s">
        <v>30</v>
      </c>
      <c r="C1389">
        <v>9</v>
      </c>
      <c r="D1389">
        <v>1</v>
      </c>
      <c r="E1389" t="s">
        <v>35</v>
      </c>
      <c r="F1389" t="s">
        <v>36</v>
      </c>
      <c r="G1389">
        <v>2</v>
      </c>
      <c r="H1389" s="5" t="s">
        <v>104</v>
      </c>
      <c r="I1389" s="5" t="s">
        <v>171</v>
      </c>
      <c r="J1389">
        <v>1</v>
      </c>
      <c r="K1389">
        <f>34.5-14</f>
        <v>20.5</v>
      </c>
      <c r="L1389" t="s">
        <v>74</v>
      </c>
      <c r="M1389">
        <v>1</v>
      </c>
    </row>
    <row r="1390" spans="1:13" x14ac:dyDescent="0.25">
      <c r="A1390" s="4">
        <v>42563</v>
      </c>
      <c r="B1390" t="s">
        <v>30</v>
      </c>
      <c r="C1390">
        <v>9</v>
      </c>
      <c r="D1390">
        <v>1</v>
      </c>
      <c r="E1390" t="s">
        <v>35</v>
      </c>
      <c r="F1390" t="s">
        <v>36</v>
      </c>
      <c r="G1390">
        <v>2</v>
      </c>
      <c r="H1390" s="5" t="s">
        <v>202</v>
      </c>
      <c r="I1390" s="5" t="s">
        <v>171</v>
      </c>
      <c r="J1390">
        <v>0</v>
      </c>
      <c r="K1390">
        <f>40.5-14</f>
        <v>26.5</v>
      </c>
      <c r="L1390" t="s">
        <v>143</v>
      </c>
      <c r="M1390">
        <v>1</v>
      </c>
    </row>
    <row r="1391" spans="1:13" x14ac:dyDescent="0.25">
      <c r="A1391" s="4">
        <v>42564</v>
      </c>
      <c r="B1391" t="s">
        <v>30</v>
      </c>
      <c r="C1391">
        <v>9</v>
      </c>
      <c r="D1391">
        <v>1</v>
      </c>
      <c r="E1391" t="s">
        <v>35</v>
      </c>
      <c r="F1391" t="s">
        <v>36</v>
      </c>
      <c r="G1391">
        <v>2</v>
      </c>
      <c r="H1391" s="5" t="s">
        <v>202</v>
      </c>
      <c r="I1391" s="5" t="s">
        <v>171</v>
      </c>
      <c r="J1391">
        <v>0</v>
      </c>
      <c r="K1391">
        <f>38-15</f>
        <v>23</v>
      </c>
      <c r="L1391" t="s">
        <v>143</v>
      </c>
      <c r="M1391">
        <v>1</v>
      </c>
    </row>
    <row r="1392" spans="1:13" x14ac:dyDescent="0.25">
      <c r="A1392" s="4">
        <v>42565</v>
      </c>
      <c r="B1392" t="s">
        <v>30</v>
      </c>
      <c r="C1392">
        <v>9</v>
      </c>
      <c r="D1392">
        <v>1</v>
      </c>
      <c r="E1392" t="s">
        <v>35</v>
      </c>
      <c r="F1392" t="s">
        <v>36</v>
      </c>
      <c r="G1392">
        <v>2</v>
      </c>
      <c r="H1392" s="5" t="s">
        <v>202</v>
      </c>
      <c r="I1392" s="5" t="s">
        <v>171</v>
      </c>
      <c r="J1392">
        <v>0</v>
      </c>
      <c r="K1392">
        <v>27</v>
      </c>
      <c r="L1392" t="s">
        <v>143</v>
      </c>
      <c r="M1392">
        <v>1</v>
      </c>
    </row>
    <row r="1393" spans="1:13" x14ac:dyDescent="0.25">
      <c r="A1393" s="4">
        <v>43299</v>
      </c>
      <c r="B1393" t="s">
        <v>30</v>
      </c>
      <c r="C1393">
        <v>4</v>
      </c>
      <c r="D1393">
        <v>2</v>
      </c>
      <c r="E1393" t="s">
        <v>42</v>
      </c>
      <c r="F1393" t="s">
        <v>89</v>
      </c>
      <c r="G1393">
        <v>1</v>
      </c>
      <c r="H1393">
        <v>1007</v>
      </c>
      <c r="J1393">
        <v>1</v>
      </c>
      <c r="K1393">
        <f>37-19</f>
        <v>18</v>
      </c>
      <c r="L1393" t="s">
        <v>38</v>
      </c>
      <c r="M1393">
        <v>3</v>
      </c>
    </row>
    <row r="1394" spans="1:13" x14ac:dyDescent="0.25">
      <c r="A1394" s="4">
        <v>43291</v>
      </c>
      <c r="B1394" t="s">
        <v>30</v>
      </c>
      <c r="C1394">
        <v>2</v>
      </c>
      <c r="D1394">
        <v>2</v>
      </c>
      <c r="E1394" t="s">
        <v>42</v>
      </c>
      <c r="F1394" t="s">
        <v>36</v>
      </c>
      <c r="G1394">
        <v>1</v>
      </c>
      <c r="H1394">
        <v>1191</v>
      </c>
      <c r="J1394">
        <v>0</v>
      </c>
      <c r="K1394">
        <f>34-15</f>
        <v>19</v>
      </c>
      <c r="L1394" t="s">
        <v>47</v>
      </c>
      <c r="M1394">
        <v>3</v>
      </c>
    </row>
    <row r="1395" spans="1:13" x14ac:dyDescent="0.25">
      <c r="A1395" s="4">
        <v>43325</v>
      </c>
      <c r="B1395" t="s">
        <v>30</v>
      </c>
      <c r="C1395">
        <v>7</v>
      </c>
      <c r="D1395">
        <v>2</v>
      </c>
      <c r="E1395" t="s">
        <v>35</v>
      </c>
      <c r="F1395" t="s">
        <v>36</v>
      </c>
      <c r="G1395">
        <v>1</v>
      </c>
      <c r="H1395">
        <v>1217</v>
      </c>
      <c r="J1395">
        <v>0</v>
      </c>
      <c r="K1395">
        <f>48-18</f>
        <v>30</v>
      </c>
      <c r="L1395" t="s">
        <v>47</v>
      </c>
      <c r="M1395">
        <v>3</v>
      </c>
    </row>
    <row r="1396" spans="1:13" x14ac:dyDescent="0.25">
      <c r="A1396" s="4">
        <v>43305</v>
      </c>
      <c r="B1396" t="s">
        <v>30</v>
      </c>
      <c r="C1396">
        <v>2</v>
      </c>
      <c r="D1396">
        <v>2</v>
      </c>
      <c r="E1396" t="s">
        <v>42</v>
      </c>
      <c r="F1396" t="s">
        <v>36</v>
      </c>
      <c r="G1396">
        <v>1</v>
      </c>
      <c r="H1396">
        <v>1259</v>
      </c>
      <c r="J1396">
        <v>1</v>
      </c>
      <c r="K1396">
        <f>38-13</f>
        <v>25</v>
      </c>
      <c r="L1396" t="s">
        <v>47</v>
      </c>
      <c r="M1396">
        <v>3</v>
      </c>
    </row>
    <row r="1397" spans="1:13" x14ac:dyDescent="0.25">
      <c r="A1397" s="4">
        <v>43325</v>
      </c>
      <c r="B1397" t="s">
        <v>30</v>
      </c>
      <c r="C1397">
        <v>5</v>
      </c>
      <c r="D1397">
        <v>2</v>
      </c>
      <c r="E1397" t="s">
        <v>42</v>
      </c>
      <c r="F1397" t="s">
        <v>36</v>
      </c>
      <c r="G1397">
        <v>1</v>
      </c>
      <c r="H1397">
        <v>1264</v>
      </c>
      <c r="J1397">
        <v>1</v>
      </c>
      <c r="K1397">
        <f>41-19</f>
        <v>22</v>
      </c>
      <c r="L1397" t="s">
        <v>47</v>
      </c>
      <c r="M1397">
        <v>3</v>
      </c>
    </row>
    <row r="1398" spans="1:13" x14ac:dyDescent="0.25">
      <c r="A1398" s="4">
        <v>43300</v>
      </c>
      <c r="B1398" t="s">
        <v>30</v>
      </c>
      <c r="C1398">
        <v>7</v>
      </c>
      <c r="D1398">
        <v>2</v>
      </c>
      <c r="E1398" t="s">
        <v>42</v>
      </c>
      <c r="F1398" t="s">
        <v>36</v>
      </c>
      <c r="G1398">
        <v>2</v>
      </c>
      <c r="H1398">
        <v>1271</v>
      </c>
      <c r="J1398">
        <v>0</v>
      </c>
      <c r="K1398">
        <f>43-20</f>
        <v>23</v>
      </c>
      <c r="L1398" t="s">
        <v>38</v>
      </c>
      <c r="M1398">
        <v>3</v>
      </c>
    </row>
    <row r="1399" spans="1:13" x14ac:dyDescent="0.25">
      <c r="A1399" s="4">
        <v>43302</v>
      </c>
      <c r="B1399" t="s">
        <v>30</v>
      </c>
      <c r="C1399">
        <v>7</v>
      </c>
      <c r="D1399">
        <v>2</v>
      </c>
      <c r="E1399" t="s">
        <v>35</v>
      </c>
      <c r="F1399" t="s">
        <v>36</v>
      </c>
      <c r="G1399">
        <v>2</v>
      </c>
      <c r="H1399">
        <v>1271</v>
      </c>
      <c r="J1399">
        <v>0</v>
      </c>
      <c r="K1399">
        <f>31-11</f>
        <v>20</v>
      </c>
      <c r="L1399" t="s">
        <v>38</v>
      </c>
      <c r="M1399">
        <v>3</v>
      </c>
    </row>
    <row r="1400" spans="1:13" x14ac:dyDescent="0.25">
      <c r="A1400" s="4">
        <v>43316</v>
      </c>
      <c r="B1400" t="s">
        <v>30</v>
      </c>
      <c r="C1400">
        <v>7</v>
      </c>
      <c r="D1400">
        <v>2</v>
      </c>
      <c r="E1400" t="s">
        <v>35</v>
      </c>
      <c r="F1400" t="s">
        <v>36</v>
      </c>
      <c r="G1400">
        <v>2</v>
      </c>
      <c r="H1400">
        <v>1271</v>
      </c>
      <c r="J1400">
        <v>1</v>
      </c>
      <c r="K1400">
        <f>33-9</f>
        <v>24</v>
      </c>
      <c r="L1400" t="s">
        <v>38</v>
      </c>
      <c r="M1400">
        <v>3</v>
      </c>
    </row>
    <row r="1401" spans="1:13" x14ac:dyDescent="0.25">
      <c r="A1401" s="4">
        <v>43317</v>
      </c>
      <c r="B1401" t="s">
        <v>30</v>
      </c>
      <c r="C1401">
        <v>7</v>
      </c>
      <c r="D1401">
        <v>2</v>
      </c>
      <c r="E1401" t="s">
        <v>35</v>
      </c>
      <c r="F1401" t="s">
        <v>36</v>
      </c>
      <c r="G1401">
        <v>2</v>
      </c>
      <c r="H1401">
        <v>1271</v>
      </c>
      <c r="J1401">
        <v>1</v>
      </c>
      <c r="K1401">
        <f>32.75-11</f>
        <v>21.75</v>
      </c>
      <c r="L1401" t="s">
        <v>38</v>
      </c>
      <c r="M1401">
        <v>3</v>
      </c>
    </row>
    <row r="1402" spans="1:13" x14ac:dyDescent="0.25">
      <c r="A1402" s="4">
        <v>43318</v>
      </c>
      <c r="B1402" t="s">
        <v>30</v>
      </c>
      <c r="C1402">
        <v>7</v>
      </c>
      <c r="D1402">
        <v>2</v>
      </c>
      <c r="E1402" t="s">
        <v>35</v>
      </c>
      <c r="F1402" t="s">
        <v>36</v>
      </c>
      <c r="G1402">
        <v>2</v>
      </c>
      <c r="H1402">
        <v>1271</v>
      </c>
      <c r="J1402">
        <v>1</v>
      </c>
      <c r="K1402">
        <f>36.5-13.5</f>
        <v>23</v>
      </c>
      <c r="L1402" t="s">
        <v>38</v>
      </c>
      <c r="M1402">
        <v>3</v>
      </c>
    </row>
    <row r="1403" spans="1:13" x14ac:dyDescent="0.25">
      <c r="A1403" s="4">
        <v>43326</v>
      </c>
      <c r="B1403" t="s">
        <v>30</v>
      </c>
      <c r="C1403">
        <v>7</v>
      </c>
      <c r="D1403">
        <v>2</v>
      </c>
      <c r="E1403" t="s">
        <v>35</v>
      </c>
      <c r="F1403" t="s">
        <v>36</v>
      </c>
      <c r="G1403">
        <v>2</v>
      </c>
      <c r="H1403">
        <v>1271</v>
      </c>
      <c r="J1403">
        <v>1</v>
      </c>
      <c r="K1403">
        <f>48-19</f>
        <v>29</v>
      </c>
      <c r="L1403" t="s">
        <v>38</v>
      </c>
      <c r="M1403">
        <v>3</v>
      </c>
    </row>
    <row r="1404" spans="1:13" x14ac:dyDescent="0.25">
      <c r="A1404" s="4">
        <v>43327</v>
      </c>
      <c r="B1404" t="s">
        <v>30</v>
      </c>
      <c r="C1404">
        <v>7</v>
      </c>
      <c r="D1404">
        <v>2</v>
      </c>
      <c r="E1404" t="s">
        <v>35</v>
      </c>
      <c r="F1404" t="s">
        <v>36</v>
      </c>
      <c r="G1404">
        <v>2</v>
      </c>
      <c r="H1404">
        <v>1271</v>
      </c>
      <c r="J1404">
        <v>1</v>
      </c>
      <c r="K1404">
        <f>41-10</f>
        <v>31</v>
      </c>
      <c r="L1404" t="s">
        <v>81</v>
      </c>
      <c r="M1404">
        <v>3</v>
      </c>
    </row>
    <row r="1405" spans="1:13" x14ac:dyDescent="0.25">
      <c r="A1405" s="4">
        <v>43321</v>
      </c>
      <c r="B1405" t="s">
        <v>30</v>
      </c>
      <c r="C1405">
        <v>4</v>
      </c>
      <c r="D1405">
        <v>2</v>
      </c>
      <c r="E1405" t="s">
        <v>42</v>
      </c>
      <c r="F1405" t="s">
        <v>36</v>
      </c>
      <c r="G1405">
        <v>2</v>
      </c>
      <c r="H1405">
        <v>1441</v>
      </c>
      <c r="J1405">
        <v>1</v>
      </c>
      <c r="K1405">
        <f>32.5-10</f>
        <v>22.5</v>
      </c>
      <c r="L1405" t="s">
        <v>1039</v>
      </c>
      <c r="M1405">
        <v>3</v>
      </c>
    </row>
    <row r="1406" spans="1:13" x14ac:dyDescent="0.25">
      <c r="A1406" s="4">
        <v>43320</v>
      </c>
      <c r="B1406" t="s">
        <v>30</v>
      </c>
      <c r="C1406">
        <v>3</v>
      </c>
      <c r="D1406">
        <v>2</v>
      </c>
      <c r="E1406" t="s">
        <v>42</v>
      </c>
      <c r="F1406" t="s">
        <v>36</v>
      </c>
      <c r="G1406">
        <v>1</v>
      </c>
      <c r="H1406">
        <v>1511</v>
      </c>
      <c r="J1406">
        <v>1</v>
      </c>
      <c r="K1406">
        <f>41.5-14.5</f>
        <v>27</v>
      </c>
      <c r="L1406" t="s">
        <v>47</v>
      </c>
      <c r="M1406">
        <v>3</v>
      </c>
    </row>
    <row r="1407" spans="1:13" x14ac:dyDescent="0.25">
      <c r="A1407" s="4">
        <v>43321</v>
      </c>
      <c r="B1407" t="s">
        <v>30</v>
      </c>
      <c r="C1407">
        <v>3</v>
      </c>
      <c r="D1407">
        <v>2</v>
      </c>
      <c r="E1407" t="s">
        <v>42</v>
      </c>
      <c r="F1407" t="s">
        <v>36</v>
      </c>
      <c r="G1407">
        <v>1</v>
      </c>
      <c r="H1407">
        <v>1517</v>
      </c>
      <c r="J1407">
        <v>1</v>
      </c>
      <c r="K1407">
        <f>35.5-10</f>
        <v>25.5</v>
      </c>
      <c r="L1407" t="s">
        <v>47</v>
      </c>
      <c r="M1407">
        <v>3</v>
      </c>
    </row>
    <row r="1408" spans="1:13" x14ac:dyDescent="0.25">
      <c r="A1408" s="4">
        <v>43325</v>
      </c>
      <c r="B1408" t="s">
        <v>30</v>
      </c>
      <c r="C1408">
        <v>7</v>
      </c>
      <c r="D1408">
        <v>2</v>
      </c>
      <c r="E1408" t="s">
        <v>42</v>
      </c>
      <c r="F1408" t="s">
        <v>36</v>
      </c>
      <c r="G1408">
        <v>1</v>
      </c>
      <c r="H1408">
        <v>1520</v>
      </c>
      <c r="J1408">
        <v>1</v>
      </c>
      <c r="K1408">
        <f>42-21</f>
        <v>21</v>
      </c>
      <c r="L1408" t="s">
        <v>47</v>
      </c>
      <c r="M1408">
        <v>3</v>
      </c>
    </row>
    <row r="1409" spans="1:13" x14ac:dyDescent="0.25">
      <c r="A1409" s="4">
        <v>43326</v>
      </c>
      <c r="B1409" t="s">
        <v>30</v>
      </c>
      <c r="C1409">
        <v>7</v>
      </c>
      <c r="D1409">
        <v>2</v>
      </c>
      <c r="E1409" t="s">
        <v>35</v>
      </c>
      <c r="F1409" t="s">
        <v>36</v>
      </c>
      <c r="G1409">
        <v>1</v>
      </c>
      <c r="H1409">
        <v>1520</v>
      </c>
      <c r="J1409">
        <v>1</v>
      </c>
      <c r="K1409">
        <f>40-19</f>
        <v>21</v>
      </c>
      <c r="L1409" t="s">
        <v>47</v>
      </c>
      <c r="M1409">
        <v>3</v>
      </c>
    </row>
    <row r="1410" spans="1:13" x14ac:dyDescent="0.25">
      <c r="A1410" s="4">
        <v>43327</v>
      </c>
      <c r="B1410" t="s">
        <v>30</v>
      </c>
      <c r="C1410">
        <v>7</v>
      </c>
      <c r="D1410">
        <v>2</v>
      </c>
      <c r="E1410" t="s">
        <v>35</v>
      </c>
      <c r="F1410" t="s">
        <v>36</v>
      </c>
      <c r="G1410">
        <v>1</v>
      </c>
      <c r="H1410">
        <v>1520</v>
      </c>
      <c r="J1410">
        <v>1</v>
      </c>
      <c r="K1410">
        <f>32.75-11.5</f>
        <v>21.25</v>
      </c>
      <c r="L1410" t="s">
        <v>47</v>
      </c>
      <c r="M1410">
        <v>3</v>
      </c>
    </row>
    <row r="1411" spans="1:13" x14ac:dyDescent="0.25">
      <c r="A1411" s="4">
        <v>43326</v>
      </c>
      <c r="B1411" t="s">
        <v>30</v>
      </c>
      <c r="C1411">
        <v>7</v>
      </c>
      <c r="D1411">
        <v>2</v>
      </c>
      <c r="E1411" t="s">
        <v>42</v>
      </c>
      <c r="F1411" t="s">
        <v>36</v>
      </c>
      <c r="G1411">
        <v>1</v>
      </c>
      <c r="H1411">
        <v>1558</v>
      </c>
      <c r="J1411">
        <v>1</v>
      </c>
      <c r="K1411">
        <f>41-16.5</f>
        <v>24.5</v>
      </c>
      <c r="L1411" t="s">
        <v>47</v>
      </c>
      <c r="M1411">
        <v>3</v>
      </c>
    </row>
    <row r="1412" spans="1:13" x14ac:dyDescent="0.25">
      <c r="A1412" s="4">
        <v>43327</v>
      </c>
      <c r="B1412" t="s">
        <v>30</v>
      </c>
      <c r="C1412">
        <v>7</v>
      </c>
      <c r="D1412">
        <v>2</v>
      </c>
      <c r="E1412" t="s">
        <v>35</v>
      </c>
      <c r="F1412" t="s">
        <v>36</v>
      </c>
      <c r="G1412">
        <v>1</v>
      </c>
      <c r="H1412">
        <v>1558</v>
      </c>
      <c r="J1412">
        <v>1</v>
      </c>
      <c r="K1412">
        <f>36.25-12.5</f>
        <v>23.75</v>
      </c>
      <c r="L1412" t="s">
        <v>65</v>
      </c>
      <c r="M1412">
        <v>3</v>
      </c>
    </row>
    <row r="1413" spans="1:13" x14ac:dyDescent="0.25">
      <c r="A1413" s="4">
        <v>42930</v>
      </c>
      <c r="B1413" t="s">
        <v>30</v>
      </c>
      <c r="C1413">
        <v>2</v>
      </c>
      <c r="D1413">
        <v>2</v>
      </c>
      <c r="E1413" t="s">
        <v>35</v>
      </c>
      <c r="F1413" t="s">
        <v>36</v>
      </c>
      <c r="G1413">
        <v>2</v>
      </c>
      <c r="H1413">
        <v>2501</v>
      </c>
      <c r="J1413">
        <v>0</v>
      </c>
      <c r="K1413">
        <f>44-14</f>
        <v>30</v>
      </c>
      <c r="L1413" t="s">
        <v>1039</v>
      </c>
      <c r="M1413">
        <v>2</v>
      </c>
    </row>
    <row r="1414" spans="1:13" x14ac:dyDescent="0.25">
      <c r="A1414" s="4">
        <v>42604</v>
      </c>
      <c r="B1414" t="s">
        <v>30</v>
      </c>
      <c r="C1414">
        <v>3</v>
      </c>
      <c r="D1414">
        <v>2</v>
      </c>
      <c r="E1414" t="s">
        <v>42</v>
      </c>
      <c r="F1414" t="s">
        <v>36</v>
      </c>
      <c r="G1414">
        <v>1</v>
      </c>
      <c r="H1414" s="5" t="s">
        <v>957</v>
      </c>
      <c r="I1414" s="5"/>
      <c r="J1414">
        <v>1</v>
      </c>
      <c r="K1414">
        <f>39-14</f>
        <v>25</v>
      </c>
      <c r="L1414" t="s">
        <v>47</v>
      </c>
      <c r="M1414">
        <v>1</v>
      </c>
    </row>
    <row r="1415" spans="1:13" x14ac:dyDescent="0.25">
      <c r="A1415" s="4">
        <v>42605</v>
      </c>
      <c r="B1415" t="s">
        <v>30</v>
      </c>
      <c r="C1415">
        <v>3</v>
      </c>
      <c r="D1415">
        <v>2</v>
      </c>
      <c r="E1415" t="s">
        <v>35</v>
      </c>
      <c r="F1415" t="s">
        <v>36</v>
      </c>
      <c r="G1415">
        <v>1</v>
      </c>
      <c r="H1415" s="5" t="s">
        <v>957</v>
      </c>
      <c r="I1415" s="5"/>
      <c r="J1415">
        <v>1</v>
      </c>
      <c r="K1415">
        <f>40-15.5</f>
        <v>24.5</v>
      </c>
      <c r="L1415" t="s">
        <v>47</v>
      </c>
      <c r="M1415">
        <v>1</v>
      </c>
    </row>
    <row r="1416" spans="1:13" x14ac:dyDescent="0.25">
      <c r="A1416" s="4">
        <v>42604</v>
      </c>
      <c r="B1416" t="s">
        <v>30</v>
      </c>
      <c r="C1416">
        <v>3</v>
      </c>
      <c r="D1416">
        <v>2</v>
      </c>
      <c r="E1416" t="s">
        <v>42</v>
      </c>
      <c r="F1416" t="s">
        <v>36</v>
      </c>
      <c r="G1416">
        <v>1</v>
      </c>
      <c r="H1416" s="5" t="s">
        <v>958</v>
      </c>
      <c r="I1416" s="5"/>
      <c r="J1416">
        <v>1</v>
      </c>
      <c r="K1416">
        <f>32.5-14</f>
        <v>18.5</v>
      </c>
      <c r="L1416" t="s">
        <v>47</v>
      </c>
      <c r="M1416">
        <v>1</v>
      </c>
    </row>
    <row r="1417" spans="1:13" x14ac:dyDescent="0.25">
      <c r="A1417" s="4">
        <v>42605</v>
      </c>
      <c r="B1417" t="s">
        <v>30</v>
      </c>
      <c r="C1417">
        <v>3</v>
      </c>
      <c r="D1417">
        <v>2</v>
      </c>
      <c r="E1417" t="s">
        <v>35</v>
      </c>
      <c r="F1417" t="s">
        <v>36</v>
      </c>
      <c r="G1417">
        <v>1</v>
      </c>
      <c r="H1417" s="5" t="s">
        <v>958</v>
      </c>
      <c r="I1417" s="5"/>
      <c r="J1417">
        <v>1</v>
      </c>
      <c r="K1417">
        <f>39.5-19</f>
        <v>20.5</v>
      </c>
      <c r="L1417" t="s">
        <v>47</v>
      </c>
      <c r="M1417">
        <v>1</v>
      </c>
    </row>
    <row r="1418" spans="1:13" x14ac:dyDescent="0.25">
      <c r="A1418" s="4">
        <v>42606</v>
      </c>
      <c r="B1418" t="s">
        <v>30</v>
      </c>
      <c r="C1418">
        <v>3</v>
      </c>
      <c r="D1418">
        <v>2</v>
      </c>
      <c r="E1418" t="s">
        <v>35</v>
      </c>
      <c r="F1418" t="s">
        <v>114</v>
      </c>
      <c r="G1418">
        <v>1</v>
      </c>
      <c r="H1418" s="5" t="s">
        <v>958</v>
      </c>
      <c r="I1418" s="5"/>
      <c r="J1418">
        <v>1</v>
      </c>
      <c r="K1418">
        <f>31.5-13.5</f>
        <v>18</v>
      </c>
      <c r="L1418" t="s">
        <v>65</v>
      </c>
      <c r="M1418">
        <v>1</v>
      </c>
    </row>
    <row r="1419" spans="1:13" x14ac:dyDescent="0.25">
      <c r="A1419" s="4">
        <v>42604</v>
      </c>
      <c r="B1419" t="s">
        <v>30</v>
      </c>
      <c r="C1419">
        <v>3</v>
      </c>
      <c r="D1419">
        <v>2</v>
      </c>
      <c r="E1419" t="s">
        <v>42</v>
      </c>
      <c r="F1419" t="s">
        <v>36</v>
      </c>
      <c r="G1419">
        <v>1</v>
      </c>
      <c r="H1419" s="5" t="s">
        <v>959</v>
      </c>
      <c r="I1419" s="5"/>
      <c r="J1419">
        <v>1</v>
      </c>
      <c r="K1419">
        <f>45-16.5</f>
        <v>28.5</v>
      </c>
      <c r="L1419" t="s">
        <v>47</v>
      </c>
      <c r="M1419">
        <v>1</v>
      </c>
    </row>
    <row r="1420" spans="1:13" x14ac:dyDescent="0.25">
      <c r="A1420" s="4">
        <v>42604</v>
      </c>
      <c r="B1420" t="s">
        <v>30</v>
      </c>
      <c r="C1420">
        <v>3</v>
      </c>
      <c r="D1420">
        <v>2</v>
      </c>
      <c r="E1420" t="s">
        <v>42</v>
      </c>
      <c r="F1420" t="s">
        <v>36</v>
      </c>
      <c r="G1420">
        <v>1</v>
      </c>
      <c r="H1420" s="5" t="s">
        <v>961</v>
      </c>
      <c r="I1420" s="5" t="s">
        <v>961</v>
      </c>
      <c r="J1420">
        <v>1</v>
      </c>
      <c r="L1420" t="s">
        <v>47</v>
      </c>
      <c r="M1420">
        <v>1</v>
      </c>
    </row>
    <row r="1421" spans="1:13" x14ac:dyDescent="0.25">
      <c r="A1421" s="4">
        <v>42606</v>
      </c>
      <c r="B1421" t="s">
        <v>30</v>
      </c>
      <c r="C1421">
        <v>3</v>
      </c>
      <c r="D1421">
        <v>2</v>
      </c>
      <c r="E1421" t="s">
        <v>35</v>
      </c>
      <c r="F1421" t="s">
        <v>36</v>
      </c>
      <c r="G1421">
        <v>1</v>
      </c>
      <c r="H1421" s="5" t="s">
        <v>961</v>
      </c>
      <c r="I1421" s="5" t="s">
        <v>961</v>
      </c>
      <c r="J1421">
        <v>1</v>
      </c>
      <c r="K1421">
        <f>35-14.5</f>
        <v>20.5</v>
      </c>
      <c r="L1421" t="s">
        <v>47</v>
      </c>
      <c r="M1421">
        <v>1</v>
      </c>
    </row>
    <row r="1422" spans="1:13" x14ac:dyDescent="0.25">
      <c r="A1422" s="4">
        <v>42604</v>
      </c>
      <c r="B1422" t="s">
        <v>30</v>
      </c>
      <c r="C1422">
        <v>4</v>
      </c>
      <c r="D1422">
        <v>2</v>
      </c>
      <c r="E1422" t="s">
        <v>42</v>
      </c>
      <c r="F1422" t="s">
        <v>36</v>
      </c>
      <c r="G1422">
        <v>1</v>
      </c>
      <c r="H1422" s="5" t="s">
        <v>966</v>
      </c>
      <c r="I1422" s="5"/>
      <c r="J1422">
        <v>1</v>
      </c>
      <c r="K1422">
        <f>40-20.5</f>
        <v>19.5</v>
      </c>
      <c r="L1422" t="s">
        <v>65</v>
      </c>
      <c r="M1422">
        <v>1</v>
      </c>
    </row>
    <row r="1423" spans="1:13" x14ac:dyDescent="0.25">
      <c r="A1423" s="4">
        <v>42605</v>
      </c>
      <c r="B1423" t="s">
        <v>30</v>
      </c>
      <c r="C1423">
        <v>4</v>
      </c>
      <c r="D1423">
        <v>2</v>
      </c>
      <c r="E1423" t="s">
        <v>35</v>
      </c>
      <c r="F1423" t="s">
        <v>36</v>
      </c>
      <c r="G1423">
        <v>1</v>
      </c>
      <c r="H1423" s="5" t="s">
        <v>966</v>
      </c>
      <c r="I1423" s="5"/>
      <c r="J1423">
        <v>1</v>
      </c>
      <c r="K1423">
        <f>32-14</f>
        <v>18</v>
      </c>
      <c r="L1423" t="s">
        <v>65</v>
      </c>
      <c r="M1423">
        <v>1</v>
      </c>
    </row>
    <row r="1424" spans="1:13" x14ac:dyDescent="0.25">
      <c r="A1424" s="4">
        <v>42605</v>
      </c>
      <c r="B1424" t="s">
        <v>30</v>
      </c>
      <c r="C1424">
        <v>3</v>
      </c>
      <c r="D1424">
        <v>2</v>
      </c>
      <c r="E1424" t="s">
        <v>42</v>
      </c>
      <c r="F1424" t="s">
        <v>36</v>
      </c>
      <c r="G1424">
        <v>2</v>
      </c>
      <c r="H1424" s="5" t="s">
        <v>996</v>
      </c>
      <c r="I1424" s="5"/>
      <c r="J1424">
        <v>1</v>
      </c>
      <c r="K1424">
        <f>42-13.5</f>
        <v>28.5</v>
      </c>
      <c r="L1424" t="s">
        <v>136</v>
      </c>
      <c r="M1424">
        <v>1</v>
      </c>
    </row>
    <row r="1425" spans="1:13" x14ac:dyDescent="0.25">
      <c r="A1425" s="4">
        <v>42606</v>
      </c>
      <c r="B1425" t="s">
        <v>30</v>
      </c>
      <c r="C1425">
        <v>3</v>
      </c>
      <c r="D1425">
        <v>2</v>
      </c>
      <c r="E1425" t="s">
        <v>35</v>
      </c>
      <c r="F1425" t="s">
        <v>36</v>
      </c>
      <c r="G1425">
        <v>2</v>
      </c>
      <c r="H1425" s="5" t="s">
        <v>996</v>
      </c>
      <c r="I1425" s="5"/>
      <c r="J1425">
        <v>1</v>
      </c>
      <c r="K1425">
        <f>38-13</f>
        <v>25</v>
      </c>
      <c r="L1425" t="s">
        <v>136</v>
      </c>
      <c r="M1425">
        <v>1</v>
      </c>
    </row>
    <row r="1426" spans="1:13" x14ac:dyDescent="0.25">
      <c r="A1426" s="4">
        <v>42605</v>
      </c>
      <c r="B1426" t="s">
        <v>30</v>
      </c>
      <c r="C1426">
        <v>4</v>
      </c>
      <c r="D1426">
        <v>2</v>
      </c>
      <c r="E1426" t="s">
        <v>42</v>
      </c>
      <c r="F1426" t="s">
        <v>114</v>
      </c>
      <c r="G1426">
        <v>2</v>
      </c>
      <c r="H1426" s="5" t="s">
        <v>999</v>
      </c>
      <c r="I1426" s="5"/>
      <c r="J1426">
        <v>1</v>
      </c>
      <c r="K1426">
        <f>32-16</f>
        <v>16</v>
      </c>
      <c r="L1426" t="s">
        <v>38</v>
      </c>
      <c r="M1426">
        <v>1</v>
      </c>
    </row>
    <row r="1427" spans="1:13" x14ac:dyDescent="0.25">
      <c r="A1427" s="4">
        <v>42606</v>
      </c>
      <c r="B1427" t="s">
        <v>30</v>
      </c>
      <c r="C1427">
        <v>4</v>
      </c>
      <c r="D1427">
        <v>2</v>
      </c>
      <c r="E1427" t="s">
        <v>35</v>
      </c>
      <c r="F1427" t="s">
        <v>114</v>
      </c>
      <c r="G1427">
        <v>2</v>
      </c>
      <c r="H1427" s="5" t="s">
        <v>999</v>
      </c>
      <c r="I1427" s="5"/>
      <c r="J1427">
        <v>1</v>
      </c>
      <c r="K1427">
        <f>33-17</f>
        <v>16</v>
      </c>
      <c r="L1427" t="s">
        <v>38</v>
      </c>
      <c r="M1427">
        <v>1</v>
      </c>
    </row>
    <row r="1428" spans="1:13" x14ac:dyDescent="0.25">
      <c r="A1428" s="4">
        <v>42606</v>
      </c>
      <c r="B1428" t="s">
        <v>30</v>
      </c>
      <c r="C1428">
        <v>5</v>
      </c>
      <c r="D1428">
        <v>2</v>
      </c>
      <c r="E1428" t="s">
        <v>42</v>
      </c>
      <c r="F1428" t="s">
        <v>36</v>
      </c>
      <c r="G1428">
        <v>1</v>
      </c>
      <c r="H1428" s="5" t="s">
        <v>1006</v>
      </c>
      <c r="I1428" s="5"/>
      <c r="J1428">
        <v>1</v>
      </c>
      <c r="K1428">
        <f>34-13</f>
        <v>21</v>
      </c>
      <c r="L1428" t="s">
        <v>47</v>
      </c>
      <c r="M1428">
        <v>1</v>
      </c>
    </row>
    <row r="1429" spans="1:13" x14ac:dyDescent="0.25">
      <c r="A1429" s="4">
        <v>42606</v>
      </c>
      <c r="B1429" t="s">
        <v>30</v>
      </c>
      <c r="C1429">
        <v>3</v>
      </c>
      <c r="D1429">
        <v>2</v>
      </c>
      <c r="E1429" t="s">
        <v>42</v>
      </c>
      <c r="F1429" t="s">
        <v>36</v>
      </c>
      <c r="G1429">
        <v>1</v>
      </c>
      <c r="H1429" s="5" t="s">
        <v>1021</v>
      </c>
      <c r="I1429" s="5"/>
      <c r="J1429">
        <v>1</v>
      </c>
      <c r="K1429">
        <f>35-15</f>
        <v>20</v>
      </c>
      <c r="L1429" t="s">
        <v>47</v>
      </c>
      <c r="M1429">
        <v>1</v>
      </c>
    </row>
    <row r="1430" spans="1:13" x14ac:dyDescent="0.25">
      <c r="A1430" s="4">
        <v>42606</v>
      </c>
      <c r="B1430" t="s">
        <v>30</v>
      </c>
      <c r="C1430">
        <v>4</v>
      </c>
      <c r="D1430">
        <v>2</v>
      </c>
      <c r="E1430" t="s">
        <v>42</v>
      </c>
      <c r="F1430" t="s">
        <v>114</v>
      </c>
      <c r="G1430">
        <v>1</v>
      </c>
      <c r="H1430" s="5" t="s">
        <v>1023</v>
      </c>
      <c r="I1430" s="5"/>
      <c r="J1430">
        <v>1</v>
      </c>
      <c r="K1430">
        <f>30-13</f>
        <v>17</v>
      </c>
      <c r="L1430" t="s">
        <v>65</v>
      </c>
      <c r="M1430">
        <v>1</v>
      </c>
    </row>
    <row r="1431" spans="1:13" x14ac:dyDescent="0.25">
      <c r="A1431" s="4">
        <v>42600</v>
      </c>
      <c r="B1431" t="s">
        <v>30</v>
      </c>
      <c r="C1431">
        <v>3</v>
      </c>
      <c r="D1431">
        <v>2</v>
      </c>
      <c r="E1431" t="s">
        <v>42</v>
      </c>
      <c r="F1431" t="s">
        <v>89</v>
      </c>
      <c r="G1431">
        <v>1</v>
      </c>
      <c r="H1431" s="5" t="s">
        <v>911</v>
      </c>
      <c r="I1431" s="5"/>
      <c r="J1431">
        <v>1</v>
      </c>
      <c r="K1431">
        <f>27-15</f>
        <v>12</v>
      </c>
      <c r="L1431" t="s">
        <v>65</v>
      </c>
      <c r="M1431">
        <v>1</v>
      </c>
    </row>
    <row r="1432" spans="1:13" x14ac:dyDescent="0.25">
      <c r="A1432" s="4">
        <v>42604</v>
      </c>
      <c r="B1432" t="s">
        <v>30</v>
      </c>
      <c r="C1432">
        <v>5</v>
      </c>
      <c r="D1432">
        <v>2</v>
      </c>
      <c r="E1432" t="s">
        <v>42</v>
      </c>
      <c r="F1432" t="s">
        <v>89</v>
      </c>
      <c r="G1432">
        <v>2</v>
      </c>
      <c r="H1432" s="5" t="s">
        <v>941</v>
      </c>
      <c r="I1432" s="5"/>
      <c r="J1432">
        <v>1</v>
      </c>
      <c r="K1432">
        <f>27-13.5</f>
        <v>13.5</v>
      </c>
      <c r="L1432" t="s">
        <v>38</v>
      </c>
      <c r="M1432">
        <v>1</v>
      </c>
    </row>
    <row r="1433" spans="1:13" x14ac:dyDescent="0.25">
      <c r="A1433" s="4">
        <v>42606</v>
      </c>
      <c r="B1433" t="s">
        <v>30</v>
      </c>
      <c r="C1433">
        <v>5</v>
      </c>
      <c r="D1433">
        <v>2</v>
      </c>
      <c r="E1433" t="s">
        <v>35</v>
      </c>
      <c r="F1433" t="s">
        <v>89</v>
      </c>
      <c r="G1433">
        <v>1</v>
      </c>
      <c r="H1433" s="5" t="s">
        <v>941</v>
      </c>
      <c r="I1433" s="5"/>
      <c r="J1433">
        <v>1</v>
      </c>
      <c r="K1433">
        <f>26.5-13.5</f>
        <v>13</v>
      </c>
      <c r="L1433" t="s">
        <v>65</v>
      </c>
      <c r="M1433">
        <v>1</v>
      </c>
    </row>
    <row r="1434" spans="1:13" x14ac:dyDescent="0.25">
      <c r="A1434" s="4">
        <v>42604</v>
      </c>
      <c r="B1434" t="s">
        <v>30</v>
      </c>
      <c r="C1434">
        <v>5</v>
      </c>
      <c r="D1434">
        <v>2</v>
      </c>
      <c r="E1434" t="s">
        <v>42</v>
      </c>
      <c r="F1434" t="s">
        <v>36</v>
      </c>
      <c r="G1434">
        <v>1</v>
      </c>
      <c r="H1434" s="5" t="s">
        <v>942</v>
      </c>
      <c r="I1434" s="5"/>
      <c r="J1434">
        <v>1</v>
      </c>
      <c r="K1434">
        <f>43-13</f>
        <v>30</v>
      </c>
      <c r="L1434" t="s">
        <v>65</v>
      </c>
      <c r="M1434">
        <v>1</v>
      </c>
    </row>
    <row r="1435" spans="1:13" x14ac:dyDescent="0.25">
      <c r="A1435" s="4">
        <v>42606</v>
      </c>
      <c r="B1435" t="s">
        <v>30</v>
      </c>
      <c r="C1435">
        <v>5</v>
      </c>
      <c r="D1435">
        <v>2</v>
      </c>
      <c r="E1435" t="s">
        <v>35</v>
      </c>
      <c r="F1435" t="s">
        <v>36</v>
      </c>
      <c r="G1435">
        <v>1</v>
      </c>
      <c r="H1435" s="5" t="s">
        <v>942</v>
      </c>
      <c r="I1435" s="5"/>
      <c r="J1435">
        <v>1</v>
      </c>
      <c r="K1435">
        <f>36-17</f>
        <v>19</v>
      </c>
      <c r="L1435" t="s">
        <v>65</v>
      </c>
      <c r="M1435">
        <v>1</v>
      </c>
    </row>
    <row r="1436" spans="1:13" x14ac:dyDescent="0.25">
      <c r="A1436" s="4">
        <v>42604</v>
      </c>
      <c r="B1436" t="s">
        <v>30</v>
      </c>
      <c r="C1436">
        <v>5</v>
      </c>
      <c r="D1436">
        <v>2</v>
      </c>
      <c r="E1436" t="s">
        <v>42</v>
      </c>
      <c r="F1436" t="s">
        <v>36</v>
      </c>
      <c r="G1436">
        <v>2</v>
      </c>
      <c r="H1436" s="5" t="s">
        <v>947</v>
      </c>
      <c r="I1436" s="5"/>
      <c r="J1436">
        <v>1</v>
      </c>
      <c r="K1436">
        <f>32-13.5</f>
        <v>18.5</v>
      </c>
      <c r="L1436" t="s">
        <v>136</v>
      </c>
      <c r="M1436">
        <v>1</v>
      </c>
    </row>
    <row r="1437" spans="1:13" x14ac:dyDescent="0.25">
      <c r="A1437" s="4">
        <v>42604</v>
      </c>
      <c r="B1437" t="s">
        <v>30</v>
      </c>
      <c r="C1437">
        <v>5</v>
      </c>
      <c r="D1437">
        <v>2</v>
      </c>
      <c r="E1437" t="s">
        <v>42</v>
      </c>
      <c r="F1437" t="s">
        <v>36</v>
      </c>
      <c r="G1437">
        <v>2</v>
      </c>
      <c r="H1437" s="5" t="s">
        <v>952</v>
      </c>
      <c r="I1437" s="5"/>
      <c r="J1437">
        <v>1</v>
      </c>
      <c r="K1437">
        <f>38-16</f>
        <v>22</v>
      </c>
      <c r="L1437" t="s">
        <v>38</v>
      </c>
      <c r="M1437">
        <v>1</v>
      </c>
    </row>
    <row r="1438" spans="1:13" x14ac:dyDescent="0.25">
      <c r="A1438" s="4">
        <v>42605</v>
      </c>
      <c r="B1438" t="s">
        <v>30</v>
      </c>
      <c r="C1438">
        <v>5</v>
      </c>
      <c r="D1438">
        <v>2</v>
      </c>
      <c r="E1438" t="s">
        <v>35</v>
      </c>
      <c r="F1438" t="s">
        <v>36</v>
      </c>
      <c r="G1438">
        <v>2</v>
      </c>
      <c r="H1438" s="5" t="s">
        <v>952</v>
      </c>
      <c r="I1438" s="5"/>
      <c r="J1438">
        <v>1</v>
      </c>
      <c r="K1438">
        <f>42-19</f>
        <v>23</v>
      </c>
      <c r="L1438" t="s">
        <v>38</v>
      </c>
      <c r="M1438">
        <v>1</v>
      </c>
    </row>
    <row r="1439" spans="1:13" x14ac:dyDescent="0.25">
      <c r="A1439" s="4">
        <v>42606</v>
      </c>
      <c r="B1439" t="s">
        <v>30</v>
      </c>
      <c r="C1439">
        <v>5</v>
      </c>
      <c r="D1439">
        <v>2</v>
      </c>
      <c r="E1439" t="s">
        <v>35</v>
      </c>
      <c r="F1439" t="s">
        <v>36</v>
      </c>
      <c r="G1439">
        <v>2</v>
      </c>
      <c r="H1439" s="5" t="s">
        <v>952</v>
      </c>
      <c r="I1439" s="5"/>
      <c r="J1439">
        <v>1</v>
      </c>
      <c r="K1439">
        <f>42-17</f>
        <v>25</v>
      </c>
      <c r="L1439" t="s">
        <v>38</v>
      </c>
      <c r="M1439">
        <v>1</v>
      </c>
    </row>
    <row r="1440" spans="1:13" x14ac:dyDescent="0.25">
      <c r="A1440" s="4">
        <v>42604</v>
      </c>
      <c r="B1440" t="s">
        <v>30</v>
      </c>
      <c r="C1440">
        <v>5</v>
      </c>
      <c r="D1440">
        <v>2</v>
      </c>
      <c r="E1440" t="s">
        <v>42</v>
      </c>
      <c r="F1440" t="s">
        <v>36</v>
      </c>
      <c r="G1440">
        <v>1</v>
      </c>
      <c r="H1440" s="5" t="s">
        <v>953</v>
      </c>
      <c r="I1440" s="5"/>
      <c r="J1440">
        <v>1</v>
      </c>
      <c r="K1440">
        <f>33-15.5</f>
        <v>17.5</v>
      </c>
      <c r="L1440" t="s">
        <v>65</v>
      </c>
      <c r="M1440">
        <v>1</v>
      </c>
    </row>
    <row r="1441" spans="1:13" x14ac:dyDescent="0.25">
      <c r="A1441" s="4">
        <v>42604</v>
      </c>
      <c r="B1441" t="s">
        <v>30</v>
      </c>
      <c r="C1441">
        <v>5</v>
      </c>
      <c r="D1441">
        <v>2</v>
      </c>
      <c r="E1441" t="s">
        <v>35</v>
      </c>
      <c r="F1441" t="s">
        <v>36</v>
      </c>
      <c r="G1441">
        <v>1</v>
      </c>
      <c r="H1441" s="5" t="s">
        <v>955</v>
      </c>
      <c r="I1441" s="5"/>
      <c r="J1441">
        <v>1</v>
      </c>
      <c r="K1441">
        <f>36-17</f>
        <v>19</v>
      </c>
      <c r="L1441" t="s">
        <v>47</v>
      </c>
      <c r="M1441">
        <v>1</v>
      </c>
    </row>
    <row r="1442" spans="1:13" x14ac:dyDescent="0.25">
      <c r="A1442" s="4">
        <v>42606</v>
      </c>
      <c r="B1442" t="s">
        <v>30</v>
      </c>
      <c r="C1442">
        <v>5</v>
      </c>
      <c r="D1442">
        <v>2</v>
      </c>
      <c r="E1442" t="s">
        <v>35</v>
      </c>
      <c r="F1442" t="s">
        <v>36</v>
      </c>
      <c r="G1442">
        <v>1</v>
      </c>
      <c r="H1442" s="5" t="s">
        <v>955</v>
      </c>
      <c r="I1442" s="5"/>
      <c r="J1442">
        <v>1</v>
      </c>
      <c r="K1442">
        <f>32-15.5</f>
        <v>16.5</v>
      </c>
      <c r="L1442" t="s">
        <v>65</v>
      </c>
      <c r="M1442">
        <v>1</v>
      </c>
    </row>
    <row r="1443" spans="1:13" x14ac:dyDescent="0.25">
      <c r="A1443" s="4">
        <v>42604</v>
      </c>
      <c r="B1443" t="s">
        <v>30</v>
      </c>
      <c r="C1443">
        <v>5</v>
      </c>
      <c r="D1443">
        <v>2</v>
      </c>
      <c r="E1443" t="s">
        <v>35</v>
      </c>
      <c r="F1443" t="s">
        <v>36</v>
      </c>
      <c r="G1443">
        <v>2</v>
      </c>
      <c r="H1443" s="5" t="s">
        <v>940</v>
      </c>
      <c r="I1443" s="5"/>
      <c r="J1443">
        <v>1</v>
      </c>
      <c r="K1443">
        <f>43-13</f>
        <v>30</v>
      </c>
      <c r="L1443" t="s">
        <v>136</v>
      </c>
      <c r="M1443">
        <v>1</v>
      </c>
    </row>
    <row r="1444" spans="1:13" x14ac:dyDescent="0.25">
      <c r="A1444" s="4">
        <v>43297</v>
      </c>
      <c r="B1444" t="s">
        <v>30</v>
      </c>
      <c r="C1444">
        <v>4</v>
      </c>
      <c r="D1444">
        <v>2</v>
      </c>
      <c r="E1444" t="s">
        <v>35</v>
      </c>
      <c r="F1444" t="s">
        <v>36</v>
      </c>
      <c r="G1444">
        <v>2</v>
      </c>
      <c r="H1444">
        <v>2811</v>
      </c>
      <c r="J1444">
        <v>1</v>
      </c>
      <c r="K1444">
        <f>42-26</f>
        <v>16</v>
      </c>
      <c r="L1444" t="s">
        <v>1041</v>
      </c>
      <c r="M1444">
        <v>3</v>
      </c>
    </row>
    <row r="1445" spans="1:13" x14ac:dyDescent="0.25">
      <c r="A1445" s="4">
        <v>43298</v>
      </c>
      <c r="B1445" t="s">
        <v>30</v>
      </c>
      <c r="C1445">
        <v>4</v>
      </c>
      <c r="D1445">
        <v>2</v>
      </c>
      <c r="E1445" t="s">
        <v>35</v>
      </c>
      <c r="F1445" t="s">
        <v>36</v>
      </c>
      <c r="G1445">
        <v>2</v>
      </c>
      <c r="H1445">
        <v>2811</v>
      </c>
      <c r="J1445">
        <v>1</v>
      </c>
      <c r="K1445">
        <f>48-24</f>
        <v>24</v>
      </c>
      <c r="L1445" t="s">
        <v>38</v>
      </c>
      <c r="M1445">
        <v>3</v>
      </c>
    </row>
    <row r="1446" spans="1:13" x14ac:dyDescent="0.25">
      <c r="A1446" s="4">
        <v>43311</v>
      </c>
      <c r="B1446" t="s">
        <v>30</v>
      </c>
      <c r="C1446">
        <v>4</v>
      </c>
      <c r="D1446">
        <v>2</v>
      </c>
      <c r="E1446" t="s">
        <v>35</v>
      </c>
      <c r="F1446" t="s">
        <v>36</v>
      </c>
      <c r="G1446">
        <v>2</v>
      </c>
      <c r="H1446">
        <v>2811</v>
      </c>
      <c r="J1446">
        <v>1</v>
      </c>
      <c r="K1446">
        <f>37-10.25</f>
        <v>26.75</v>
      </c>
      <c r="L1446" t="s">
        <v>1039</v>
      </c>
      <c r="M1446">
        <v>3</v>
      </c>
    </row>
    <row r="1447" spans="1:13" x14ac:dyDescent="0.25">
      <c r="A1447" s="4">
        <v>43312</v>
      </c>
      <c r="B1447" t="s">
        <v>30</v>
      </c>
      <c r="C1447">
        <v>4</v>
      </c>
      <c r="D1447">
        <v>2</v>
      </c>
      <c r="E1447" t="s">
        <v>35</v>
      </c>
      <c r="F1447" t="s">
        <v>36</v>
      </c>
      <c r="G1447">
        <v>2</v>
      </c>
      <c r="H1447">
        <v>2811</v>
      </c>
      <c r="J1447">
        <v>1</v>
      </c>
      <c r="K1447">
        <f>37-11</f>
        <v>26</v>
      </c>
      <c r="L1447" t="s">
        <v>1039</v>
      </c>
      <c r="M1447">
        <v>3</v>
      </c>
    </row>
    <row r="1448" spans="1:13" x14ac:dyDescent="0.25">
      <c r="A1448" s="4">
        <v>43313</v>
      </c>
      <c r="B1448" t="s">
        <v>30</v>
      </c>
      <c r="C1448">
        <v>4</v>
      </c>
      <c r="D1448">
        <v>2</v>
      </c>
      <c r="E1448" t="s">
        <v>35</v>
      </c>
      <c r="F1448" t="s">
        <v>36</v>
      </c>
      <c r="G1448">
        <v>2</v>
      </c>
      <c r="H1448">
        <v>2811</v>
      </c>
      <c r="J1448">
        <v>1</v>
      </c>
      <c r="K1448">
        <f>40-16.5</f>
        <v>23.5</v>
      </c>
      <c r="L1448" t="s">
        <v>1039</v>
      </c>
      <c r="M1448">
        <v>3</v>
      </c>
    </row>
    <row r="1449" spans="1:13" x14ac:dyDescent="0.25">
      <c r="A1449" s="4">
        <v>43297</v>
      </c>
      <c r="B1449" t="s">
        <v>30</v>
      </c>
      <c r="C1449">
        <v>5</v>
      </c>
      <c r="D1449">
        <v>2</v>
      </c>
      <c r="E1449" t="s">
        <v>35</v>
      </c>
      <c r="F1449" t="s">
        <v>36</v>
      </c>
      <c r="G1449">
        <v>2</v>
      </c>
      <c r="H1449">
        <v>2818</v>
      </c>
      <c r="J1449">
        <v>0</v>
      </c>
      <c r="K1449">
        <f>43-21</f>
        <v>22</v>
      </c>
      <c r="L1449" t="s">
        <v>1041</v>
      </c>
      <c r="M1449">
        <v>3</v>
      </c>
    </row>
    <row r="1450" spans="1:13" x14ac:dyDescent="0.25">
      <c r="A1450" s="4">
        <v>43298</v>
      </c>
      <c r="B1450" t="s">
        <v>30</v>
      </c>
      <c r="C1450">
        <v>5</v>
      </c>
      <c r="D1450">
        <v>2</v>
      </c>
      <c r="E1450" t="s">
        <v>35</v>
      </c>
      <c r="F1450" t="s">
        <v>36</v>
      </c>
      <c r="G1450">
        <v>2</v>
      </c>
      <c r="H1450">
        <v>2818</v>
      </c>
      <c r="J1450">
        <v>0</v>
      </c>
      <c r="K1450">
        <f>48-21</f>
        <v>27</v>
      </c>
      <c r="L1450" t="s">
        <v>1041</v>
      </c>
      <c r="M1450">
        <v>3</v>
      </c>
    </row>
    <row r="1451" spans="1:13" x14ac:dyDescent="0.25">
      <c r="A1451" s="4">
        <v>43299</v>
      </c>
      <c r="B1451" t="s">
        <v>30</v>
      </c>
      <c r="C1451">
        <v>5</v>
      </c>
      <c r="D1451">
        <v>2</v>
      </c>
      <c r="E1451" t="s">
        <v>35</v>
      </c>
      <c r="F1451" t="s">
        <v>36</v>
      </c>
      <c r="G1451">
        <v>2</v>
      </c>
      <c r="H1451">
        <v>2818</v>
      </c>
      <c r="J1451">
        <v>0</v>
      </c>
      <c r="L1451" t="s">
        <v>1041</v>
      </c>
      <c r="M1451">
        <v>3</v>
      </c>
    </row>
    <row r="1452" spans="1:13" x14ac:dyDescent="0.25">
      <c r="A1452" s="4">
        <v>43311</v>
      </c>
      <c r="B1452" t="s">
        <v>30</v>
      </c>
      <c r="C1452">
        <v>5</v>
      </c>
      <c r="D1452">
        <v>2</v>
      </c>
      <c r="E1452" t="s">
        <v>35</v>
      </c>
      <c r="F1452" t="s">
        <v>36</v>
      </c>
      <c r="G1452">
        <v>2</v>
      </c>
      <c r="H1452">
        <v>2818</v>
      </c>
      <c r="J1452">
        <v>1</v>
      </c>
      <c r="K1452">
        <f>37-10</f>
        <v>27</v>
      </c>
      <c r="L1452" t="s">
        <v>1041</v>
      </c>
      <c r="M1452">
        <v>3</v>
      </c>
    </row>
    <row r="1453" spans="1:13" x14ac:dyDescent="0.25">
      <c r="A1453" s="4">
        <v>43312</v>
      </c>
      <c r="B1453" t="s">
        <v>30</v>
      </c>
      <c r="C1453">
        <v>5</v>
      </c>
      <c r="D1453">
        <v>2</v>
      </c>
      <c r="E1453" t="s">
        <v>35</v>
      </c>
      <c r="F1453" t="s">
        <v>36</v>
      </c>
      <c r="G1453">
        <v>2</v>
      </c>
      <c r="H1453">
        <v>2818</v>
      </c>
      <c r="J1453">
        <v>1</v>
      </c>
      <c r="K1453">
        <f>43-26</f>
        <v>17</v>
      </c>
      <c r="L1453" t="s">
        <v>1041</v>
      </c>
      <c r="M1453">
        <v>3</v>
      </c>
    </row>
    <row r="1454" spans="1:13" x14ac:dyDescent="0.25">
      <c r="A1454" s="4">
        <v>43313</v>
      </c>
      <c r="B1454" t="s">
        <v>30</v>
      </c>
      <c r="C1454">
        <v>5</v>
      </c>
      <c r="D1454">
        <v>2</v>
      </c>
      <c r="E1454" t="s">
        <v>35</v>
      </c>
      <c r="F1454" t="s">
        <v>36</v>
      </c>
      <c r="G1454">
        <v>2</v>
      </c>
      <c r="H1454">
        <v>2818</v>
      </c>
      <c r="J1454">
        <v>1</v>
      </c>
      <c r="L1454" t="s">
        <v>38</v>
      </c>
      <c r="M1454">
        <v>3</v>
      </c>
    </row>
    <row r="1455" spans="1:13" x14ac:dyDescent="0.25">
      <c r="A1455" s="4">
        <v>43325</v>
      </c>
      <c r="B1455" t="s">
        <v>30</v>
      </c>
      <c r="C1455">
        <v>5</v>
      </c>
      <c r="D1455">
        <v>2</v>
      </c>
      <c r="E1455" t="s">
        <v>35</v>
      </c>
      <c r="F1455" t="s">
        <v>36</v>
      </c>
      <c r="G1455">
        <v>1</v>
      </c>
      <c r="H1455">
        <v>2818</v>
      </c>
      <c r="J1455">
        <v>0</v>
      </c>
      <c r="K1455">
        <f>39.5-13</f>
        <v>26.5</v>
      </c>
      <c r="L1455" t="s">
        <v>38</v>
      </c>
      <c r="M1455">
        <v>3</v>
      </c>
    </row>
    <row r="1456" spans="1:13" x14ac:dyDescent="0.25">
      <c r="A1456" s="4">
        <v>43326</v>
      </c>
      <c r="B1456" t="s">
        <v>30</v>
      </c>
      <c r="C1456">
        <v>5</v>
      </c>
      <c r="D1456">
        <v>2</v>
      </c>
      <c r="E1456" t="s">
        <v>35</v>
      </c>
      <c r="F1456" t="s">
        <v>36</v>
      </c>
      <c r="G1456">
        <v>2</v>
      </c>
      <c r="H1456">
        <v>2818</v>
      </c>
      <c r="J1456">
        <v>0</v>
      </c>
      <c r="K1456">
        <f>43-20</f>
        <v>23</v>
      </c>
      <c r="L1456" t="s">
        <v>83</v>
      </c>
      <c r="M1456">
        <v>3</v>
      </c>
    </row>
    <row r="1457" spans="1:13" x14ac:dyDescent="0.25">
      <c r="A1457" s="4">
        <v>42598</v>
      </c>
      <c r="B1457" t="s">
        <v>30</v>
      </c>
      <c r="C1457">
        <v>2</v>
      </c>
      <c r="D1457">
        <v>2</v>
      </c>
      <c r="E1457" t="s">
        <v>42</v>
      </c>
      <c r="F1457" t="s">
        <v>114</v>
      </c>
      <c r="G1457">
        <v>1</v>
      </c>
      <c r="H1457" s="5" t="s">
        <v>791</v>
      </c>
      <c r="I1457" s="5"/>
      <c r="J1457">
        <v>1</v>
      </c>
      <c r="K1457">
        <f>28-13</f>
        <v>15</v>
      </c>
      <c r="L1457" t="s">
        <v>65</v>
      </c>
      <c r="M1457">
        <v>1</v>
      </c>
    </row>
    <row r="1458" spans="1:13" x14ac:dyDescent="0.25">
      <c r="A1458" s="4">
        <v>42598</v>
      </c>
      <c r="B1458" t="s">
        <v>30</v>
      </c>
      <c r="C1458">
        <v>3</v>
      </c>
      <c r="D1458">
        <v>2</v>
      </c>
      <c r="E1458" t="s">
        <v>42</v>
      </c>
      <c r="F1458" t="s">
        <v>36</v>
      </c>
      <c r="G1458">
        <v>1</v>
      </c>
      <c r="H1458" s="5" t="s">
        <v>798</v>
      </c>
      <c r="I1458" s="5"/>
      <c r="J1458">
        <v>1</v>
      </c>
      <c r="K1458">
        <f>46-21</f>
        <v>25</v>
      </c>
      <c r="L1458" t="s">
        <v>47</v>
      </c>
      <c r="M1458">
        <v>1</v>
      </c>
    </row>
    <row r="1459" spans="1:13" x14ac:dyDescent="0.25">
      <c r="A1459" s="4">
        <v>42599</v>
      </c>
      <c r="B1459" t="s">
        <v>30</v>
      </c>
      <c r="C1459">
        <v>3</v>
      </c>
      <c r="D1459">
        <v>2</v>
      </c>
      <c r="E1459" t="s">
        <v>35</v>
      </c>
      <c r="F1459" t="s">
        <v>114</v>
      </c>
      <c r="G1459">
        <v>1</v>
      </c>
      <c r="H1459" s="5" t="s">
        <v>798</v>
      </c>
      <c r="I1459" s="5"/>
      <c r="J1459">
        <v>1</v>
      </c>
      <c r="K1459">
        <f>34-15.5</f>
        <v>18.5</v>
      </c>
      <c r="L1459" t="s">
        <v>47</v>
      </c>
      <c r="M1459">
        <v>1</v>
      </c>
    </row>
    <row r="1460" spans="1:13" x14ac:dyDescent="0.25">
      <c r="A1460" s="4">
        <v>42599</v>
      </c>
      <c r="B1460" t="s">
        <v>30</v>
      </c>
      <c r="C1460">
        <v>2</v>
      </c>
      <c r="D1460">
        <v>2</v>
      </c>
      <c r="E1460" t="s">
        <v>42</v>
      </c>
      <c r="F1460" t="s">
        <v>114</v>
      </c>
      <c r="G1460">
        <v>1</v>
      </c>
      <c r="H1460" s="5" t="s">
        <v>848</v>
      </c>
      <c r="I1460" s="5"/>
      <c r="J1460">
        <v>1</v>
      </c>
      <c r="K1460">
        <f>35-15</f>
        <v>20</v>
      </c>
      <c r="L1460" t="s">
        <v>47</v>
      </c>
      <c r="M1460">
        <v>1</v>
      </c>
    </row>
    <row r="1461" spans="1:13" x14ac:dyDescent="0.25">
      <c r="A1461" s="4">
        <v>42600</v>
      </c>
      <c r="B1461" t="s">
        <v>30</v>
      </c>
      <c r="C1461">
        <v>2</v>
      </c>
      <c r="D1461">
        <v>2</v>
      </c>
      <c r="E1461" t="s">
        <v>35</v>
      </c>
      <c r="F1461" t="s">
        <v>36</v>
      </c>
      <c r="G1461">
        <v>1</v>
      </c>
      <c r="H1461" s="5" t="s">
        <v>848</v>
      </c>
      <c r="I1461" s="5"/>
      <c r="J1461">
        <v>1</v>
      </c>
      <c r="K1461">
        <f>36.5-14.5</f>
        <v>22</v>
      </c>
      <c r="L1461" t="s">
        <v>47</v>
      </c>
      <c r="M1461">
        <v>1</v>
      </c>
    </row>
    <row r="1462" spans="1:13" x14ac:dyDescent="0.25">
      <c r="A1462" s="4">
        <v>42599</v>
      </c>
      <c r="B1462" t="s">
        <v>30</v>
      </c>
      <c r="C1462">
        <v>2</v>
      </c>
      <c r="D1462">
        <v>2</v>
      </c>
      <c r="E1462" t="s">
        <v>42</v>
      </c>
      <c r="F1462" t="s">
        <v>36</v>
      </c>
      <c r="G1462">
        <v>1</v>
      </c>
      <c r="H1462" s="5" t="s">
        <v>857</v>
      </c>
      <c r="I1462" s="5"/>
      <c r="J1462">
        <v>1</v>
      </c>
      <c r="K1462">
        <f>36-16</f>
        <v>20</v>
      </c>
      <c r="L1462" t="s">
        <v>47</v>
      </c>
      <c r="M1462">
        <v>1</v>
      </c>
    </row>
    <row r="1463" spans="1:13" x14ac:dyDescent="0.25">
      <c r="A1463" s="4">
        <v>42599</v>
      </c>
      <c r="B1463" t="s">
        <v>30</v>
      </c>
      <c r="C1463">
        <v>2</v>
      </c>
      <c r="D1463">
        <v>2</v>
      </c>
      <c r="E1463" t="s">
        <v>42</v>
      </c>
      <c r="F1463" t="s">
        <v>36</v>
      </c>
      <c r="G1463">
        <v>2</v>
      </c>
      <c r="H1463" s="5" t="s">
        <v>865</v>
      </c>
      <c r="I1463" s="5"/>
      <c r="J1463">
        <v>1</v>
      </c>
      <c r="K1463">
        <f>35-14</f>
        <v>21</v>
      </c>
      <c r="L1463" t="s">
        <v>38</v>
      </c>
      <c r="M1463">
        <v>1</v>
      </c>
    </row>
    <row r="1464" spans="1:13" x14ac:dyDescent="0.25">
      <c r="A1464" s="4">
        <v>42600</v>
      </c>
      <c r="B1464" t="s">
        <v>30</v>
      </c>
      <c r="C1464">
        <v>2</v>
      </c>
      <c r="D1464">
        <v>2</v>
      </c>
      <c r="E1464" t="s">
        <v>35</v>
      </c>
      <c r="F1464" t="s">
        <v>36</v>
      </c>
      <c r="G1464">
        <v>2</v>
      </c>
      <c r="H1464" s="5" t="s">
        <v>865</v>
      </c>
      <c r="I1464" s="5"/>
      <c r="J1464">
        <v>1</v>
      </c>
      <c r="K1464">
        <f>36-14.5</f>
        <v>21.5</v>
      </c>
      <c r="L1464" t="s">
        <v>38</v>
      </c>
      <c r="M1464">
        <v>1</v>
      </c>
    </row>
    <row r="1465" spans="1:13" x14ac:dyDescent="0.25">
      <c r="A1465" s="4">
        <v>42599</v>
      </c>
      <c r="B1465" t="s">
        <v>30</v>
      </c>
      <c r="C1465">
        <v>2</v>
      </c>
      <c r="D1465">
        <v>2</v>
      </c>
      <c r="E1465" t="s">
        <v>42</v>
      </c>
      <c r="F1465" t="s">
        <v>36</v>
      </c>
      <c r="G1465">
        <v>2</v>
      </c>
      <c r="H1465" s="5" t="s">
        <v>867</v>
      </c>
      <c r="I1465" s="5"/>
      <c r="J1465">
        <v>1</v>
      </c>
      <c r="K1465">
        <f>42.5-14.5</f>
        <v>28</v>
      </c>
      <c r="L1465" t="s">
        <v>136</v>
      </c>
      <c r="M1465">
        <v>1</v>
      </c>
    </row>
    <row r="1466" spans="1:13" x14ac:dyDescent="0.25">
      <c r="A1466" s="4">
        <v>42600</v>
      </c>
      <c r="B1466" t="s">
        <v>30</v>
      </c>
      <c r="C1466">
        <v>2</v>
      </c>
      <c r="D1466">
        <v>2</v>
      </c>
      <c r="E1466" t="s">
        <v>35</v>
      </c>
      <c r="F1466" t="s">
        <v>36</v>
      </c>
      <c r="G1466">
        <v>2</v>
      </c>
      <c r="H1466" s="5" t="s">
        <v>867</v>
      </c>
      <c r="I1466" s="5"/>
      <c r="J1466">
        <v>1</v>
      </c>
      <c r="K1466">
        <f>37-14</f>
        <v>23</v>
      </c>
      <c r="L1466" t="s">
        <v>38</v>
      </c>
      <c r="M1466">
        <v>1</v>
      </c>
    </row>
    <row r="1467" spans="1:13" x14ac:dyDescent="0.25">
      <c r="A1467" s="4">
        <v>42599</v>
      </c>
      <c r="B1467" t="s">
        <v>30</v>
      </c>
      <c r="C1467">
        <v>2</v>
      </c>
      <c r="D1467">
        <v>2</v>
      </c>
      <c r="E1467" t="s">
        <v>42</v>
      </c>
      <c r="F1467" t="s">
        <v>89</v>
      </c>
      <c r="G1467">
        <v>1</v>
      </c>
      <c r="H1467" s="5" t="s">
        <v>868</v>
      </c>
      <c r="I1467" s="5"/>
      <c r="J1467">
        <v>1</v>
      </c>
      <c r="K1467">
        <f>29-14</f>
        <v>15</v>
      </c>
      <c r="L1467" t="s">
        <v>65</v>
      </c>
      <c r="M1467">
        <v>1</v>
      </c>
    </row>
    <row r="1468" spans="1:13" x14ac:dyDescent="0.25">
      <c r="A1468" s="4">
        <v>42600</v>
      </c>
      <c r="B1468" t="s">
        <v>30</v>
      </c>
      <c r="C1468">
        <v>2</v>
      </c>
      <c r="D1468">
        <v>2</v>
      </c>
      <c r="E1468" t="s">
        <v>35</v>
      </c>
      <c r="F1468" t="s">
        <v>36</v>
      </c>
      <c r="G1468">
        <v>1</v>
      </c>
      <c r="H1468" s="5" t="s">
        <v>868</v>
      </c>
      <c r="I1468" s="5"/>
      <c r="J1468">
        <v>1</v>
      </c>
      <c r="K1468">
        <f>37-14</f>
        <v>23</v>
      </c>
      <c r="L1468" t="s">
        <v>65</v>
      </c>
      <c r="M1468">
        <v>1</v>
      </c>
    </row>
    <row r="1469" spans="1:13" x14ac:dyDescent="0.25">
      <c r="A1469" s="4">
        <v>42599</v>
      </c>
      <c r="B1469" t="s">
        <v>30</v>
      </c>
      <c r="C1469">
        <v>3</v>
      </c>
      <c r="D1469">
        <v>2</v>
      </c>
      <c r="E1469" t="s">
        <v>42</v>
      </c>
      <c r="F1469" t="s">
        <v>114</v>
      </c>
      <c r="G1469">
        <v>1</v>
      </c>
      <c r="H1469" s="5" t="s">
        <v>878</v>
      </c>
      <c r="I1469" s="5"/>
      <c r="J1469">
        <v>1</v>
      </c>
      <c r="K1469">
        <f>34-14</f>
        <v>20</v>
      </c>
      <c r="L1469" t="s">
        <v>47</v>
      </c>
      <c r="M1469">
        <v>1</v>
      </c>
    </row>
    <row r="1470" spans="1:13" x14ac:dyDescent="0.25">
      <c r="A1470" s="4">
        <v>42599</v>
      </c>
      <c r="B1470" t="s">
        <v>30</v>
      </c>
      <c r="C1470">
        <v>3</v>
      </c>
      <c r="D1470">
        <v>2</v>
      </c>
      <c r="E1470" t="s">
        <v>42</v>
      </c>
      <c r="F1470" t="s">
        <v>36</v>
      </c>
      <c r="G1470">
        <v>2</v>
      </c>
      <c r="H1470" s="5" t="s">
        <v>880</v>
      </c>
      <c r="I1470" s="5"/>
      <c r="J1470">
        <v>1</v>
      </c>
      <c r="K1470">
        <f>42-14</f>
        <v>28</v>
      </c>
      <c r="L1470" t="s">
        <v>136</v>
      </c>
      <c r="M1470">
        <v>1</v>
      </c>
    </row>
    <row r="1471" spans="1:13" x14ac:dyDescent="0.25">
      <c r="A1471" s="4">
        <v>42600</v>
      </c>
      <c r="B1471" t="s">
        <v>30</v>
      </c>
      <c r="C1471">
        <v>2</v>
      </c>
      <c r="D1471">
        <v>2</v>
      </c>
      <c r="E1471" t="s">
        <v>42</v>
      </c>
      <c r="F1471" t="s">
        <v>89</v>
      </c>
      <c r="G1471">
        <v>2</v>
      </c>
      <c r="H1471" s="5" t="s">
        <v>903</v>
      </c>
      <c r="I1471" s="5"/>
      <c r="J1471">
        <v>1</v>
      </c>
      <c r="K1471">
        <f>27-14</f>
        <v>13</v>
      </c>
      <c r="L1471" t="s">
        <v>38</v>
      </c>
      <c r="M1471">
        <v>1</v>
      </c>
    </row>
    <row r="1472" spans="1:13" x14ac:dyDescent="0.25">
      <c r="A1472" s="4">
        <v>42600</v>
      </c>
      <c r="B1472" t="s">
        <v>30</v>
      </c>
      <c r="C1472">
        <v>2</v>
      </c>
      <c r="D1472">
        <v>2</v>
      </c>
      <c r="E1472" t="s">
        <v>42</v>
      </c>
      <c r="F1472" t="s">
        <v>89</v>
      </c>
      <c r="G1472">
        <v>2</v>
      </c>
      <c r="H1472" s="5" t="s">
        <v>907</v>
      </c>
      <c r="I1472" s="5"/>
      <c r="J1472">
        <v>1</v>
      </c>
      <c r="K1472">
        <f>28-14</f>
        <v>14</v>
      </c>
      <c r="L1472" t="s">
        <v>38</v>
      </c>
      <c r="M1472">
        <v>1</v>
      </c>
    </row>
    <row r="1473" spans="1:13" x14ac:dyDescent="0.25">
      <c r="A1473" s="4">
        <v>43297</v>
      </c>
      <c r="B1473" t="s">
        <v>30</v>
      </c>
      <c r="C1473">
        <v>5</v>
      </c>
      <c r="D1473">
        <v>2</v>
      </c>
      <c r="E1473" t="s">
        <v>35</v>
      </c>
      <c r="F1473" t="s">
        <v>36</v>
      </c>
      <c r="G1473">
        <v>2</v>
      </c>
      <c r="H1473">
        <v>2908</v>
      </c>
      <c r="J1473">
        <v>1</v>
      </c>
      <c r="K1473">
        <f>40-21</f>
        <v>19</v>
      </c>
      <c r="L1473" t="s">
        <v>1039</v>
      </c>
      <c r="M1473">
        <v>3</v>
      </c>
    </row>
    <row r="1474" spans="1:13" x14ac:dyDescent="0.25">
      <c r="A1474" s="4">
        <v>43298</v>
      </c>
      <c r="B1474" t="s">
        <v>30</v>
      </c>
      <c r="C1474">
        <v>5</v>
      </c>
      <c r="D1474">
        <v>2</v>
      </c>
      <c r="E1474" t="s">
        <v>35</v>
      </c>
      <c r="F1474" t="s">
        <v>36</v>
      </c>
      <c r="G1474">
        <v>2</v>
      </c>
      <c r="H1474">
        <v>2908</v>
      </c>
      <c r="J1474">
        <v>1</v>
      </c>
      <c r="K1474">
        <f>49-25</f>
        <v>24</v>
      </c>
      <c r="L1474" t="s">
        <v>1040</v>
      </c>
      <c r="M1474">
        <v>3</v>
      </c>
    </row>
    <row r="1475" spans="1:13" x14ac:dyDescent="0.25">
      <c r="A1475" s="4">
        <v>42606</v>
      </c>
      <c r="B1475" t="s">
        <v>30</v>
      </c>
      <c r="C1475">
        <v>4</v>
      </c>
      <c r="D1475">
        <v>2</v>
      </c>
      <c r="E1475" t="s">
        <v>35</v>
      </c>
      <c r="F1475" t="s">
        <v>36</v>
      </c>
      <c r="G1475">
        <v>2</v>
      </c>
      <c r="H1475" s="5" t="s">
        <v>1025</v>
      </c>
      <c r="I1475" s="5"/>
      <c r="J1475">
        <v>1</v>
      </c>
      <c r="K1475">
        <f>40-13</f>
        <v>27</v>
      </c>
      <c r="L1475" t="s">
        <v>74</v>
      </c>
      <c r="M1475">
        <v>1</v>
      </c>
    </row>
    <row r="1476" spans="1:13" x14ac:dyDescent="0.25">
      <c r="A1476" s="4">
        <v>42605</v>
      </c>
      <c r="B1476" t="s">
        <v>30</v>
      </c>
      <c r="C1476">
        <v>7</v>
      </c>
      <c r="D1476">
        <v>2</v>
      </c>
      <c r="E1476" t="s">
        <v>42</v>
      </c>
      <c r="F1476" t="s">
        <v>89</v>
      </c>
      <c r="G1476">
        <v>1</v>
      </c>
      <c r="H1476" s="5" t="s">
        <v>977</v>
      </c>
      <c r="I1476" s="5"/>
      <c r="J1476">
        <v>1</v>
      </c>
      <c r="K1476">
        <f>29.5-13</f>
        <v>16.5</v>
      </c>
      <c r="L1476" t="s">
        <v>65</v>
      </c>
      <c r="M1476">
        <v>1</v>
      </c>
    </row>
    <row r="1477" spans="1:13" x14ac:dyDescent="0.25">
      <c r="A1477" s="4">
        <v>42605</v>
      </c>
      <c r="B1477" t="s">
        <v>30</v>
      </c>
      <c r="C1477">
        <v>7</v>
      </c>
      <c r="D1477">
        <v>2</v>
      </c>
      <c r="E1477" t="s">
        <v>42</v>
      </c>
      <c r="F1477" t="s">
        <v>36</v>
      </c>
      <c r="G1477">
        <v>1</v>
      </c>
      <c r="H1477" s="5" t="s">
        <v>969</v>
      </c>
      <c r="I1477" s="5"/>
      <c r="J1477">
        <v>1</v>
      </c>
      <c r="K1477">
        <f>34-13</f>
        <v>21</v>
      </c>
      <c r="L1477" t="s">
        <v>65</v>
      </c>
      <c r="M1477">
        <v>1</v>
      </c>
    </row>
    <row r="1478" spans="1:13" x14ac:dyDescent="0.25">
      <c r="A1478" s="4">
        <v>42605</v>
      </c>
      <c r="B1478" t="s">
        <v>30</v>
      </c>
      <c r="C1478">
        <v>7</v>
      </c>
      <c r="D1478">
        <v>2</v>
      </c>
      <c r="E1478" t="s">
        <v>42</v>
      </c>
      <c r="F1478" t="s">
        <v>89</v>
      </c>
      <c r="G1478">
        <v>2</v>
      </c>
      <c r="H1478" s="5" t="s">
        <v>968</v>
      </c>
      <c r="I1478" s="5"/>
      <c r="J1478">
        <v>1</v>
      </c>
      <c r="K1478">
        <f>28.5-13</f>
        <v>15.5</v>
      </c>
      <c r="L1478" t="s">
        <v>38</v>
      </c>
      <c r="M1478">
        <v>1</v>
      </c>
    </row>
    <row r="1479" spans="1:13" x14ac:dyDescent="0.25">
      <c r="A1479" s="4">
        <v>42604</v>
      </c>
      <c r="B1479" t="s">
        <v>30</v>
      </c>
      <c r="C1479">
        <v>8</v>
      </c>
      <c r="D1479">
        <v>2</v>
      </c>
      <c r="E1479" t="s">
        <v>42</v>
      </c>
      <c r="F1479" t="s">
        <v>36</v>
      </c>
      <c r="G1479">
        <v>1</v>
      </c>
      <c r="H1479" s="5" t="s">
        <v>935</v>
      </c>
      <c r="I1479" s="5"/>
      <c r="J1479">
        <v>1</v>
      </c>
      <c r="K1479">
        <f>41-13.5</f>
        <v>27.5</v>
      </c>
      <c r="L1479" t="s">
        <v>65</v>
      </c>
      <c r="M1479">
        <v>1</v>
      </c>
    </row>
    <row r="1480" spans="1:13" x14ac:dyDescent="0.25">
      <c r="A1480" s="4">
        <v>42604</v>
      </c>
      <c r="B1480" t="s">
        <v>30</v>
      </c>
      <c r="C1480">
        <v>7</v>
      </c>
      <c r="D1480">
        <v>2</v>
      </c>
      <c r="E1480" t="s">
        <v>42</v>
      </c>
      <c r="F1480" t="s">
        <v>114</v>
      </c>
      <c r="G1480">
        <v>2</v>
      </c>
      <c r="H1480" s="5" t="s">
        <v>916</v>
      </c>
      <c r="I1480" s="5"/>
      <c r="J1480">
        <v>1</v>
      </c>
      <c r="K1480">
        <f>28.5-13</f>
        <v>15.5</v>
      </c>
      <c r="L1480" t="s">
        <v>38</v>
      </c>
      <c r="M1480">
        <v>1</v>
      </c>
    </row>
    <row r="1481" spans="1:13" x14ac:dyDescent="0.25">
      <c r="A1481" s="4">
        <v>42605</v>
      </c>
      <c r="B1481" t="s">
        <v>30</v>
      </c>
      <c r="C1481">
        <v>7</v>
      </c>
      <c r="D1481">
        <v>2</v>
      </c>
      <c r="E1481" t="s">
        <v>35</v>
      </c>
      <c r="F1481" t="s">
        <v>114</v>
      </c>
      <c r="G1481">
        <v>2</v>
      </c>
      <c r="H1481" s="5" t="s">
        <v>916</v>
      </c>
      <c r="I1481" s="5"/>
      <c r="J1481">
        <v>1</v>
      </c>
      <c r="K1481">
        <f>30-12.5</f>
        <v>17.5</v>
      </c>
      <c r="L1481" t="s">
        <v>38</v>
      </c>
      <c r="M1481">
        <v>1</v>
      </c>
    </row>
    <row r="1482" spans="1:13" x14ac:dyDescent="0.25">
      <c r="A1482" s="4">
        <v>43297</v>
      </c>
      <c r="B1482" t="s">
        <v>30</v>
      </c>
      <c r="C1482">
        <v>3</v>
      </c>
      <c r="D1482">
        <v>2</v>
      </c>
      <c r="E1482" t="s">
        <v>42</v>
      </c>
      <c r="F1482" t="s">
        <v>36</v>
      </c>
      <c r="G1482">
        <v>1</v>
      </c>
      <c r="H1482">
        <v>2973</v>
      </c>
      <c r="J1482">
        <v>0</v>
      </c>
      <c r="K1482">
        <f>47-22</f>
        <v>25</v>
      </c>
      <c r="L1482" t="s">
        <v>65</v>
      </c>
      <c r="M1482">
        <v>3</v>
      </c>
    </row>
    <row r="1483" spans="1:13" x14ac:dyDescent="0.25">
      <c r="A1483" s="4">
        <v>43327</v>
      </c>
      <c r="B1483" t="s">
        <v>30</v>
      </c>
      <c r="C1483">
        <v>3</v>
      </c>
      <c r="D1483">
        <v>2</v>
      </c>
      <c r="E1483" t="s">
        <v>35</v>
      </c>
      <c r="F1483" t="s">
        <v>36</v>
      </c>
      <c r="G1483">
        <v>2</v>
      </c>
      <c r="H1483">
        <v>2973</v>
      </c>
      <c r="J1483">
        <v>1</v>
      </c>
      <c r="K1483">
        <f>51-28</f>
        <v>23</v>
      </c>
      <c r="L1483" t="s">
        <v>83</v>
      </c>
      <c r="M1483">
        <v>3</v>
      </c>
    </row>
    <row r="1484" spans="1:13" x14ac:dyDescent="0.25">
      <c r="A1484" s="4">
        <v>42586</v>
      </c>
      <c r="B1484" t="s">
        <v>30</v>
      </c>
      <c r="C1484">
        <v>2</v>
      </c>
      <c r="D1484">
        <v>2</v>
      </c>
      <c r="E1484" t="s">
        <v>42</v>
      </c>
      <c r="F1484" t="s">
        <v>89</v>
      </c>
      <c r="G1484">
        <v>2</v>
      </c>
      <c r="H1484" s="5" t="s">
        <v>354</v>
      </c>
      <c r="I1484" s="5"/>
      <c r="J1484">
        <v>1</v>
      </c>
      <c r="K1484">
        <f>31-14</f>
        <v>17</v>
      </c>
      <c r="L1484" t="s">
        <v>83</v>
      </c>
      <c r="M1484">
        <v>1</v>
      </c>
    </row>
    <row r="1485" spans="1:13" x14ac:dyDescent="0.25">
      <c r="A1485" s="4">
        <v>42585</v>
      </c>
      <c r="B1485" t="s">
        <v>30</v>
      </c>
      <c r="C1485">
        <v>2</v>
      </c>
      <c r="D1485">
        <v>2</v>
      </c>
      <c r="E1485" t="s">
        <v>42</v>
      </c>
      <c r="F1485" t="s">
        <v>89</v>
      </c>
      <c r="G1485">
        <v>1</v>
      </c>
      <c r="H1485" s="5" t="s">
        <v>315</v>
      </c>
      <c r="I1485" s="5"/>
      <c r="J1485">
        <v>1</v>
      </c>
      <c r="K1485">
        <f>32-14</f>
        <v>18</v>
      </c>
      <c r="L1485" t="s">
        <v>65</v>
      </c>
      <c r="M1485">
        <v>1</v>
      </c>
    </row>
    <row r="1486" spans="1:13" x14ac:dyDescent="0.25">
      <c r="A1486" s="4">
        <v>42585</v>
      </c>
      <c r="B1486" t="s">
        <v>30</v>
      </c>
      <c r="C1486">
        <v>3</v>
      </c>
      <c r="D1486">
        <v>2</v>
      </c>
      <c r="E1486" t="s">
        <v>42</v>
      </c>
      <c r="F1486" t="s">
        <v>36</v>
      </c>
      <c r="G1486">
        <v>2</v>
      </c>
      <c r="H1486" s="5" t="s">
        <v>341</v>
      </c>
      <c r="I1486" s="5"/>
      <c r="J1486">
        <v>1</v>
      </c>
      <c r="K1486">
        <f>33-6</f>
        <v>27</v>
      </c>
      <c r="L1486" t="s">
        <v>136</v>
      </c>
      <c r="M1486">
        <v>1</v>
      </c>
    </row>
    <row r="1487" spans="1:13" x14ac:dyDescent="0.25">
      <c r="A1487" s="4">
        <v>42598</v>
      </c>
      <c r="B1487" t="s">
        <v>30</v>
      </c>
      <c r="C1487">
        <v>3</v>
      </c>
      <c r="D1487">
        <v>2</v>
      </c>
      <c r="E1487" t="s">
        <v>35</v>
      </c>
      <c r="F1487" t="s">
        <v>36</v>
      </c>
      <c r="G1487">
        <v>2</v>
      </c>
      <c r="H1487" s="5" t="s">
        <v>341</v>
      </c>
      <c r="I1487" s="5"/>
      <c r="J1487">
        <v>1</v>
      </c>
      <c r="K1487">
        <f>46-21</f>
        <v>25</v>
      </c>
      <c r="L1487" t="s">
        <v>136</v>
      </c>
      <c r="M1487">
        <v>1</v>
      </c>
    </row>
    <row r="1488" spans="1:13" x14ac:dyDescent="0.25">
      <c r="A1488" s="4">
        <v>42599</v>
      </c>
      <c r="B1488" t="s">
        <v>30</v>
      </c>
      <c r="C1488">
        <v>3</v>
      </c>
      <c r="D1488">
        <v>2</v>
      </c>
      <c r="E1488" t="s">
        <v>35</v>
      </c>
      <c r="F1488" t="s">
        <v>36</v>
      </c>
      <c r="G1488">
        <v>2</v>
      </c>
      <c r="H1488" s="5" t="s">
        <v>341</v>
      </c>
      <c r="I1488" s="5"/>
      <c r="J1488">
        <v>1</v>
      </c>
      <c r="K1488">
        <f>39-15</f>
        <v>24</v>
      </c>
      <c r="L1488" t="s">
        <v>136</v>
      </c>
      <c r="M1488">
        <v>1</v>
      </c>
    </row>
    <row r="1489" spans="1:13" x14ac:dyDescent="0.25">
      <c r="A1489" s="4">
        <v>42585</v>
      </c>
      <c r="B1489" t="s">
        <v>30</v>
      </c>
      <c r="C1489">
        <v>4</v>
      </c>
      <c r="D1489">
        <v>2</v>
      </c>
      <c r="E1489" t="s">
        <v>42</v>
      </c>
      <c r="F1489" t="s">
        <v>36</v>
      </c>
      <c r="G1489">
        <v>2</v>
      </c>
      <c r="H1489" s="5" t="s">
        <v>337</v>
      </c>
      <c r="I1489" s="5"/>
      <c r="J1489">
        <v>1</v>
      </c>
      <c r="K1489">
        <f>35-6</f>
        <v>29</v>
      </c>
      <c r="L1489" t="s">
        <v>143</v>
      </c>
      <c r="M1489">
        <v>1</v>
      </c>
    </row>
    <row r="1490" spans="1:13" x14ac:dyDescent="0.25">
      <c r="A1490" s="4">
        <v>42598</v>
      </c>
      <c r="B1490" t="s">
        <v>30</v>
      </c>
      <c r="C1490">
        <v>4</v>
      </c>
      <c r="D1490">
        <v>2</v>
      </c>
      <c r="E1490" t="s">
        <v>35</v>
      </c>
      <c r="F1490" t="s">
        <v>36</v>
      </c>
      <c r="G1490">
        <v>2</v>
      </c>
      <c r="H1490" s="5" t="s">
        <v>337</v>
      </c>
      <c r="I1490" s="5"/>
      <c r="J1490">
        <v>1</v>
      </c>
      <c r="K1490">
        <f>45-18</f>
        <v>27</v>
      </c>
      <c r="L1490" t="s">
        <v>143</v>
      </c>
      <c r="M1490">
        <v>1</v>
      </c>
    </row>
    <row r="1491" spans="1:13" x14ac:dyDescent="0.25">
      <c r="A1491" s="4">
        <v>42600</v>
      </c>
      <c r="B1491" t="s">
        <v>30</v>
      </c>
      <c r="C1491">
        <v>4</v>
      </c>
      <c r="D1491">
        <v>2</v>
      </c>
      <c r="E1491" t="s">
        <v>35</v>
      </c>
      <c r="F1491" t="s">
        <v>36</v>
      </c>
      <c r="G1491">
        <v>2</v>
      </c>
      <c r="H1491" s="5" t="s">
        <v>337</v>
      </c>
      <c r="I1491" s="5"/>
      <c r="J1491">
        <v>1</v>
      </c>
      <c r="L1491" t="s">
        <v>38</v>
      </c>
      <c r="M1491">
        <v>1</v>
      </c>
    </row>
    <row r="1492" spans="1:13" x14ac:dyDescent="0.25">
      <c r="A1492" s="4">
        <v>42585</v>
      </c>
      <c r="B1492" t="s">
        <v>30</v>
      </c>
      <c r="C1492">
        <v>4</v>
      </c>
      <c r="D1492">
        <v>2</v>
      </c>
      <c r="E1492" t="s">
        <v>42</v>
      </c>
      <c r="F1492" t="s">
        <v>114</v>
      </c>
      <c r="G1492">
        <v>1</v>
      </c>
      <c r="H1492" s="5" t="s">
        <v>336</v>
      </c>
      <c r="I1492" s="5"/>
      <c r="J1492">
        <v>1</v>
      </c>
      <c r="K1492">
        <f>24-6</f>
        <v>18</v>
      </c>
      <c r="L1492" t="s">
        <v>65</v>
      </c>
      <c r="M1492">
        <v>1</v>
      </c>
    </row>
    <row r="1493" spans="1:13" x14ac:dyDescent="0.25">
      <c r="A1493" s="4">
        <v>42587</v>
      </c>
      <c r="B1493" t="s">
        <v>30</v>
      </c>
      <c r="C1493">
        <v>4</v>
      </c>
      <c r="D1493">
        <v>2</v>
      </c>
      <c r="E1493" t="s">
        <v>35</v>
      </c>
      <c r="F1493" t="s">
        <v>114</v>
      </c>
      <c r="G1493">
        <v>1</v>
      </c>
      <c r="H1493" s="5" t="s">
        <v>336</v>
      </c>
      <c r="I1493" s="5"/>
      <c r="J1493">
        <v>1</v>
      </c>
      <c r="K1493">
        <f>34-15.5</f>
        <v>18.5</v>
      </c>
      <c r="L1493" t="s">
        <v>47</v>
      </c>
      <c r="M1493">
        <v>1</v>
      </c>
    </row>
    <row r="1494" spans="1:13" x14ac:dyDescent="0.25">
      <c r="A1494" s="4">
        <v>42588</v>
      </c>
      <c r="B1494" t="s">
        <v>30</v>
      </c>
      <c r="C1494">
        <v>4</v>
      </c>
      <c r="D1494">
        <v>2</v>
      </c>
      <c r="E1494" t="s">
        <v>35</v>
      </c>
      <c r="F1494" t="s">
        <v>114</v>
      </c>
      <c r="G1494">
        <v>1</v>
      </c>
      <c r="H1494" s="5" t="s">
        <v>336</v>
      </c>
      <c r="I1494" s="5"/>
      <c r="J1494">
        <v>1</v>
      </c>
      <c r="K1494">
        <f>33-13</f>
        <v>20</v>
      </c>
      <c r="L1494" t="s">
        <v>65</v>
      </c>
      <c r="M1494">
        <v>1</v>
      </c>
    </row>
    <row r="1495" spans="1:13" x14ac:dyDescent="0.25">
      <c r="A1495" s="4">
        <v>42585</v>
      </c>
      <c r="B1495" t="s">
        <v>30</v>
      </c>
      <c r="C1495">
        <v>1</v>
      </c>
      <c r="D1495">
        <v>2</v>
      </c>
      <c r="E1495" t="s">
        <v>42</v>
      </c>
      <c r="F1495" t="s">
        <v>114</v>
      </c>
      <c r="G1495">
        <v>1</v>
      </c>
      <c r="H1495" s="5" t="s">
        <v>329</v>
      </c>
      <c r="I1495" s="5"/>
      <c r="J1495">
        <v>0</v>
      </c>
      <c r="K1495">
        <f>25.5-8.5</f>
        <v>17</v>
      </c>
      <c r="L1495" t="s">
        <v>65</v>
      </c>
      <c r="M1495">
        <v>1</v>
      </c>
    </row>
    <row r="1496" spans="1:13" x14ac:dyDescent="0.25">
      <c r="A1496" s="4">
        <v>42586</v>
      </c>
      <c r="B1496" t="s">
        <v>30</v>
      </c>
      <c r="C1496">
        <v>3</v>
      </c>
      <c r="D1496">
        <v>2</v>
      </c>
      <c r="E1496" t="s">
        <v>42</v>
      </c>
      <c r="F1496" t="s">
        <v>89</v>
      </c>
      <c r="G1496">
        <v>2</v>
      </c>
      <c r="H1496" s="5" t="s">
        <v>373</v>
      </c>
      <c r="I1496" s="5"/>
      <c r="J1496">
        <v>1</v>
      </c>
      <c r="K1496">
        <f>32-14</f>
        <v>18</v>
      </c>
      <c r="L1496" t="s">
        <v>38</v>
      </c>
      <c r="M1496">
        <v>1</v>
      </c>
    </row>
    <row r="1497" spans="1:13" x14ac:dyDescent="0.25">
      <c r="A1497" s="4">
        <v>43297</v>
      </c>
      <c r="B1497" t="s">
        <v>30</v>
      </c>
      <c r="C1497">
        <v>5</v>
      </c>
      <c r="D1497">
        <v>2</v>
      </c>
      <c r="E1497" t="s">
        <v>35</v>
      </c>
      <c r="F1497" t="s">
        <v>36</v>
      </c>
      <c r="G1497">
        <v>1</v>
      </c>
      <c r="H1497">
        <v>9417</v>
      </c>
      <c r="J1497">
        <v>1</v>
      </c>
      <c r="K1497">
        <f>40-21</f>
        <v>19</v>
      </c>
      <c r="L1497" t="s">
        <v>47</v>
      </c>
      <c r="M1497">
        <v>3</v>
      </c>
    </row>
    <row r="1498" spans="1:13" x14ac:dyDescent="0.25">
      <c r="A1498" s="4">
        <v>42585</v>
      </c>
      <c r="B1498" t="s">
        <v>30</v>
      </c>
      <c r="C1498">
        <v>4</v>
      </c>
      <c r="D1498">
        <v>2</v>
      </c>
      <c r="E1498" t="s">
        <v>35</v>
      </c>
      <c r="F1498" t="s">
        <v>36</v>
      </c>
      <c r="G1498">
        <v>1</v>
      </c>
      <c r="H1498" s="5">
        <v>10350</v>
      </c>
      <c r="I1498" s="5"/>
      <c r="J1498">
        <v>1</v>
      </c>
      <c r="K1498">
        <f>29-5</f>
        <v>24</v>
      </c>
      <c r="L1498" t="s">
        <v>47</v>
      </c>
      <c r="M1498">
        <v>1</v>
      </c>
    </row>
    <row r="1499" spans="1:13" x14ac:dyDescent="0.25">
      <c r="A1499" s="4">
        <v>42598</v>
      </c>
      <c r="B1499" t="s">
        <v>30</v>
      </c>
      <c r="C1499">
        <v>4</v>
      </c>
      <c r="D1499">
        <v>2</v>
      </c>
      <c r="E1499" t="s">
        <v>42</v>
      </c>
      <c r="F1499" t="s">
        <v>89</v>
      </c>
      <c r="G1499">
        <v>1</v>
      </c>
      <c r="H1499" s="5" t="s">
        <v>816</v>
      </c>
      <c r="I1499" s="5"/>
      <c r="J1499">
        <v>1</v>
      </c>
      <c r="K1499">
        <f>32.5-15</f>
        <v>17.5</v>
      </c>
      <c r="L1499" t="s">
        <v>65</v>
      </c>
      <c r="M1499">
        <v>1</v>
      </c>
    </row>
    <row r="1500" spans="1:13" x14ac:dyDescent="0.25">
      <c r="A1500" s="4">
        <v>42598</v>
      </c>
      <c r="B1500" t="s">
        <v>30</v>
      </c>
      <c r="C1500">
        <v>4</v>
      </c>
      <c r="D1500">
        <v>2</v>
      </c>
      <c r="E1500" t="s">
        <v>42</v>
      </c>
      <c r="F1500" t="s">
        <v>36</v>
      </c>
      <c r="G1500">
        <v>2</v>
      </c>
      <c r="H1500" s="5" t="s">
        <v>820</v>
      </c>
      <c r="I1500" s="5"/>
      <c r="J1500">
        <v>1</v>
      </c>
      <c r="K1500">
        <f>47-21.5</f>
        <v>25.5</v>
      </c>
      <c r="L1500" t="s">
        <v>74</v>
      </c>
      <c r="M1500">
        <v>1</v>
      </c>
    </row>
    <row r="1501" spans="1:13" x14ac:dyDescent="0.25">
      <c r="A1501" s="4">
        <v>42598</v>
      </c>
      <c r="B1501" t="s">
        <v>30</v>
      </c>
      <c r="C1501">
        <v>4</v>
      </c>
      <c r="D1501">
        <v>2</v>
      </c>
      <c r="E1501" t="s">
        <v>42</v>
      </c>
      <c r="F1501" t="s">
        <v>89</v>
      </c>
      <c r="G1501">
        <v>1</v>
      </c>
      <c r="H1501" s="5" t="s">
        <v>821</v>
      </c>
      <c r="I1501" s="5"/>
      <c r="J1501">
        <v>1</v>
      </c>
      <c r="K1501">
        <f>35-18</f>
        <v>17</v>
      </c>
      <c r="L1501" t="s">
        <v>65</v>
      </c>
      <c r="M1501">
        <v>1</v>
      </c>
    </row>
    <row r="1502" spans="1:13" x14ac:dyDescent="0.25">
      <c r="A1502" s="4">
        <v>42592</v>
      </c>
      <c r="B1502" t="s">
        <v>30</v>
      </c>
      <c r="C1502">
        <v>8</v>
      </c>
      <c r="D1502">
        <v>2</v>
      </c>
      <c r="E1502" t="s">
        <v>42</v>
      </c>
      <c r="F1502" t="s">
        <v>114</v>
      </c>
      <c r="G1502">
        <v>1</v>
      </c>
      <c r="H1502" s="5" t="s">
        <v>652</v>
      </c>
      <c r="I1502" s="5"/>
      <c r="J1502">
        <v>1</v>
      </c>
      <c r="K1502">
        <f>34-16</f>
        <v>18</v>
      </c>
      <c r="L1502" t="s">
        <v>47</v>
      </c>
      <c r="M1502">
        <v>1</v>
      </c>
    </row>
    <row r="1503" spans="1:13" x14ac:dyDescent="0.25">
      <c r="A1503" s="4">
        <v>42593</v>
      </c>
      <c r="B1503" t="s">
        <v>30</v>
      </c>
      <c r="C1503">
        <v>7</v>
      </c>
      <c r="D1503">
        <v>2</v>
      </c>
      <c r="E1503" t="s">
        <v>42</v>
      </c>
      <c r="F1503" t="s">
        <v>36</v>
      </c>
      <c r="G1503">
        <v>2</v>
      </c>
      <c r="H1503" s="5" t="s">
        <v>700</v>
      </c>
      <c r="I1503" s="5"/>
      <c r="J1503">
        <v>1</v>
      </c>
      <c r="K1503">
        <f>37-16</f>
        <v>21</v>
      </c>
      <c r="L1503" t="s">
        <v>38</v>
      </c>
      <c r="M1503">
        <v>1</v>
      </c>
    </row>
    <row r="1504" spans="1:13" x14ac:dyDescent="0.25">
      <c r="A1504" s="4">
        <v>42604</v>
      </c>
      <c r="B1504" t="s">
        <v>30</v>
      </c>
      <c r="C1504">
        <v>7</v>
      </c>
      <c r="D1504">
        <v>2</v>
      </c>
      <c r="E1504" t="s">
        <v>35</v>
      </c>
      <c r="F1504" t="s">
        <v>36</v>
      </c>
      <c r="G1504">
        <v>2</v>
      </c>
      <c r="H1504" s="5" t="s">
        <v>700</v>
      </c>
      <c r="I1504" s="5"/>
      <c r="J1504">
        <v>1</v>
      </c>
      <c r="K1504">
        <f>33-12.5</f>
        <v>20.5</v>
      </c>
      <c r="L1504" t="s">
        <v>65</v>
      </c>
      <c r="M1504">
        <v>1</v>
      </c>
    </row>
    <row r="1505" spans="1:13" x14ac:dyDescent="0.25">
      <c r="A1505" s="4">
        <v>42605</v>
      </c>
      <c r="B1505" t="s">
        <v>30</v>
      </c>
      <c r="C1505">
        <v>7</v>
      </c>
      <c r="D1505">
        <v>2</v>
      </c>
      <c r="E1505" t="s">
        <v>35</v>
      </c>
      <c r="F1505" t="s">
        <v>36</v>
      </c>
      <c r="G1505">
        <v>2</v>
      </c>
      <c r="H1505" s="5" t="s">
        <v>700</v>
      </c>
      <c r="I1505" s="5"/>
      <c r="J1505">
        <v>1</v>
      </c>
      <c r="K1505">
        <f>34-13</f>
        <v>21</v>
      </c>
      <c r="L1505" t="s">
        <v>38</v>
      </c>
      <c r="M1505">
        <v>1</v>
      </c>
    </row>
    <row r="1506" spans="1:13" x14ac:dyDescent="0.25">
      <c r="A1506" s="4">
        <v>42593</v>
      </c>
      <c r="B1506" t="s">
        <v>30</v>
      </c>
      <c r="C1506">
        <v>7</v>
      </c>
      <c r="D1506">
        <v>2</v>
      </c>
      <c r="E1506" t="s">
        <v>42</v>
      </c>
      <c r="F1506" t="s">
        <v>36</v>
      </c>
      <c r="G1506">
        <v>2</v>
      </c>
      <c r="H1506" s="5" t="s">
        <v>701</v>
      </c>
      <c r="I1506" s="5"/>
      <c r="J1506">
        <v>1</v>
      </c>
      <c r="K1506">
        <f>34-14.5</f>
        <v>19.5</v>
      </c>
      <c r="L1506" t="s">
        <v>136</v>
      </c>
      <c r="M1506">
        <v>1</v>
      </c>
    </row>
    <row r="1507" spans="1:13" x14ac:dyDescent="0.25">
      <c r="A1507" s="4">
        <v>42593</v>
      </c>
      <c r="B1507" t="s">
        <v>30</v>
      </c>
      <c r="C1507">
        <v>8</v>
      </c>
      <c r="D1507">
        <v>2</v>
      </c>
      <c r="E1507" t="s">
        <v>42</v>
      </c>
      <c r="F1507" t="s">
        <v>36</v>
      </c>
      <c r="G1507">
        <v>1</v>
      </c>
      <c r="H1507" s="5" t="s">
        <v>721</v>
      </c>
      <c r="I1507" s="5"/>
      <c r="J1507">
        <v>1</v>
      </c>
      <c r="K1507">
        <f>39-12</f>
        <v>27</v>
      </c>
      <c r="L1507" t="s">
        <v>47</v>
      </c>
      <c r="M1507">
        <v>1</v>
      </c>
    </row>
    <row r="1508" spans="1:13" x14ac:dyDescent="0.25">
      <c r="A1508" s="4">
        <v>42598</v>
      </c>
      <c r="B1508" t="s">
        <v>30</v>
      </c>
      <c r="C1508">
        <v>2</v>
      </c>
      <c r="D1508">
        <v>2</v>
      </c>
      <c r="E1508" t="s">
        <v>42</v>
      </c>
      <c r="F1508" t="s">
        <v>89</v>
      </c>
      <c r="G1508">
        <v>2</v>
      </c>
      <c r="H1508" s="5" t="s">
        <v>767</v>
      </c>
      <c r="I1508" s="5"/>
      <c r="J1508">
        <v>1</v>
      </c>
      <c r="K1508">
        <f>27.5-13</f>
        <v>14.5</v>
      </c>
      <c r="L1508" t="s">
        <v>38</v>
      </c>
      <c r="M1508">
        <v>1</v>
      </c>
    </row>
    <row r="1509" spans="1:13" x14ac:dyDescent="0.25">
      <c r="A1509" s="4">
        <v>42943</v>
      </c>
      <c r="B1509" t="s">
        <v>30</v>
      </c>
      <c r="C1509">
        <v>4</v>
      </c>
      <c r="D1509">
        <v>2</v>
      </c>
      <c r="E1509" t="s">
        <v>35</v>
      </c>
      <c r="F1509" t="s">
        <v>36</v>
      </c>
      <c r="H1509">
        <v>15127</v>
      </c>
      <c r="J1509">
        <v>1</v>
      </c>
      <c r="K1509">
        <f>37-13</f>
        <v>24</v>
      </c>
      <c r="M1509">
        <v>2</v>
      </c>
    </row>
    <row r="1510" spans="1:13" x14ac:dyDescent="0.25">
      <c r="A1510" s="4">
        <v>42598</v>
      </c>
      <c r="B1510" t="s">
        <v>30</v>
      </c>
      <c r="C1510">
        <v>4</v>
      </c>
      <c r="D1510">
        <v>2</v>
      </c>
      <c r="E1510" t="s">
        <v>35</v>
      </c>
      <c r="F1510" t="s">
        <v>36</v>
      </c>
      <c r="G1510">
        <v>1</v>
      </c>
      <c r="H1510" s="5" t="s">
        <v>818</v>
      </c>
      <c r="I1510" s="5"/>
      <c r="J1510">
        <v>1</v>
      </c>
      <c r="K1510">
        <f>42-15.5</f>
        <v>26.5</v>
      </c>
      <c r="L1510" t="s">
        <v>47</v>
      </c>
      <c r="M1510">
        <v>1</v>
      </c>
    </row>
    <row r="1511" spans="1:13" x14ac:dyDescent="0.25">
      <c r="A1511" s="4">
        <v>42930</v>
      </c>
      <c r="B1511" t="s">
        <v>30</v>
      </c>
      <c r="C1511">
        <v>4</v>
      </c>
      <c r="D1511">
        <v>2</v>
      </c>
      <c r="E1511" t="s">
        <v>35</v>
      </c>
      <c r="F1511" t="s">
        <v>36</v>
      </c>
      <c r="G1511">
        <v>2</v>
      </c>
      <c r="H1511">
        <v>15729</v>
      </c>
      <c r="J1511">
        <v>1</v>
      </c>
      <c r="K1511">
        <f>36-14</f>
        <v>22</v>
      </c>
      <c r="L1511" t="s">
        <v>83</v>
      </c>
      <c r="M1511">
        <v>2</v>
      </c>
    </row>
    <row r="1512" spans="1:13" x14ac:dyDescent="0.25">
      <c r="A1512" s="4">
        <v>42932</v>
      </c>
      <c r="B1512" t="s">
        <v>30</v>
      </c>
      <c r="C1512">
        <v>4</v>
      </c>
      <c r="D1512">
        <v>2</v>
      </c>
      <c r="E1512" t="s">
        <v>35</v>
      </c>
      <c r="F1512" t="s">
        <v>36</v>
      </c>
      <c r="G1512">
        <v>2</v>
      </c>
      <c r="H1512">
        <v>15729</v>
      </c>
      <c r="J1512">
        <v>1</v>
      </c>
      <c r="K1512">
        <f>36.5-14.5</f>
        <v>22</v>
      </c>
      <c r="L1512" t="s">
        <v>83</v>
      </c>
      <c r="M1512">
        <v>2</v>
      </c>
    </row>
    <row r="1513" spans="1:13" x14ac:dyDescent="0.25">
      <c r="A1513" s="4">
        <v>42955</v>
      </c>
      <c r="B1513" t="s">
        <v>30</v>
      </c>
      <c r="C1513">
        <v>4</v>
      </c>
      <c r="D1513">
        <v>2</v>
      </c>
      <c r="E1513" t="s">
        <v>35</v>
      </c>
      <c r="F1513" t="s">
        <v>36</v>
      </c>
      <c r="G1513">
        <v>2</v>
      </c>
      <c r="H1513">
        <v>15729</v>
      </c>
      <c r="J1513">
        <v>1</v>
      </c>
      <c r="K1513">
        <f>38-13.5</f>
        <v>24.5</v>
      </c>
      <c r="L1513" t="s">
        <v>1039</v>
      </c>
      <c r="M1513">
        <v>2</v>
      </c>
    </row>
    <row r="1514" spans="1:13" x14ac:dyDescent="0.25">
      <c r="A1514" s="4">
        <v>42956</v>
      </c>
      <c r="B1514" t="s">
        <v>30</v>
      </c>
      <c r="C1514">
        <v>4</v>
      </c>
      <c r="D1514">
        <v>2</v>
      </c>
      <c r="E1514" t="s">
        <v>35</v>
      </c>
      <c r="F1514" t="s">
        <v>36</v>
      </c>
      <c r="G1514">
        <v>2</v>
      </c>
      <c r="H1514">
        <v>15729</v>
      </c>
      <c r="J1514">
        <v>1</v>
      </c>
      <c r="K1514">
        <f>37.5-14</f>
        <v>23.5</v>
      </c>
      <c r="L1514" t="s">
        <v>1039</v>
      </c>
      <c r="M1514">
        <v>2</v>
      </c>
    </row>
    <row r="1515" spans="1:13" x14ac:dyDescent="0.25">
      <c r="A1515" s="4">
        <v>42957</v>
      </c>
      <c r="B1515" t="s">
        <v>30</v>
      </c>
      <c r="C1515">
        <v>4</v>
      </c>
      <c r="D1515">
        <v>2</v>
      </c>
      <c r="E1515" t="s">
        <v>35</v>
      </c>
      <c r="F1515" t="s">
        <v>36</v>
      </c>
      <c r="G1515">
        <v>2</v>
      </c>
      <c r="H1515">
        <v>15729</v>
      </c>
      <c r="J1515">
        <v>1</v>
      </c>
      <c r="K1515">
        <f>36-13</f>
        <v>23</v>
      </c>
      <c r="L1515" t="s">
        <v>1039</v>
      </c>
      <c r="M1515">
        <v>2</v>
      </c>
    </row>
    <row r="1516" spans="1:13" x14ac:dyDescent="0.25">
      <c r="A1516" s="4">
        <v>42931</v>
      </c>
      <c r="B1516" t="s">
        <v>30</v>
      </c>
      <c r="C1516">
        <v>4</v>
      </c>
      <c r="D1516">
        <v>2</v>
      </c>
      <c r="E1516" t="s">
        <v>35</v>
      </c>
      <c r="F1516" t="s">
        <v>36</v>
      </c>
      <c r="G1516">
        <v>2</v>
      </c>
      <c r="H1516">
        <v>15772</v>
      </c>
      <c r="J1516">
        <v>1</v>
      </c>
      <c r="K1516">
        <f>43.5-14.5</f>
        <v>29</v>
      </c>
      <c r="L1516" t="s">
        <v>83</v>
      </c>
      <c r="M1516">
        <v>2</v>
      </c>
    </row>
    <row r="1517" spans="1:13" x14ac:dyDescent="0.25">
      <c r="A1517" s="4">
        <v>42589</v>
      </c>
      <c r="B1517" t="s">
        <v>30</v>
      </c>
      <c r="C1517">
        <v>4</v>
      </c>
      <c r="D1517">
        <v>2</v>
      </c>
      <c r="E1517" t="s">
        <v>35</v>
      </c>
      <c r="F1517" t="s">
        <v>36</v>
      </c>
      <c r="G1517">
        <v>1</v>
      </c>
      <c r="H1517" s="5" t="s">
        <v>542</v>
      </c>
      <c r="I1517" s="5"/>
      <c r="J1517">
        <v>1</v>
      </c>
      <c r="K1517">
        <f>36-14.5</f>
        <v>21.5</v>
      </c>
      <c r="L1517" t="s">
        <v>47</v>
      </c>
      <c r="M1517">
        <v>1</v>
      </c>
    </row>
    <row r="1518" spans="1:13" x14ac:dyDescent="0.25">
      <c r="A1518" s="4">
        <v>42587</v>
      </c>
      <c r="B1518" t="s">
        <v>30</v>
      </c>
      <c r="C1518">
        <v>4</v>
      </c>
      <c r="D1518">
        <v>2</v>
      </c>
      <c r="E1518" t="s">
        <v>35</v>
      </c>
      <c r="F1518" t="s">
        <v>36</v>
      </c>
      <c r="G1518">
        <v>1</v>
      </c>
      <c r="H1518" s="5" t="s">
        <v>478</v>
      </c>
      <c r="I1518" s="5"/>
      <c r="J1518">
        <v>1</v>
      </c>
      <c r="K1518">
        <f>37-16.5</f>
        <v>20.5</v>
      </c>
      <c r="L1518" t="s">
        <v>47</v>
      </c>
      <c r="M1518">
        <v>1</v>
      </c>
    </row>
    <row r="1519" spans="1:13" x14ac:dyDescent="0.25">
      <c r="A1519" s="4">
        <v>42599</v>
      </c>
      <c r="B1519" t="s">
        <v>30</v>
      </c>
      <c r="C1519">
        <v>4</v>
      </c>
      <c r="D1519">
        <v>2</v>
      </c>
      <c r="E1519" t="s">
        <v>35</v>
      </c>
      <c r="F1519" t="s">
        <v>36</v>
      </c>
      <c r="G1519">
        <v>1</v>
      </c>
      <c r="H1519" s="5" t="s">
        <v>478</v>
      </c>
      <c r="I1519" s="5"/>
      <c r="J1519">
        <v>1</v>
      </c>
      <c r="K1519">
        <f>34-13.5</f>
        <v>20.5</v>
      </c>
      <c r="L1519" t="s">
        <v>65</v>
      </c>
      <c r="M1519">
        <v>1</v>
      </c>
    </row>
    <row r="1520" spans="1:13" x14ac:dyDescent="0.25">
      <c r="A1520" s="4">
        <v>42591</v>
      </c>
      <c r="B1520" t="s">
        <v>30</v>
      </c>
      <c r="C1520">
        <v>3</v>
      </c>
      <c r="D1520">
        <v>2</v>
      </c>
      <c r="E1520" t="s">
        <v>35</v>
      </c>
      <c r="F1520" t="s">
        <v>36</v>
      </c>
      <c r="G1520">
        <v>2</v>
      </c>
      <c r="H1520" s="5" t="s">
        <v>558</v>
      </c>
      <c r="I1520" s="5"/>
      <c r="J1520">
        <v>1</v>
      </c>
      <c r="K1520">
        <f>41.5-14</f>
        <v>27.5</v>
      </c>
      <c r="L1520" t="s">
        <v>298</v>
      </c>
      <c r="M1520">
        <v>1</v>
      </c>
    </row>
    <row r="1521" spans="1:13" x14ac:dyDescent="0.25">
      <c r="A1521" s="4">
        <v>42593</v>
      </c>
      <c r="B1521" t="s">
        <v>30</v>
      </c>
      <c r="C1521">
        <v>3</v>
      </c>
      <c r="D1521">
        <v>2</v>
      </c>
      <c r="E1521" t="s">
        <v>35</v>
      </c>
      <c r="F1521" t="s">
        <v>36</v>
      </c>
      <c r="G1521">
        <v>2</v>
      </c>
      <c r="H1521" s="5" t="s">
        <v>558</v>
      </c>
      <c r="I1521" s="5"/>
      <c r="J1521">
        <v>1</v>
      </c>
      <c r="K1521">
        <f>43.5-15</f>
        <v>28.5</v>
      </c>
      <c r="L1521" t="s">
        <v>81</v>
      </c>
      <c r="M1521">
        <v>1</v>
      </c>
    </row>
    <row r="1522" spans="1:13" x14ac:dyDescent="0.25">
      <c r="A1522" s="4">
        <v>42584</v>
      </c>
      <c r="B1522" t="s">
        <v>30</v>
      </c>
      <c r="C1522">
        <v>4</v>
      </c>
      <c r="D1522">
        <v>2</v>
      </c>
      <c r="E1522" t="s">
        <v>42</v>
      </c>
      <c r="F1522" t="s">
        <v>36</v>
      </c>
      <c r="G1522">
        <v>2</v>
      </c>
      <c r="H1522" s="5">
        <v>16350</v>
      </c>
      <c r="I1522" s="5"/>
      <c r="J1522">
        <v>1</v>
      </c>
      <c r="K1522">
        <f>40-13</f>
        <v>27</v>
      </c>
      <c r="L1522" t="s">
        <v>120</v>
      </c>
      <c r="M1522">
        <v>1</v>
      </c>
    </row>
    <row r="1523" spans="1:13" x14ac:dyDescent="0.25">
      <c r="A1523" s="4">
        <v>42587</v>
      </c>
      <c r="B1523" t="s">
        <v>30</v>
      </c>
      <c r="C1523">
        <v>4</v>
      </c>
      <c r="D1523">
        <v>2</v>
      </c>
      <c r="E1523" t="s">
        <v>35</v>
      </c>
      <c r="F1523" t="s">
        <v>36</v>
      </c>
      <c r="G1523">
        <v>1</v>
      </c>
      <c r="H1523" s="5" t="s">
        <v>482</v>
      </c>
      <c r="I1523" s="5"/>
      <c r="J1523">
        <v>1</v>
      </c>
      <c r="K1523">
        <f>41-16</f>
        <v>25</v>
      </c>
      <c r="L1523" t="s">
        <v>47</v>
      </c>
      <c r="M1523">
        <v>1</v>
      </c>
    </row>
    <row r="1524" spans="1:13" x14ac:dyDescent="0.25">
      <c r="A1524" s="4">
        <v>42588</v>
      </c>
      <c r="B1524" t="s">
        <v>30</v>
      </c>
      <c r="C1524">
        <v>3</v>
      </c>
      <c r="D1524">
        <v>2</v>
      </c>
      <c r="E1524" t="s">
        <v>35</v>
      </c>
      <c r="F1524" t="s">
        <v>36</v>
      </c>
      <c r="G1524">
        <v>1</v>
      </c>
      <c r="H1524" s="5" t="s">
        <v>482</v>
      </c>
      <c r="I1524" s="5"/>
      <c r="J1524">
        <v>1</v>
      </c>
      <c r="K1524">
        <f>39-14.5</f>
        <v>24.5</v>
      </c>
      <c r="L1524" t="s">
        <v>47</v>
      </c>
      <c r="M1524">
        <v>1</v>
      </c>
    </row>
    <row r="1525" spans="1:13" x14ac:dyDescent="0.25">
      <c r="A1525" s="4">
        <v>42599</v>
      </c>
      <c r="B1525" t="s">
        <v>30</v>
      </c>
      <c r="C1525">
        <v>4</v>
      </c>
      <c r="D1525">
        <v>2</v>
      </c>
      <c r="E1525" t="s">
        <v>35</v>
      </c>
      <c r="F1525" t="s">
        <v>36</v>
      </c>
      <c r="G1525">
        <v>1</v>
      </c>
      <c r="H1525" s="5" t="s">
        <v>482</v>
      </c>
      <c r="I1525" s="5"/>
      <c r="J1525">
        <v>1</v>
      </c>
      <c r="K1525">
        <f>40-14</f>
        <v>26</v>
      </c>
      <c r="L1525" t="s">
        <v>47</v>
      </c>
      <c r="M1525">
        <v>1</v>
      </c>
    </row>
    <row r="1526" spans="1:13" x14ac:dyDescent="0.25">
      <c r="A1526" s="4">
        <v>42591</v>
      </c>
      <c r="B1526" t="s">
        <v>30</v>
      </c>
      <c r="C1526">
        <v>7</v>
      </c>
      <c r="D1526">
        <v>2</v>
      </c>
      <c r="E1526" t="s">
        <v>42</v>
      </c>
      <c r="F1526" t="s">
        <v>114</v>
      </c>
      <c r="G1526">
        <v>1</v>
      </c>
      <c r="H1526" s="5" t="s">
        <v>575</v>
      </c>
      <c r="I1526" s="5"/>
      <c r="J1526">
        <v>1</v>
      </c>
      <c r="K1526">
        <f>32-13</f>
        <v>19</v>
      </c>
      <c r="L1526" t="s">
        <v>65</v>
      </c>
      <c r="M1526">
        <v>1</v>
      </c>
    </row>
    <row r="1527" spans="1:13" x14ac:dyDescent="0.25">
      <c r="A1527" s="4">
        <v>42593</v>
      </c>
      <c r="B1527" t="s">
        <v>30</v>
      </c>
      <c r="C1527">
        <v>7</v>
      </c>
      <c r="D1527">
        <v>2</v>
      </c>
      <c r="E1527" t="s">
        <v>35</v>
      </c>
      <c r="F1527" t="s">
        <v>114</v>
      </c>
      <c r="G1527">
        <v>2</v>
      </c>
      <c r="H1527" s="5" t="s">
        <v>575</v>
      </c>
      <c r="I1527" s="5"/>
      <c r="J1527">
        <v>1</v>
      </c>
      <c r="K1527">
        <f>32-13</f>
        <v>19</v>
      </c>
      <c r="L1527" t="s">
        <v>38</v>
      </c>
      <c r="M1527">
        <v>1</v>
      </c>
    </row>
    <row r="1528" spans="1:13" x14ac:dyDescent="0.25">
      <c r="A1528" s="4">
        <v>42604</v>
      </c>
      <c r="B1528" t="s">
        <v>30</v>
      </c>
      <c r="C1528">
        <v>7</v>
      </c>
      <c r="D1528">
        <v>2</v>
      </c>
      <c r="E1528" t="s">
        <v>35</v>
      </c>
      <c r="F1528" t="s">
        <v>36</v>
      </c>
      <c r="G1528">
        <v>2</v>
      </c>
      <c r="H1528" s="5" t="s">
        <v>575</v>
      </c>
      <c r="I1528" s="5"/>
      <c r="J1528">
        <v>1</v>
      </c>
      <c r="K1528">
        <f>32.5-13</f>
        <v>19.5</v>
      </c>
      <c r="L1528" t="s">
        <v>38</v>
      </c>
      <c r="M1528">
        <v>1</v>
      </c>
    </row>
    <row r="1529" spans="1:13" x14ac:dyDescent="0.25">
      <c r="A1529" s="4">
        <v>42592</v>
      </c>
      <c r="B1529" t="s">
        <v>30</v>
      </c>
      <c r="C1529">
        <v>7</v>
      </c>
      <c r="D1529">
        <v>2</v>
      </c>
      <c r="E1529" t="s">
        <v>42</v>
      </c>
      <c r="F1529" t="s">
        <v>114</v>
      </c>
      <c r="G1529">
        <v>2</v>
      </c>
      <c r="H1529" s="5" t="s">
        <v>620</v>
      </c>
      <c r="I1529" s="5"/>
      <c r="J1529">
        <v>1</v>
      </c>
      <c r="K1529">
        <f>30-13</f>
        <v>17</v>
      </c>
      <c r="L1529" t="s">
        <v>38</v>
      </c>
      <c r="M1529">
        <v>1</v>
      </c>
    </row>
    <row r="1530" spans="1:13" x14ac:dyDescent="0.25">
      <c r="A1530" s="4">
        <v>42604</v>
      </c>
      <c r="B1530" t="s">
        <v>30</v>
      </c>
      <c r="C1530">
        <v>7</v>
      </c>
      <c r="D1530">
        <v>2</v>
      </c>
      <c r="E1530" t="s">
        <v>35</v>
      </c>
      <c r="F1530" t="s">
        <v>114</v>
      </c>
      <c r="G1530">
        <v>2</v>
      </c>
      <c r="H1530" s="5" t="s">
        <v>620</v>
      </c>
      <c r="I1530" s="5"/>
      <c r="J1530">
        <v>1</v>
      </c>
      <c r="K1530">
        <f>28-13</f>
        <v>15</v>
      </c>
      <c r="L1530" t="s">
        <v>38</v>
      </c>
      <c r="M1530">
        <v>1</v>
      </c>
    </row>
    <row r="1531" spans="1:13" x14ac:dyDescent="0.25">
      <c r="A1531" s="4">
        <v>42598</v>
      </c>
      <c r="B1531" t="s">
        <v>30</v>
      </c>
      <c r="C1531">
        <v>2</v>
      </c>
      <c r="D1531">
        <v>2</v>
      </c>
      <c r="E1531" t="s">
        <v>42</v>
      </c>
      <c r="F1531" t="s">
        <v>36</v>
      </c>
      <c r="G1531">
        <v>2</v>
      </c>
      <c r="H1531" s="5" t="s">
        <v>756</v>
      </c>
      <c r="I1531" s="5"/>
      <c r="J1531">
        <v>1</v>
      </c>
      <c r="K1531">
        <f>38-14</f>
        <v>24</v>
      </c>
      <c r="L1531" t="s">
        <v>136</v>
      </c>
      <c r="M1531">
        <v>1</v>
      </c>
    </row>
    <row r="1532" spans="1:13" x14ac:dyDescent="0.25">
      <c r="A1532" s="4">
        <v>42599</v>
      </c>
      <c r="B1532" t="s">
        <v>30</v>
      </c>
      <c r="C1532">
        <v>2</v>
      </c>
      <c r="D1532">
        <v>2</v>
      </c>
      <c r="E1532" t="s">
        <v>35</v>
      </c>
      <c r="F1532" t="s">
        <v>36</v>
      </c>
      <c r="G1532">
        <v>2</v>
      </c>
      <c r="H1532" s="5" t="s">
        <v>756</v>
      </c>
      <c r="I1532" s="5"/>
      <c r="J1532">
        <v>1</v>
      </c>
      <c r="K1532">
        <f>39-16</f>
        <v>23</v>
      </c>
      <c r="L1532" t="s">
        <v>38</v>
      </c>
      <c r="M1532">
        <v>1</v>
      </c>
    </row>
    <row r="1533" spans="1:13" x14ac:dyDescent="0.25">
      <c r="A1533" s="4">
        <v>42600</v>
      </c>
      <c r="B1533" t="s">
        <v>30</v>
      </c>
      <c r="C1533">
        <v>2</v>
      </c>
      <c r="D1533">
        <v>2</v>
      </c>
      <c r="E1533" t="s">
        <v>35</v>
      </c>
      <c r="F1533" t="s">
        <v>36</v>
      </c>
      <c r="G1533">
        <v>2</v>
      </c>
      <c r="H1533" s="5" t="s">
        <v>756</v>
      </c>
      <c r="I1533" s="5"/>
      <c r="J1533">
        <v>1</v>
      </c>
      <c r="K1533">
        <f>39-14.5</f>
        <v>24.5</v>
      </c>
      <c r="L1533" t="s">
        <v>136</v>
      </c>
      <c r="M1533">
        <v>1</v>
      </c>
    </row>
    <row r="1534" spans="1:13" x14ac:dyDescent="0.25">
      <c r="A1534" s="4">
        <v>42593</v>
      </c>
      <c r="B1534" t="s">
        <v>30</v>
      </c>
      <c r="C1534">
        <v>5</v>
      </c>
      <c r="D1534">
        <v>2</v>
      </c>
      <c r="E1534" t="s">
        <v>51</v>
      </c>
      <c r="F1534" t="s">
        <v>36</v>
      </c>
      <c r="G1534">
        <v>2</v>
      </c>
      <c r="H1534" s="5" t="s">
        <v>688</v>
      </c>
      <c r="I1534" s="5" t="s">
        <v>688</v>
      </c>
      <c r="J1534">
        <v>1</v>
      </c>
      <c r="K1534">
        <f>37.5-12.5</f>
        <v>25</v>
      </c>
      <c r="L1534" t="s">
        <v>74</v>
      </c>
      <c r="M1534">
        <v>1</v>
      </c>
    </row>
    <row r="1535" spans="1:13" x14ac:dyDescent="0.25">
      <c r="A1535" s="4">
        <v>42593</v>
      </c>
      <c r="B1535" t="s">
        <v>30</v>
      </c>
      <c r="C1535">
        <v>3</v>
      </c>
      <c r="D1535">
        <v>2</v>
      </c>
      <c r="E1535" t="s">
        <v>42</v>
      </c>
      <c r="F1535" t="s">
        <v>36</v>
      </c>
      <c r="G1535">
        <v>1</v>
      </c>
      <c r="H1535" s="5" t="s">
        <v>689</v>
      </c>
      <c r="I1535" s="5"/>
      <c r="J1535">
        <v>1</v>
      </c>
      <c r="K1535">
        <f>36-13.5</f>
        <v>22.5</v>
      </c>
      <c r="L1535" t="s">
        <v>65</v>
      </c>
      <c r="M1535">
        <v>1</v>
      </c>
    </row>
    <row r="1536" spans="1:13" x14ac:dyDescent="0.25">
      <c r="A1536" s="4">
        <v>42592</v>
      </c>
      <c r="B1536" t="s">
        <v>30</v>
      </c>
      <c r="C1536">
        <v>4</v>
      </c>
      <c r="D1536">
        <v>2</v>
      </c>
      <c r="E1536" t="s">
        <v>42</v>
      </c>
      <c r="F1536" t="s">
        <v>36</v>
      </c>
      <c r="G1536">
        <v>1</v>
      </c>
      <c r="H1536" s="5" t="s">
        <v>672</v>
      </c>
      <c r="I1536" s="5"/>
      <c r="J1536">
        <v>1</v>
      </c>
      <c r="K1536">
        <f>39-14</f>
        <v>25</v>
      </c>
      <c r="L1536" t="s">
        <v>47</v>
      </c>
      <c r="M1536">
        <v>1</v>
      </c>
    </row>
    <row r="1537" spans="1:13" x14ac:dyDescent="0.25">
      <c r="A1537" s="4">
        <v>42591</v>
      </c>
      <c r="B1537" t="s">
        <v>30</v>
      </c>
      <c r="C1537">
        <v>3</v>
      </c>
      <c r="D1537">
        <v>2</v>
      </c>
      <c r="E1537" t="s">
        <v>42</v>
      </c>
      <c r="F1537" t="s">
        <v>36</v>
      </c>
      <c r="G1537">
        <v>2</v>
      </c>
      <c r="H1537" s="5" t="s">
        <v>560</v>
      </c>
      <c r="I1537" s="5"/>
      <c r="J1537">
        <v>1</v>
      </c>
      <c r="K1537">
        <f>33-14</f>
        <v>19</v>
      </c>
      <c r="L1537" t="s">
        <v>38</v>
      </c>
      <c r="M1537">
        <v>1</v>
      </c>
    </row>
    <row r="1538" spans="1:13" x14ac:dyDescent="0.25">
      <c r="A1538" s="4">
        <v>42591</v>
      </c>
      <c r="B1538" t="s">
        <v>30</v>
      </c>
      <c r="C1538">
        <v>3</v>
      </c>
      <c r="D1538">
        <v>2</v>
      </c>
      <c r="E1538" t="s">
        <v>42</v>
      </c>
      <c r="F1538" t="s">
        <v>36</v>
      </c>
      <c r="G1538">
        <v>2</v>
      </c>
      <c r="H1538" s="5" t="s">
        <v>559</v>
      </c>
      <c r="I1538" s="5"/>
      <c r="J1538">
        <v>1</v>
      </c>
      <c r="K1538">
        <f>37-13.5</f>
        <v>23.5</v>
      </c>
      <c r="L1538" t="s">
        <v>38</v>
      </c>
      <c r="M1538">
        <v>1</v>
      </c>
    </row>
    <row r="1539" spans="1:13" x14ac:dyDescent="0.25">
      <c r="A1539" s="4">
        <v>42592</v>
      </c>
      <c r="B1539" t="s">
        <v>30</v>
      </c>
      <c r="C1539">
        <v>3</v>
      </c>
      <c r="D1539">
        <v>2</v>
      </c>
      <c r="E1539" t="s">
        <v>35</v>
      </c>
      <c r="F1539" t="s">
        <v>36</v>
      </c>
      <c r="G1539">
        <v>2</v>
      </c>
      <c r="H1539" s="5" t="s">
        <v>559</v>
      </c>
      <c r="I1539" s="5"/>
      <c r="J1539">
        <v>1</v>
      </c>
      <c r="K1539">
        <f>37-13.5</f>
        <v>23.5</v>
      </c>
      <c r="L1539" t="s">
        <v>38</v>
      </c>
      <c r="M1539">
        <v>1</v>
      </c>
    </row>
    <row r="1540" spans="1:13" x14ac:dyDescent="0.25">
      <c r="A1540" s="4">
        <v>42593</v>
      </c>
      <c r="B1540" t="s">
        <v>30</v>
      </c>
      <c r="C1540">
        <v>3</v>
      </c>
      <c r="D1540">
        <v>2</v>
      </c>
      <c r="E1540" t="s">
        <v>35</v>
      </c>
      <c r="F1540" t="s">
        <v>36</v>
      </c>
      <c r="G1540">
        <v>1</v>
      </c>
      <c r="H1540" s="5" t="s">
        <v>559</v>
      </c>
      <c r="I1540" s="5"/>
      <c r="J1540">
        <v>1</v>
      </c>
      <c r="K1540">
        <f>38-14.5</f>
        <v>23.5</v>
      </c>
      <c r="L1540" t="s">
        <v>65</v>
      </c>
      <c r="M1540">
        <v>1</v>
      </c>
    </row>
    <row r="1541" spans="1:13" x14ac:dyDescent="0.25">
      <c r="A1541" s="4">
        <v>42591</v>
      </c>
      <c r="B1541" t="s">
        <v>30</v>
      </c>
      <c r="C1541">
        <v>3</v>
      </c>
      <c r="D1541">
        <v>2</v>
      </c>
      <c r="E1541" t="s">
        <v>42</v>
      </c>
      <c r="F1541" t="s">
        <v>89</v>
      </c>
      <c r="G1541">
        <v>1</v>
      </c>
      <c r="H1541" s="5" t="s">
        <v>557</v>
      </c>
      <c r="I1541" s="5"/>
      <c r="J1541">
        <v>1</v>
      </c>
      <c r="K1541">
        <f>31-13</f>
        <v>18</v>
      </c>
      <c r="L1541" t="s">
        <v>65</v>
      </c>
      <c r="M1541">
        <v>1</v>
      </c>
    </row>
    <row r="1542" spans="1:13" x14ac:dyDescent="0.25">
      <c r="A1542" s="4">
        <v>42593</v>
      </c>
      <c r="B1542" t="s">
        <v>30</v>
      </c>
      <c r="C1542">
        <v>3</v>
      </c>
      <c r="D1542">
        <v>2</v>
      </c>
      <c r="E1542" t="s">
        <v>35</v>
      </c>
      <c r="F1542" t="s">
        <v>89</v>
      </c>
      <c r="G1542">
        <v>2</v>
      </c>
      <c r="H1542" s="5" t="s">
        <v>557</v>
      </c>
      <c r="I1542" s="5"/>
      <c r="J1542">
        <v>1</v>
      </c>
      <c r="K1542">
        <f>34-17.5</f>
        <v>16.5</v>
      </c>
      <c r="L1542" t="s">
        <v>38</v>
      </c>
      <c r="M1542">
        <v>1</v>
      </c>
    </row>
    <row r="1543" spans="1:13" x14ac:dyDescent="0.25">
      <c r="A1543" s="4">
        <v>42604</v>
      </c>
      <c r="B1543" t="s">
        <v>30</v>
      </c>
      <c r="C1543">
        <v>3</v>
      </c>
      <c r="D1543">
        <v>2</v>
      </c>
      <c r="E1543" t="s">
        <v>35</v>
      </c>
      <c r="F1543" t="s">
        <v>114</v>
      </c>
      <c r="G1543">
        <v>1</v>
      </c>
      <c r="H1543" s="5" t="s">
        <v>557</v>
      </c>
      <c r="I1543" s="5"/>
      <c r="J1543">
        <v>1</v>
      </c>
      <c r="K1543">
        <f>30-14.5</f>
        <v>15.5</v>
      </c>
      <c r="L1543" t="s">
        <v>65</v>
      </c>
      <c r="M1543">
        <v>1</v>
      </c>
    </row>
    <row r="1544" spans="1:13" x14ac:dyDescent="0.25">
      <c r="A1544" s="4">
        <v>42605</v>
      </c>
      <c r="B1544" t="s">
        <v>30</v>
      </c>
      <c r="C1544">
        <v>3</v>
      </c>
      <c r="D1544">
        <v>2</v>
      </c>
      <c r="E1544" t="s">
        <v>35</v>
      </c>
      <c r="F1544" t="s">
        <v>36</v>
      </c>
      <c r="G1544">
        <v>1</v>
      </c>
      <c r="H1544" s="5" t="s">
        <v>557</v>
      </c>
      <c r="I1544" s="5"/>
      <c r="J1544">
        <v>1</v>
      </c>
      <c r="K1544">
        <f>36.5-18</f>
        <v>18.5</v>
      </c>
      <c r="L1544" t="s">
        <v>65</v>
      </c>
      <c r="M1544">
        <v>1</v>
      </c>
    </row>
    <row r="1545" spans="1:13" x14ac:dyDescent="0.25">
      <c r="A1545" s="4">
        <v>42606</v>
      </c>
      <c r="B1545" t="s">
        <v>30</v>
      </c>
      <c r="C1545">
        <v>3</v>
      </c>
      <c r="D1545">
        <v>2</v>
      </c>
      <c r="E1545" t="s">
        <v>35</v>
      </c>
      <c r="F1545" t="s">
        <v>114</v>
      </c>
      <c r="G1545">
        <v>1</v>
      </c>
      <c r="H1545" s="5" t="s">
        <v>557</v>
      </c>
      <c r="I1545" s="5"/>
      <c r="J1545">
        <v>1</v>
      </c>
      <c r="K1545">
        <f>32.5-15.5</f>
        <v>17</v>
      </c>
      <c r="L1545" t="s">
        <v>65</v>
      </c>
      <c r="M1545">
        <v>1</v>
      </c>
    </row>
    <row r="1546" spans="1:13" x14ac:dyDescent="0.25">
      <c r="A1546" s="4">
        <v>42606</v>
      </c>
      <c r="B1546" t="s">
        <v>30</v>
      </c>
      <c r="C1546">
        <v>5</v>
      </c>
      <c r="D1546">
        <v>2</v>
      </c>
      <c r="E1546" t="s">
        <v>35</v>
      </c>
      <c r="F1546" t="s">
        <v>36</v>
      </c>
      <c r="G1546">
        <v>1</v>
      </c>
      <c r="H1546" s="5" t="s">
        <v>1012</v>
      </c>
      <c r="I1546" s="5"/>
      <c r="J1546">
        <v>1</v>
      </c>
      <c r="K1546">
        <f>46-16</f>
        <v>30</v>
      </c>
      <c r="L1546" t="s">
        <v>47</v>
      </c>
      <c r="M1546">
        <v>1</v>
      </c>
    </row>
    <row r="1547" spans="1:13" x14ac:dyDescent="0.25">
      <c r="A1547" s="4">
        <v>42930</v>
      </c>
      <c r="B1547" t="s">
        <v>30</v>
      </c>
      <c r="C1547">
        <v>4</v>
      </c>
      <c r="D1547">
        <v>2</v>
      </c>
      <c r="E1547" t="s">
        <v>35</v>
      </c>
      <c r="F1547" t="s">
        <v>36</v>
      </c>
      <c r="G1547">
        <v>1</v>
      </c>
      <c r="H1547">
        <v>38980</v>
      </c>
      <c r="J1547">
        <v>1</v>
      </c>
      <c r="K1547">
        <f>43-15.5</f>
        <v>27.5</v>
      </c>
      <c r="L1547" t="s">
        <v>47</v>
      </c>
      <c r="M1547">
        <v>2</v>
      </c>
    </row>
    <row r="1548" spans="1:13" x14ac:dyDescent="0.25">
      <c r="A1548" s="4">
        <v>42932</v>
      </c>
      <c r="B1548" t="s">
        <v>30</v>
      </c>
      <c r="C1548">
        <v>4</v>
      </c>
      <c r="D1548">
        <v>2</v>
      </c>
      <c r="E1548" t="s">
        <v>35</v>
      </c>
      <c r="F1548" t="s">
        <v>36</v>
      </c>
      <c r="G1548">
        <v>2</v>
      </c>
      <c r="H1548">
        <v>39154</v>
      </c>
      <c r="J1548">
        <v>1</v>
      </c>
      <c r="K1548">
        <f>47-13.5</f>
        <v>33.5</v>
      </c>
      <c r="L1548" t="s">
        <v>1041</v>
      </c>
      <c r="M1548">
        <v>2</v>
      </c>
    </row>
    <row r="1549" spans="1:13" x14ac:dyDescent="0.25">
      <c r="A1549" s="4">
        <v>42935</v>
      </c>
      <c r="B1549" t="s">
        <v>30</v>
      </c>
      <c r="C1549">
        <v>4</v>
      </c>
      <c r="D1549">
        <v>2</v>
      </c>
      <c r="E1549" t="s">
        <v>35</v>
      </c>
      <c r="F1549" t="s">
        <v>36</v>
      </c>
      <c r="G1549">
        <v>1</v>
      </c>
      <c r="H1549">
        <v>39195</v>
      </c>
      <c r="J1549">
        <v>1</v>
      </c>
      <c r="K1549">
        <f>43.5-25.5</f>
        <v>18</v>
      </c>
      <c r="L1549" t="s">
        <v>47</v>
      </c>
      <c r="M1549">
        <v>2</v>
      </c>
    </row>
    <row r="1550" spans="1:13" x14ac:dyDescent="0.25">
      <c r="A1550" s="4">
        <v>42936</v>
      </c>
      <c r="B1550" t="s">
        <v>30</v>
      </c>
      <c r="C1550">
        <v>4</v>
      </c>
      <c r="D1550">
        <v>2</v>
      </c>
      <c r="E1550" t="s">
        <v>35</v>
      </c>
      <c r="F1550" t="s">
        <v>36</v>
      </c>
      <c r="G1550">
        <v>1</v>
      </c>
      <c r="H1550">
        <v>39195</v>
      </c>
      <c r="J1550">
        <v>1</v>
      </c>
      <c r="K1550">
        <f>44.5-16.5</f>
        <v>28</v>
      </c>
      <c r="L1550" t="s">
        <v>47</v>
      </c>
      <c r="M1550">
        <v>2</v>
      </c>
    </row>
    <row r="1551" spans="1:13" x14ac:dyDescent="0.25">
      <c r="A1551" s="4">
        <v>42937</v>
      </c>
      <c r="B1551" t="s">
        <v>30</v>
      </c>
      <c r="C1551">
        <v>4</v>
      </c>
      <c r="D1551">
        <v>2</v>
      </c>
      <c r="E1551" t="s">
        <v>35</v>
      </c>
      <c r="F1551" t="s">
        <v>36</v>
      </c>
      <c r="G1551">
        <v>1</v>
      </c>
      <c r="H1551">
        <v>39195</v>
      </c>
      <c r="J1551">
        <v>1</v>
      </c>
      <c r="K1551">
        <f>40-14</f>
        <v>26</v>
      </c>
      <c r="L1551" t="s">
        <v>47</v>
      </c>
      <c r="M1551">
        <v>2</v>
      </c>
    </row>
    <row r="1552" spans="1:13" x14ac:dyDescent="0.25">
      <c r="A1552" s="4">
        <v>42949</v>
      </c>
      <c r="B1552" t="s">
        <v>30</v>
      </c>
      <c r="C1552">
        <v>4</v>
      </c>
      <c r="D1552">
        <v>2</v>
      </c>
      <c r="E1552" t="s">
        <v>35</v>
      </c>
      <c r="F1552" t="s">
        <v>36</v>
      </c>
      <c r="G1552">
        <v>1</v>
      </c>
      <c r="H1552">
        <v>39195</v>
      </c>
      <c r="J1552">
        <v>1</v>
      </c>
      <c r="K1552">
        <f>43.5-16</f>
        <v>27.5</v>
      </c>
      <c r="L1552" t="s">
        <v>47</v>
      </c>
      <c r="M1552">
        <v>2</v>
      </c>
    </row>
    <row r="1553" spans="1:13" x14ac:dyDescent="0.25">
      <c r="A1553" s="4">
        <v>42935</v>
      </c>
      <c r="B1553" t="s">
        <v>30</v>
      </c>
      <c r="C1553">
        <v>4</v>
      </c>
      <c r="D1553">
        <v>2</v>
      </c>
      <c r="E1553" t="s">
        <v>35</v>
      </c>
      <c r="F1553" t="s">
        <v>36</v>
      </c>
      <c r="G1553">
        <v>2</v>
      </c>
      <c r="H1553">
        <v>39325</v>
      </c>
      <c r="J1553">
        <v>1</v>
      </c>
      <c r="K1553">
        <f>44.5-13.5</f>
        <v>31</v>
      </c>
      <c r="L1553" t="s">
        <v>81</v>
      </c>
      <c r="M1553">
        <v>2</v>
      </c>
    </row>
    <row r="1554" spans="1:13" x14ac:dyDescent="0.25">
      <c r="A1554" s="4">
        <v>42936</v>
      </c>
      <c r="B1554" t="s">
        <v>30</v>
      </c>
      <c r="C1554">
        <v>4</v>
      </c>
      <c r="D1554">
        <v>2</v>
      </c>
      <c r="E1554" t="s">
        <v>35</v>
      </c>
      <c r="F1554" t="s">
        <v>36</v>
      </c>
      <c r="G1554">
        <v>2</v>
      </c>
      <c r="H1554">
        <v>39325</v>
      </c>
      <c r="J1554">
        <v>1</v>
      </c>
      <c r="K1554">
        <f>49.5-15.5</f>
        <v>34</v>
      </c>
      <c r="L1554" t="s">
        <v>1041</v>
      </c>
      <c r="M1554">
        <v>2</v>
      </c>
    </row>
    <row r="1555" spans="1:13" x14ac:dyDescent="0.25">
      <c r="A1555" s="4">
        <v>42937</v>
      </c>
      <c r="B1555" t="s">
        <v>30</v>
      </c>
      <c r="C1555">
        <v>4</v>
      </c>
      <c r="D1555">
        <v>2</v>
      </c>
      <c r="E1555" t="s">
        <v>35</v>
      </c>
      <c r="F1555" t="s">
        <v>36</v>
      </c>
      <c r="G1555">
        <v>2</v>
      </c>
      <c r="H1555">
        <v>39325</v>
      </c>
      <c r="J1555">
        <v>1</v>
      </c>
      <c r="K1555">
        <f>41-14</f>
        <v>27</v>
      </c>
      <c r="L1555" t="s">
        <v>81</v>
      </c>
      <c r="M1555">
        <v>2</v>
      </c>
    </row>
    <row r="1556" spans="1:13" x14ac:dyDescent="0.25">
      <c r="A1556" s="4">
        <v>42947</v>
      </c>
      <c r="B1556" t="s">
        <v>30</v>
      </c>
      <c r="C1556">
        <v>4</v>
      </c>
      <c r="D1556">
        <v>2</v>
      </c>
      <c r="E1556" t="s">
        <v>35</v>
      </c>
      <c r="F1556" t="s">
        <v>36</v>
      </c>
      <c r="G1556">
        <v>2</v>
      </c>
      <c r="H1556">
        <v>39325</v>
      </c>
      <c r="J1556">
        <v>1</v>
      </c>
      <c r="K1556">
        <f>43.5-13.5</f>
        <v>30</v>
      </c>
      <c r="L1556" t="s">
        <v>1039</v>
      </c>
      <c r="M1556">
        <v>2</v>
      </c>
    </row>
    <row r="1557" spans="1:13" x14ac:dyDescent="0.25">
      <c r="A1557" s="4">
        <v>42948</v>
      </c>
      <c r="B1557" t="s">
        <v>30</v>
      </c>
      <c r="C1557">
        <v>4</v>
      </c>
      <c r="D1557">
        <v>2</v>
      </c>
      <c r="E1557" t="s">
        <v>35</v>
      </c>
      <c r="F1557" t="s">
        <v>36</v>
      </c>
      <c r="G1557">
        <v>2</v>
      </c>
      <c r="H1557">
        <v>39325</v>
      </c>
      <c r="J1557">
        <v>1</v>
      </c>
      <c r="K1557">
        <f>39-14</f>
        <v>25</v>
      </c>
      <c r="L1557" t="s">
        <v>1039</v>
      </c>
      <c r="M1557">
        <v>2</v>
      </c>
    </row>
    <row r="1558" spans="1:13" x14ac:dyDescent="0.25">
      <c r="A1558" s="4">
        <v>42949</v>
      </c>
      <c r="B1558" t="s">
        <v>30</v>
      </c>
      <c r="C1558">
        <v>4</v>
      </c>
      <c r="D1558">
        <v>2</v>
      </c>
      <c r="E1558" t="s">
        <v>35</v>
      </c>
      <c r="F1558" t="s">
        <v>36</v>
      </c>
      <c r="G1558">
        <v>2</v>
      </c>
      <c r="H1558">
        <v>39325</v>
      </c>
      <c r="J1558">
        <v>1</v>
      </c>
      <c r="K1558">
        <f>40.5-14</f>
        <v>26.5</v>
      </c>
      <c r="L1558" t="s">
        <v>1039</v>
      </c>
      <c r="M1558">
        <v>2</v>
      </c>
    </row>
    <row r="1559" spans="1:13" x14ac:dyDescent="0.25">
      <c r="A1559" s="4">
        <v>42930</v>
      </c>
      <c r="B1559" t="s">
        <v>30</v>
      </c>
      <c r="C1559">
        <v>2</v>
      </c>
      <c r="D1559">
        <v>2</v>
      </c>
      <c r="E1559" t="s">
        <v>42</v>
      </c>
      <c r="F1559" t="s">
        <v>36</v>
      </c>
      <c r="G1559">
        <v>2</v>
      </c>
      <c r="H1559">
        <v>39328</v>
      </c>
      <c r="J1559">
        <v>0</v>
      </c>
      <c r="K1559">
        <f>39-14</f>
        <v>25</v>
      </c>
      <c r="L1559" t="s">
        <v>38</v>
      </c>
      <c r="M1559">
        <v>2</v>
      </c>
    </row>
    <row r="1560" spans="1:13" x14ac:dyDescent="0.25">
      <c r="A1560" s="4">
        <v>42935</v>
      </c>
      <c r="B1560" t="s">
        <v>30</v>
      </c>
      <c r="C1560">
        <v>8</v>
      </c>
      <c r="D1560">
        <v>2</v>
      </c>
      <c r="E1560" t="s">
        <v>42</v>
      </c>
      <c r="F1560" t="s">
        <v>36</v>
      </c>
      <c r="G1560">
        <v>1</v>
      </c>
      <c r="H1560">
        <v>39344</v>
      </c>
      <c r="J1560">
        <v>1</v>
      </c>
      <c r="K1560">
        <f>34-13</f>
        <v>21</v>
      </c>
      <c r="L1560" t="s">
        <v>65</v>
      </c>
      <c r="M1560">
        <v>2</v>
      </c>
    </row>
    <row r="1561" spans="1:13" x14ac:dyDescent="0.25">
      <c r="A1561" s="4">
        <v>42936</v>
      </c>
      <c r="B1561" t="s">
        <v>30</v>
      </c>
      <c r="C1561">
        <v>8</v>
      </c>
      <c r="D1561">
        <v>2</v>
      </c>
      <c r="E1561" t="s">
        <v>35</v>
      </c>
      <c r="F1561" t="s">
        <v>36</v>
      </c>
      <c r="G1561">
        <v>1</v>
      </c>
      <c r="H1561">
        <v>39344</v>
      </c>
      <c r="J1561">
        <v>1</v>
      </c>
      <c r="K1561">
        <f>35-14</f>
        <v>21</v>
      </c>
      <c r="L1561" t="s">
        <v>65</v>
      </c>
      <c r="M1561">
        <v>2</v>
      </c>
    </row>
    <row r="1562" spans="1:13" x14ac:dyDescent="0.25">
      <c r="A1562" s="4">
        <v>42935</v>
      </c>
      <c r="B1562" t="s">
        <v>30</v>
      </c>
      <c r="C1562">
        <v>8</v>
      </c>
      <c r="D1562">
        <v>2</v>
      </c>
      <c r="E1562" t="s">
        <v>42</v>
      </c>
      <c r="F1562" t="s">
        <v>36</v>
      </c>
      <c r="G1562">
        <v>2</v>
      </c>
      <c r="H1562">
        <v>39345</v>
      </c>
      <c r="J1562">
        <v>1</v>
      </c>
      <c r="K1562">
        <f>38-15</f>
        <v>23</v>
      </c>
      <c r="L1562" t="s">
        <v>83</v>
      </c>
      <c r="M1562">
        <v>2</v>
      </c>
    </row>
    <row r="1563" spans="1:13" x14ac:dyDescent="0.25">
      <c r="A1563" s="4">
        <v>42937</v>
      </c>
      <c r="B1563" t="s">
        <v>30</v>
      </c>
      <c r="C1563">
        <v>8</v>
      </c>
      <c r="D1563">
        <v>2</v>
      </c>
      <c r="E1563" t="s">
        <v>35</v>
      </c>
      <c r="F1563" t="s">
        <v>36</v>
      </c>
      <c r="G1563">
        <v>2</v>
      </c>
      <c r="H1563">
        <v>39345</v>
      </c>
      <c r="J1563">
        <v>1</v>
      </c>
      <c r="K1563">
        <f>39.5-16</f>
        <v>23.5</v>
      </c>
      <c r="L1563" t="s">
        <v>83</v>
      </c>
      <c r="M1563">
        <v>2</v>
      </c>
    </row>
    <row r="1564" spans="1:13" x14ac:dyDescent="0.25">
      <c r="A1564" s="4">
        <v>42948</v>
      </c>
      <c r="B1564" t="s">
        <v>30</v>
      </c>
      <c r="C1564">
        <v>8</v>
      </c>
      <c r="D1564">
        <v>2</v>
      </c>
      <c r="E1564" t="s">
        <v>35</v>
      </c>
      <c r="F1564" t="s">
        <v>36</v>
      </c>
      <c r="G1564">
        <v>2</v>
      </c>
      <c r="H1564">
        <v>39345</v>
      </c>
      <c r="J1564">
        <v>0</v>
      </c>
      <c r="K1564">
        <f>39-14.5</f>
        <v>24.5</v>
      </c>
      <c r="L1564" t="s">
        <v>83</v>
      </c>
      <c r="M1564">
        <v>2</v>
      </c>
    </row>
    <row r="1565" spans="1:13" x14ac:dyDescent="0.25">
      <c r="A1565" s="4">
        <v>42936</v>
      </c>
      <c r="B1565" t="s">
        <v>30</v>
      </c>
      <c r="C1565">
        <v>7</v>
      </c>
      <c r="D1565">
        <v>2</v>
      </c>
      <c r="E1565" t="s">
        <v>35</v>
      </c>
      <c r="F1565" t="s">
        <v>36</v>
      </c>
      <c r="G1565">
        <v>2</v>
      </c>
      <c r="H1565">
        <v>39355</v>
      </c>
      <c r="J1565">
        <v>1</v>
      </c>
      <c r="K1565">
        <f>34-14</f>
        <v>20</v>
      </c>
      <c r="L1565" t="s">
        <v>38</v>
      </c>
      <c r="M1565">
        <v>2</v>
      </c>
    </row>
    <row r="1566" spans="1:13" x14ac:dyDescent="0.25">
      <c r="A1566" s="4">
        <v>42937</v>
      </c>
      <c r="B1566" t="s">
        <v>30</v>
      </c>
      <c r="C1566">
        <v>7</v>
      </c>
      <c r="D1566">
        <v>2</v>
      </c>
      <c r="E1566" t="s">
        <v>35</v>
      </c>
      <c r="F1566" t="s">
        <v>36</v>
      </c>
      <c r="G1566">
        <v>2</v>
      </c>
      <c r="H1566">
        <v>39355</v>
      </c>
      <c r="J1566">
        <v>1</v>
      </c>
      <c r="K1566">
        <f>37-15</f>
        <v>22</v>
      </c>
      <c r="L1566" t="s">
        <v>83</v>
      </c>
      <c r="M1566">
        <v>2</v>
      </c>
    </row>
    <row r="1567" spans="1:13" x14ac:dyDescent="0.25">
      <c r="A1567" s="4">
        <v>42949</v>
      </c>
      <c r="B1567" t="s">
        <v>30</v>
      </c>
      <c r="C1567">
        <v>7</v>
      </c>
      <c r="D1567">
        <v>2</v>
      </c>
      <c r="E1567" t="s">
        <v>35</v>
      </c>
      <c r="F1567" t="s">
        <v>36</v>
      </c>
      <c r="G1567">
        <v>2</v>
      </c>
      <c r="H1567">
        <v>39355</v>
      </c>
      <c r="J1567">
        <v>1</v>
      </c>
      <c r="K1567">
        <f>44-15</f>
        <v>29</v>
      </c>
      <c r="L1567" t="s">
        <v>1041</v>
      </c>
      <c r="M1567">
        <v>2</v>
      </c>
    </row>
    <row r="1568" spans="1:13" x14ac:dyDescent="0.25">
      <c r="A1568" s="4">
        <v>42963</v>
      </c>
      <c r="B1568" t="s">
        <v>30</v>
      </c>
      <c r="C1568">
        <v>7</v>
      </c>
      <c r="D1568">
        <v>2</v>
      </c>
      <c r="E1568" t="s">
        <v>35</v>
      </c>
      <c r="F1568" t="s">
        <v>36</v>
      </c>
      <c r="G1568">
        <v>2</v>
      </c>
      <c r="H1568">
        <v>39355</v>
      </c>
      <c r="J1568">
        <v>1</v>
      </c>
      <c r="K1568">
        <f>34.5-13.5</f>
        <v>21</v>
      </c>
      <c r="L1568" t="s">
        <v>1039</v>
      </c>
      <c r="M1568">
        <v>2</v>
      </c>
    </row>
    <row r="1569" spans="1:13" x14ac:dyDescent="0.25">
      <c r="A1569" s="4">
        <v>42936</v>
      </c>
      <c r="B1569" t="s">
        <v>30</v>
      </c>
      <c r="C1569">
        <v>8</v>
      </c>
      <c r="D1569">
        <v>2</v>
      </c>
      <c r="E1569" t="s">
        <v>42</v>
      </c>
      <c r="F1569" t="s">
        <v>36</v>
      </c>
      <c r="G1569">
        <v>2</v>
      </c>
      <c r="H1569">
        <v>39356</v>
      </c>
      <c r="J1569">
        <v>0</v>
      </c>
      <c r="K1569">
        <f>34-15</f>
        <v>19</v>
      </c>
      <c r="L1569" t="s">
        <v>38</v>
      </c>
      <c r="M1569">
        <v>2</v>
      </c>
    </row>
    <row r="1570" spans="1:13" x14ac:dyDescent="0.25">
      <c r="A1570" s="4">
        <v>42947</v>
      </c>
      <c r="B1570" t="s">
        <v>30</v>
      </c>
      <c r="C1570">
        <v>8</v>
      </c>
      <c r="D1570">
        <v>2</v>
      </c>
      <c r="E1570" t="s">
        <v>35</v>
      </c>
      <c r="F1570" t="s">
        <v>36</v>
      </c>
      <c r="G1570">
        <v>2</v>
      </c>
      <c r="H1570">
        <v>39356</v>
      </c>
      <c r="J1570">
        <v>0</v>
      </c>
      <c r="K1570">
        <f>32-13</f>
        <v>19</v>
      </c>
      <c r="L1570" t="s">
        <v>38</v>
      </c>
      <c r="M1570">
        <v>2</v>
      </c>
    </row>
    <row r="1571" spans="1:13" x14ac:dyDescent="0.25">
      <c r="A1571" s="4">
        <v>42963</v>
      </c>
      <c r="B1571" t="s">
        <v>30</v>
      </c>
      <c r="C1571">
        <v>8</v>
      </c>
      <c r="D1571">
        <v>2</v>
      </c>
      <c r="E1571" t="s">
        <v>35</v>
      </c>
      <c r="F1571" t="s">
        <v>36</v>
      </c>
      <c r="G1571">
        <v>2</v>
      </c>
      <c r="H1571">
        <v>39356</v>
      </c>
      <c r="J1571">
        <v>1</v>
      </c>
      <c r="K1571">
        <f>38-14</f>
        <v>24</v>
      </c>
      <c r="L1571" t="s">
        <v>1039</v>
      </c>
      <c r="M1571">
        <v>2</v>
      </c>
    </row>
    <row r="1572" spans="1:13" x14ac:dyDescent="0.25">
      <c r="A1572" s="4">
        <v>42936</v>
      </c>
      <c r="B1572" t="s">
        <v>30</v>
      </c>
      <c r="C1572">
        <v>8</v>
      </c>
      <c r="D1572">
        <v>2</v>
      </c>
      <c r="E1572" t="s">
        <v>42</v>
      </c>
      <c r="F1572" t="s">
        <v>36</v>
      </c>
      <c r="G1572">
        <v>1</v>
      </c>
      <c r="H1572">
        <v>39357</v>
      </c>
      <c r="J1572">
        <v>1</v>
      </c>
      <c r="K1572">
        <f>37-14</f>
        <v>23</v>
      </c>
      <c r="L1572" t="s">
        <v>47</v>
      </c>
      <c r="M1572">
        <v>2</v>
      </c>
    </row>
    <row r="1573" spans="1:13" x14ac:dyDescent="0.25">
      <c r="A1573" s="4">
        <v>42937</v>
      </c>
      <c r="B1573" t="s">
        <v>30</v>
      </c>
      <c r="C1573">
        <v>8</v>
      </c>
      <c r="D1573">
        <v>2</v>
      </c>
      <c r="E1573" t="s">
        <v>35</v>
      </c>
      <c r="F1573" t="s">
        <v>36</v>
      </c>
      <c r="G1573">
        <v>1</v>
      </c>
      <c r="H1573">
        <v>39357</v>
      </c>
      <c r="J1573">
        <v>1</v>
      </c>
      <c r="K1573">
        <f>41-16.5</f>
        <v>24.5</v>
      </c>
      <c r="L1573" t="s">
        <v>47</v>
      </c>
      <c r="M1573">
        <v>2</v>
      </c>
    </row>
    <row r="1574" spans="1:13" x14ac:dyDescent="0.25">
      <c r="A1574" s="4">
        <v>42947</v>
      </c>
      <c r="B1574" t="s">
        <v>30</v>
      </c>
      <c r="C1574">
        <v>8</v>
      </c>
      <c r="D1574">
        <v>2</v>
      </c>
      <c r="E1574" t="s">
        <v>35</v>
      </c>
      <c r="F1574" t="s">
        <v>36</v>
      </c>
      <c r="G1574">
        <v>1</v>
      </c>
      <c r="H1574">
        <v>39357</v>
      </c>
      <c r="J1574">
        <v>0</v>
      </c>
      <c r="K1574">
        <f>40-15</f>
        <v>25</v>
      </c>
      <c r="L1574" t="s">
        <v>65</v>
      </c>
      <c r="M1574">
        <v>2</v>
      </c>
    </row>
    <row r="1575" spans="1:13" x14ac:dyDescent="0.25">
      <c r="A1575" s="4">
        <v>42936</v>
      </c>
      <c r="B1575" t="s">
        <v>30</v>
      </c>
      <c r="C1575">
        <v>8</v>
      </c>
      <c r="D1575">
        <v>2</v>
      </c>
      <c r="E1575" t="s">
        <v>42</v>
      </c>
      <c r="F1575" t="s">
        <v>36</v>
      </c>
      <c r="G1575">
        <v>1</v>
      </c>
      <c r="H1575">
        <v>39363</v>
      </c>
      <c r="J1575">
        <v>0</v>
      </c>
      <c r="K1575">
        <f>34-14</f>
        <v>20</v>
      </c>
      <c r="L1575" t="s">
        <v>65</v>
      </c>
      <c r="M1575">
        <v>2</v>
      </c>
    </row>
    <row r="1576" spans="1:13" x14ac:dyDescent="0.25">
      <c r="A1576" s="4">
        <v>42937</v>
      </c>
      <c r="B1576" t="s">
        <v>30</v>
      </c>
      <c r="C1576">
        <v>4</v>
      </c>
      <c r="D1576">
        <v>2</v>
      </c>
      <c r="E1576" t="s">
        <v>35</v>
      </c>
      <c r="F1576" t="s">
        <v>36</v>
      </c>
      <c r="G1576">
        <v>1</v>
      </c>
      <c r="H1576">
        <v>39368</v>
      </c>
      <c r="J1576">
        <v>1</v>
      </c>
      <c r="K1576">
        <f>35-14.5</f>
        <v>20.5</v>
      </c>
      <c r="L1576" t="s">
        <v>47</v>
      </c>
      <c r="M1576">
        <v>2</v>
      </c>
    </row>
    <row r="1577" spans="1:13" x14ac:dyDescent="0.25">
      <c r="A1577" s="4">
        <v>42949</v>
      </c>
      <c r="B1577" t="s">
        <v>30</v>
      </c>
      <c r="C1577">
        <v>8</v>
      </c>
      <c r="D1577">
        <v>2</v>
      </c>
      <c r="E1577" t="s">
        <v>42</v>
      </c>
      <c r="F1577" t="s">
        <v>36</v>
      </c>
      <c r="G1577">
        <v>2</v>
      </c>
      <c r="H1577">
        <v>39407</v>
      </c>
      <c r="J1577">
        <v>0</v>
      </c>
      <c r="K1577">
        <f>33-13</f>
        <v>20</v>
      </c>
      <c r="L1577" t="s">
        <v>38</v>
      </c>
      <c r="M1577">
        <v>2</v>
      </c>
    </row>
    <row r="1578" spans="1:13" x14ac:dyDescent="0.25">
      <c r="A1578" s="4">
        <v>42957</v>
      </c>
      <c r="B1578" t="s">
        <v>30</v>
      </c>
      <c r="C1578">
        <v>3</v>
      </c>
      <c r="D1578">
        <v>2</v>
      </c>
      <c r="E1578" t="s">
        <v>42</v>
      </c>
      <c r="F1578" t="s">
        <v>36</v>
      </c>
      <c r="G1578">
        <v>2</v>
      </c>
      <c r="H1578">
        <v>39410</v>
      </c>
      <c r="J1578">
        <v>1</v>
      </c>
      <c r="K1578">
        <f>44-14</f>
        <v>30</v>
      </c>
      <c r="L1578" t="s">
        <v>1039</v>
      </c>
      <c r="M1578">
        <v>2</v>
      </c>
    </row>
    <row r="1579" spans="1:13" x14ac:dyDescent="0.25">
      <c r="A1579" s="4">
        <v>42956</v>
      </c>
      <c r="B1579" t="s">
        <v>30</v>
      </c>
      <c r="C1579">
        <v>2</v>
      </c>
      <c r="D1579">
        <v>2</v>
      </c>
      <c r="E1579" t="s">
        <v>42</v>
      </c>
      <c r="F1579" t="s">
        <v>89</v>
      </c>
      <c r="G1579">
        <v>2</v>
      </c>
      <c r="H1579">
        <v>39413</v>
      </c>
      <c r="J1579">
        <v>1</v>
      </c>
      <c r="K1579">
        <f>30-13.5</f>
        <v>16.5</v>
      </c>
      <c r="L1579" t="s">
        <v>38</v>
      </c>
      <c r="M1579">
        <v>2</v>
      </c>
    </row>
    <row r="1580" spans="1:13" x14ac:dyDescent="0.25">
      <c r="A1580" s="4">
        <v>42961</v>
      </c>
      <c r="B1580" t="s">
        <v>30</v>
      </c>
      <c r="C1580">
        <v>3</v>
      </c>
      <c r="D1580">
        <v>2</v>
      </c>
      <c r="E1580" t="s">
        <v>42</v>
      </c>
      <c r="F1580" t="s">
        <v>36</v>
      </c>
      <c r="G1580">
        <v>2</v>
      </c>
      <c r="H1580">
        <v>39418</v>
      </c>
      <c r="J1580">
        <v>0</v>
      </c>
      <c r="K1580">
        <f>46-14</f>
        <v>32</v>
      </c>
      <c r="L1580" t="s">
        <v>81</v>
      </c>
      <c r="M1580">
        <v>2</v>
      </c>
    </row>
    <row r="1581" spans="1:13" x14ac:dyDescent="0.25">
      <c r="A1581" s="4">
        <v>42962</v>
      </c>
      <c r="B1581" t="s">
        <v>30</v>
      </c>
      <c r="C1581">
        <v>4</v>
      </c>
      <c r="D1581">
        <v>2</v>
      </c>
      <c r="E1581" t="s">
        <v>42</v>
      </c>
      <c r="F1581" t="s">
        <v>36</v>
      </c>
      <c r="G1581">
        <v>2</v>
      </c>
      <c r="H1581">
        <v>39421</v>
      </c>
      <c r="I1581">
        <v>39421</v>
      </c>
      <c r="J1581">
        <v>1</v>
      </c>
      <c r="K1581">
        <f>35-14</f>
        <v>21</v>
      </c>
      <c r="L1581" t="s">
        <v>38</v>
      </c>
      <c r="M1581">
        <v>2</v>
      </c>
    </row>
    <row r="1582" spans="1:13" x14ac:dyDescent="0.25">
      <c r="A1582" s="4">
        <v>42955</v>
      </c>
      <c r="B1582" t="s">
        <v>30</v>
      </c>
      <c r="C1582">
        <v>4</v>
      </c>
      <c r="D1582">
        <v>2</v>
      </c>
      <c r="E1582" t="s">
        <v>42</v>
      </c>
      <c r="F1582" t="s">
        <v>36</v>
      </c>
      <c r="G1582">
        <v>1</v>
      </c>
      <c r="H1582">
        <v>39426</v>
      </c>
      <c r="I1582">
        <v>39426</v>
      </c>
      <c r="J1582">
        <v>1</v>
      </c>
      <c r="K1582">
        <f>37.5-14.5</f>
        <v>23</v>
      </c>
      <c r="L1582" t="s">
        <v>47</v>
      </c>
      <c r="M1582">
        <v>2</v>
      </c>
    </row>
    <row r="1583" spans="1:13" x14ac:dyDescent="0.25">
      <c r="A1583" s="4">
        <v>42956</v>
      </c>
      <c r="B1583" t="s">
        <v>30</v>
      </c>
      <c r="C1583">
        <v>4</v>
      </c>
      <c r="D1583">
        <v>2</v>
      </c>
      <c r="E1583" t="s">
        <v>35</v>
      </c>
      <c r="F1583" t="s">
        <v>36</v>
      </c>
      <c r="G1583">
        <v>1</v>
      </c>
      <c r="H1583">
        <v>39426</v>
      </c>
      <c r="I1583">
        <v>39426</v>
      </c>
      <c r="J1583">
        <v>1</v>
      </c>
      <c r="L1583" t="s">
        <v>47</v>
      </c>
      <c r="M1583">
        <v>2</v>
      </c>
    </row>
    <row r="1584" spans="1:13" x14ac:dyDescent="0.25">
      <c r="A1584" s="4">
        <v>42961</v>
      </c>
      <c r="B1584" t="s">
        <v>30</v>
      </c>
      <c r="C1584">
        <v>8</v>
      </c>
      <c r="D1584">
        <v>2</v>
      </c>
      <c r="E1584" t="s">
        <v>42</v>
      </c>
      <c r="F1584" t="s">
        <v>36</v>
      </c>
      <c r="G1584">
        <v>2</v>
      </c>
      <c r="H1584">
        <v>39432</v>
      </c>
      <c r="J1584">
        <v>1</v>
      </c>
      <c r="K1584">
        <f>35.5-14.5</f>
        <v>21</v>
      </c>
      <c r="L1584" t="s">
        <v>38</v>
      </c>
      <c r="M1584">
        <v>2</v>
      </c>
    </row>
    <row r="1585" spans="1:13" x14ac:dyDescent="0.25">
      <c r="A1585" s="4">
        <v>42963</v>
      </c>
      <c r="B1585" t="s">
        <v>30</v>
      </c>
      <c r="C1585">
        <v>8</v>
      </c>
      <c r="D1585">
        <v>2</v>
      </c>
      <c r="E1585" t="s">
        <v>35</v>
      </c>
      <c r="F1585" t="s">
        <v>36</v>
      </c>
      <c r="H1585">
        <v>39432</v>
      </c>
      <c r="J1585">
        <v>1</v>
      </c>
      <c r="K1585">
        <f>35-14.5</f>
        <v>20.5</v>
      </c>
      <c r="M1585">
        <v>2</v>
      </c>
    </row>
    <row r="1586" spans="1:13" x14ac:dyDescent="0.25">
      <c r="A1586" s="4">
        <v>42949</v>
      </c>
      <c r="B1586" t="s">
        <v>30</v>
      </c>
      <c r="C1586">
        <v>5</v>
      </c>
      <c r="D1586">
        <v>2</v>
      </c>
      <c r="E1586" t="s">
        <v>42</v>
      </c>
      <c r="F1586" t="s">
        <v>36</v>
      </c>
      <c r="G1586">
        <v>1</v>
      </c>
      <c r="H1586">
        <v>39438</v>
      </c>
      <c r="J1586">
        <v>1</v>
      </c>
      <c r="K1586">
        <f>40.5-16</f>
        <v>24.5</v>
      </c>
      <c r="L1586" t="s">
        <v>47</v>
      </c>
      <c r="M1586">
        <v>2</v>
      </c>
    </row>
    <row r="1587" spans="1:13" x14ac:dyDescent="0.25">
      <c r="A1587" s="4">
        <v>42949</v>
      </c>
      <c r="B1587" t="s">
        <v>30</v>
      </c>
      <c r="C1587">
        <v>5</v>
      </c>
      <c r="D1587">
        <v>2</v>
      </c>
      <c r="E1587" t="s">
        <v>42</v>
      </c>
      <c r="F1587" t="s">
        <v>36</v>
      </c>
      <c r="G1587">
        <v>2</v>
      </c>
      <c r="H1587">
        <v>39439</v>
      </c>
      <c r="J1587">
        <v>1</v>
      </c>
      <c r="K1587">
        <f>37-15.5</f>
        <v>21.5</v>
      </c>
      <c r="L1587" t="s">
        <v>83</v>
      </c>
      <c r="M1587">
        <v>2</v>
      </c>
    </row>
    <row r="1588" spans="1:13" x14ac:dyDescent="0.25">
      <c r="A1588" s="4">
        <v>42942</v>
      </c>
      <c r="B1588" t="s">
        <v>30</v>
      </c>
      <c r="C1588">
        <v>4</v>
      </c>
      <c r="D1588">
        <v>2</v>
      </c>
      <c r="E1588" t="s">
        <v>42</v>
      </c>
      <c r="F1588" t="s">
        <v>36</v>
      </c>
      <c r="G1588">
        <v>1</v>
      </c>
      <c r="H1588">
        <v>39452</v>
      </c>
      <c r="I1588">
        <v>39452</v>
      </c>
      <c r="J1588">
        <v>1</v>
      </c>
      <c r="K1588">
        <f>39.5-14</f>
        <v>25.5</v>
      </c>
      <c r="L1588" t="s">
        <v>47</v>
      </c>
      <c r="M1588">
        <v>2</v>
      </c>
    </row>
    <row r="1589" spans="1:13" x14ac:dyDescent="0.25">
      <c r="A1589" s="4">
        <v>42943</v>
      </c>
      <c r="B1589" t="s">
        <v>30</v>
      </c>
      <c r="C1589">
        <v>4</v>
      </c>
      <c r="D1589">
        <v>2</v>
      </c>
      <c r="E1589" t="s">
        <v>35</v>
      </c>
      <c r="F1589" t="s">
        <v>36</v>
      </c>
      <c r="G1589">
        <v>1</v>
      </c>
      <c r="H1589">
        <v>39452</v>
      </c>
      <c r="I1589">
        <v>39452</v>
      </c>
      <c r="J1589">
        <v>1</v>
      </c>
      <c r="K1589">
        <f>41-15</f>
        <v>26</v>
      </c>
      <c r="L1589" t="s">
        <v>47</v>
      </c>
      <c r="M1589">
        <v>2</v>
      </c>
    </row>
    <row r="1590" spans="1:13" x14ac:dyDescent="0.25">
      <c r="A1590" s="4">
        <v>42932</v>
      </c>
      <c r="B1590" t="s">
        <v>30</v>
      </c>
      <c r="C1590">
        <v>4</v>
      </c>
      <c r="D1590">
        <v>2</v>
      </c>
      <c r="E1590" t="s">
        <v>42</v>
      </c>
      <c r="F1590" t="s">
        <v>36</v>
      </c>
      <c r="G1590">
        <v>1</v>
      </c>
      <c r="H1590">
        <v>39487</v>
      </c>
      <c r="J1590">
        <v>1</v>
      </c>
      <c r="K1590">
        <f>35.5-15.5</f>
        <v>20</v>
      </c>
      <c r="L1590" t="s">
        <v>47</v>
      </c>
      <c r="M1590">
        <v>2</v>
      </c>
    </row>
    <row r="1591" spans="1:13" x14ac:dyDescent="0.25">
      <c r="A1591" s="4">
        <v>42936</v>
      </c>
      <c r="B1591" t="s">
        <v>30</v>
      </c>
      <c r="C1591">
        <v>4</v>
      </c>
      <c r="D1591">
        <v>2</v>
      </c>
      <c r="E1591" t="s">
        <v>42</v>
      </c>
      <c r="F1591" t="s">
        <v>36</v>
      </c>
      <c r="G1591">
        <v>2</v>
      </c>
      <c r="H1591">
        <v>39500</v>
      </c>
      <c r="J1591">
        <v>1</v>
      </c>
      <c r="K1591">
        <f>47.5-14.5</f>
        <v>33</v>
      </c>
      <c r="L1591" t="s">
        <v>1039</v>
      </c>
      <c r="M1591">
        <v>2</v>
      </c>
    </row>
    <row r="1592" spans="1:13" x14ac:dyDescent="0.25">
      <c r="A1592" s="4">
        <v>42937</v>
      </c>
      <c r="B1592" t="s">
        <v>30</v>
      </c>
      <c r="C1592">
        <v>4</v>
      </c>
      <c r="D1592">
        <v>2</v>
      </c>
      <c r="E1592" t="s">
        <v>35</v>
      </c>
      <c r="F1592" t="s">
        <v>36</v>
      </c>
      <c r="G1592">
        <v>2</v>
      </c>
      <c r="H1592">
        <v>39500</v>
      </c>
      <c r="J1592">
        <v>1</v>
      </c>
      <c r="K1592">
        <f>37.5-14</f>
        <v>23.5</v>
      </c>
      <c r="L1592" t="s">
        <v>38</v>
      </c>
      <c r="M1592">
        <v>2</v>
      </c>
    </row>
    <row r="1593" spans="1:13" x14ac:dyDescent="0.25">
      <c r="A1593" s="4">
        <v>42948</v>
      </c>
      <c r="B1593" t="s">
        <v>30</v>
      </c>
      <c r="C1593">
        <v>4</v>
      </c>
      <c r="D1593">
        <v>2</v>
      </c>
      <c r="E1593" t="s">
        <v>35</v>
      </c>
      <c r="F1593" t="s">
        <v>36</v>
      </c>
      <c r="G1593">
        <v>2</v>
      </c>
      <c r="H1593">
        <v>39500</v>
      </c>
      <c r="J1593">
        <v>1</v>
      </c>
      <c r="K1593">
        <f>40-13</f>
        <v>27</v>
      </c>
      <c r="L1593" t="s">
        <v>1041</v>
      </c>
      <c r="M1593">
        <v>2</v>
      </c>
    </row>
    <row r="1594" spans="1:13" x14ac:dyDescent="0.25">
      <c r="A1594" s="4">
        <v>42937</v>
      </c>
      <c r="B1594" t="s">
        <v>30</v>
      </c>
      <c r="C1594">
        <v>7</v>
      </c>
      <c r="D1594">
        <v>2</v>
      </c>
      <c r="E1594" t="s">
        <v>42</v>
      </c>
      <c r="F1594" t="s">
        <v>36</v>
      </c>
      <c r="G1594">
        <v>2</v>
      </c>
      <c r="H1594">
        <v>39739</v>
      </c>
      <c r="J1594">
        <v>1</v>
      </c>
      <c r="K1594">
        <f>41.5-13</f>
        <v>28.5</v>
      </c>
      <c r="L1594" t="s">
        <v>81</v>
      </c>
      <c r="M1594">
        <v>2</v>
      </c>
    </row>
    <row r="1595" spans="1:13" x14ac:dyDescent="0.25">
      <c r="A1595" s="4">
        <v>42947</v>
      </c>
      <c r="B1595" t="s">
        <v>30</v>
      </c>
      <c r="C1595">
        <v>7</v>
      </c>
      <c r="D1595">
        <v>2</v>
      </c>
      <c r="E1595" t="s">
        <v>35</v>
      </c>
      <c r="F1595" t="s">
        <v>36</v>
      </c>
      <c r="G1595">
        <v>2</v>
      </c>
      <c r="H1595">
        <v>39739</v>
      </c>
      <c r="J1595">
        <v>1</v>
      </c>
      <c r="K1595">
        <f>37-13</f>
        <v>24</v>
      </c>
      <c r="L1595" t="s">
        <v>1039</v>
      </c>
      <c r="M1595">
        <v>2</v>
      </c>
    </row>
    <row r="1596" spans="1:13" x14ac:dyDescent="0.25">
      <c r="A1596" s="4">
        <v>42948</v>
      </c>
      <c r="B1596" t="s">
        <v>30</v>
      </c>
      <c r="C1596">
        <v>7</v>
      </c>
      <c r="D1596">
        <v>2</v>
      </c>
      <c r="E1596" t="s">
        <v>35</v>
      </c>
      <c r="F1596" t="s">
        <v>36</v>
      </c>
      <c r="G1596">
        <v>2</v>
      </c>
      <c r="H1596">
        <v>39739</v>
      </c>
      <c r="J1596">
        <v>1</v>
      </c>
      <c r="K1596">
        <f>38-13</f>
        <v>25</v>
      </c>
      <c r="L1596" t="s">
        <v>1039</v>
      </c>
      <c r="M1596">
        <v>2</v>
      </c>
    </row>
    <row r="1597" spans="1:13" x14ac:dyDescent="0.25">
      <c r="A1597" s="4">
        <v>42949</v>
      </c>
      <c r="B1597" t="s">
        <v>30</v>
      </c>
      <c r="C1597">
        <v>7</v>
      </c>
      <c r="D1597">
        <v>2</v>
      </c>
      <c r="E1597" t="s">
        <v>35</v>
      </c>
      <c r="F1597" t="s">
        <v>36</v>
      </c>
      <c r="G1597">
        <v>2</v>
      </c>
      <c r="H1597">
        <v>39739</v>
      </c>
      <c r="J1597">
        <v>1</v>
      </c>
      <c r="K1597">
        <f>37-14</f>
        <v>23</v>
      </c>
      <c r="L1597" t="s">
        <v>1039</v>
      </c>
      <c r="M1597">
        <v>2</v>
      </c>
    </row>
    <row r="1598" spans="1:13" x14ac:dyDescent="0.25">
      <c r="A1598" s="4">
        <v>42929</v>
      </c>
      <c r="B1598" t="s">
        <v>30</v>
      </c>
      <c r="C1598">
        <v>7</v>
      </c>
      <c r="D1598">
        <v>2</v>
      </c>
      <c r="E1598" t="s">
        <v>42</v>
      </c>
      <c r="F1598" t="s">
        <v>114</v>
      </c>
      <c r="G1598">
        <v>2</v>
      </c>
      <c r="H1598">
        <v>39751</v>
      </c>
      <c r="J1598">
        <v>0</v>
      </c>
      <c r="K1598">
        <f>35-13.5</f>
        <v>21.5</v>
      </c>
      <c r="L1598" t="s">
        <v>38</v>
      </c>
      <c r="M1598">
        <v>2</v>
      </c>
    </row>
    <row r="1599" spans="1:13" x14ac:dyDescent="0.25">
      <c r="A1599" s="4">
        <v>42937</v>
      </c>
      <c r="B1599" t="s">
        <v>30</v>
      </c>
      <c r="C1599">
        <v>8</v>
      </c>
      <c r="D1599">
        <v>2</v>
      </c>
      <c r="E1599" t="s">
        <v>35</v>
      </c>
      <c r="F1599" t="s">
        <v>36</v>
      </c>
      <c r="G1599">
        <v>2</v>
      </c>
      <c r="H1599">
        <v>39756</v>
      </c>
      <c r="J1599">
        <v>1</v>
      </c>
      <c r="K1599">
        <f>36.5-13.5</f>
        <v>23</v>
      </c>
      <c r="L1599" t="s">
        <v>1039</v>
      </c>
      <c r="M1599">
        <v>2</v>
      </c>
    </row>
    <row r="1600" spans="1:13" x14ac:dyDescent="0.25">
      <c r="A1600" s="4">
        <v>42948</v>
      </c>
      <c r="B1600" t="s">
        <v>30</v>
      </c>
      <c r="C1600">
        <v>8</v>
      </c>
      <c r="D1600">
        <v>2</v>
      </c>
      <c r="E1600" t="s">
        <v>35</v>
      </c>
      <c r="F1600" t="s">
        <v>36</v>
      </c>
      <c r="G1600">
        <v>2</v>
      </c>
      <c r="H1600">
        <v>39756</v>
      </c>
      <c r="J1600">
        <v>0</v>
      </c>
      <c r="K1600">
        <f>41-14</f>
        <v>27</v>
      </c>
      <c r="L1600" t="s">
        <v>1041</v>
      </c>
      <c r="M1600">
        <v>2</v>
      </c>
    </row>
    <row r="1601" spans="1:13" x14ac:dyDescent="0.25">
      <c r="A1601" s="4">
        <v>42961</v>
      </c>
      <c r="B1601" t="s">
        <v>30</v>
      </c>
      <c r="C1601">
        <v>8</v>
      </c>
      <c r="D1601">
        <v>2</v>
      </c>
      <c r="E1601" t="s">
        <v>35</v>
      </c>
      <c r="F1601" t="s">
        <v>36</v>
      </c>
      <c r="G1601">
        <v>2</v>
      </c>
      <c r="H1601">
        <v>39756</v>
      </c>
      <c r="J1601">
        <v>1</v>
      </c>
      <c r="K1601">
        <f>39-14.5</f>
        <v>24.5</v>
      </c>
      <c r="L1601" t="s">
        <v>1039</v>
      </c>
      <c r="M1601">
        <v>2</v>
      </c>
    </row>
    <row r="1602" spans="1:13" x14ac:dyDescent="0.25">
      <c r="A1602" s="4">
        <v>42963</v>
      </c>
      <c r="B1602" t="s">
        <v>30</v>
      </c>
      <c r="C1602">
        <v>8</v>
      </c>
      <c r="D1602">
        <v>2</v>
      </c>
      <c r="E1602" t="s">
        <v>35</v>
      </c>
      <c r="F1602" t="s">
        <v>36</v>
      </c>
      <c r="G1602">
        <v>2</v>
      </c>
      <c r="H1602">
        <v>39756</v>
      </c>
      <c r="J1602">
        <v>1</v>
      </c>
      <c r="K1602">
        <f>35.5-15</f>
        <v>20.5</v>
      </c>
      <c r="L1602" t="s">
        <v>38</v>
      </c>
      <c r="M1602">
        <v>2</v>
      </c>
    </row>
    <row r="1603" spans="1:13" x14ac:dyDescent="0.25">
      <c r="A1603" s="4">
        <v>42929</v>
      </c>
      <c r="B1603" t="s">
        <v>30</v>
      </c>
      <c r="C1603">
        <v>8</v>
      </c>
      <c r="D1603">
        <v>2</v>
      </c>
      <c r="E1603" t="s">
        <v>42</v>
      </c>
      <c r="F1603" t="s">
        <v>36</v>
      </c>
      <c r="G1603">
        <v>1</v>
      </c>
      <c r="H1603">
        <v>39780</v>
      </c>
      <c r="J1603">
        <v>1</v>
      </c>
      <c r="K1603">
        <f>42-15</f>
        <v>27</v>
      </c>
      <c r="L1603" t="s">
        <v>47</v>
      </c>
      <c r="M1603">
        <v>2</v>
      </c>
    </row>
    <row r="1604" spans="1:13" x14ac:dyDescent="0.25">
      <c r="A1604" s="4">
        <v>42935</v>
      </c>
      <c r="B1604" t="s">
        <v>30</v>
      </c>
      <c r="C1604">
        <v>8</v>
      </c>
      <c r="D1604">
        <v>2</v>
      </c>
      <c r="E1604" t="s">
        <v>35</v>
      </c>
      <c r="F1604" t="s">
        <v>36</v>
      </c>
      <c r="G1604">
        <v>1</v>
      </c>
      <c r="H1604">
        <v>39780</v>
      </c>
      <c r="J1604">
        <v>1</v>
      </c>
      <c r="K1604">
        <f>37-14</f>
        <v>23</v>
      </c>
      <c r="L1604" t="s">
        <v>65</v>
      </c>
      <c r="M1604">
        <v>2</v>
      </c>
    </row>
    <row r="1605" spans="1:13" x14ac:dyDescent="0.25">
      <c r="A1605" s="4">
        <v>42936</v>
      </c>
      <c r="B1605" t="s">
        <v>30</v>
      </c>
      <c r="C1605">
        <v>8</v>
      </c>
      <c r="D1605">
        <v>2</v>
      </c>
      <c r="E1605" t="s">
        <v>35</v>
      </c>
      <c r="F1605" t="s">
        <v>36</v>
      </c>
      <c r="G1605">
        <v>1</v>
      </c>
      <c r="H1605">
        <v>39780</v>
      </c>
      <c r="J1605">
        <v>1</v>
      </c>
      <c r="K1605">
        <f>38-14</f>
        <v>24</v>
      </c>
      <c r="L1605" t="s">
        <v>47</v>
      </c>
      <c r="M1605">
        <v>2</v>
      </c>
    </row>
    <row r="1606" spans="1:13" x14ac:dyDescent="0.25">
      <c r="A1606" s="4">
        <v>42947</v>
      </c>
      <c r="B1606" t="s">
        <v>30</v>
      </c>
      <c r="C1606">
        <v>8</v>
      </c>
      <c r="D1606">
        <v>2</v>
      </c>
      <c r="E1606" t="s">
        <v>35</v>
      </c>
      <c r="F1606" t="s">
        <v>36</v>
      </c>
      <c r="G1606">
        <v>1</v>
      </c>
      <c r="H1606">
        <v>39780</v>
      </c>
      <c r="J1606">
        <v>0</v>
      </c>
      <c r="L1606" t="s">
        <v>65</v>
      </c>
      <c r="M1606">
        <v>2</v>
      </c>
    </row>
    <row r="1607" spans="1:13" x14ac:dyDescent="0.25">
      <c r="A1607" s="4">
        <v>42948</v>
      </c>
      <c r="B1607" t="s">
        <v>30</v>
      </c>
      <c r="C1607">
        <v>8</v>
      </c>
      <c r="D1607">
        <v>2</v>
      </c>
      <c r="E1607" t="s">
        <v>35</v>
      </c>
      <c r="F1607" t="s">
        <v>36</v>
      </c>
      <c r="G1607">
        <v>1</v>
      </c>
      <c r="H1607">
        <v>39780</v>
      </c>
      <c r="J1607">
        <v>0</v>
      </c>
      <c r="K1607">
        <f>37-13.5</f>
        <v>23.5</v>
      </c>
      <c r="L1607" t="s">
        <v>65</v>
      </c>
      <c r="M1607">
        <v>2</v>
      </c>
    </row>
    <row r="1608" spans="1:13" x14ac:dyDescent="0.25">
      <c r="A1608" s="4">
        <v>42930</v>
      </c>
      <c r="B1608" t="s">
        <v>30</v>
      </c>
      <c r="C1608">
        <v>4</v>
      </c>
      <c r="D1608">
        <v>2</v>
      </c>
      <c r="E1608" t="s">
        <v>42</v>
      </c>
      <c r="F1608" t="s">
        <v>36</v>
      </c>
      <c r="G1608">
        <v>1</v>
      </c>
      <c r="H1608">
        <v>39796</v>
      </c>
      <c r="J1608">
        <v>1</v>
      </c>
      <c r="K1608">
        <f>40.5-16</f>
        <v>24.5</v>
      </c>
      <c r="L1608" t="s">
        <v>47</v>
      </c>
      <c r="M1608">
        <v>2</v>
      </c>
    </row>
    <row r="1609" spans="1:13" x14ac:dyDescent="0.25">
      <c r="A1609" s="4">
        <v>42931</v>
      </c>
      <c r="B1609" t="s">
        <v>30</v>
      </c>
      <c r="C1609">
        <v>4</v>
      </c>
      <c r="D1609">
        <v>2</v>
      </c>
      <c r="E1609" t="s">
        <v>35</v>
      </c>
      <c r="F1609" t="s">
        <v>36</v>
      </c>
      <c r="G1609">
        <v>1</v>
      </c>
      <c r="H1609">
        <v>39796</v>
      </c>
      <c r="J1609">
        <v>1</v>
      </c>
      <c r="K1609">
        <f>38.5-15</f>
        <v>23.5</v>
      </c>
      <c r="L1609" t="s">
        <v>47</v>
      </c>
      <c r="M1609">
        <v>2</v>
      </c>
    </row>
    <row r="1610" spans="1:13" x14ac:dyDescent="0.25">
      <c r="A1610" s="4">
        <v>42943</v>
      </c>
      <c r="B1610" t="s">
        <v>30</v>
      </c>
      <c r="C1610">
        <v>4</v>
      </c>
      <c r="D1610">
        <v>2</v>
      </c>
      <c r="E1610" t="s">
        <v>35</v>
      </c>
      <c r="F1610" t="s">
        <v>36</v>
      </c>
      <c r="G1610">
        <v>1</v>
      </c>
      <c r="H1610">
        <v>39796</v>
      </c>
      <c r="J1610">
        <v>1</v>
      </c>
      <c r="K1610">
        <f>37-13.5</f>
        <v>23.5</v>
      </c>
      <c r="L1610" t="s">
        <v>47</v>
      </c>
      <c r="M1610">
        <v>2</v>
      </c>
    </row>
    <row r="1611" spans="1:13" x14ac:dyDescent="0.25">
      <c r="A1611" s="4">
        <v>42955</v>
      </c>
      <c r="B1611" t="s">
        <v>30</v>
      </c>
      <c r="C1611">
        <v>4</v>
      </c>
      <c r="D1611">
        <v>2</v>
      </c>
      <c r="E1611" t="s">
        <v>35</v>
      </c>
      <c r="F1611" t="s">
        <v>36</v>
      </c>
      <c r="G1611">
        <v>1</v>
      </c>
      <c r="H1611">
        <v>39796</v>
      </c>
      <c r="J1611">
        <v>1</v>
      </c>
      <c r="K1611">
        <f>140-14.5</f>
        <v>125.5</v>
      </c>
      <c r="L1611" t="s">
        <v>47</v>
      </c>
      <c r="M1611">
        <v>2</v>
      </c>
    </row>
    <row r="1612" spans="1:13" x14ac:dyDescent="0.25">
      <c r="A1612" s="4">
        <v>42961</v>
      </c>
      <c r="B1612" t="s">
        <v>30</v>
      </c>
      <c r="C1612">
        <v>7</v>
      </c>
      <c r="D1612">
        <v>2</v>
      </c>
      <c r="E1612" t="s">
        <v>42</v>
      </c>
      <c r="F1612" t="s">
        <v>36</v>
      </c>
      <c r="G1612">
        <v>2</v>
      </c>
      <c r="H1612">
        <v>39880</v>
      </c>
      <c r="I1612">
        <v>39880</v>
      </c>
      <c r="J1612">
        <v>1</v>
      </c>
      <c r="K1612">
        <f>35.5-14</f>
        <v>21.5</v>
      </c>
      <c r="L1612" t="s">
        <v>1039</v>
      </c>
      <c r="M1612">
        <v>2</v>
      </c>
    </row>
    <row r="1613" spans="1:13" x14ac:dyDescent="0.25">
      <c r="A1613" s="4">
        <v>42961</v>
      </c>
      <c r="B1613" t="s">
        <v>30</v>
      </c>
      <c r="C1613">
        <v>8</v>
      </c>
      <c r="D1613">
        <v>2</v>
      </c>
      <c r="E1613" t="s">
        <v>42</v>
      </c>
      <c r="F1613" t="s">
        <v>36</v>
      </c>
      <c r="G1613">
        <v>1</v>
      </c>
      <c r="H1613">
        <v>39881</v>
      </c>
      <c r="I1613">
        <v>39881</v>
      </c>
      <c r="J1613">
        <v>1</v>
      </c>
      <c r="K1613">
        <f>40.5-14</f>
        <v>26.5</v>
      </c>
      <c r="L1613" t="s">
        <v>47</v>
      </c>
      <c r="M1613">
        <v>2</v>
      </c>
    </row>
    <row r="1614" spans="1:13" x14ac:dyDescent="0.25">
      <c r="A1614" s="4">
        <v>42961</v>
      </c>
      <c r="B1614" t="s">
        <v>30</v>
      </c>
      <c r="C1614">
        <v>8</v>
      </c>
      <c r="D1614">
        <v>2</v>
      </c>
      <c r="E1614" t="s">
        <v>42</v>
      </c>
      <c r="F1614" t="s">
        <v>36</v>
      </c>
      <c r="G1614">
        <v>1</v>
      </c>
      <c r="H1614">
        <v>39882</v>
      </c>
      <c r="J1614">
        <v>1</v>
      </c>
      <c r="K1614">
        <f>35-14</f>
        <v>21</v>
      </c>
      <c r="L1614" t="s">
        <v>47</v>
      </c>
      <c r="M1614">
        <v>2</v>
      </c>
    </row>
    <row r="1615" spans="1:13" x14ac:dyDescent="0.25">
      <c r="A1615" s="4">
        <v>42961</v>
      </c>
      <c r="B1615" t="s">
        <v>30</v>
      </c>
      <c r="C1615">
        <v>8</v>
      </c>
      <c r="D1615">
        <v>2</v>
      </c>
      <c r="E1615" t="s">
        <v>42</v>
      </c>
      <c r="F1615" t="s">
        <v>36</v>
      </c>
      <c r="G1615">
        <v>2</v>
      </c>
      <c r="H1615">
        <v>39883</v>
      </c>
      <c r="I1615">
        <v>39883</v>
      </c>
      <c r="J1615">
        <v>1</v>
      </c>
      <c r="K1615">
        <f>39-14.5</f>
        <v>24.5</v>
      </c>
      <c r="M1615">
        <v>2</v>
      </c>
    </row>
    <row r="1616" spans="1:13" x14ac:dyDescent="0.25">
      <c r="A1616" s="4">
        <v>42963</v>
      </c>
      <c r="B1616" t="s">
        <v>30</v>
      </c>
      <c r="C1616">
        <v>8</v>
      </c>
      <c r="D1616">
        <v>2</v>
      </c>
      <c r="E1616" t="s">
        <v>35</v>
      </c>
      <c r="F1616" t="s">
        <v>36</v>
      </c>
      <c r="G1616">
        <v>2</v>
      </c>
      <c r="H1616">
        <v>39883</v>
      </c>
      <c r="I1616">
        <v>39883</v>
      </c>
      <c r="J1616">
        <v>1</v>
      </c>
      <c r="K1616">
        <f>39.5-16</f>
        <v>23.5</v>
      </c>
      <c r="L1616" t="s">
        <v>1039</v>
      </c>
      <c r="M1616">
        <v>2</v>
      </c>
    </row>
    <row r="1617" spans="1:13" x14ac:dyDescent="0.25">
      <c r="A1617" s="4">
        <v>42962</v>
      </c>
      <c r="B1617" t="s">
        <v>30</v>
      </c>
      <c r="C1617">
        <v>8</v>
      </c>
      <c r="D1617">
        <v>2</v>
      </c>
      <c r="E1617" t="s">
        <v>42</v>
      </c>
      <c r="F1617" t="s">
        <v>36</v>
      </c>
      <c r="H1617">
        <v>39889</v>
      </c>
      <c r="J1617">
        <v>1</v>
      </c>
      <c r="M1617">
        <v>2</v>
      </c>
    </row>
    <row r="1618" spans="1:13" x14ac:dyDescent="0.25">
      <c r="A1618" s="4">
        <v>42963</v>
      </c>
      <c r="B1618" t="s">
        <v>30</v>
      </c>
      <c r="C1618">
        <v>8</v>
      </c>
      <c r="D1618">
        <v>2</v>
      </c>
      <c r="E1618" t="s">
        <v>42</v>
      </c>
      <c r="F1618" t="s">
        <v>36</v>
      </c>
      <c r="G1618">
        <v>1</v>
      </c>
      <c r="H1618">
        <v>39891</v>
      </c>
      <c r="J1618">
        <v>1</v>
      </c>
      <c r="K1618">
        <f>39-14</f>
        <v>25</v>
      </c>
      <c r="L1618" t="s">
        <v>47</v>
      </c>
      <c r="M1618">
        <v>2</v>
      </c>
    </row>
    <row r="1619" spans="1:13" x14ac:dyDescent="0.25">
      <c r="A1619" s="4">
        <v>42963</v>
      </c>
      <c r="B1619" t="s">
        <v>30</v>
      </c>
      <c r="C1619">
        <v>8</v>
      </c>
      <c r="D1619">
        <v>2</v>
      </c>
      <c r="E1619" t="s">
        <v>42</v>
      </c>
      <c r="F1619" t="s">
        <v>36</v>
      </c>
      <c r="G1619">
        <v>1</v>
      </c>
      <c r="H1619">
        <v>39892</v>
      </c>
      <c r="J1619">
        <v>0</v>
      </c>
      <c r="K1619">
        <f>34-14</f>
        <v>20</v>
      </c>
      <c r="L1619" t="s">
        <v>47</v>
      </c>
      <c r="M1619">
        <v>2</v>
      </c>
    </row>
    <row r="1620" spans="1:13" x14ac:dyDescent="0.25">
      <c r="A1620" s="4">
        <v>42963</v>
      </c>
      <c r="B1620" t="s">
        <v>30</v>
      </c>
      <c r="C1620">
        <v>8</v>
      </c>
      <c r="D1620">
        <v>2</v>
      </c>
      <c r="E1620" t="s">
        <v>42</v>
      </c>
      <c r="F1620" t="s">
        <v>36</v>
      </c>
      <c r="H1620">
        <v>39893</v>
      </c>
      <c r="J1620">
        <v>1</v>
      </c>
      <c r="K1620">
        <f>40-16</f>
        <v>24</v>
      </c>
      <c r="M1620">
        <v>2</v>
      </c>
    </row>
    <row r="1621" spans="1:13" x14ac:dyDescent="0.25">
      <c r="A1621" s="4">
        <v>42949</v>
      </c>
      <c r="B1621" t="s">
        <v>30</v>
      </c>
      <c r="C1621">
        <v>5</v>
      </c>
      <c r="D1621">
        <v>2</v>
      </c>
      <c r="E1621" t="s">
        <v>42</v>
      </c>
      <c r="F1621" t="s">
        <v>36</v>
      </c>
      <c r="G1621">
        <v>1</v>
      </c>
      <c r="H1621">
        <v>39940</v>
      </c>
      <c r="J1621">
        <v>1</v>
      </c>
      <c r="K1621">
        <f>40-16.5</f>
        <v>23.5</v>
      </c>
      <c r="L1621" t="s">
        <v>47</v>
      </c>
      <c r="M1621">
        <v>2</v>
      </c>
    </row>
    <row r="1622" spans="1:13" x14ac:dyDescent="0.25">
      <c r="A1622" s="4">
        <v>42564</v>
      </c>
      <c r="B1622" t="s">
        <v>30</v>
      </c>
      <c r="C1622">
        <v>3</v>
      </c>
      <c r="D1622">
        <v>2</v>
      </c>
      <c r="E1622" t="s">
        <v>35</v>
      </c>
      <c r="F1622" t="s">
        <v>36</v>
      </c>
      <c r="G1622">
        <v>1</v>
      </c>
      <c r="H1622" s="5">
        <v>50137</v>
      </c>
      <c r="I1622" s="5">
        <v>50137</v>
      </c>
      <c r="J1622">
        <v>1</v>
      </c>
      <c r="K1622">
        <f>34-11</f>
        <v>23</v>
      </c>
      <c r="L1622" t="s">
        <v>47</v>
      </c>
      <c r="M1622">
        <v>1</v>
      </c>
    </row>
    <row r="1623" spans="1:13" x14ac:dyDescent="0.25">
      <c r="A1623" s="4">
        <v>42572</v>
      </c>
      <c r="B1623" t="s">
        <v>30</v>
      </c>
      <c r="C1623">
        <v>3</v>
      </c>
      <c r="D1623">
        <v>2</v>
      </c>
      <c r="E1623" t="s">
        <v>42</v>
      </c>
      <c r="F1623" t="s">
        <v>36</v>
      </c>
      <c r="G1623">
        <v>1</v>
      </c>
      <c r="H1623" s="5">
        <v>50330</v>
      </c>
      <c r="I1623" s="5">
        <v>50330</v>
      </c>
      <c r="J1623">
        <v>0</v>
      </c>
      <c r="K1623">
        <f>39-11</f>
        <v>28</v>
      </c>
      <c r="L1623" t="s">
        <v>47</v>
      </c>
      <c r="M1623">
        <v>1</v>
      </c>
    </row>
    <row r="1624" spans="1:13" x14ac:dyDescent="0.25">
      <c r="A1624" s="4">
        <v>42574</v>
      </c>
      <c r="B1624" t="s">
        <v>30</v>
      </c>
      <c r="C1624">
        <v>3</v>
      </c>
      <c r="D1624">
        <v>2</v>
      </c>
      <c r="E1624" t="s">
        <v>42</v>
      </c>
      <c r="F1624" t="s">
        <v>36</v>
      </c>
      <c r="G1624">
        <v>1</v>
      </c>
      <c r="H1624" s="5">
        <v>50344</v>
      </c>
      <c r="I1624" s="5"/>
      <c r="J1624">
        <v>1</v>
      </c>
      <c r="K1624">
        <f>33-10.5</f>
        <v>22.5</v>
      </c>
      <c r="L1624" t="s">
        <v>47</v>
      </c>
      <c r="M1624">
        <v>1</v>
      </c>
    </row>
    <row r="1625" spans="1:13" x14ac:dyDescent="0.25">
      <c r="A1625" s="4">
        <v>42575</v>
      </c>
      <c r="B1625" t="s">
        <v>30</v>
      </c>
      <c r="C1625">
        <v>3</v>
      </c>
      <c r="D1625">
        <v>2</v>
      </c>
      <c r="E1625" t="s">
        <v>35</v>
      </c>
      <c r="F1625" t="s">
        <v>36</v>
      </c>
      <c r="G1625">
        <v>1</v>
      </c>
      <c r="H1625" s="5">
        <v>50344</v>
      </c>
      <c r="I1625" s="5"/>
      <c r="J1625">
        <v>1</v>
      </c>
      <c r="K1625">
        <v>24</v>
      </c>
      <c r="L1625" t="s">
        <v>47</v>
      </c>
      <c r="M1625">
        <v>1</v>
      </c>
    </row>
    <row r="1626" spans="1:13" x14ac:dyDescent="0.25">
      <c r="A1626" s="4">
        <v>42576</v>
      </c>
      <c r="B1626" t="s">
        <v>30</v>
      </c>
      <c r="C1626">
        <v>3</v>
      </c>
      <c r="D1626">
        <v>2</v>
      </c>
      <c r="E1626" t="s">
        <v>35</v>
      </c>
      <c r="F1626" t="s">
        <v>36</v>
      </c>
      <c r="G1626">
        <v>1</v>
      </c>
      <c r="H1626" s="5">
        <v>50344</v>
      </c>
      <c r="I1626" s="5"/>
      <c r="J1626">
        <v>1</v>
      </c>
      <c r="K1626">
        <f>34-12</f>
        <v>22</v>
      </c>
      <c r="L1626" t="s">
        <v>47</v>
      </c>
      <c r="M1626">
        <v>1</v>
      </c>
    </row>
    <row r="1627" spans="1:13" x14ac:dyDescent="0.25">
      <c r="A1627" s="4">
        <v>42563</v>
      </c>
      <c r="B1627" t="s">
        <v>30</v>
      </c>
      <c r="C1627">
        <v>3</v>
      </c>
      <c r="D1627">
        <v>2</v>
      </c>
      <c r="E1627" t="s">
        <v>35</v>
      </c>
      <c r="F1627" t="s">
        <v>36</v>
      </c>
      <c r="G1627">
        <v>1</v>
      </c>
      <c r="H1627" s="5">
        <v>50437</v>
      </c>
      <c r="I1627" s="5">
        <v>50437</v>
      </c>
      <c r="J1627">
        <v>1</v>
      </c>
      <c r="K1627">
        <v>22</v>
      </c>
      <c r="L1627" t="s">
        <v>65</v>
      </c>
      <c r="M1627">
        <v>1</v>
      </c>
    </row>
    <row r="1628" spans="1:13" x14ac:dyDescent="0.25">
      <c r="A1628" s="4">
        <v>42565</v>
      </c>
      <c r="B1628" t="s">
        <v>30</v>
      </c>
      <c r="C1628">
        <v>3</v>
      </c>
      <c r="D1628">
        <v>2</v>
      </c>
      <c r="E1628" t="s">
        <v>35</v>
      </c>
      <c r="F1628" t="s">
        <v>36</v>
      </c>
      <c r="G1628">
        <v>1</v>
      </c>
      <c r="H1628" s="5">
        <v>50437</v>
      </c>
      <c r="I1628" s="5">
        <v>50437</v>
      </c>
      <c r="J1628">
        <v>1</v>
      </c>
      <c r="K1628">
        <f>33-12.5</f>
        <v>20.5</v>
      </c>
      <c r="L1628" t="s">
        <v>65</v>
      </c>
      <c r="M1628">
        <v>1</v>
      </c>
    </row>
    <row r="1629" spans="1:13" x14ac:dyDescent="0.25">
      <c r="A1629" s="4">
        <v>42564</v>
      </c>
      <c r="B1629" t="s">
        <v>30</v>
      </c>
      <c r="C1629">
        <v>3</v>
      </c>
      <c r="D1629">
        <v>2</v>
      </c>
      <c r="E1629" t="s">
        <v>35</v>
      </c>
      <c r="F1629" t="s">
        <v>36</v>
      </c>
      <c r="G1629">
        <v>1</v>
      </c>
      <c r="H1629" s="5">
        <v>50439</v>
      </c>
      <c r="I1629" s="5">
        <v>50439</v>
      </c>
      <c r="J1629">
        <v>1</v>
      </c>
      <c r="K1629">
        <v>21</v>
      </c>
      <c r="L1629" t="s">
        <v>47</v>
      </c>
      <c r="M1629">
        <v>1</v>
      </c>
    </row>
    <row r="1630" spans="1:13" x14ac:dyDescent="0.25">
      <c r="A1630" s="4">
        <v>42565</v>
      </c>
      <c r="B1630" t="s">
        <v>30</v>
      </c>
      <c r="C1630">
        <v>3</v>
      </c>
      <c r="D1630">
        <v>2</v>
      </c>
      <c r="E1630" t="s">
        <v>35</v>
      </c>
      <c r="F1630" t="s">
        <v>36</v>
      </c>
      <c r="G1630">
        <v>1</v>
      </c>
      <c r="H1630" s="5">
        <v>50439</v>
      </c>
      <c r="I1630" s="5">
        <v>50439</v>
      </c>
      <c r="J1630">
        <v>1</v>
      </c>
      <c r="K1630">
        <f>32.5-11.5</f>
        <v>21</v>
      </c>
      <c r="L1630" t="s">
        <v>65</v>
      </c>
      <c r="M1630">
        <v>1</v>
      </c>
    </row>
    <row r="1631" spans="1:13" x14ac:dyDescent="0.25">
      <c r="A1631" s="4">
        <v>42574</v>
      </c>
      <c r="B1631" t="s">
        <v>30</v>
      </c>
      <c r="C1631">
        <v>3</v>
      </c>
      <c r="D1631">
        <v>2</v>
      </c>
      <c r="E1631" t="s">
        <v>35</v>
      </c>
      <c r="F1631" t="s">
        <v>36</v>
      </c>
      <c r="G1631">
        <v>1</v>
      </c>
      <c r="H1631" s="5">
        <v>50439</v>
      </c>
      <c r="I1631" s="5">
        <v>50439</v>
      </c>
      <c r="J1631">
        <v>1</v>
      </c>
      <c r="K1631">
        <f>32.5-10.5</f>
        <v>22</v>
      </c>
      <c r="L1631" t="s">
        <v>47</v>
      </c>
      <c r="M1631">
        <v>1</v>
      </c>
    </row>
    <row r="1632" spans="1:13" x14ac:dyDescent="0.25">
      <c r="A1632" s="4">
        <v>42575</v>
      </c>
      <c r="B1632" t="s">
        <v>30</v>
      </c>
      <c r="C1632">
        <v>3</v>
      </c>
      <c r="D1632">
        <v>2</v>
      </c>
      <c r="E1632" t="s">
        <v>35</v>
      </c>
      <c r="F1632" t="s">
        <v>36</v>
      </c>
      <c r="G1632">
        <v>1</v>
      </c>
      <c r="H1632" s="5">
        <v>50439</v>
      </c>
      <c r="I1632" s="5">
        <v>50439</v>
      </c>
      <c r="J1632">
        <v>1</v>
      </c>
      <c r="K1632">
        <f>33-12</f>
        <v>21</v>
      </c>
      <c r="L1632" t="s">
        <v>47</v>
      </c>
      <c r="M1632">
        <v>1</v>
      </c>
    </row>
    <row r="1633" spans="1:13" x14ac:dyDescent="0.25">
      <c r="A1633" s="4">
        <v>42576</v>
      </c>
      <c r="B1633" t="s">
        <v>30</v>
      </c>
      <c r="C1633">
        <v>3</v>
      </c>
      <c r="D1633">
        <v>2</v>
      </c>
      <c r="E1633" t="s">
        <v>35</v>
      </c>
      <c r="F1633" t="s">
        <v>36</v>
      </c>
      <c r="G1633">
        <v>1</v>
      </c>
      <c r="H1633" s="5">
        <v>50439</v>
      </c>
      <c r="I1633" s="5">
        <v>50439</v>
      </c>
      <c r="J1633">
        <v>1</v>
      </c>
      <c r="K1633">
        <v>23</v>
      </c>
      <c r="L1633" t="s">
        <v>47</v>
      </c>
      <c r="M1633">
        <v>1</v>
      </c>
    </row>
    <row r="1634" spans="1:13" x14ac:dyDescent="0.25">
      <c r="A1634" s="4">
        <v>42570</v>
      </c>
      <c r="B1634" t="s">
        <v>30</v>
      </c>
      <c r="C1634">
        <v>4</v>
      </c>
      <c r="D1634">
        <v>2</v>
      </c>
      <c r="E1634" t="s">
        <v>35</v>
      </c>
      <c r="F1634" t="s">
        <v>36</v>
      </c>
      <c r="G1634">
        <v>2</v>
      </c>
      <c r="H1634" s="5">
        <v>50483</v>
      </c>
      <c r="I1634" s="5"/>
      <c r="J1634">
        <v>1</v>
      </c>
      <c r="L1634" t="s">
        <v>74</v>
      </c>
      <c r="M1634">
        <v>1</v>
      </c>
    </row>
    <row r="1635" spans="1:13" x14ac:dyDescent="0.25">
      <c r="A1635" s="4">
        <v>42564</v>
      </c>
      <c r="B1635" t="s">
        <v>30</v>
      </c>
      <c r="C1635">
        <v>7</v>
      </c>
      <c r="D1635">
        <v>2</v>
      </c>
      <c r="E1635" t="s">
        <v>129</v>
      </c>
      <c r="F1635" t="s">
        <v>36</v>
      </c>
      <c r="G1635">
        <v>1</v>
      </c>
      <c r="H1635" s="5">
        <v>50504</v>
      </c>
      <c r="I1635" s="5"/>
      <c r="J1635">
        <v>1</v>
      </c>
      <c r="L1635" t="s">
        <v>47</v>
      </c>
      <c r="M1635">
        <v>1</v>
      </c>
    </row>
    <row r="1636" spans="1:13" x14ac:dyDescent="0.25">
      <c r="A1636" s="4">
        <v>42576</v>
      </c>
      <c r="B1636" t="s">
        <v>30</v>
      </c>
      <c r="C1636">
        <v>7</v>
      </c>
      <c r="D1636">
        <v>2</v>
      </c>
      <c r="E1636" t="s">
        <v>35</v>
      </c>
      <c r="F1636" t="s">
        <v>36</v>
      </c>
      <c r="G1636">
        <v>1</v>
      </c>
      <c r="H1636" s="5">
        <v>50505</v>
      </c>
      <c r="I1636" s="5" t="s">
        <v>165</v>
      </c>
      <c r="J1636">
        <v>0</v>
      </c>
      <c r="K1636">
        <v>20</v>
      </c>
      <c r="L1636" t="s">
        <v>47</v>
      </c>
      <c r="M1636">
        <v>1</v>
      </c>
    </row>
    <row r="1637" spans="1:13" x14ac:dyDescent="0.25">
      <c r="A1637" s="4">
        <v>42574</v>
      </c>
      <c r="B1637" t="s">
        <v>30</v>
      </c>
      <c r="C1637">
        <v>7</v>
      </c>
      <c r="D1637">
        <v>2</v>
      </c>
      <c r="E1637" t="s">
        <v>35</v>
      </c>
      <c r="F1637" t="s">
        <v>36</v>
      </c>
      <c r="G1637">
        <v>2</v>
      </c>
      <c r="H1637" s="5">
        <v>50508</v>
      </c>
      <c r="I1637" s="5"/>
      <c r="J1637">
        <v>1</v>
      </c>
      <c r="K1637">
        <f>35.5-13</f>
        <v>22.5</v>
      </c>
      <c r="L1637" t="s">
        <v>263</v>
      </c>
      <c r="M1637">
        <v>1</v>
      </c>
    </row>
    <row r="1638" spans="1:13" x14ac:dyDescent="0.25">
      <c r="A1638" s="4">
        <v>42564</v>
      </c>
      <c r="B1638" t="s">
        <v>30</v>
      </c>
      <c r="C1638">
        <v>7</v>
      </c>
      <c r="D1638">
        <v>2</v>
      </c>
      <c r="E1638" t="s">
        <v>42</v>
      </c>
      <c r="F1638" t="s">
        <v>89</v>
      </c>
      <c r="G1638">
        <v>2</v>
      </c>
      <c r="H1638" s="5">
        <v>50509</v>
      </c>
      <c r="I1638" s="5"/>
      <c r="J1638">
        <v>1</v>
      </c>
      <c r="K1638">
        <f>23-9</f>
        <v>14</v>
      </c>
      <c r="L1638" t="s">
        <v>38</v>
      </c>
      <c r="M1638">
        <v>1</v>
      </c>
    </row>
    <row r="1639" spans="1:13" x14ac:dyDescent="0.25">
      <c r="A1639" s="4">
        <v>42575</v>
      </c>
      <c r="B1639" t="s">
        <v>30</v>
      </c>
      <c r="C1639">
        <v>7</v>
      </c>
      <c r="D1639">
        <v>2</v>
      </c>
      <c r="E1639" t="s">
        <v>35</v>
      </c>
      <c r="F1639" t="s">
        <v>36</v>
      </c>
      <c r="G1639">
        <v>2</v>
      </c>
      <c r="H1639" s="5">
        <v>50509</v>
      </c>
      <c r="I1639" s="5"/>
      <c r="J1639">
        <v>1</v>
      </c>
      <c r="K1639">
        <f>32-9.5</f>
        <v>22.5</v>
      </c>
      <c r="L1639" t="s">
        <v>83</v>
      </c>
      <c r="M1639">
        <v>1</v>
      </c>
    </row>
    <row r="1640" spans="1:13" x14ac:dyDescent="0.25">
      <c r="A1640" s="4">
        <v>42563</v>
      </c>
      <c r="B1640" t="s">
        <v>30</v>
      </c>
      <c r="C1640">
        <v>8</v>
      </c>
      <c r="D1640">
        <v>2</v>
      </c>
      <c r="E1640" t="s">
        <v>42</v>
      </c>
      <c r="F1640" t="s">
        <v>36</v>
      </c>
      <c r="G1640">
        <v>2</v>
      </c>
      <c r="H1640" s="5">
        <v>50513</v>
      </c>
      <c r="I1640" s="5"/>
      <c r="J1640">
        <v>0</v>
      </c>
      <c r="K1640">
        <f>34.5-9</f>
        <v>25.5</v>
      </c>
      <c r="L1640" t="s">
        <v>143</v>
      </c>
      <c r="M1640">
        <v>1</v>
      </c>
    </row>
    <row r="1641" spans="1:13" x14ac:dyDescent="0.25">
      <c r="A1641" s="4">
        <v>42564</v>
      </c>
      <c r="B1641" t="s">
        <v>30</v>
      </c>
      <c r="C1641">
        <v>8</v>
      </c>
      <c r="D1641">
        <v>2</v>
      </c>
      <c r="E1641" t="s">
        <v>35</v>
      </c>
      <c r="F1641" t="s">
        <v>36</v>
      </c>
      <c r="G1641">
        <v>2</v>
      </c>
      <c r="H1641" s="5">
        <v>50513</v>
      </c>
      <c r="I1641" s="5"/>
      <c r="J1641">
        <v>0</v>
      </c>
      <c r="K1641">
        <f>31-9</f>
        <v>22</v>
      </c>
      <c r="L1641" t="s">
        <v>143</v>
      </c>
      <c r="M1641">
        <v>1</v>
      </c>
    </row>
    <row r="1642" spans="1:13" x14ac:dyDescent="0.25">
      <c r="A1642" s="4">
        <v>42565</v>
      </c>
      <c r="B1642" t="s">
        <v>30</v>
      </c>
      <c r="C1642">
        <v>8</v>
      </c>
      <c r="D1642">
        <v>2</v>
      </c>
      <c r="E1642" t="s">
        <v>35</v>
      </c>
      <c r="F1642" t="s">
        <v>36</v>
      </c>
      <c r="G1642">
        <v>2</v>
      </c>
      <c r="H1642" s="5">
        <v>50513</v>
      </c>
      <c r="I1642" s="5"/>
      <c r="J1642">
        <v>0</v>
      </c>
      <c r="K1642">
        <v>22</v>
      </c>
      <c r="L1642" t="s">
        <v>143</v>
      </c>
      <c r="M1642">
        <v>1</v>
      </c>
    </row>
    <row r="1643" spans="1:13" x14ac:dyDescent="0.25">
      <c r="A1643" s="4">
        <v>42563</v>
      </c>
      <c r="B1643" t="s">
        <v>30</v>
      </c>
      <c r="C1643">
        <v>8</v>
      </c>
      <c r="D1643">
        <v>2</v>
      </c>
      <c r="E1643" t="s">
        <v>42</v>
      </c>
      <c r="F1643" t="s">
        <v>114</v>
      </c>
      <c r="G1643">
        <v>1</v>
      </c>
      <c r="H1643" s="5">
        <v>50514</v>
      </c>
      <c r="I1643" s="5"/>
      <c r="J1643">
        <v>0</v>
      </c>
      <c r="K1643">
        <f>24-9</f>
        <v>15</v>
      </c>
      <c r="L1643" t="s">
        <v>47</v>
      </c>
      <c r="M1643">
        <v>1</v>
      </c>
    </row>
    <row r="1644" spans="1:13" x14ac:dyDescent="0.25">
      <c r="A1644" s="4">
        <v>42564</v>
      </c>
      <c r="B1644" t="s">
        <v>30</v>
      </c>
      <c r="C1644">
        <v>8</v>
      </c>
      <c r="D1644">
        <v>2</v>
      </c>
      <c r="E1644" t="s">
        <v>35</v>
      </c>
      <c r="F1644" t="s">
        <v>36</v>
      </c>
      <c r="G1644">
        <v>1</v>
      </c>
      <c r="H1644" s="5">
        <v>50514</v>
      </c>
      <c r="I1644" s="5"/>
      <c r="J1644">
        <v>0</v>
      </c>
      <c r="K1644">
        <f>28-11</f>
        <v>17</v>
      </c>
      <c r="M1644">
        <v>1</v>
      </c>
    </row>
    <row r="1645" spans="1:13" x14ac:dyDescent="0.25">
      <c r="A1645" s="4">
        <v>42565</v>
      </c>
      <c r="B1645" t="s">
        <v>30</v>
      </c>
      <c r="C1645">
        <v>8</v>
      </c>
      <c r="D1645">
        <v>2</v>
      </c>
      <c r="E1645" t="s">
        <v>35</v>
      </c>
      <c r="F1645" t="s">
        <v>114</v>
      </c>
      <c r="G1645">
        <v>1</v>
      </c>
      <c r="H1645" s="5">
        <v>50514</v>
      </c>
      <c r="I1645" s="5"/>
      <c r="J1645">
        <v>0</v>
      </c>
      <c r="K1645">
        <f>28-11</f>
        <v>17</v>
      </c>
      <c r="L1645" t="s">
        <v>47</v>
      </c>
      <c r="M1645">
        <v>1</v>
      </c>
    </row>
    <row r="1646" spans="1:13" x14ac:dyDescent="0.25">
      <c r="A1646" s="4">
        <v>42563</v>
      </c>
      <c r="B1646" t="s">
        <v>30</v>
      </c>
      <c r="C1646">
        <v>7</v>
      </c>
      <c r="D1646">
        <v>2</v>
      </c>
      <c r="E1646" t="s">
        <v>42</v>
      </c>
      <c r="F1646" t="s">
        <v>36</v>
      </c>
      <c r="G1646">
        <v>1</v>
      </c>
      <c r="H1646" s="5">
        <v>50515</v>
      </c>
      <c r="I1646" s="5"/>
      <c r="J1646">
        <v>1</v>
      </c>
      <c r="K1646">
        <f>28-9</f>
        <v>19</v>
      </c>
      <c r="L1646" t="s">
        <v>47</v>
      </c>
      <c r="M1646">
        <v>1</v>
      </c>
    </row>
    <row r="1647" spans="1:13" x14ac:dyDescent="0.25">
      <c r="A1647" s="4">
        <v>42564</v>
      </c>
      <c r="B1647" t="s">
        <v>30</v>
      </c>
      <c r="C1647">
        <v>7</v>
      </c>
      <c r="D1647">
        <v>2</v>
      </c>
      <c r="E1647" t="s">
        <v>35</v>
      </c>
      <c r="F1647" t="s">
        <v>36</v>
      </c>
      <c r="G1647">
        <v>1</v>
      </c>
      <c r="H1647" s="5">
        <v>50515</v>
      </c>
      <c r="I1647" s="5"/>
      <c r="J1647">
        <v>1</v>
      </c>
      <c r="K1647">
        <v>21</v>
      </c>
      <c r="L1647" t="s">
        <v>47</v>
      </c>
      <c r="M1647">
        <v>1</v>
      </c>
    </row>
    <row r="1648" spans="1:13" x14ac:dyDescent="0.25">
      <c r="A1648" s="4">
        <v>42565</v>
      </c>
      <c r="B1648" t="s">
        <v>30</v>
      </c>
      <c r="C1648">
        <v>7</v>
      </c>
      <c r="D1648">
        <v>2</v>
      </c>
      <c r="E1648" t="s">
        <v>35</v>
      </c>
      <c r="F1648" t="s">
        <v>36</v>
      </c>
      <c r="G1648">
        <v>1</v>
      </c>
      <c r="H1648" s="5">
        <v>50515</v>
      </c>
      <c r="I1648" s="5"/>
      <c r="J1648">
        <v>1</v>
      </c>
      <c r="K1648">
        <f>30.5-10</f>
        <v>20.5</v>
      </c>
      <c r="L1648" t="s">
        <v>47</v>
      </c>
      <c r="M1648">
        <v>1</v>
      </c>
    </row>
    <row r="1649" spans="1:13" x14ac:dyDescent="0.25">
      <c r="A1649" s="4">
        <v>42575</v>
      </c>
      <c r="B1649" t="s">
        <v>30</v>
      </c>
      <c r="C1649">
        <v>7</v>
      </c>
      <c r="D1649">
        <v>2</v>
      </c>
      <c r="E1649" t="s">
        <v>35</v>
      </c>
      <c r="F1649" t="s">
        <v>36</v>
      </c>
      <c r="G1649">
        <v>1</v>
      </c>
      <c r="H1649" s="5">
        <v>50515</v>
      </c>
      <c r="I1649" s="5"/>
      <c r="J1649">
        <v>1</v>
      </c>
      <c r="K1649">
        <f>34-12</f>
        <v>22</v>
      </c>
      <c r="L1649" t="s">
        <v>47</v>
      </c>
      <c r="M1649">
        <v>1</v>
      </c>
    </row>
    <row r="1650" spans="1:13" x14ac:dyDescent="0.25">
      <c r="A1650" s="4">
        <v>42565</v>
      </c>
      <c r="B1650" t="s">
        <v>30</v>
      </c>
      <c r="C1650">
        <v>5</v>
      </c>
      <c r="D1650">
        <v>2</v>
      </c>
      <c r="E1650" t="s">
        <v>35</v>
      </c>
      <c r="F1650" t="s">
        <v>36</v>
      </c>
      <c r="G1650">
        <v>1</v>
      </c>
      <c r="H1650" s="5">
        <v>50578</v>
      </c>
      <c r="I1650" s="5"/>
      <c r="J1650">
        <v>0</v>
      </c>
      <c r="K1650">
        <v>28</v>
      </c>
      <c r="L1650" t="s">
        <v>65</v>
      </c>
      <c r="M1650">
        <v>1</v>
      </c>
    </row>
    <row r="1651" spans="1:13" x14ac:dyDescent="0.25">
      <c r="A1651" s="4">
        <v>42563</v>
      </c>
      <c r="B1651" t="s">
        <v>30</v>
      </c>
      <c r="C1651">
        <v>5</v>
      </c>
      <c r="D1651">
        <v>2</v>
      </c>
      <c r="E1651" t="s">
        <v>35</v>
      </c>
      <c r="F1651" t="s">
        <v>36</v>
      </c>
      <c r="G1651">
        <v>1</v>
      </c>
      <c r="H1651" s="5">
        <v>50579</v>
      </c>
      <c r="I1651" s="5"/>
      <c r="J1651">
        <v>0</v>
      </c>
      <c r="K1651">
        <f>40-11</f>
        <v>29</v>
      </c>
      <c r="L1651" t="s">
        <v>47</v>
      </c>
      <c r="M1651">
        <v>1</v>
      </c>
    </row>
    <row r="1652" spans="1:13" x14ac:dyDescent="0.25">
      <c r="A1652" s="4">
        <v>42564</v>
      </c>
      <c r="B1652" t="s">
        <v>30</v>
      </c>
      <c r="C1652">
        <v>5</v>
      </c>
      <c r="D1652">
        <v>2</v>
      </c>
      <c r="E1652" t="s">
        <v>35</v>
      </c>
      <c r="F1652" t="s">
        <v>36</v>
      </c>
      <c r="G1652">
        <v>1</v>
      </c>
      <c r="H1652" s="5">
        <v>50579</v>
      </c>
      <c r="I1652" s="5"/>
      <c r="J1652">
        <v>0</v>
      </c>
      <c r="K1652">
        <v>29</v>
      </c>
      <c r="L1652" t="s">
        <v>47</v>
      </c>
      <c r="M1652">
        <v>1</v>
      </c>
    </row>
    <row r="1653" spans="1:13" x14ac:dyDescent="0.25">
      <c r="A1653" s="4">
        <v>42574</v>
      </c>
      <c r="B1653" t="s">
        <v>30</v>
      </c>
      <c r="C1653">
        <v>5</v>
      </c>
      <c r="D1653">
        <v>2</v>
      </c>
      <c r="E1653" t="s">
        <v>35</v>
      </c>
      <c r="F1653" t="s">
        <v>36</v>
      </c>
      <c r="G1653">
        <v>1</v>
      </c>
      <c r="H1653" s="5">
        <v>50579</v>
      </c>
      <c r="I1653" s="5"/>
      <c r="J1653">
        <v>1</v>
      </c>
      <c r="K1653">
        <f>37.5-10</f>
        <v>27.5</v>
      </c>
      <c r="L1653" t="s">
        <v>47</v>
      </c>
      <c r="M1653">
        <v>1</v>
      </c>
    </row>
    <row r="1654" spans="1:13" x14ac:dyDescent="0.25">
      <c r="A1654" s="4">
        <v>42575</v>
      </c>
      <c r="B1654" t="s">
        <v>30</v>
      </c>
      <c r="C1654">
        <v>5</v>
      </c>
      <c r="D1654">
        <v>2</v>
      </c>
      <c r="E1654" t="s">
        <v>35</v>
      </c>
      <c r="F1654" t="s">
        <v>36</v>
      </c>
      <c r="G1654">
        <v>1</v>
      </c>
      <c r="H1654" s="5">
        <v>50579</v>
      </c>
      <c r="I1654" s="5"/>
      <c r="J1654">
        <v>1</v>
      </c>
      <c r="K1654">
        <f>43-13.5</f>
        <v>29.5</v>
      </c>
      <c r="L1654" t="s">
        <v>47</v>
      </c>
      <c r="M1654">
        <v>1</v>
      </c>
    </row>
    <row r="1655" spans="1:13" x14ac:dyDescent="0.25">
      <c r="A1655" s="4">
        <v>42564</v>
      </c>
      <c r="B1655" t="s">
        <v>30</v>
      </c>
      <c r="C1655">
        <v>7</v>
      </c>
      <c r="D1655">
        <v>2</v>
      </c>
      <c r="E1655" t="s">
        <v>35</v>
      </c>
      <c r="F1655" t="s">
        <v>36</v>
      </c>
      <c r="G1655">
        <v>1</v>
      </c>
      <c r="H1655" s="5">
        <v>50618</v>
      </c>
      <c r="I1655" s="5"/>
      <c r="J1655">
        <v>1</v>
      </c>
      <c r="K1655">
        <f>31-9.5</f>
        <v>21.5</v>
      </c>
      <c r="L1655" t="s">
        <v>47</v>
      </c>
      <c r="M1655">
        <v>1</v>
      </c>
    </row>
    <row r="1656" spans="1:13" x14ac:dyDescent="0.25">
      <c r="A1656" s="4">
        <v>42565</v>
      </c>
      <c r="B1656" t="s">
        <v>30</v>
      </c>
      <c r="C1656">
        <v>7</v>
      </c>
      <c r="D1656">
        <v>2</v>
      </c>
      <c r="E1656" t="s">
        <v>35</v>
      </c>
      <c r="F1656" t="s">
        <v>36</v>
      </c>
      <c r="G1656">
        <v>1</v>
      </c>
      <c r="H1656" s="5">
        <v>50618</v>
      </c>
      <c r="I1656" s="5"/>
      <c r="J1656">
        <v>1</v>
      </c>
      <c r="K1656">
        <f>32-9</f>
        <v>23</v>
      </c>
      <c r="L1656" t="s">
        <v>47</v>
      </c>
      <c r="M1656">
        <v>1</v>
      </c>
    </row>
    <row r="1657" spans="1:13" x14ac:dyDescent="0.25">
      <c r="A1657" s="4">
        <v>42575</v>
      </c>
      <c r="B1657" t="s">
        <v>30</v>
      </c>
      <c r="C1657">
        <v>5</v>
      </c>
      <c r="D1657">
        <v>2</v>
      </c>
      <c r="E1657" t="s">
        <v>35</v>
      </c>
      <c r="F1657" t="s">
        <v>36</v>
      </c>
      <c r="G1657">
        <v>2</v>
      </c>
      <c r="H1657" s="5">
        <v>50633</v>
      </c>
      <c r="I1657" s="5"/>
      <c r="J1657">
        <v>1</v>
      </c>
      <c r="K1657">
        <f>41.5-11.5</f>
        <v>30</v>
      </c>
      <c r="L1657" t="s">
        <v>120</v>
      </c>
      <c r="M1657">
        <v>1</v>
      </c>
    </row>
    <row r="1658" spans="1:13" x14ac:dyDescent="0.25">
      <c r="A1658" s="4">
        <v>42586</v>
      </c>
      <c r="B1658" t="s">
        <v>30</v>
      </c>
      <c r="C1658">
        <v>2</v>
      </c>
      <c r="D1658">
        <v>2</v>
      </c>
      <c r="E1658" t="s">
        <v>35</v>
      </c>
      <c r="F1658" t="s">
        <v>36</v>
      </c>
      <c r="G1658">
        <v>1</v>
      </c>
      <c r="H1658" s="5">
        <v>50672</v>
      </c>
      <c r="I1658" s="5"/>
      <c r="J1658">
        <v>1</v>
      </c>
      <c r="K1658">
        <f>34.5-12</f>
        <v>22.5</v>
      </c>
      <c r="L1658" t="s">
        <v>65</v>
      </c>
      <c r="M1658">
        <v>1</v>
      </c>
    </row>
    <row r="1659" spans="1:13" x14ac:dyDescent="0.25">
      <c r="A1659" s="4">
        <v>42574</v>
      </c>
      <c r="B1659" t="s">
        <v>30</v>
      </c>
      <c r="C1659">
        <v>7</v>
      </c>
      <c r="D1659">
        <v>2</v>
      </c>
      <c r="E1659" t="s">
        <v>35</v>
      </c>
      <c r="F1659" t="s">
        <v>36</v>
      </c>
      <c r="G1659">
        <v>2</v>
      </c>
      <c r="H1659" s="5">
        <v>50688</v>
      </c>
      <c r="I1659" s="5"/>
      <c r="J1659">
        <v>1</v>
      </c>
      <c r="L1659" t="s">
        <v>74</v>
      </c>
      <c r="M1659">
        <v>1</v>
      </c>
    </row>
    <row r="1660" spans="1:13" x14ac:dyDescent="0.25">
      <c r="A1660" s="4">
        <v>42570</v>
      </c>
      <c r="B1660" t="s">
        <v>30</v>
      </c>
      <c r="C1660">
        <v>1</v>
      </c>
      <c r="D1660">
        <v>2</v>
      </c>
      <c r="E1660" t="s">
        <v>42</v>
      </c>
      <c r="F1660" t="s">
        <v>36</v>
      </c>
      <c r="G1660">
        <v>2</v>
      </c>
      <c r="H1660" s="5">
        <v>50710</v>
      </c>
      <c r="I1660" s="5"/>
      <c r="J1660">
        <v>0</v>
      </c>
      <c r="K1660">
        <f>47-9.5</f>
        <v>37.5</v>
      </c>
      <c r="L1660" t="s">
        <v>81</v>
      </c>
      <c r="M1660">
        <v>1</v>
      </c>
    </row>
    <row r="1661" spans="1:13" x14ac:dyDescent="0.25">
      <c r="A1661" s="4">
        <v>42572</v>
      </c>
      <c r="B1661" t="s">
        <v>30</v>
      </c>
      <c r="C1661">
        <v>1</v>
      </c>
      <c r="D1661">
        <v>2</v>
      </c>
      <c r="E1661" t="s">
        <v>35</v>
      </c>
      <c r="F1661" t="s">
        <v>36</v>
      </c>
      <c r="G1661">
        <v>2</v>
      </c>
      <c r="H1661" s="5">
        <v>50710</v>
      </c>
      <c r="I1661" s="5"/>
      <c r="J1661">
        <v>0</v>
      </c>
      <c r="K1661">
        <f>47-9.5</f>
        <v>37.5</v>
      </c>
      <c r="L1661" t="s">
        <v>81</v>
      </c>
      <c r="M1661">
        <v>1</v>
      </c>
    </row>
    <row r="1662" spans="1:13" x14ac:dyDescent="0.25">
      <c r="A1662" s="4">
        <v>42570</v>
      </c>
      <c r="B1662" t="s">
        <v>30</v>
      </c>
      <c r="C1662">
        <v>4</v>
      </c>
      <c r="D1662">
        <v>2</v>
      </c>
      <c r="E1662" t="s">
        <v>42</v>
      </c>
      <c r="F1662" t="s">
        <v>89</v>
      </c>
      <c r="G1662">
        <v>1</v>
      </c>
      <c r="H1662" s="5">
        <v>50717</v>
      </c>
      <c r="I1662" s="5">
        <v>50717</v>
      </c>
      <c r="J1662">
        <v>1</v>
      </c>
      <c r="K1662">
        <f>31-13</f>
        <v>18</v>
      </c>
      <c r="L1662" t="s">
        <v>65</v>
      </c>
      <c r="M1662">
        <v>1</v>
      </c>
    </row>
    <row r="1663" spans="1:13" x14ac:dyDescent="0.25">
      <c r="A1663" s="4">
        <v>42599</v>
      </c>
      <c r="B1663" t="s">
        <v>30</v>
      </c>
      <c r="C1663">
        <v>3</v>
      </c>
      <c r="D1663">
        <v>2</v>
      </c>
      <c r="E1663" t="s">
        <v>35</v>
      </c>
      <c r="F1663" t="s">
        <v>36</v>
      </c>
      <c r="G1663">
        <v>2</v>
      </c>
      <c r="H1663" s="5" t="s">
        <v>875</v>
      </c>
      <c r="I1663" s="5"/>
      <c r="J1663">
        <v>1</v>
      </c>
      <c r="K1663">
        <f>45.5-15</f>
        <v>30.5</v>
      </c>
      <c r="L1663" t="s">
        <v>136</v>
      </c>
      <c r="M1663">
        <v>1</v>
      </c>
    </row>
    <row r="1664" spans="1:13" x14ac:dyDescent="0.25">
      <c r="A1664" s="4">
        <v>42563</v>
      </c>
      <c r="B1664" t="s">
        <v>30</v>
      </c>
      <c r="C1664">
        <v>3</v>
      </c>
      <c r="D1664">
        <v>2</v>
      </c>
      <c r="E1664" t="s">
        <v>42</v>
      </c>
      <c r="F1664" t="s">
        <v>36</v>
      </c>
      <c r="G1664">
        <v>1</v>
      </c>
      <c r="H1664" s="5">
        <v>50732</v>
      </c>
      <c r="I1664" s="5"/>
      <c r="J1664">
        <v>1</v>
      </c>
      <c r="K1664">
        <v>25.5</v>
      </c>
      <c r="L1664" t="s">
        <v>47</v>
      </c>
      <c r="M1664">
        <v>1</v>
      </c>
    </row>
    <row r="1665" spans="1:13" x14ac:dyDescent="0.25">
      <c r="A1665" s="4">
        <v>42564</v>
      </c>
      <c r="B1665" t="s">
        <v>30</v>
      </c>
      <c r="C1665">
        <v>3</v>
      </c>
      <c r="D1665">
        <v>2</v>
      </c>
      <c r="E1665" t="s">
        <v>35</v>
      </c>
      <c r="F1665" t="s">
        <v>36</v>
      </c>
      <c r="G1665">
        <v>1</v>
      </c>
      <c r="H1665" s="5">
        <v>50732</v>
      </c>
      <c r="I1665" s="5"/>
      <c r="J1665">
        <v>1</v>
      </c>
      <c r="K1665">
        <f>38.5-13.5</f>
        <v>25</v>
      </c>
      <c r="L1665" t="s">
        <v>47</v>
      </c>
      <c r="M1665">
        <v>1</v>
      </c>
    </row>
    <row r="1666" spans="1:13" x14ac:dyDescent="0.25">
      <c r="A1666" s="4">
        <v>42565</v>
      </c>
      <c r="B1666" t="s">
        <v>30</v>
      </c>
      <c r="C1666">
        <v>3</v>
      </c>
      <c r="D1666">
        <v>2</v>
      </c>
      <c r="E1666" t="s">
        <v>35</v>
      </c>
      <c r="F1666" t="s">
        <v>36</v>
      </c>
      <c r="G1666">
        <v>1</v>
      </c>
      <c r="H1666" s="5">
        <v>50732</v>
      </c>
      <c r="I1666" s="5"/>
      <c r="J1666">
        <v>1</v>
      </c>
      <c r="K1666">
        <f>35-12</f>
        <v>23</v>
      </c>
      <c r="L1666" t="s">
        <v>65</v>
      </c>
      <c r="M1666">
        <v>1</v>
      </c>
    </row>
    <row r="1667" spans="1:13" x14ac:dyDescent="0.25">
      <c r="A1667" s="4">
        <v>42564</v>
      </c>
      <c r="B1667" t="s">
        <v>30</v>
      </c>
      <c r="C1667">
        <v>5</v>
      </c>
      <c r="D1667">
        <v>2</v>
      </c>
      <c r="E1667" t="s">
        <v>42</v>
      </c>
      <c r="F1667" t="s">
        <v>36</v>
      </c>
      <c r="G1667">
        <v>2</v>
      </c>
      <c r="H1667" s="5">
        <v>50736</v>
      </c>
      <c r="I1667" s="5"/>
      <c r="J1667">
        <v>0</v>
      </c>
      <c r="K1667">
        <f>33.5-9.5</f>
        <v>24</v>
      </c>
      <c r="L1667" t="s">
        <v>83</v>
      </c>
      <c r="M1667">
        <v>1</v>
      </c>
    </row>
    <row r="1668" spans="1:13" x14ac:dyDescent="0.25">
      <c r="A1668" s="4">
        <v>42564</v>
      </c>
      <c r="B1668" t="s">
        <v>30</v>
      </c>
      <c r="C1668">
        <v>3</v>
      </c>
      <c r="D1668">
        <v>2</v>
      </c>
      <c r="E1668" t="s">
        <v>42</v>
      </c>
      <c r="F1668" t="s">
        <v>89</v>
      </c>
      <c r="G1668">
        <v>2</v>
      </c>
      <c r="H1668" s="5">
        <v>50738</v>
      </c>
      <c r="I1668" s="5"/>
      <c r="J1668">
        <v>1</v>
      </c>
      <c r="K1668">
        <f>28-10.5</f>
        <v>17.5</v>
      </c>
      <c r="L1668" t="s">
        <v>83</v>
      </c>
      <c r="M1668">
        <v>1</v>
      </c>
    </row>
    <row r="1669" spans="1:13" x14ac:dyDescent="0.25">
      <c r="A1669" s="4">
        <v>42565</v>
      </c>
      <c r="B1669" t="s">
        <v>30</v>
      </c>
      <c r="C1669">
        <v>3</v>
      </c>
      <c r="D1669">
        <v>2</v>
      </c>
      <c r="E1669" t="s">
        <v>35</v>
      </c>
      <c r="F1669" t="s">
        <v>36</v>
      </c>
      <c r="G1669">
        <v>2</v>
      </c>
      <c r="H1669" s="5">
        <v>50738</v>
      </c>
      <c r="I1669" s="5"/>
      <c r="J1669">
        <v>1</v>
      </c>
      <c r="K1669">
        <f>30.5-12</f>
        <v>18.5</v>
      </c>
      <c r="L1669" t="s">
        <v>83</v>
      </c>
      <c r="M1669">
        <v>1</v>
      </c>
    </row>
    <row r="1670" spans="1:13" x14ac:dyDescent="0.25">
      <c r="A1670" s="4">
        <v>42574</v>
      </c>
      <c r="B1670" t="s">
        <v>30</v>
      </c>
      <c r="C1670">
        <v>3</v>
      </c>
      <c r="D1670">
        <v>2</v>
      </c>
      <c r="E1670" t="s">
        <v>35</v>
      </c>
      <c r="F1670" t="s">
        <v>36</v>
      </c>
      <c r="G1670">
        <v>1</v>
      </c>
      <c r="H1670" s="5">
        <v>50738</v>
      </c>
      <c r="I1670" s="5"/>
      <c r="J1670">
        <v>1</v>
      </c>
      <c r="K1670">
        <f>31.5-10.5</f>
        <v>21</v>
      </c>
      <c r="L1670" t="s">
        <v>47</v>
      </c>
      <c r="M1670">
        <v>1</v>
      </c>
    </row>
    <row r="1671" spans="1:13" x14ac:dyDescent="0.25">
      <c r="A1671" s="4">
        <v>42575</v>
      </c>
      <c r="B1671" t="s">
        <v>30</v>
      </c>
      <c r="C1671">
        <v>3</v>
      </c>
      <c r="D1671">
        <v>2</v>
      </c>
      <c r="E1671" t="s">
        <v>35</v>
      </c>
      <c r="F1671" t="s">
        <v>36</v>
      </c>
      <c r="G1671">
        <v>2</v>
      </c>
      <c r="H1671" s="5">
        <v>50738</v>
      </c>
      <c r="I1671" s="5"/>
      <c r="J1671">
        <v>1</v>
      </c>
      <c r="K1671">
        <f>33-11</f>
        <v>22</v>
      </c>
      <c r="L1671" t="s">
        <v>63</v>
      </c>
      <c r="M1671">
        <v>1</v>
      </c>
    </row>
    <row r="1672" spans="1:13" x14ac:dyDescent="0.25">
      <c r="A1672" s="4">
        <v>42591</v>
      </c>
      <c r="B1672" t="s">
        <v>30</v>
      </c>
      <c r="C1672">
        <v>3</v>
      </c>
      <c r="D1672">
        <v>2</v>
      </c>
      <c r="E1672" t="s">
        <v>35</v>
      </c>
      <c r="F1672" t="s">
        <v>36</v>
      </c>
      <c r="G1672">
        <v>2</v>
      </c>
      <c r="H1672" s="5" t="s">
        <v>563</v>
      </c>
      <c r="I1672" s="5"/>
      <c r="J1672">
        <v>1</v>
      </c>
      <c r="K1672">
        <f>39-13</f>
        <v>26</v>
      </c>
      <c r="L1672" t="s">
        <v>83</v>
      </c>
      <c r="M1672">
        <v>1</v>
      </c>
    </row>
    <row r="1673" spans="1:13" x14ac:dyDescent="0.25">
      <c r="A1673" s="4">
        <v>42592</v>
      </c>
      <c r="B1673" t="s">
        <v>30</v>
      </c>
      <c r="C1673">
        <v>3</v>
      </c>
      <c r="D1673">
        <v>2</v>
      </c>
      <c r="E1673" t="s">
        <v>35</v>
      </c>
      <c r="F1673" t="s">
        <v>36</v>
      </c>
      <c r="G1673">
        <v>2</v>
      </c>
      <c r="H1673" s="5" t="s">
        <v>563</v>
      </c>
      <c r="I1673" s="5"/>
      <c r="J1673">
        <v>1</v>
      </c>
      <c r="K1673">
        <f>40-12.5</f>
        <v>27.5</v>
      </c>
      <c r="L1673" t="s">
        <v>83</v>
      </c>
      <c r="M1673">
        <v>1</v>
      </c>
    </row>
    <row r="1674" spans="1:13" x14ac:dyDescent="0.25">
      <c r="A1674" s="4">
        <v>42593</v>
      </c>
      <c r="B1674" t="s">
        <v>30</v>
      </c>
      <c r="C1674">
        <v>3</v>
      </c>
      <c r="D1674">
        <v>2</v>
      </c>
      <c r="E1674" t="s">
        <v>35</v>
      </c>
      <c r="F1674" t="s">
        <v>36</v>
      </c>
      <c r="G1674">
        <v>2</v>
      </c>
      <c r="H1674" s="5" t="s">
        <v>563</v>
      </c>
      <c r="I1674" s="5"/>
      <c r="J1674">
        <v>1</v>
      </c>
      <c r="K1674">
        <f>39-13.5</f>
        <v>25.5</v>
      </c>
      <c r="L1674" t="s">
        <v>83</v>
      </c>
      <c r="M1674">
        <v>1</v>
      </c>
    </row>
    <row r="1675" spans="1:13" x14ac:dyDescent="0.25">
      <c r="A1675" s="4">
        <v>42604</v>
      </c>
      <c r="B1675" t="s">
        <v>30</v>
      </c>
      <c r="C1675">
        <v>3</v>
      </c>
      <c r="D1675">
        <v>2</v>
      </c>
      <c r="E1675" t="s">
        <v>35</v>
      </c>
      <c r="F1675" t="s">
        <v>36</v>
      </c>
      <c r="G1675">
        <v>2</v>
      </c>
      <c r="H1675" s="5" t="s">
        <v>563</v>
      </c>
      <c r="I1675" s="5"/>
      <c r="J1675">
        <v>1</v>
      </c>
      <c r="K1675">
        <f>39-15</f>
        <v>24</v>
      </c>
      <c r="L1675" t="s">
        <v>136</v>
      </c>
      <c r="M1675">
        <v>1</v>
      </c>
    </row>
    <row r="1676" spans="1:13" x14ac:dyDescent="0.25">
      <c r="A1676" s="4">
        <v>42605</v>
      </c>
      <c r="B1676" t="s">
        <v>30</v>
      </c>
      <c r="C1676">
        <v>3</v>
      </c>
      <c r="D1676">
        <v>2</v>
      </c>
      <c r="E1676" t="s">
        <v>35</v>
      </c>
      <c r="F1676" t="s">
        <v>36</v>
      </c>
      <c r="G1676">
        <v>2</v>
      </c>
      <c r="H1676" s="5" t="s">
        <v>563</v>
      </c>
      <c r="I1676" s="5"/>
      <c r="J1676">
        <v>1</v>
      </c>
      <c r="K1676">
        <f>38-14</f>
        <v>24</v>
      </c>
      <c r="L1676" t="s">
        <v>38</v>
      </c>
      <c r="M1676">
        <v>1</v>
      </c>
    </row>
    <row r="1677" spans="1:13" x14ac:dyDescent="0.25">
      <c r="A1677" s="4">
        <v>42606</v>
      </c>
      <c r="B1677" t="s">
        <v>30</v>
      </c>
      <c r="C1677">
        <v>3</v>
      </c>
      <c r="D1677">
        <v>2</v>
      </c>
      <c r="E1677" t="s">
        <v>35</v>
      </c>
      <c r="F1677" t="s">
        <v>36</v>
      </c>
      <c r="G1677">
        <v>2</v>
      </c>
      <c r="H1677" s="5" t="s">
        <v>563</v>
      </c>
      <c r="I1677" s="5"/>
      <c r="J1677">
        <v>1</v>
      </c>
      <c r="K1677">
        <f>36-14</f>
        <v>22</v>
      </c>
      <c r="L1677" t="s">
        <v>38</v>
      </c>
      <c r="M1677">
        <v>1</v>
      </c>
    </row>
    <row r="1678" spans="1:13" x14ac:dyDescent="0.25">
      <c r="A1678" s="4">
        <v>42565</v>
      </c>
      <c r="B1678" t="s">
        <v>30</v>
      </c>
      <c r="C1678">
        <v>3</v>
      </c>
      <c r="D1678">
        <v>2</v>
      </c>
      <c r="E1678" t="s">
        <v>42</v>
      </c>
      <c r="F1678" t="s">
        <v>36</v>
      </c>
      <c r="G1678">
        <v>1</v>
      </c>
      <c r="H1678" s="5">
        <v>50747</v>
      </c>
      <c r="I1678" s="5"/>
      <c r="J1678">
        <v>1</v>
      </c>
      <c r="K1678">
        <f>35.5-9</f>
        <v>26.5</v>
      </c>
      <c r="L1678" t="s">
        <v>47</v>
      </c>
      <c r="M1678">
        <v>1</v>
      </c>
    </row>
    <row r="1679" spans="1:13" x14ac:dyDescent="0.25">
      <c r="A1679" s="4">
        <v>42565</v>
      </c>
      <c r="B1679" t="s">
        <v>30</v>
      </c>
      <c r="C1679">
        <v>3</v>
      </c>
      <c r="D1679">
        <v>2</v>
      </c>
      <c r="E1679" t="s">
        <v>42</v>
      </c>
      <c r="F1679" t="s">
        <v>36</v>
      </c>
      <c r="G1679">
        <v>1</v>
      </c>
      <c r="H1679" s="5">
        <v>50750</v>
      </c>
      <c r="I1679" s="5"/>
      <c r="J1679">
        <v>1</v>
      </c>
      <c r="K1679">
        <v>22</v>
      </c>
      <c r="L1679" t="s">
        <v>65</v>
      </c>
      <c r="M1679">
        <v>1</v>
      </c>
    </row>
    <row r="1680" spans="1:13" x14ac:dyDescent="0.25">
      <c r="A1680" s="4">
        <v>42565</v>
      </c>
      <c r="B1680" t="s">
        <v>30</v>
      </c>
      <c r="C1680">
        <v>8</v>
      </c>
      <c r="D1680">
        <v>2</v>
      </c>
      <c r="E1680" t="s">
        <v>42</v>
      </c>
      <c r="F1680" t="s">
        <v>36</v>
      </c>
      <c r="G1680">
        <v>1</v>
      </c>
      <c r="H1680" s="5">
        <v>50755</v>
      </c>
      <c r="I1680" s="5"/>
      <c r="J1680">
        <v>1</v>
      </c>
      <c r="K1680">
        <v>20</v>
      </c>
      <c r="L1680" t="s">
        <v>47</v>
      </c>
      <c r="M1680">
        <v>1</v>
      </c>
    </row>
    <row r="1681" spans="1:13" x14ac:dyDescent="0.25">
      <c r="A1681" s="4">
        <v>42565</v>
      </c>
      <c r="B1681" t="s">
        <v>30</v>
      </c>
      <c r="C1681">
        <v>8</v>
      </c>
      <c r="D1681">
        <v>2</v>
      </c>
      <c r="E1681" t="s">
        <v>42</v>
      </c>
      <c r="F1681" t="s">
        <v>36</v>
      </c>
      <c r="G1681">
        <v>2</v>
      </c>
      <c r="H1681" s="5">
        <v>50756</v>
      </c>
      <c r="I1681" s="5"/>
      <c r="J1681">
        <v>0</v>
      </c>
      <c r="K1681">
        <f>44-11</f>
        <v>33</v>
      </c>
      <c r="L1681" t="s">
        <v>143</v>
      </c>
      <c r="M1681">
        <v>1</v>
      </c>
    </row>
    <row r="1682" spans="1:13" x14ac:dyDescent="0.25">
      <c r="A1682" s="4">
        <v>42574</v>
      </c>
      <c r="B1682" t="s">
        <v>30</v>
      </c>
      <c r="C1682">
        <v>8</v>
      </c>
      <c r="D1682">
        <v>2</v>
      </c>
      <c r="E1682" t="s">
        <v>35</v>
      </c>
      <c r="F1682" t="s">
        <v>36</v>
      </c>
      <c r="G1682">
        <v>2</v>
      </c>
      <c r="H1682" s="5">
        <v>50756</v>
      </c>
      <c r="I1682" s="5"/>
      <c r="J1682">
        <v>0</v>
      </c>
      <c r="K1682">
        <v>31</v>
      </c>
      <c r="L1682" t="s">
        <v>149</v>
      </c>
      <c r="M1682">
        <v>1</v>
      </c>
    </row>
    <row r="1683" spans="1:13" x14ac:dyDescent="0.25">
      <c r="A1683" s="4">
        <v>42575</v>
      </c>
      <c r="B1683" t="s">
        <v>30</v>
      </c>
      <c r="C1683">
        <v>8</v>
      </c>
      <c r="D1683">
        <v>2</v>
      </c>
      <c r="E1683" t="s">
        <v>35</v>
      </c>
      <c r="F1683" t="s">
        <v>36</v>
      </c>
      <c r="G1683">
        <v>2</v>
      </c>
      <c r="H1683" s="5">
        <v>50756</v>
      </c>
      <c r="I1683" s="5"/>
      <c r="J1683">
        <v>0</v>
      </c>
      <c r="K1683">
        <f>41-11.5</f>
        <v>29.5</v>
      </c>
      <c r="L1683" t="s">
        <v>74</v>
      </c>
      <c r="M1683">
        <v>1</v>
      </c>
    </row>
    <row r="1684" spans="1:13" x14ac:dyDescent="0.25">
      <c r="A1684" s="4">
        <v>42576</v>
      </c>
      <c r="B1684" t="s">
        <v>30</v>
      </c>
      <c r="C1684">
        <v>8</v>
      </c>
      <c r="D1684">
        <v>2</v>
      </c>
      <c r="E1684" t="s">
        <v>35</v>
      </c>
      <c r="F1684" t="s">
        <v>36</v>
      </c>
      <c r="G1684">
        <v>2</v>
      </c>
      <c r="H1684" s="5">
        <v>50756</v>
      </c>
      <c r="I1684" s="5"/>
      <c r="J1684">
        <v>0</v>
      </c>
      <c r="K1684">
        <f>38-9.5</f>
        <v>28.5</v>
      </c>
      <c r="L1684" t="s">
        <v>74</v>
      </c>
      <c r="M1684">
        <v>1</v>
      </c>
    </row>
    <row r="1685" spans="1:13" x14ac:dyDescent="0.25">
      <c r="A1685" s="4">
        <v>42591</v>
      </c>
      <c r="B1685" t="s">
        <v>30</v>
      </c>
      <c r="C1685">
        <v>8</v>
      </c>
      <c r="D1685">
        <v>2</v>
      </c>
      <c r="E1685" t="s">
        <v>35</v>
      </c>
      <c r="F1685" t="s">
        <v>36</v>
      </c>
      <c r="G1685">
        <v>2</v>
      </c>
      <c r="H1685" s="5" t="s">
        <v>601</v>
      </c>
      <c r="I1685" s="5"/>
      <c r="J1685">
        <v>1</v>
      </c>
      <c r="K1685">
        <f>49.5-16</f>
        <v>33.5</v>
      </c>
      <c r="L1685" t="s">
        <v>143</v>
      </c>
      <c r="M1685">
        <v>1</v>
      </c>
    </row>
    <row r="1686" spans="1:13" x14ac:dyDescent="0.25">
      <c r="A1686" s="4">
        <v>42592</v>
      </c>
      <c r="B1686" t="s">
        <v>30</v>
      </c>
      <c r="C1686">
        <v>8</v>
      </c>
      <c r="D1686">
        <v>2</v>
      </c>
      <c r="E1686" t="s">
        <v>35</v>
      </c>
      <c r="F1686" t="s">
        <v>36</v>
      </c>
      <c r="G1686">
        <v>2</v>
      </c>
      <c r="H1686" s="5" t="s">
        <v>601</v>
      </c>
      <c r="I1686" s="5"/>
      <c r="J1686">
        <v>1</v>
      </c>
      <c r="K1686">
        <f>49.5-16</f>
        <v>33.5</v>
      </c>
      <c r="L1686" t="s">
        <v>143</v>
      </c>
      <c r="M1686">
        <v>1</v>
      </c>
    </row>
    <row r="1687" spans="1:13" x14ac:dyDescent="0.25">
      <c r="A1687" s="4">
        <v>42574</v>
      </c>
      <c r="B1687" t="s">
        <v>30</v>
      </c>
      <c r="C1687">
        <v>7</v>
      </c>
      <c r="D1687">
        <v>2</v>
      </c>
      <c r="E1687" t="s">
        <v>35</v>
      </c>
      <c r="F1687" t="s">
        <v>36</v>
      </c>
      <c r="G1687">
        <v>1</v>
      </c>
      <c r="H1687" s="5">
        <v>50759</v>
      </c>
      <c r="I1687" s="5"/>
      <c r="J1687">
        <v>1</v>
      </c>
      <c r="K1687">
        <f>39-13</f>
        <v>26</v>
      </c>
      <c r="L1687" t="s">
        <v>47</v>
      </c>
      <c r="M1687">
        <v>1</v>
      </c>
    </row>
    <row r="1688" spans="1:13" x14ac:dyDescent="0.25">
      <c r="A1688" s="4">
        <v>42575</v>
      </c>
      <c r="B1688" t="s">
        <v>30</v>
      </c>
      <c r="C1688">
        <v>7</v>
      </c>
      <c r="D1688">
        <v>2</v>
      </c>
      <c r="E1688" t="s">
        <v>35</v>
      </c>
      <c r="F1688" t="s">
        <v>36</v>
      </c>
      <c r="G1688">
        <v>2</v>
      </c>
      <c r="H1688" s="5">
        <v>50759</v>
      </c>
      <c r="I1688" s="5"/>
      <c r="J1688">
        <v>1</v>
      </c>
      <c r="K1688">
        <f>35-8</f>
        <v>27</v>
      </c>
      <c r="L1688" t="s">
        <v>81</v>
      </c>
      <c r="M1688">
        <v>1</v>
      </c>
    </row>
    <row r="1689" spans="1:13" x14ac:dyDescent="0.25">
      <c r="A1689" s="4">
        <v>42591</v>
      </c>
      <c r="B1689" t="s">
        <v>30</v>
      </c>
      <c r="C1689">
        <v>7</v>
      </c>
      <c r="D1689">
        <v>2</v>
      </c>
      <c r="E1689" t="s">
        <v>35</v>
      </c>
      <c r="F1689" t="s">
        <v>36</v>
      </c>
      <c r="G1689">
        <v>2</v>
      </c>
      <c r="H1689" s="5" t="s">
        <v>595</v>
      </c>
      <c r="I1689" s="5"/>
      <c r="J1689">
        <v>1</v>
      </c>
      <c r="K1689">
        <f>38.5-14</f>
        <v>24.5</v>
      </c>
      <c r="L1689" t="s">
        <v>136</v>
      </c>
      <c r="M1689">
        <v>1</v>
      </c>
    </row>
    <row r="1690" spans="1:13" x14ac:dyDescent="0.25">
      <c r="A1690" s="4">
        <v>42565</v>
      </c>
      <c r="B1690" t="s">
        <v>30</v>
      </c>
      <c r="C1690">
        <v>7</v>
      </c>
      <c r="D1690">
        <v>2</v>
      </c>
      <c r="E1690" t="s">
        <v>42</v>
      </c>
      <c r="F1690" t="s">
        <v>36</v>
      </c>
      <c r="G1690">
        <v>1</v>
      </c>
      <c r="H1690" s="5">
        <v>50762</v>
      </c>
      <c r="I1690" s="5"/>
      <c r="J1690">
        <v>1</v>
      </c>
      <c r="L1690" t="s">
        <v>47</v>
      </c>
      <c r="M1690">
        <v>1</v>
      </c>
    </row>
    <row r="1691" spans="1:13" x14ac:dyDescent="0.25">
      <c r="A1691" s="4">
        <v>42565</v>
      </c>
      <c r="B1691" t="s">
        <v>30</v>
      </c>
      <c r="C1691">
        <v>7</v>
      </c>
      <c r="D1691">
        <v>2</v>
      </c>
      <c r="E1691" t="s">
        <v>42</v>
      </c>
      <c r="F1691" t="s">
        <v>36</v>
      </c>
      <c r="G1691">
        <v>1</v>
      </c>
      <c r="H1691" s="5">
        <v>50763</v>
      </c>
      <c r="I1691" s="5">
        <v>50763</v>
      </c>
      <c r="J1691">
        <v>1</v>
      </c>
      <c r="K1691">
        <f>29-9</f>
        <v>20</v>
      </c>
      <c r="L1691" t="s">
        <v>47</v>
      </c>
      <c r="M1691">
        <v>1</v>
      </c>
    </row>
    <row r="1692" spans="1:13" x14ac:dyDescent="0.25">
      <c r="A1692" s="4">
        <v>42565</v>
      </c>
      <c r="B1692" t="s">
        <v>30</v>
      </c>
      <c r="C1692">
        <v>7</v>
      </c>
      <c r="D1692">
        <v>2</v>
      </c>
      <c r="E1692" t="s">
        <v>42</v>
      </c>
      <c r="F1692" t="s">
        <v>114</v>
      </c>
      <c r="G1692">
        <v>1</v>
      </c>
      <c r="H1692" s="5">
        <v>50764</v>
      </c>
      <c r="I1692" s="5">
        <v>50764</v>
      </c>
      <c r="J1692">
        <v>1</v>
      </c>
      <c r="K1692">
        <f>24-10</f>
        <v>14</v>
      </c>
      <c r="L1692" t="s">
        <v>47</v>
      </c>
      <c r="M1692">
        <v>1</v>
      </c>
    </row>
    <row r="1693" spans="1:13" x14ac:dyDescent="0.25">
      <c r="A1693" s="4">
        <v>42574</v>
      </c>
      <c r="B1693" t="s">
        <v>30</v>
      </c>
      <c r="C1693">
        <v>7</v>
      </c>
      <c r="D1693">
        <v>2</v>
      </c>
      <c r="E1693" t="s">
        <v>35</v>
      </c>
      <c r="F1693" t="s">
        <v>89</v>
      </c>
      <c r="G1693">
        <v>1</v>
      </c>
      <c r="H1693" s="5">
        <v>50764</v>
      </c>
      <c r="I1693" s="5">
        <v>50764</v>
      </c>
      <c r="J1693">
        <v>1</v>
      </c>
      <c r="K1693">
        <f>31.5-14</f>
        <v>17.5</v>
      </c>
      <c r="L1693" t="s">
        <v>65</v>
      </c>
      <c r="M1693">
        <v>1</v>
      </c>
    </row>
    <row r="1694" spans="1:13" x14ac:dyDescent="0.25">
      <c r="A1694" s="4">
        <v>42575</v>
      </c>
      <c r="B1694" t="s">
        <v>30</v>
      </c>
      <c r="C1694">
        <v>7</v>
      </c>
      <c r="D1694">
        <v>2</v>
      </c>
      <c r="E1694" t="s">
        <v>35</v>
      </c>
      <c r="F1694" t="s">
        <v>89</v>
      </c>
      <c r="G1694">
        <v>2</v>
      </c>
      <c r="H1694" s="5">
        <v>50764</v>
      </c>
      <c r="I1694" s="5">
        <v>50764</v>
      </c>
      <c r="J1694">
        <v>1</v>
      </c>
      <c r="K1694">
        <f>28.5-11</f>
        <v>17.5</v>
      </c>
      <c r="L1694" t="s">
        <v>38</v>
      </c>
      <c r="M1694">
        <v>1</v>
      </c>
    </row>
    <row r="1695" spans="1:13" x14ac:dyDescent="0.25">
      <c r="A1695" s="4">
        <v>42592</v>
      </c>
      <c r="B1695" t="s">
        <v>30</v>
      </c>
      <c r="C1695">
        <v>7</v>
      </c>
      <c r="D1695">
        <v>2</v>
      </c>
      <c r="E1695" t="s">
        <v>35</v>
      </c>
      <c r="F1695" t="s">
        <v>114</v>
      </c>
      <c r="G1695">
        <v>1</v>
      </c>
      <c r="H1695" s="5" t="s">
        <v>617</v>
      </c>
      <c r="I1695" s="5" t="s">
        <v>617</v>
      </c>
      <c r="J1695">
        <v>1</v>
      </c>
      <c r="K1695">
        <f>33-15.5</f>
        <v>17.5</v>
      </c>
      <c r="L1695" t="s">
        <v>47</v>
      </c>
      <c r="M1695">
        <v>1</v>
      </c>
    </row>
    <row r="1696" spans="1:13" x14ac:dyDescent="0.25">
      <c r="A1696" s="4">
        <v>42604</v>
      </c>
      <c r="B1696" t="s">
        <v>30</v>
      </c>
      <c r="C1696">
        <v>7</v>
      </c>
      <c r="D1696">
        <v>2</v>
      </c>
      <c r="E1696" t="s">
        <v>35</v>
      </c>
      <c r="F1696" t="s">
        <v>36</v>
      </c>
      <c r="G1696">
        <v>1</v>
      </c>
      <c r="H1696" s="5" t="s">
        <v>617</v>
      </c>
      <c r="I1696" s="5" t="s">
        <v>617</v>
      </c>
      <c r="J1696">
        <v>1</v>
      </c>
      <c r="K1696">
        <f>31-13</f>
        <v>18</v>
      </c>
      <c r="L1696" t="s">
        <v>65</v>
      </c>
      <c r="M1696">
        <v>1</v>
      </c>
    </row>
    <row r="1697" spans="1:13" x14ac:dyDescent="0.25">
      <c r="A1697" s="4">
        <v>42606</v>
      </c>
      <c r="B1697" t="s">
        <v>30</v>
      </c>
      <c r="C1697">
        <v>7</v>
      </c>
      <c r="D1697">
        <v>2</v>
      </c>
      <c r="E1697" t="s">
        <v>35</v>
      </c>
      <c r="F1697" t="s">
        <v>114</v>
      </c>
      <c r="G1697">
        <v>1</v>
      </c>
      <c r="H1697" s="5" t="s">
        <v>617</v>
      </c>
      <c r="I1697" s="5" t="s">
        <v>617</v>
      </c>
      <c r="J1697">
        <v>1</v>
      </c>
      <c r="K1697">
        <f>33-16</f>
        <v>17</v>
      </c>
      <c r="L1697" t="s">
        <v>47</v>
      </c>
      <c r="M1697">
        <v>1</v>
      </c>
    </row>
    <row r="1698" spans="1:13" x14ac:dyDescent="0.25">
      <c r="A1698" s="4">
        <v>42565</v>
      </c>
      <c r="B1698" t="s">
        <v>30</v>
      </c>
      <c r="C1698">
        <v>7</v>
      </c>
      <c r="D1698">
        <v>2</v>
      </c>
      <c r="E1698" t="s">
        <v>42</v>
      </c>
      <c r="F1698" t="s">
        <v>36</v>
      </c>
      <c r="G1698">
        <v>2</v>
      </c>
      <c r="H1698" s="5">
        <v>50769</v>
      </c>
      <c r="I1698" s="5"/>
      <c r="J1698">
        <v>1</v>
      </c>
      <c r="K1698">
        <f>33.5-9</f>
        <v>24.5</v>
      </c>
      <c r="L1698" t="s">
        <v>143</v>
      </c>
      <c r="M1698">
        <v>1</v>
      </c>
    </row>
    <row r="1699" spans="1:13" x14ac:dyDescent="0.25">
      <c r="A1699" s="4">
        <v>42584</v>
      </c>
      <c r="B1699" t="s">
        <v>30</v>
      </c>
      <c r="C1699">
        <v>4</v>
      </c>
      <c r="D1699">
        <v>2</v>
      </c>
      <c r="E1699" t="s">
        <v>42</v>
      </c>
      <c r="F1699" t="s">
        <v>36</v>
      </c>
      <c r="G1699">
        <v>1</v>
      </c>
      <c r="H1699" s="5">
        <v>50776</v>
      </c>
      <c r="I1699" s="5">
        <v>50776</v>
      </c>
      <c r="J1699">
        <v>1</v>
      </c>
      <c r="K1699">
        <f>44-15</f>
        <v>29</v>
      </c>
      <c r="L1699" t="s">
        <v>47</v>
      </c>
      <c r="M1699">
        <v>1</v>
      </c>
    </row>
    <row r="1700" spans="1:13" x14ac:dyDescent="0.25">
      <c r="A1700" s="4">
        <v>42570</v>
      </c>
      <c r="B1700" t="s">
        <v>30</v>
      </c>
      <c r="C1700">
        <v>3</v>
      </c>
      <c r="D1700">
        <v>2</v>
      </c>
      <c r="E1700" t="s">
        <v>42</v>
      </c>
      <c r="F1700" t="s">
        <v>36</v>
      </c>
      <c r="G1700">
        <v>2</v>
      </c>
      <c r="H1700" s="5">
        <v>50781</v>
      </c>
      <c r="I1700" s="5"/>
      <c r="J1700">
        <v>1</v>
      </c>
      <c r="K1700">
        <f>40-9</f>
        <v>31</v>
      </c>
      <c r="L1700" t="s">
        <v>143</v>
      </c>
      <c r="M1700">
        <v>1</v>
      </c>
    </row>
    <row r="1701" spans="1:13" x14ac:dyDescent="0.25">
      <c r="A1701" s="4">
        <v>42572</v>
      </c>
      <c r="B1701" t="s">
        <v>30</v>
      </c>
      <c r="C1701">
        <v>2</v>
      </c>
      <c r="D1701">
        <v>2</v>
      </c>
      <c r="E1701" t="s">
        <v>42</v>
      </c>
      <c r="F1701" t="s">
        <v>36</v>
      </c>
      <c r="G1701">
        <v>2</v>
      </c>
      <c r="H1701" s="5">
        <v>50794</v>
      </c>
      <c r="I1701" s="5"/>
      <c r="J1701">
        <v>1</v>
      </c>
      <c r="K1701">
        <f>37-10.5</f>
        <v>26.5</v>
      </c>
      <c r="L1701" t="s">
        <v>143</v>
      </c>
      <c r="M1701">
        <v>1</v>
      </c>
    </row>
    <row r="1702" spans="1:13" x14ac:dyDescent="0.25">
      <c r="A1702" s="4">
        <v>42585</v>
      </c>
      <c r="B1702" t="s">
        <v>30</v>
      </c>
      <c r="C1702">
        <v>2</v>
      </c>
      <c r="D1702">
        <v>2</v>
      </c>
      <c r="E1702" t="s">
        <v>35</v>
      </c>
      <c r="F1702" t="s">
        <v>36</v>
      </c>
      <c r="G1702">
        <v>2</v>
      </c>
      <c r="H1702" s="5">
        <v>50794</v>
      </c>
      <c r="I1702" s="5"/>
      <c r="J1702">
        <v>1</v>
      </c>
      <c r="K1702">
        <f>39-12.5</f>
        <v>26.5</v>
      </c>
      <c r="L1702" t="s">
        <v>38</v>
      </c>
      <c r="M1702">
        <v>1</v>
      </c>
    </row>
    <row r="1703" spans="1:13" x14ac:dyDescent="0.25">
      <c r="A1703" s="4">
        <v>42598</v>
      </c>
      <c r="B1703" t="s">
        <v>30</v>
      </c>
      <c r="C1703">
        <v>2</v>
      </c>
      <c r="D1703">
        <v>2</v>
      </c>
      <c r="E1703" t="s">
        <v>35</v>
      </c>
      <c r="F1703" t="s">
        <v>36</v>
      </c>
      <c r="G1703">
        <v>2</v>
      </c>
      <c r="H1703" s="5" t="s">
        <v>744</v>
      </c>
      <c r="I1703" s="5"/>
      <c r="J1703">
        <v>1</v>
      </c>
      <c r="K1703">
        <f>41-13</f>
        <v>28</v>
      </c>
      <c r="L1703" t="s">
        <v>136</v>
      </c>
      <c r="M1703">
        <v>1</v>
      </c>
    </row>
    <row r="1704" spans="1:13" x14ac:dyDescent="0.25">
      <c r="A1704" s="4">
        <v>42571</v>
      </c>
      <c r="B1704" t="s">
        <v>30</v>
      </c>
      <c r="C1704">
        <v>4</v>
      </c>
      <c r="D1704">
        <v>2</v>
      </c>
      <c r="E1704" t="s">
        <v>42</v>
      </c>
      <c r="F1704" t="s">
        <v>36</v>
      </c>
      <c r="G1704">
        <v>2</v>
      </c>
      <c r="H1704" s="5">
        <v>50806</v>
      </c>
      <c r="I1704" s="5"/>
      <c r="J1704">
        <v>1</v>
      </c>
      <c r="K1704">
        <f>33-12.5</f>
        <v>20.5</v>
      </c>
      <c r="L1704" t="s">
        <v>83</v>
      </c>
      <c r="M1704">
        <v>1</v>
      </c>
    </row>
    <row r="1705" spans="1:13" x14ac:dyDescent="0.25">
      <c r="A1705" s="4">
        <v>42572</v>
      </c>
      <c r="B1705" t="s">
        <v>30</v>
      </c>
      <c r="C1705">
        <v>4</v>
      </c>
      <c r="D1705">
        <v>2</v>
      </c>
      <c r="E1705" t="s">
        <v>35</v>
      </c>
      <c r="F1705" t="s">
        <v>36</v>
      </c>
      <c r="G1705">
        <v>2</v>
      </c>
      <c r="H1705" s="5">
        <v>50806</v>
      </c>
      <c r="I1705" s="5"/>
      <c r="J1705">
        <v>1</v>
      </c>
      <c r="K1705">
        <v>20</v>
      </c>
      <c r="L1705" t="s">
        <v>83</v>
      </c>
      <c r="M1705">
        <v>1</v>
      </c>
    </row>
    <row r="1706" spans="1:13" x14ac:dyDescent="0.25">
      <c r="A1706" s="4">
        <v>42585</v>
      </c>
      <c r="B1706" t="s">
        <v>30</v>
      </c>
      <c r="C1706">
        <v>4</v>
      </c>
      <c r="D1706">
        <v>2</v>
      </c>
      <c r="E1706" t="s">
        <v>35</v>
      </c>
      <c r="F1706" t="s">
        <v>114</v>
      </c>
      <c r="G1706">
        <v>1</v>
      </c>
      <c r="H1706" s="5">
        <v>50806</v>
      </c>
      <c r="I1706" s="5"/>
      <c r="J1706">
        <v>1</v>
      </c>
      <c r="K1706">
        <f>26.5-5</f>
        <v>21.5</v>
      </c>
      <c r="L1706" t="s">
        <v>65</v>
      </c>
      <c r="M1706">
        <v>1</v>
      </c>
    </row>
    <row r="1707" spans="1:13" x14ac:dyDescent="0.25">
      <c r="A1707" s="4">
        <v>42571</v>
      </c>
      <c r="B1707" t="s">
        <v>30</v>
      </c>
      <c r="C1707">
        <v>4</v>
      </c>
      <c r="D1707">
        <v>2</v>
      </c>
      <c r="E1707" t="s">
        <v>42</v>
      </c>
      <c r="F1707" t="s">
        <v>36</v>
      </c>
      <c r="G1707">
        <v>1</v>
      </c>
      <c r="H1707" s="5">
        <v>50807</v>
      </c>
      <c r="I1707" s="5"/>
      <c r="J1707">
        <v>1</v>
      </c>
      <c r="K1707">
        <v>22</v>
      </c>
      <c r="L1707" t="s">
        <v>65</v>
      </c>
      <c r="M1707">
        <v>1</v>
      </c>
    </row>
    <row r="1708" spans="1:13" x14ac:dyDescent="0.25">
      <c r="A1708" s="4">
        <v>42585</v>
      </c>
      <c r="B1708" t="s">
        <v>30</v>
      </c>
      <c r="C1708">
        <v>4</v>
      </c>
      <c r="D1708">
        <v>2</v>
      </c>
      <c r="E1708" t="s">
        <v>35</v>
      </c>
      <c r="F1708" t="s">
        <v>36</v>
      </c>
      <c r="G1708">
        <v>1</v>
      </c>
      <c r="H1708" s="5">
        <v>50807</v>
      </c>
      <c r="I1708" s="5"/>
      <c r="J1708">
        <v>1</v>
      </c>
      <c r="K1708">
        <f>29-6</f>
        <v>23</v>
      </c>
      <c r="L1708" t="s">
        <v>47</v>
      </c>
      <c r="M1708">
        <v>1</v>
      </c>
    </row>
    <row r="1709" spans="1:13" x14ac:dyDescent="0.25">
      <c r="A1709" s="4">
        <v>42572</v>
      </c>
      <c r="B1709" t="s">
        <v>30</v>
      </c>
      <c r="C1709">
        <v>1</v>
      </c>
      <c r="D1709">
        <v>2</v>
      </c>
      <c r="E1709" t="s">
        <v>42</v>
      </c>
      <c r="F1709" t="s">
        <v>89</v>
      </c>
      <c r="G1709">
        <v>2</v>
      </c>
      <c r="H1709" s="5">
        <v>50818</v>
      </c>
      <c r="I1709" s="5"/>
      <c r="J1709">
        <v>0</v>
      </c>
      <c r="K1709">
        <f>22-9.5</f>
        <v>12.5</v>
      </c>
      <c r="L1709" t="s">
        <v>38</v>
      </c>
      <c r="M1709">
        <v>1</v>
      </c>
    </row>
    <row r="1710" spans="1:13" x14ac:dyDescent="0.25">
      <c r="A1710" s="4">
        <v>42572</v>
      </c>
      <c r="B1710" t="s">
        <v>30</v>
      </c>
      <c r="C1710">
        <v>1</v>
      </c>
      <c r="D1710">
        <v>2</v>
      </c>
      <c r="E1710" t="s">
        <v>42</v>
      </c>
      <c r="F1710" t="s">
        <v>89</v>
      </c>
      <c r="G1710">
        <v>2</v>
      </c>
      <c r="H1710" s="5">
        <v>50819</v>
      </c>
      <c r="I1710" s="5"/>
      <c r="J1710">
        <v>1</v>
      </c>
      <c r="K1710">
        <v>11</v>
      </c>
      <c r="L1710" t="s">
        <v>38</v>
      </c>
      <c r="M1710">
        <v>1</v>
      </c>
    </row>
    <row r="1711" spans="1:13" x14ac:dyDescent="0.25">
      <c r="A1711" s="4">
        <v>42576</v>
      </c>
      <c r="B1711" t="s">
        <v>30</v>
      </c>
      <c r="C1711">
        <v>5</v>
      </c>
      <c r="D1711">
        <v>2</v>
      </c>
      <c r="E1711" t="s">
        <v>42</v>
      </c>
      <c r="F1711" t="s">
        <v>36</v>
      </c>
      <c r="G1711">
        <v>2</v>
      </c>
      <c r="H1711" s="5">
        <v>50826</v>
      </c>
      <c r="I1711" s="5"/>
      <c r="J1711">
        <v>1</v>
      </c>
      <c r="K1711">
        <f>33-11</f>
        <v>22</v>
      </c>
      <c r="L1711" t="s">
        <v>63</v>
      </c>
      <c r="M1711">
        <v>1</v>
      </c>
    </row>
    <row r="1712" spans="1:13" x14ac:dyDescent="0.25">
      <c r="A1712" s="4">
        <v>42572</v>
      </c>
      <c r="B1712" t="s">
        <v>30</v>
      </c>
      <c r="C1712">
        <v>3</v>
      </c>
      <c r="D1712">
        <v>2</v>
      </c>
      <c r="E1712" t="s">
        <v>42</v>
      </c>
      <c r="F1712" t="s">
        <v>36</v>
      </c>
      <c r="G1712">
        <v>2</v>
      </c>
      <c r="H1712" s="5">
        <v>50831</v>
      </c>
      <c r="I1712" s="5"/>
      <c r="J1712">
        <v>1</v>
      </c>
      <c r="K1712">
        <f>32-11</f>
        <v>21</v>
      </c>
      <c r="L1712" t="s">
        <v>143</v>
      </c>
      <c r="M1712">
        <v>1</v>
      </c>
    </row>
    <row r="1713" spans="1:13" x14ac:dyDescent="0.25">
      <c r="A1713" s="4">
        <v>42572</v>
      </c>
      <c r="B1713" t="s">
        <v>30</v>
      </c>
      <c r="C1713">
        <v>3</v>
      </c>
      <c r="D1713">
        <v>2</v>
      </c>
      <c r="E1713" t="s">
        <v>42</v>
      </c>
      <c r="F1713" t="s">
        <v>36</v>
      </c>
      <c r="G1713">
        <v>2</v>
      </c>
      <c r="H1713" s="5">
        <v>50832</v>
      </c>
      <c r="I1713" s="5"/>
      <c r="J1713">
        <v>1</v>
      </c>
      <c r="K1713">
        <v>30</v>
      </c>
      <c r="L1713" t="s">
        <v>143</v>
      </c>
      <c r="M1713">
        <v>1</v>
      </c>
    </row>
    <row r="1714" spans="1:13" x14ac:dyDescent="0.25">
      <c r="A1714" s="4">
        <v>42599</v>
      </c>
      <c r="B1714" t="s">
        <v>30</v>
      </c>
      <c r="C1714">
        <v>3</v>
      </c>
      <c r="D1714">
        <v>2</v>
      </c>
      <c r="E1714" t="s">
        <v>35</v>
      </c>
      <c r="F1714" t="s">
        <v>36</v>
      </c>
      <c r="G1714">
        <v>2</v>
      </c>
      <c r="H1714" s="5" t="s">
        <v>876</v>
      </c>
      <c r="I1714" s="5"/>
      <c r="J1714">
        <v>1</v>
      </c>
      <c r="K1714">
        <f>44-15</f>
        <v>29</v>
      </c>
      <c r="L1714" t="s">
        <v>136</v>
      </c>
      <c r="M1714">
        <v>1</v>
      </c>
    </row>
    <row r="1715" spans="1:13" x14ac:dyDescent="0.25">
      <c r="A1715" s="4">
        <v>42600</v>
      </c>
      <c r="B1715" t="s">
        <v>30</v>
      </c>
      <c r="C1715">
        <v>3</v>
      </c>
      <c r="D1715">
        <v>2</v>
      </c>
      <c r="E1715" t="s">
        <v>35</v>
      </c>
      <c r="F1715" t="s">
        <v>36</v>
      </c>
      <c r="G1715">
        <v>2</v>
      </c>
      <c r="H1715" s="5" t="s">
        <v>876</v>
      </c>
      <c r="I1715" s="5"/>
      <c r="J1715">
        <v>1</v>
      </c>
      <c r="K1715">
        <f>45.5-15</f>
        <v>30.5</v>
      </c>
      <c r="L1715" t="s">
        <v>136</v>
      </c>
      <c r="M1715">
        <v>1</v>
      </c>
    </row>
    <row r="1716" spans="1:13" x14ac:dyDescent="0.25">
      <c r="A1716" s="4">
        <v>42572</v>
      </c>
      <c r="B1716" t="s">
        <v>30</v>
      </c>
      <c r="C1716">
        <v>2</v>
      </c>
      <c r="D1716">
        <v>2</v>
      </c>
      <c r="E1716" t="s">
        <v>42</v>
      </c>
      <c r="F1716" t="s">
        <v>114</v>
      </c>
      <c r="G1716">
        <v>1</v>
      </c>
      <c r="H1716" s="5">
        <v>50839</v>
      </c>
      <c r="I1716" s="5"/>
      <c r="J1716">
        <v>1</v>
      </c>
      <c r="K1716">
        <f>28-12</f>
        <v>16</v>
      </c>
      <c r="L1716" t="s">
        <v>47</v>
      </c>
      <c r="M1716">
        <v>1</v>
      </c>
    </row>
    <row r="1717" spans="1:13" x14ac:dyDescent="0.25">
      <c r="A1717" s="4">
        <v>42572</v>
      </c>
      <c r="B1717" t="s">
        <v>30</v>
      </c>
      <c r="C1717">
        <v>4</v>
      </c>
      <c r="D1717">
        <v>2</v>
      </c>
      <c r="E1717" t="s">
        <v>42</v>
      </c>
      <c r="F1717" t="s">
        <v>36</v>
      </c>
      <c r="G1717">
        <v>1</v>
      </c>
      <c r="H1717" s="5">
        <v>50855</v>
      </c>
      <c r="I1717" s="5"/>
      <c r="J1717">
        <v>1</v>
      </c>
      <c r="K1717">
        <f>34-12</f>
        <v>22</v>
      </c>
      <c r="L1717" t="s">
        <v>65</v>
      </c>
      <c r="M1717">
        <v>1</v>
      </c>
    </row>
    <row r="1718" spans="1:13" x14ac:dyDescent="0.25">
      <c r="A1718" s="4">
        <v>42588</v>
      </c>
      <c r="B1718" t="s">
        <v>30</v>
      </c>
      <c r="C1718">
        <v>4</v>
      </c>
      <c r="D1718">
        <v>2</v>
      </c>
      <c r="E1718" t="s">
        <v>35</v>
      </c>
      <c r="F1718" t="s">
        <v>36</v>
      </c>
      <c r="G1718">
        <v>1</v>
      </c>
      <c r="H1718" s="5" t="s">
        <v>501</v>
      </c>
      <c r="I1718" s="5"/>
      <c r="J1718">
        <v>1</v>
      </c>
      <c r="K1718">
        <f>38-14</f>
        <v>24</v>
      </c>
      <c r="L1718" t="s">
        <v>65</v>
      </c>
      <c r="M1718">
        <v>1</v>
      </c>
    </row>
    <row r="1719" spans="1:13" x14ac:dyDescent="0.25">
      <c r="A1719" s="4">
        <v>42572</v>
      </c>
      <c r="B1719" t="s">
        <v>30</v>
      </c>
      <c r="C1719">
        <v>4</v>
      </c>
      <c r="D1719">
        <v>2</v>
      </c>
      <c r="E1719" t="s">
        <v>42</v>
      </c>
      <c r="F1719" t="s">
        <v>36</v>
      </c>
      <c r="G1719">
        <v>2</v>
      </c>
      <c r="H1719" s="5">
        <v>50856</v>
      </c>
      <c r="I1719" s="5"/>
      <c r="J1719">
        <v>1</v>
      </c>
      <c r="K1719">
        <f>44-15</f>
        <v>29</v>
      </c>
      <c r="L1719" t="s">
        <v>81</v>
      </c>
      <c r="M1719">
        <v>1</v>
      </c>
    </row>
    <row r="1720" spans="1:13" x14ac:dyDescent="0.25">
      <c r="A1720" s="4">
        <v>42574</v>
      </c>
      <c r="B1720" t="s">
        <v>30</v>
      </c>
      <c r="C1720">
        <v>7</v>
      </c>
      <c r="D1720">
        <v>2</v>
      </c>
      <c r="E1720" t="s">
        <v>42</v>
      </c>
      <c r="F1720" t="s">
        <v>36</v>
      </c>
      <c r="G1720">
        <v>1</v>
      </c>
      <c r="H1720" s="5">
        <v>50857</v>
      </c>
      <c r="I1720" s="5"/>
      <c r="J1720">
        <v>1</v>
      </c>
      <c r="K1720">
        <f>35-13.5</f>
        <v>21.5</v>
      </c>
      <c r="L1720" t="s">
        <v>65</v>
      </c>
      <c r="M1720">
        <v>1</v>
      </c>
    </row>
    <row r="1721" spans="1:13" x14ac:dyDescent="0.25">
      <c r="A1721" s="4">
        <v>42591</v>
      </c>
      <c r="B1721" t="s">
        <v>30</v>
      </c>
      <c r="C1721">
        <v>7</v>
      </c>
      <c r="D1721">
        <v>2</v>
      </c>
      <c r="E1721" t="s">
        <v>35</v>
      </c>
      <c r="F1721" t="s">
        <v>36</v>
      </c>
      <c r="G1721">
        <v>1</v>
      </c>
      <c r="H1721" s="5" t="s">
        <v>568</v>
      </c>
      <c r="I1721" s="5"/>
      <c r="J1721">
        <v>1</v>
      </c>
      <c r="K1721">
        <f>35.5-15.5</f>
        <v>20</v>
      </c>
      <c r="L1721" t="s">
        <v>47</v>
      </c>
      <c r="M1721">
        <v>1</v>
      </c>
    </row>
    <row r="1722" spans="1:13" x14ac:dyDescent="0.25">
      <c r="A1722" s="4">
        <v>42584</v>
      </c>
      <c r="B1722" t="s">
        <v>30</v>
      </c>
      <c r="C1722">
        <v>4</v>
      </c>
      <c r="D1722">
        <v>2</v>
      </c>
      <c r="E1722" t="s">
        <v>42</v>
      </c>
      <c r="F1722" t="s">
        <v>36</v>
      </c>
      <c r="G1722">
        <v>2</v>
      </c>
      <c r="H1722" s="5">
        <v>50889</v>
      </c>
      <c r="I1722" s="5"/>
      <c r="J1722">
        <v>1</v>
      </c>
      <c r="K1722">
        <f>54-11</f>
        <v>43</v>
      </c>
      <c r="L1722" t="s">
        <v>143</v>
      </c>
      <c r="M1722">
        <v>1</v>
      </c>
    </row>
    <row r="1723" spans="1:13" x14ac:dyDescent="0.25">
      <c r="A1723" s="4">
        <v>42585</v>
      </c>
      <c r="B1723" t="s">
        <v>30</v>
      </c>
      <c r="C1723">
        <v>4</v>
      </c>
      <c r="D1723">
        <v>2</v>
      </c>
      <c r="E1723" t="s">
        <v>35</v>
      </c>
      <c r="F1723" t="s">
        <v>36</v>
      </c>
      <c r="G1723">
        <v>2</v>
      </c>
      <c r="H1723" s="5">
        <v>50889</v>
      </c>
      <c r="I1723" s="5"/>
      <c r="J1723">
        <v>1</v>
      </c>
      <c r="K1723">
        <f>29-5</f>
        <v>24</v>
      </c>
      <c r="L1723" t="s">
        <v>149</v>
      </c>
      <c r="M1723">
        <v>1</v>
      </c>
    </row>
    <row r="1724" spans="1:13" x14ac:dyDescent="0.25">
      <c r="A1724" s="4">
        <v>42576</v>
      </c>
      <c r="B1724" t="s">
        <v>30</v>
      </c>
      <c r="C1724">
        <v>8</v>
      </c>
      <c r="D1724">
        <v>2</v>
      </c>
      <c r="E1724" t="s">
        <v>42</v>
      </c>
      <c r="F1724" t="s">
        <v>89</v>
      </c>
      <c r="G1724">
        <v>1</v>
      </c>
      <c r="H1724" s="5">
        <v>50924</v>
      </c>
      <c r="I1724" s="5"/>
      <c r="J1724">
        <v>0</v>
      </c>
      <c r="K1724">
        <v>17</v>
      </c>
      <c r="L1724" t="s">
        <v>65</v>
      </c>
      <c r="M1724">
        <v>1</v>
      </c>
    </row>
    <row r="1725" spans="1:13" x14ac:dyDescent="0.25">
      <c r="A1725" s="4">
        <v>42591</v>
      </c>
      <c r="B1725" t="s">
        <v>30</v>
      </c>
      <c r="C1725">
        <v>8</v>
      </c>
      <c r="D1725">
        <v>2</v>
      </c>
      <c r="E1725" t="s">
        <v>35</v>
      </c>
      <c r="F1725" t="s">
        <v>114</v>
      </c>
      <c r="G1725">
        <v>1</v>
      </c>
      <c r="H1725" s="5" t="s">
        <v>600</v>
      </c>
      <c r="I1725" s="5"/>
      <c r="J1725">
        <v>1</v>
      </c>
      <c r="K1725">
        <f>36-18.5</f>
        <v>17.5</v>
      </c>
      <c r="L1725" t="s">
        <v>65</v>
      </c>
      <c r="M1725">
        <v>1</v>
      </c>
    </row>
    <row r="1726" spans="1:13" x14ac:dyDescent="0.25">
      <c r="A1726" s="4">
        <v>42604</v>
      </c>
      <c r="B1726" t="s">
        <v>30</v>
      </c>
      <c r="C1726">
        <v>8</v>
      </c>
      <c r="D1726">
        <v>2</v>
      </c>
      <c r="E1726" t="s">
        <v>35</v>
      </c>
      <c r="F1726" t="s">
        <v>114</v>
      </c>
      <c r="G1726">
        <v>2</v>
      </c>
      <c r="H1726" s="5" t="s">
        <v>600</v>
      </c>
      <c r="I1726" s="5"/>
      <c r="J1726">
        <v>1</v>
      </c>
      <c r="K1726">
        <f>36-18</f>
        <v>18</v>
      </c>
      <c r="L1726" t="s">
        <v>38</v>
      </c>
      <c r="M1726">
        <v>1</v>
      </c>
    </row>
    <row r="1727" spans="1:13" x14ac:dyDescent="0.25">
      <c r="A1727" s="4">
        <v>42584</v>
      </c>
      <c r="B1727" t="s">
        <v>30</v>
      </c>
      <c r="C1727">
        <v>2</v>
      </c>
      <c r="D1727">
        <v>2</v>
      </c>
      <c r="E1727" t="s">
        <v>42</v>
      </c>
      <c r="F1727" t="s">
        <v>36</v>
      </c>
      <c r="G1727">
        <v>2</v>
      </c>
      <c r="H1727" s="5">
        <v>50926</v>
      </c>
      <c r="I1727" s="5"/>
      <c r="J1727">
        <v>1</v>
      </c>
      <c r="K1727">
        <f>41.5-14.5</f>
        <v>27</v>
      </c>
      <c r="L1727" t="s">
        <v>298</v>
      </c>
      <c r="M1727">
        <v>1</v>
      </c>
    </row>
    <row r="1728" spans="1:13" x14ac:dyDescent="0.25">
      <c r="A1728" s="4">
        <v>42600</v>
      </c>
      <c r="B1728" t="s">
        <v>30</v>
      </c>
      <c r="C1728">
        <v>3</v>
      </c>
      <c r="D1728">
        <v>2</v>
      </c>
      <c r="E1728" t="s">
        <v>35</v>
      </c>
      <c r="F1728" t="s">
        <v>36</v>
      </c>
      <c r="G1728">
        <v>1</v>
      </c>
      <c r="H1728" s="5" t="s">
        <v>764</v>
      </c>
      <c r="I1728" s="5"/>
      <c r="J1728">
        <v>1</v>
      </c>
      <c r="L1728" t="s">
        <v>47</v>
      </c>
      <c r="M1728">
        <v>1</v>
      </c>
    </row>
    <row r="1729" spans="1:13" x14ac:dyDescent="0.25">
      <c r="A1729" s="4">
        <v>42584</v>
      </c>
      <c r="B1729" t="s">
        <v>30</v>
      </c>
      <c r="C1729">
        <v>2</v>
      </c>
      <c r="D1729">
        <v>2</v>
      </c>
      <c r="E1729" t="s">
        <v>42</v>
      </c>
      <c r="F1729" t="s">
        <v>89</v>
      </c>
      <c r="G1729">
        <v>2</v>
      </c>
      <c r="H1729" s="5">
        <v>50934</v>
      </c>
      <c r="I1729" s="5"/>
      <c r="J1729">
        <v>1</v>
      </c>
      <c r="K1729">
        <f>31-14</f>
        <v>17</v>
      </c>
      <c r="L1729" t="s">
        <v>38</v>
      </c>
      <c r="M1729">
        <v>1</v>
      </c>
    </row>
    <row r="1730" spans="1:13" x14ac:dyDescent="0.25">
      <c r="A1730" s="4">
        <v>42586</v>
      </c>
      <c r="B1730" t="s">
        <v>30</v>
      </c>
      <c r="C1730">
        <v>2</v>
      </c>
      <c r="D1730">
        <v>2</v>
      </c>
      <c r="E1730" t="s">
        <v>35</v>
      </c>
      <c r="F1730" t="s">
        <v>36</v>
      </c>
      <c r="G1730">
        <v>1</v>
      </c>
      <c r="H1730" s="5">
        <v>50934</v>
      </c>
      <c r="I1730" s="5"/>
      <c r="J1730">
        <v>1</v>
      </c>
      <c r="K1730">
        <f>31-13</f>
        <v>18</v>
      </c>
      <c r="L1730" t="s">
        <v>65</v>
      </c>
      <c r="M1730">
        <v>1</v>
      </c>
    </row>
    <row r="1731" spans="1:13" x14ac:dyDescent="0.25">
      <c r="A1731" s="4">
        <v>42598</v>
      </c>
      <c r="B1731" t="s">
        <v>30</v>
      </c>
      <c r="C1731">
        <v>2</v>
      </c>
      <c r="D1731">
        <v>2</v>
      </c>
      <c r="E1731" t="s">
        <v>35</v>
      </c>
      <c r="F1731" t="s">
        <v>36</v>
      </c>
      <c r="G1731">
        <v>1</v>
      </c>
      <c r="H1731" s="5" t="s">
        <v>771</v>
      </c>
      <c r="I1731" s="5"/>
      <c r="J1731">
        <v>1</v>
      </c>
      <c r="K1731">
        <f>36-13</f>
        <v>23</v>
      </c>
      <c r="L1731" t="s">
        <v>65</v>
      </c>
      <c r="M1731">
        <v>1</v>
      </c>
    </row>
    <row r="1732" spans="1:13" x14ac:dyDescent="0.25">
      <c r="A1732" s="4">
        <v>42599</v>
      </c>
      <c r="B1732" t="s">
        <v>30</v>
      </c>
      <c r="C1732">
        <v>2</v>
      </c>
      <c r="D1732">
        <v>2</v>
      </c>
      <c r="E1732" t="s">
        <v>35</v>
      </c>
      <c r="F1732" t="s">
        <v>36</v>
      </c>
      <c r="G1732">
        <v>1</v>
      </c>
      <c r="H1732" s="5" t="s">
        <v>771</v>
      </c>
      <c r="I1732" s="5"/>
      <c r="J1732">
        <v>1</v>
      </c>
      <c r="K1732">
        <f>33-14</f>
        <v>19</v>
      </c>
      <c r="L1732" t="s">
        <v>65</v>
      </c>
      <c r="M1732">
        <v>1</v>
      </c>
    </row>
    <row r="1733" spans="1:13" x14ac:dyDescent="0.25">
      <c r="A1733" s="4">
        <v>42600</v>
      </c>
      <c r="B1733" t="s">
        <v>30</v>
      </c>
      <c r="C1733">
        <v>2</v>
      </c>
      <c r="D1733">
        <v>2</v>
      </c>
      <c r="E1733" t="s">
        <v>35</v>
      </c>
      <c r="F1733" t="s">
        <v>36</v>
      </c>
      <c r="G1733">
        <v>1</v>
      </c>
      <c r="H1733" s="5" t="s">
        <v>771</v>
      </c>
      <c r="I1733" s="5"/>
      <c r="J1733">
        <v>1</v>
      </c>
      <c r="K1733">
        <f>33-14</f>
        <v>19</v>
      </c>
      <c r="L1733" t="s">
        <v>65</v>
      </c>
      <c r="M1733">
        <v>1</v>
      </c>
    </row>
    <row r="1734" spans="1:13" x14ac:dyDescent="0.25">
      <c r="A1734" s="4">
        <v>42584</v>
      </c>
      <c r="B1734" t="s">
        <v>30</v>
      </c>
      <c r="C1734">
        <v>3</v>
      </c>
      <c r="D1734">
        <v>2</v>
      </c>
      <c r="E1734" t="s">
        <v>42</v>
      </c>
      <c r="F1734" t="s">
        <v>89</v>
      </c>
      <c r="G1734">
        <v>2</v>
      </c>
      <c r="H1734" s="5">
        <v>50940</v>
      </c>
      <c r="I1734" s="5"/>
      <c r="J1734">
        <v>1</v>
      </c>
      <c r="K1734">
        <f>26-13</f>
        <v>13</v>
      </c>
      <c r="L1734" t="s">
        <v>38</v>
      </c>
      <c r="M1734">
        <v>1</v>
      </c>
    </row>
    <row r="1735" spans="1:13" x14ac:dyDescent="0.25">
      <c r="A1735" s="4">
        <v>42584</v>
      </c>
      <c r="B1735" t="s">
        <v>30</v>
      </c>
      <c r="C1735">
        <v>3</v>
      </c>
      <c r="D1735">
        <v>2</v>
      </c>
      <c r="E1735" t="s">
        <v>42</v>
      </c>
      <c r="F1735" t="s">
        <v>89</v>
      </c>
      <c r="G1735">
        <v>2</v>
      </c>
      <c r="H1735" s="5">
        <v>50941</v>
      </c>
      <c r="I1735" s="5"/>
      <c r="J1735">
        <v>1</v>
      </c>
      <c r="K1735">
        <f>34-14</f>
        <v>20</v>
      </c>
      <c r="L1735" t="s">
        <v>38</v>
      </c>
      <c r="M1735">
        <v>1</v>
      </c>
    </row>
    <row r="1736" spans="1:13" x14ac:dyDescent="0.25">
      <c r="A1736" s="4">
        <v>42585</v>
      </c>
      <c r="B1736" t="s">
        <v>30</v>
      </c>
      <c r="C1736">
        <v>4</v>
      </c>
      <c r="D1736">
        <v>2</v>
      </c>
      <c r="E1736" t="s">
        <v>35</v>
      </c>
      <c r="F1736" t="s">
        <v>89</v>
      </c>
      <c r="G1736">
        <v>2</v>
      </c>
      <c r="H1736" s="5">
        <v>50941</v>
      </c>
      <c r="I1736" s="5"/>
      <c r="J1736">
        <v>1</v>
      </c>
      <c r="K1736">
        <f>36-15.5</f>
        <v>20.5</v>
      </c>
      <c r="L1736" t="s">
        <v>38</v>
      </c>
      <c r="M1736">
        <v>1</v>
      </c>
    </row>
    <row r="1737" spans="1:13" x14ac:dyDescent="0.25">
      <c r="A1737" s="4">
        <v>42598</v>
      </c>
      <c r="B1737" t="s">
        <v>30</v>
      </c>
      <c r="C1737">
        <v>3</v>
      </c>
      <c r="D1737">
        <v>2</v>
      </c>
      <c r="E1737" t="s">
        <v>35</v>
      </c>
      <c r="F1737" t="s">
        <v>36</v>
      </c>
      <c r="G1737">
        <v>2</v>
      </c>
      <c r="H1737" s="5" t="s">
        <v>799</v>
      </c>
      <c r="I1737" s="5"/>
      <c r="J1737">
        <v>1</v>
      </c>
      <c r="K1737">
        <f>41-21.5</f>
        <v>19.5</v>
      </c>
      <c r="L1737" t="s">
        <v>38</v>
      </c>
      <c r="M1737">
        <v>1</v>
      </c>
    </row>
    <row r="1738" spans="1:13" x14ac:dyDescent="0.25">
      <c r="A1738" s="4">
        <v>42599</v>
      </c>
      <c r="B1738" t="s">
        <v>30</v>
      </c>
      <c r="C1738">
        <v>3</v>
      </c>
      <c r="D1738">
        <v>2</v>
      </c>
      <c r="E1738" t="s">
        <v>35</v>
      </c>
      <c r="F1738" t="s">
        <v>36</v>
      </c>
      <c r="G1738">
        <v>2</v>
      </c>
      <c r="H1738" s="5" t="s">
        <v>799</v>
      </c>
      <c r="I1738" s="5"/>
      <c r="J1738">
        <v>1</v>
      </c>
      <c r="K1738">
        <f>35-14</f>
        <v>21</v>
      </c>
      <c r="L1738" t="s">
        <v>38</v>
      </c>
      <c r="M1738">
        <v>1</v>
      </c>
    </row>
    <row r="1739" spans="1:13" x14ac:dyDescent="0.25">
      <c r="A1739" s="4">
        <v>42584</v>
      </c>
      <c r="B1739" t="s">
        <v>30</v>
      </c>
      <c r="C1739">
        <v>3</v>
      </c>
      <c r="D1739">
        <v>2</v>
      </c>
      <c r="E1739" t="s">
        <v>42</v>
      </c>
      <c r="F1739" t="s">
        <v>36</v>
      </c>
      <c r="G1739">
        <v>1</v>
      </c>
      <c r="H1739" s="5">
        <v>50942</v>
      </c>
      <c r="I1739" s="5"/>
      <c r="J1739">
        <v>1</v>
      </c>
      <c r="L1739" t="s">
        <v>47</v>
      </c>
      <c r="M1739">
        <v>1</v>
      </c>
    </row>
    <row r="1740" spans="1:13" x14ac:dyDescent="0.25">
      <c r="A1740" s="4">
        <v>42585</v>
      </c>
      <c r="B1740" t="s">
        <v>30</v>
      </c>
      <c r="C1740">
        <v>3</v>
      </c>
      <c r="D1740">
        <v>2</v>
      </c>
      <c r="E1740" t="s">
        <v>35</v>
      </c>
      <c r="F1740" t="s">
        <v>36</v>
      </c>
      <c r="G1740">
        <v>1</v>
      </c>
      <c r="H1740" s="5">
        <v>50942</v>
      </c>
      <c r="I1740" s="5"/>
      <c r="J1740">
        <v>1</v>
      </c>
      <c r="K1740">
        <f>35.5-5</f>
        <v>30.5</v>
      </c>
      <c r="L1740" t="s">
        <v>47</v>
      </c>
      <c r="M1740">
        <v>1</v>
      </c>
    </row>
    <row r="1741" spans="1:13" x14ac:dyDescent="0.25">
      <c r="A1741" s="4">
        <v>42598</v>
      </c>
      <c r="B1741" t="s">
        <v>30</v>
      </c>
      <c r="C1741">
        <v>3</v>
      </c>
      <c r="D1741">
        <v>2</v>
      </c>
      <c r="E1741" t="s">
        <v>35</v>
      </c>
      <c r="F1741" t="s">
        <v>36</v>
      </c>
      <c r="G1741">
        <v>1</v>
      </c>
      <c r="H1741" s="5" t="s">
        <v>795</v>
      </c>
      <c r="I1741" s="5"/>
      <c r="J1741">
        <v>1</v>
      </c>
      <c r="K1741">
        <f>47.5</f>
        <v>47.5</v>
      </c>
      <c r="L1741" t="s">
        <v>47</v>
      </c>
      <c r="M1741">
        <v>1</v>
      </c>
    </row>
    <row r="1742" spans="1:13" x14ac:dyDescent="0.25">
      <c r="A1742" s="4">
        <v>42599</v>
      </c>
      <c r="B1742" t="s">
        <v>30</v>
      </c>
      <c r="C1742">
        <v>3</v>
      </c>
      <c r="D1742">
        <v>2</v>
      </c>
      <c r="E1742" t="s">
        <v>35</v>
      </c>
      <c r="F1742" t="s">
        <v>36</v>
      </c>
      <c r="G1742">
        <v>1</v>
      </c>
      <c r="H1742" s="5" t="s">
        <v>795</v>
      </c>
      <c r="I1742" s="5"/>
      <c r="J1742">
        <v>1</v>
      </c>
      <c r="K1742">
        <f>42-14</f>
        <v>28</v>
      </c>
      <c r="L1742" t="s">
        <v>47</v>
      </c>
      <c r="M1742">
        <v>1</v>
      </c>
    </row>
    <row r="1743" spans="1:13" x14ac:dyDescent="0.25">
      <c r="A1743" s="4">
        <v>42585</v>
      </c>
      <c r="B1743" t="s">
        <v>30</v>
      </c>
      <c r="C1743">
        <v>2</v>
      </c>
      <c r="D1743">
        <v>2</v>
      </c>
      <c r="E1743" t="s">
        <v>42</v>
      </c>
      <c r="F1743" t="s">
        <v>36</v>
      </c>
      <c r="G1743">
        <v>2</v>
      </c>
      <c r="H1743" s="5">
        <v>50947</v>
      </c>
      <c r="I1743" s="5"/>
      <c r="J1743">
        <v>1</v>
      </c>
      <c r="K1743">
        <f>43.5-13</f>
        <v>30.5</v>
      </c>
      <c r="L1743" t="s">
        <v>149</v>
      </c>
      <c r="M1743">
        <v>1</v>
      </c>
    </row>
    <row r="1744" spans="1:13" x14ac:dyDescent="0.25">
      <c r="A1744" s="4">
        <v>42598</v>
      </c>
      <c r="B1744" t="s">
        <v>30</v>
      </c>
      <c r="C1744">
        <v>2</v>
      </c>
      <c r="D1744">
        <v>2</v>
      </c>
      <c r="E1744" t="s">
        <v>35</v>
      </c>
      <c r="F1744" t="s">
        <v>36</v>
      </c>
      <c r="G1744">
        <v>2</v>
      </c>
      <c r="H1744" s="5" t="s">
        <v>786</v>
      </c>
      <c r="I1744" s="5"/>
      <c r="J1744">
        <v>1</v>
      </c>
      <c r="K1744">
        <f>47-17</f>
        <v>30</v>
      </c>
      <c r="L1744" t="s">
        <v>136</v>
      </c>
      <c r="M1744">
        <v>1</v>
      </c>
    </row>
    <row r="1745" spans="1:13" x14ac:dyDescent="0.25">
      <c r="A1745" s="4">
        <v>42599</v>
      </c>
      <c r="B1745" t="s">
        <v>30</v>
      </c>
      <c r="C1745">
        <v>2</v>
      </c>
      <c r="D1745">
        <v>2</v>
      </c>
      <c r="E1745" t="s">
        <v>35</v>
      </c>
      <c r="F1745" t="s">
        <v>36</v>
      </c>
      <c r="G1745">
        <v>2</v>
      </c>
      <c r="H1745" s="5" t="s">
        <v>786</v>
      </c>
      <c r="I1745" s="5"/>
      <c r="J1745">
        <v>1</v>
      </c>
      <c r="K1745">
        <f>44-16</f>
        <v>28</v>
      </c>
      <c r="L1745" t="s">
        <v>136</v>
      </c>
      <c r="M1745">
        <v>1</v>
      </c>
    </row>
    <row r="1746" spans="1:13" x14ac:dyDescent="0.25">
      <c r="A1746" s="4">
        <v>42600</v>
      </c>
      <c r="B1746" t="s">
        <v>30</v>
      </c>
      <c r="C1746">
        <v>2</v>
      </c>
      <c r="D1746">
        <v>2</v>
      </c>
      <c r="E1746" t="s">
        <v>35</v>
      </c>
      <c r="F1746" t="s">
        <v>36</v>
      </c>
      <c r="G1746">
        <v>2</v>
      </c>
      <c r="H1746" s="5" t="s">
        <v>786</v>
      </c>
      <c r="I1746" s="5"/>
      <c r="J1746">
        <v>1</v>
      </c>
      <c r="K1746">
        <f>43-14</f>
        <v>29</v>
      </c>
      <c r="L1746" t="s">
        <v>74</v>
      </c>
      <c r="M1746">
        <v>1</v>
      </c>
    </row>
    <row r="1747" spans="1:13" x14ac:dyDescent="0.25">
      <c r="A1747" s="4">
        <v>42605</v>
      </c>
      <c r="B1747" t="s">
        <v>30</v>
      </c>
      <c r="C1747">
        <v>4</v>
      </c>
      <c r="D1747">
        <v>2</v>
      </c>
      <c r="E1747" t="s">
        <v>35</v>
      </c>
      <c r="F1747" t="s">
        <v>114</v>
      </c>
      <c r="G1747">
        <v>1</v>
      </c>
      <c r="H1747" s="5" t="s">
        <v>762</v>
      </c>
      <c r="I1747" s="5"/>
      <c r="J1747">
        <v>1</v>
      </c>
      <c r="K1747">
        <f>32-13</f>
        <v>19</v>
      </c>
      <c r="L1747" t="s">
        <v>47</v>
      </c>
      <c r="M1747">
        <v>1</v>
      </c>
    </row>
    <row r="1748" spans="1:13" x14ac:dyDescent="0.25">
      <c r="A1748" s="4">
        <v>42576</v>
      </c>
      <c r="B1748" t="s">
        <v>30</v>
      </c>
      <c r="C1748">
        <v>4</v>
      </c>
      <c r="D1748">
        <v>2</v>
      </c>
      <c r="E1748" t="s">
        <v>42</v>
      </c>
      <c r="F1748" t="s">
        <v>114</v>
      </c>
      <c r="G1748">
        <v>1</v>
      </c>
      <c r="H1748" s="5">
        <v>50958</v>
      </c>
      <c r="I1748" s="5"/>
      <c r="J1748">
        <v>1</v>
      </c>
      <c r="K1748">
        <f>27.5-9.5</f>
        <v>18</v>
      </c>
      <c r="L1748" t="s">
        <v>47</v>
      </c>
      <c r="M1748">
        <v>1</v>
      </c>
    </row>
    <row r="1749" spans="1:13" x14ac:dyDescent="0.25">
      <c r="A1749" s="4">
        <v>42592</v>
      </c>
      <c r="B1749" t="s">
        <v>30</v>
      </c>
      <c r="C1749">
        <v>4</v>
      </c>
      <c r="D1749">
        <v>2</v>
      </c>
      <c r="E1749" t="s">
        <v>35</v>
      </c>
      <c r="F1749" t="s">
        <v>36</v>
      </c>
      <c r="G1749">
        <v>1</v>
      </c>
      <c r="H1749" s="5" t="s">
        <v>673</v>
      </c>
      <c r="I1749" s="5"/>
      <c r="J1749">
        <v>1</v>
      </c>
      <c r="K1749">
        <f>38-16.5</f>
        <v>21.5</v>
      </c>
      <c r="L1749" t="s">
        <v>65</v>
      </c>
      <c r="M1749">
        <v>1</v>
      </c>
    </row>
    <row r="1750" spans="1:13" x14ac:dyDescent="0.25">
      <c r="A1750" s="4">
        <v>42576</v>
      </c>
      <c r="B1750" t="s">
        <v>30</v>
      </c>
      <c r="C1750">
        <v>4</v>
      </c>
      <c r="D1750">
        <v>2</v>
      </c>
      <c r="E1750" t="s">
        <v>42</v>
      </c>
      <c r="F1750" t="s">
        <v>36</v>
      </c>
      <c r="G1750">
        <v>2</v>
      </c>
      <c r="H1750" s="5">
        <v>50959</v>
      </c>
      <c r="I1750" s="5"/>
      <c r="J1750">
        <v>1</v>
      </c>
      <c r="K1750">
        <f>36-14</f>
        <v>22</v>
      </c>
      <c r="L1750" t="s">
        <v>63</v>
      </c>
      <c r="M1750">
        <v>1</v>
      </c>
    </row>
    <row r="1751" spans="1:13" x14ac:dyDescent="0.25">
      <c r="A1751" s="4">
        <v>42592</v>
      </c>
      <c r="B1751" t="s">
        <v>30</v>
      </c>
      <c r="C1751">
        <v>4</v>
      </c>
      <c r="D1751">
        <v>2</v>
      </c>
      <c r="E1751" t="s">
        <v>35</v>
      </c>
      <c r="F1751" t="s">
        <v>36</v>
      </c>
      <c r="G1751">
        <v>2</v>
      </c>
      <c r="H1751" s="5" t="s">
        <v>669</v>
      </c>
      <c r="I1751" s="5"/>
      <c r="J1751">
        <v>1</v>
      </c>
      <c r="K1751">
        <f>43-13</f>
        <v>30</v>
      </c>
      <c r="L1751" t="s">
        <v>83</v>
      </c>
      <c r="M1751">
        <v>1</v>
      </c>
    </row>
    <row r="1752" spans="1:13" x14ac:dyDescent="0.25">
      <c r="A1752" s="4">
        <v>42604</v>
      </c>
      <c r="B1752" t="s">
        <v>30</v>
      </c>
      <c r="C1752">
        <v>4</v>
      </c>
      <c r="D1752">
        <v>2</v>
      </c>
      <c r="E1752" t="s">
        <v>35</v>
      </c>
      <c r="F1752" t="s">
        <v>36</v>
      </c>
      <c r="G1752">
        <v>2</v>
      </c>
      <c r="H1752" s="5" t="s">
        <v>669</v>
      </c>
      <c r="I1752" s="5"/>
      <c r="J1752">
        <v>1</v>
      </c>
      <c r="K1752">
        <f>40-15</f>
        <v>25</v>
      </c>
      <c r="L1752" t="s">
        <v>74</v>
      </c>
      <c r="M1752">
        <v>1</v>
      </c>
    </row>
    <row r="1753" spans="1:13" x14ac:dyDescent="0.25">
      <c r="A1753" s="4">
        <v>42606</v>
      </c>
      <c r="B1753" t="s">
        <v>30</v>
      </c>
      <c r="C1753">
        <v>4</v>
      </c>
      <c r="D1753">
        <v>2</v>
      </c>
      <c r="E1753" t="s">
        <v>35</v>
      </c>
      <c r="F1753" t="s">
        <v>36</v>
      </c>
      <c r="G1753">
        <v>2</v>
      </c>
      <c r="H1753" s="5" t="s">
        <v>669</v>
      </c>
      <c r="I1753" s="5"/>
      <c r="J1753">
        <v>1</v>
      </c>
      <c r="K1753">
        <f>39-13</f>
        <v>26</v>
      </c>
      <c r="L1753" t="s">
        <v>74</v>
      </c>
      <c r="M1753">
        <v>1</v>
      </c>
    </row>
    <row r="1754" spans="1:13" x14ac:dyDescent="0.25">
      <c r="A1754" s="4">
        <v>42576</v>
      </c>
      <c r="B1754" t="s">
        <v>30</v>
      </c>
      <c r="C1754">
        <v>3</v>
      </c>
      <c r="D1754">
        <v>2</v>
      </c>
      <c r="E1754" t="s">
        <v>42</v>
      </c>
      <c r="F1754" t="s">
        <v>36</v>
      </c>
      <c r="G1754">
        <v>1</v>
      </c>
      <c r="H1754" s="5">
        <v>50960</v>
      </c>
      <c r="I1754" s="5">
        <v>50960</v>
      </c>
      <c r="J1754">
        <v>1</v>
      </c>
      <c r="K1754">
        <f>35-11</f>
        <v>24</v>
      </c>
      <c r="L1754" t="s">
        <v>47</v>
      </c>
      <c r="M1754">
        <v>1</v>
      </c>
    </row>
    <row r="1755" spans="1:13" x14ac:dyDescent="0.25">
      <c r="A1755" s="4">
        <v>42576</v>
      </c>
      <c r="B1755" t="s">
        <v>30</v>
      </c>
      <c r="C1755">
        <v>7</v>
      </c>
      <c r="D1755">
        <v>2</v>
      </c>
      <c r="E1755" t="s">
        <v>42</v>
      </c>
      <c r="F1755" t="s">
        <v>36</v>
      </c>
      <c r="G1755">
        <v>2</v>
      </c>
      <c r="H1755" s="5">
        <v>51000</v>
      </c>
      <c r="I1755" s="5"/>
      <c r="J1755">
        <v>1</v>
      </c>
      <c r="K1755">
        <f>46-9.5</f>
        <v>36.5</v>
      </c>
      <c r="L1755" t="s">
        <v>74</v>
      </c>
      <c r="M1755">
        <v>1</v>
      </c>
    </row>
    <row r="1756" spans="1:13" x14ac:dyDescent="0.25">
      <c r="A1756" s="4">
        <v>42575</v>
      </c>
      <c r="B1756" t="s">
        <v>30</v>
      </c>
      <c r="C1756">
        <v>5</v>
      </c>
      <c r="D1756">
        <v>2</v>
      </c>
      <c r="E1756" t="s">
        <v>35</v>
      </c>
      <c r="F1756" t="s">
        <v>36</v>
      </c>
      <c r="G1756">
        <v>2</v>
      </c>
      <c r="H1756" s="5" t="s">
        <v>272</v>
      </c>
      <c r="I1756" s="5"/>
      <c r="J1756">
        <v>1</v>
      </c>
      <c r="K1756">
        <f>40-10</f>
        <v>30</v>
      </c>
      <c r="L1756" t="s">
        <v>143</v>
      </c>
      <c r="M1756">
        <v>1</v>
      </c>
    </row>
    <row r="1757" spans="1:13" x14ac:dyDescent="0.25">
      <c r="A1757" s="4">
        <v>42576</v>
      </c>
      <c r="B1757" t="s">
        <v>30</v>
      </c>
      <c r="C1757">
        <v>5</v>
      </c>
      <c r="D1757">
        <v>2</v>
      </c>
      <c r="E1757" t="s">
        <v>35</v>
      </c>
      <c r="F1757" t="s">
        <v>36</v>
      </c>
      <c r="G1757">
        <v>2</v>
      </c>
      <c r="H1757" s="5" t="s">
        <v>272</v>
      </c>
      <c r="I1757" s="5"/>
      <c r="J1757">
        <v>1</v>
      </c>
      <c r="K1757">
        <v>29</v>
      </c>
      <c r="L1757" t="s">
        <v>143</v>
      </c>
      <c r="M1757">
        <v>1</v>
      </c>
    </row>
    <row r="1758" spans="1:13" x14ac:dyDescent="0.25">
      <c r="A1758" s="4">
        <v>42592</v>
      </c>
      <c r="B1758" t="s">
        <v>30</v>
      </c>
      <c r="C1758">
        <v>5</v>
      </c>
      <c r="D1758">
        <v>2</v>
      </c>
      <c r="E1758" t="s">
        <v>35</v>
      </c>
      <c r="F1758" t="s">
        <v>36</v>
      </c>
      <c r="G1758">
        <v>2</v>
      </c>
      <c r="H1758" s="5" t="s">
        <v>272</v>
      </c>
      <c r="I1758" s="5"/>
      <c r="J1758">
        <v>1</v>
      </c>
      <c r="K1758">
        <f>48-14.5</f>
        <v>33.5</v>
      </c>
      <c r="L1758" t="s">
        <v>149</v>
      </c>
      <c r="M1758">
        <v>1</v>
      </c>
    </row>
    <row r="1759" spans="1:13" x14ac:dyDescent="0.25">
      <c r="A1759" s="4">
        <v>42605</v>
      </c>
      <c r="B1759" t="s">
        <v>30</v>
      </c>
      <c r="C1759">
        <v>5</v>
      </c>
      <c r="D1759">
        <v>2</v>
      </c>
      <c r="E1759" t="s">
        <v>35</v>
      </c>
      <c r="F1759" t="s">
        <v>36</v>
      </c>
      <c r="G1759">
        <v>2</v>
      </c>
      <c r="H1759" s="5" t="s">
        <v>272</v>
      </c>
      <c r="I1759" s="5"/>
      <c r="J1759">
        <v>1</v>
      </c>
      <c r="K1759">
        <f>46.5-15.5</f>
        <v>31</v>
      </c>
      <c r="L1759" t="s">
        <v>136</v>
      </c>
      <c r="M1759">
        <v>1</v>
      </c>
    </row>
    <row r="1760" spans="1:13" x14ac:dyDescent="0.25">
      <c r="A1760" s="4">
        <v>43300</v>
      </c>
      <c r="B1760" t="s">
        <v>30</v>
      </c>
      <c r="C1760">
        <v>7</v>
      </c>
      <c r="D1760">
        <v>3</v>
      </c>
      <c r="E1760" t="s">
        <v>42</v>
      </c>
      <c r="F1760" t="s">
        <v>36</v>
      </c>
      <c r="G1760">
        <v>1</v>
      </c>
      <c r="H1760">
        <v>1013</v>
      </c>
      <c r="J1760">
        <v>0</v>
      </c>
      <c r="K1760">
        <f>40-19</f>
        <v>21</v>
      </c>
      <c r="L1760" t="s">
        <v>47</v>
      </c>
      <c r="M1760">
        <v>3</v>
      </c>
    </row>
    <row r="1761" spans="1:13" x14ac:dyDescent="0.25">
      <c r="A1761" s="4">
        <v>43301</v>
      </c>
      <c r="B1761" t="s">
        <v>30</v>
      </c>
      <c r="C1761">
        <v>7</v>
      </c>
      <c r="D1761">
        <v>3</v>
      </c>
      <c r="E1761" t="s">
        <v>35</v>
      </c>
      <c r="F1761" t="s">
        <v>36</v>
      </c>
      <c r="G1761">
        <v>1</v>
      </c>
      <c r="H1761">
        <v>1013</v>
      </c>
      <c r="J1761">
        <v>0</v>
      </c>
      <c r="K1761">
        <f>44-25</f>
        <v>19</v>
      </c>
      <c r="L1761" t="s">
        <v>65</v>
      </c>
      <c r="M1761">
        <v>3</v>
      </c>
    </row>
    <row r="1762" spans="1:13" x14ac:dyDescent="0.25">
      <c r="A1762" s="4">
        <v>43302</v>
      </c>
      <c r="B1762" t="s">
        <v>30</v>
      </c>
      <c r="C1762">
        <v>7</v>
      </c>
      <c r="D1762">
        <v>3</v>
      </c>
      <c r="E1762" t="s">
        <v>35</v>
      </c>
      <c r="F1762" t="s">
        <v>36</v>
      </c>
      <c r="G1762">
        <v>2</v>
      </c>
      <c r="H1762">
        <v>1013</v>
      </c>
      <c r="J1762">
        <v>0</v>
      </c>
      <c r="K1762">
        <f>31-11.5</f>
        <v>19.5</v>
      </c>
      <c r="L1762" t="s">
        <v>1039</v>
      </c>
      <c r="M1762">
        <v>3</v>
      </c>
    </row>
    <row r="1763" spans="1:13" x14ac:dyDescent="0.25">
      <c r="A1763" s="4">
        <v>43297</v>
      </c>
      <c r="B1763" t="s">
        <v>30</v>
      </c>
      <c r="C1763">
        <v>5</v>
      </c>
      <c r="D1763">
        <v>3</v>
      </c>
      <c r="E1763" t="s">
        <v>35</v>
      </c>
      <c r="F1763" t="s">
        <v>36</v>
      </c>
      <c r="G1763">
        <v>1</v>
      </c>
      <c r="H1763">
        <v>1023</v>
      </c>
      <c r="J1763">
        <v>0</v>
      </c>
      <c r="K1763">
        <f>47-22</f>
        <v>25</v>
      </c>
      <c r="L1763" t="s">
        <v>47</v>
      </c>
      <c r="M1763">
        <v>3</v>
      </c>
    </row>
    <row r="1764" spans="1:13" x14ac:dyDescent="0.25">
      <c r="A1764" s="4">
        <v>43298</v>
      </c>
      <c r="B1764" t="s">
        <v>30</v>
      </c>
      <c r="C1764">
        <v>5</v>
      </c>
      <c r="D1764">
        <v>3</v>
      </c>
      <c r="E1764" t="s">
        <v>35</v>
      </c>
      <c r="F1764" t="s">
        <v>36</v>
      </c>
      <c r="G1764">
        <v>2</v>
      </c>
      <c r="H1764">
        <v>1023</v>
      </c>
      <c r="J1764">
        <v>0</v>
      </c>
      <c r="K1764">
        <f>47-23</f>
        <v>24</v>
      </c>
      <c r="L1764" t="s">
        <v>47</v>
      </c>
      <c r="M1764">
        <v>3</v>
      </c>
    </row>
    <row r="1765" spans="1:13" x14ac:dyDescent="0.25">
      <c r="A1765" s="4">
        <v>43299</v>
      </c>
      <c r="B1765" t="s">
        <v>30</v>
      </c>
      <c r="C1765">
        <v>5</v>
      </c>
      <c r="D1765">
        <v>3</v>
      </c>
      <c r="E1765" t="s">
        <v>35</v>
      </c>
      <c r="F1765" t="s">
        <v>36</v>
      </c>
      <c r="G1765">
        <v>1</v>
      </c>
      <c r="H1765">
        <v>1023</v>
      </c>
      <c r="J1765">
        <v>0</v>
      </c>
      <c r="K1765">
        <f>41.5-17</f>
        <v>24.5</v>
      </c>
      <c r="L1765" t="s">
        <v>47</v>
      </c>
      <c r="M1765">
        <v>3</v>
      </c>
    </row>
    <row r="1766" spans="1:13" x14ac:dyDescent="0.25">
      <c r="A1766" s="4">
        <v>43301</v>
      </c>
      <c r="B1766" t="s">
        <v>30</v>
      </c>
      <c r="C1766">
        <v>8</v>
      </c>
      <c r="D1766">
        <v>3</v>
      </c>
      <c r="E1766" t="s">
        <v>42</v>
      </c>
      <c r="F1766" t="s">
        <v>36</v>
      </c>
      <c r="G1766">
        <v>1</v>
      </c>
      <c r="H1766">
        <v>1213</v>
      </c>
      <c r="J1766">
        <v>0</v>
      </c>
      <c r="K1766">
        <f>40-10</f>
        <v>30</v>
      </c>
      <c r="L1766" t="s">
        <v>47</v>
      </c>
      <c r="M1766">
        <v>3</v>
      </c>
    </row>
    <row r="1767" spans="1:13" x14ac:dyDescent="0.25">
      <c r="A1767" s="4">
        <v>43302</v>
      </c>
      <c r="B1767" t="s">
        <v>30</v>
      </c>
      <c r="C1767">
        <v>8</v>
      </c>
      <c r="D1767">
        <v>3</v>
      </c>
      <c r="E1767" t="s">
        <v>35</v>
      </c>
      <c r="F1767" t="s">
        <v>36</v>
      </c>
      <c r="G1767">
        <v>2</v>
      </c>
      <c r="H1767">
        <v>1213</v>
      </c>
      <c r="J1767">
        <v>0</v>
      </c>
      <c r="K1767">
        <f>43.5-13</f>
        <v>30.5</v>
      </c>
      <c r="L1767" t="s">
        <v>1039</v>
      </c>
      <c r="M1767">
        <v>3</v>
      </c>
    </row>
    <row r="1768" spans="1:13" x14ac:dyDescent="0.25">
      <c r="A1768" s="4">
        <v>43317</v>
      </c>
      <c r="B1768" t="s">
        <v>30</v>
      </c>
      <c r="C1768">
        <v>8</v>
      </c>
      <c r="D1768">
        <v>3</v>
      </c>
      <c r="E1768" t="s">
        <v>42</v>
      </c>
      <c r="F1768" t="s">
        <v>36</v>
      </c>
      <c r="G1768">
        <v>2</v>
      </c>
      <c r="H1768">
        <v>1359</v>
      </c>
      <c r="J1768">
        <v>0</v>
      </c>
      <c r="K1768">
        <f>33-11.5</f>
        <v>21.5</v>
      </c>
      <c r="L1768" t="s">
        <v>38</v>
      </c>
      <c r="M1768">
        <v>3</v>
      </c>
    </row>
    <row r="1769" spans="1:13" x14ac:dyDescent="0.25">
      <c r="A1769" s="4">
        <v>43317</v>
      </c>
      <c r="B1769" t="s">
        <v>30</v>
      </c>
      <c r="C1769">
        <v>8</v>
      </c>
      <c r="D1769">
        <v>3</v>
      </c>
      <c r="E1769" t="s">
        <v>42</v>
      </c>
      <c r="F1769" t="s">
        <v>36</v>
      </c>
      <c r="G1769">
        <v>2</v>
      </c>
      <c r="H1769">
        <v>1371</v>
      </c>
      <c r="J1769">
        <v>0</v>
      </c>
      <c r="K1769">
        <f>32.25-9.75</f>
        <v>22.5</v>
      </c>
      <c r="L1769" t="s">
        <v>38</v>
      </c>
      <c r="M1769">
        <v>3</v>
      </c>
    </row>
    <row r="1770" spans="1:13" x14ac:dyDescent="0.25">
      <c r="A1770" s="4">
        <v>43325</v>
      </c>
      <c r="B1770" t="s">
        <v>30</v>
      </c>
      <c r="C1770">
        <v>8</v>
      </c>
      <c r="D1770">
        <v>3</v>
      </c>
      <c r="E1770" t="s">
        <v>35</v>
      </c>
      <c r="F1770" t="s">
        <v>36</v>
      </c>
      <c r="G1770">
        <v>2</v>
      </c>
      <c r="H1770">
        <v>1371</v>
      </c>
      <c r="J1770">
        <v>0</v>
      </c>
      <c r="K1770">
        <f>40-11</f>
        <v>29</v>
      </c>
      <c r="L1770" t="s">
        <v>1039</v>
      </c>
      <c r="M1770">
        <v>3</v>
      </c>
    </row>
    <row r="1771" spans="1:13" x14ac:dyDescent="0.25">
      <c r="A1771" s="4">
        <v>43326</v>
      </c>
      <c r="B1771" t="s">
        <v>30</v>
      </c>
      <c r="C1771">
        <v>8</v>
      </c>
      <c r="D1771">
        <v>3</v>
      </c>
      <c r="E1771" t="s">
        <v>35</v>
      </c>
      <c r="F1771" t="s">
        <v>36</v>
      </c>
      <c r="G1771">
        <v>2</v>
      </c>
      <c r="H1771">
        <v>1371</v>
      </c>
      <c r="J1771">
        <v>0</v>
      </c>
      <c r="K1771">
        <f>40-13</f>
        <v>27</v>
      </c>
      <c r="L1771" t="s">
        <v>1039</v>
      </c>
      <c r="M1771">
        <v>3</v>
      </c>
    </row>
    <row r="1772" spans="1:13" x14ac:dyDescent="0.25">
      <c r="A1772" s="4">
        <v>43327</v>
      </c>
      <c r="B1772" t="s">
        <v>30</v>
      </c>
      <c r="C1772">
        <v>8</v>
      </c>
      <c r="D1772">
        <v>3</v>
      </c>
      <c r="E1772" t="s">
        <v>35</v>
      </c>
      <c r="F1772" t="s">
        <v>36</v>
      </c>
      <c r="G1772">
        <v>2</v>
      </c>
      <c r="H1772">
        <v>1371</v>
      </c>
      <c r="J1772">
        <v>0</v>
      </c>
      <c r="K1772">
        <f>42-9.75</f>
        <v>32.25</v>
      </c>
      <c r="L1772" t="s">
        <v>1041</v>
      </c>
      <c r="M1772">
        <v>3</v>
      </c>
    </row>
    <row r="1773" spans="1:13" x14ac:dyDescent="0.25">
      <c r="A1773" s="4">
        <v>43325</v>
      </c>
      <c r="B1773" t="s">
        <v>30</v>
      </c>
      <c r="C1773">
        <v>7</v>
      </c>
      <c r="D1773">
        <v>3</v>
      </c>
      <c r="E1773" t="s">
        <v>42</v>
      </c>
      <c r="F1773" t="s">
        <v>36</v>
      </c>
      <c r="G1773">
        <v>2</v>
      </c>
      <c r="H1773">
        <v>1519</v>
      </c>
      <c r="J1773">
        <v>0</v>
      </c>
      <c r="K1773">
        <f>34-16</f>
        <v>18</v>
      </c>
      <c r="L1773" t="s">
        <v>38</v>
      </c>
      <c r="M1773">
        <v>3</v>
      </c>
    </row>
    <row r="1774" spans="1:13" x14ac:dyDescent="0.25">
      <c r="A1774" s="4">
        <v>43326</v>
      </c>
      <c r="B1774" t="s">
        <v>30</v>
      </c>
      <c r="C1774">
        <v>7</v>
      </c>
      <c r="D1774">
        <v>3</v>
      </c>
      <c r="E1774" t="s">
        <v>35</v>
      </c>
      <c r="F1774" t="s">
        <v>36</v>
      </c>
      <c r="G1774">
        <v>2</v>
      </c>
      <c r="H1774">
        <v>1519</v>
      </c>
      <c r="J1774">
        <v>0</v>
      </c>
      <c r="K1774">
        <f>37-19</f>
        <v>18</v>
      </c>
      <c r="L1774" t="s">
        <v>38</v>
      </c>
      <c r="M1774">
        <v>3</v>
      </c>
    </row>
    <row r="1775" spans="1:13" x14ac:dyDescent="0.25">
      <c r="A1775" s="4">
        <v>43327</v>
      </c>
      <c r="B1775" t="s">
        <v>30</v>
      </c>
      <c r="C1775">
        <v>7</v>
      </c>
      <c r="D1775">
        <v>3</v>
      </c>
      <c r="E1775" t="s">
        <v>35</v>
      </c>
      <c r="F1775" t="s">
        <v>36</v>
      </c>
      <c r="G1775">
        <v>2</v>
      </c>
      <c r="H1775">
        <v>1519</v>
      </c>
      <c r="J1775">
        <v>0</v>
      </c>
      <c r="K1775">
        <f>27-10</f>
        <v>17</v>
      </c>
      <c r="L1775" t="s">
        <v>38</v>
      </c>
      <c r="M1775">
        <v>3</v>
      </c>
    </row>
    <row r="1776" spans="1:13" x14ac:dyDescent="0.25">
      <c r="A1776" s="4">
        <v>42604</v>
      </c>
      <c r="B1776" t="s">
        <v>30</v>
      </c>
      <c r="C1776">
        <v>4</v>
      </c>
      <c r="D1776">
        <v>3</v>
      </c>
      <c r="E1776" t="s">
        <v>42</v>
      </c>
      <c r="F1776" t="s">
        <v>36</v>
      </c>
      <c r="G1776">
        <v>2</v>
      </c>
      <c r="H1776" s="5" t="s">
        <v>965</v>
      </c>
      <c r="I1776" s="5"/>
      <c r="J1776">
        <v>1</v>
      </c>
      <c r="K1776">
        <f>37-17.5</f>
        <v>19.5</v>
      </c>
      <c r="L1776" t="s">
        <v>38</v>
      </c>
      <c r="M1776">
        <v>1</v>
      </c>
    </row>
    <row r="1777" spans="1:13" x14ac:dyDescent="0.25">
      <c r="A1777" s="4">
        <v>42605</v>
      </c>
      <c r="B1777" t="s">
        <v>30</v>
      </c>
      <c r="C1777">
        <v>5</v>
      </c>
      <c r="D1777">
        <v>3</v>
      </c>
      <c r="E1777" t="s">
        <v>42</v>
      </c>
      <c r="F1777" t="s">
        <v>114</v>
      </c>
      <c r="G1777">
        <v>1</v>
      </c>
      <c r="H1777" s="5" t="s">
        <v>989</v>
      </c>
      <c r="I1777" s="5"/>
      <c r="J1777">
        <v>1</v>
      </c>
      <c r="K1777">
        <f>33-14</f>
        <v>19</v>
      </c>
      <c r="L1777" t="s">
        <v>65</v>
      </c>
      <c r="M1777">
        <v>1</v>
      </c>
    </row>
    <row r="1778" spans="1:13" x14ac:dyDescent="0.25">
      <c r="A1778" s="4">
        <v>42605</v>
      </c>
      <c r="B1778" t="s">
        <v>30</v>
      </c>
      <c r="C1778">
        <v>5</v>
      </c>
      <c r="D1778">
        <v>3</v>
      </c>
      <c r="E1778" t="s">
        <v>42</v>
      </c>
      <c r="F1778" t="s">
        <v>114</v>
      </c>
      <c r="G1778">
        <v>2</v>
      </c>
      <c r="H1778" s="5" t="s">
        <v>990</v>
      </c>
      <c r="I1778" s="5"/>
      <c r="J1778">
        <v>1</v>
      </c>
      <c r="K1778">
        <f>35-17.5</f>
        <v>17.5</v>
      </c>
      <c r="L1778" t="s">
        <v>38</v>
      </c>
      <c r="M1778">
        <v>1</v>
      </c>
    </row>
    <row r="1779" spans="1:13" x14ac:dyDescent="0.25">
      <c r="A1779" s="4">
        <v>42606</v>
      </c>
      <c r="B1779" t="s">
        <v>30</v>
      </c>
      <c r="C1779">
        <v>4</v>
      </c>
      <c r="D1779">
        <v>3</v>
      </c>
      <c r="E1779" t="s">
        <v>35</v>
      </c>
      <c r="F1779" t="s">
        <v>36</v>
      </c>
      <c r="G1779">
        <v>2</v>
      </c>
      <c r="H1779" s="5" t="s">
        <v>993</v>
      </c>
      <c r="I1779" s="5"/>
      <c r="J1779">
        <v>0</v>
      </c>
      <c r="K1779">
        <f>34-13</f>
        <v>21</v>
      </c>
      <c r="L1779" t="s">
        <v>38</v>
      </c>
      <c r="M1779">
        <v>1</v>
      </c>
    </row>
    <row r="1780" spans="1:13" x14ac:dyDescent="0.25">
      <c r="A1780" s="4">
        <v>42605</v>
      </c>
      <c r="B1780" t="s">
        <v>30</v>
      </c>
      <c r="C1780">
        <v>3</v>
      </c>
      <c r="D1780">
        <v>3</v>
      </c>
      <c r="E1780" t="s">
        <v>42</v>
      </c>
      <c r="F1780" t="s">
        <v>89</v>
      </c>
      <c r="G1780">
        <v>2</v>
      </c>
      <c r="H1780" s="5" t="s">
        <v>998</v>
      </c>
      <c r="I1780" s="5"/>
      <c r="J1780">
        <v>1</v>
      </c>
      <c r="K1780">
        <f>27-16</f>
        <v>11</v>
      </c>
      <c r="L1780" t="s">
        <v>38</v>
      </c>
      <c r="M1780">
        <v>1</v>
      </c>
    </row>
    <row r="1781" spans="1:13" x14ac:dyDescent="0.25">
      <c r="A1781" s="4">
        <v>42605</v>
      </c>
      <c r="B1781" t="s">
        <v>30</v>
      </c>
      <c r="C1781">
        <v>4</v>
      </c>
      <c r="D1781">
        <v>3</v>
      </c>
      <c r="E1781" t="s">
        <v>42</v>
      </c>
      <c r="F1781" t="s">
        <v>36</v>
      </c>
      <c r="G1781">
        <v>2</v>
      </c>
      <c r="H1781" s="5" t="s">
        <v>1000</v>
      </c>
      <c r="I1781" s="5" t="s">
        <v>1000</v>
      </c>
      <c r="J1781">
        <v>1</v>
      </c>
      <c r="K1781">
        <f>36-16</f>
        <v>20</v>
      </c>
      <c r="L1781" t="s">
        <v>38</v>
      </c>
      <c r="M1781">
        <v>1</v>
      </c>
    </row>
    <row r="1782" spans="1:13" x14ac:dyDescent="0.25">
      <c r="A1782" s="4">
        <v>42606</v>
      </c>
      <c r="B1782" t="s">
        <v>30</v>
      </c>
      <c r="C1782">
        <v>4</v>
      </c>
      <c r="D1782">
        <v>3</v>
      </c>
      <c r="E1782" t="s">
        <v>35</v>
      </c>
      <c r="F1782" t="s">
        <v>114</v>
      </c>
      <c r="G1782">
        <v>2</v>
      </c>
      <c r="H1782" s="5" t="s">
        <v>1000</v>
      </c>
      <c r="I1782" s="5" t="s">
        <v>1000</v>
      </c>
      <c r="J1782">
        <v>1</v>
      </c>
      <c r="K1782">
        <f>31-13</f>
        <v>18</v>
      </c>
      <c r="L1782" t="s">
        <v>38</v>
      </c>
      <c r="M1782">
        <v>1</v>
      </c>
    </row>
    <row r="1783" spans="1:13" x14ac:dyDescent="0.25">
      <c r="A1783" s="4">
        <v>42606</v>
      </c>
      <c r="B1783" t="s">
        <v>30</v>
      </c>
      <c r="C1783">
        <v>5</v>
      </c>
      <c r="D1783">
        <v>3</v>
      </c>
      <c r="E1783" t="s">
        <v>42</v>
      </c>
      <c r="F1783" t="s">
        <v>114</v>
      </c>
      <c r="G1783">
        <v>1</v>
      </c>
      <c r="H1783" s="5" t="s">
        <v>1007</v>
      </c>
      <c r="I1783" s="5"/>
      <c r="J1783">
        <v>1</v>
      </c>
      <c r="K1783">
        <f>31.5-13</f>
        <v>18.5</v>
      </c>
      <c r="L1783" t="s">
        <v>65</v>
      </c>
      <c r="M1783">
        <v>1</v>
      </c>
    </row>
    <row r="1784" spans="1:13" x14ac:dyDescent="0.25">
      <c r="A1784" s="4">
        <v>42936</v>
      </c>
      <c r="B1784" t="s">
        <v>30</v>
      </c>
      <c r="C1784">
        <v>8</v>
      </c>
      <c r="D1784">
        <v>3</v>
      </c>
      <c r="E1784" t="s">
        <v>35</v>
      </c>
      <c r="F1784" t="s">
        <v>36</v>
      </c>
      <c r="G1784">
        <v>1</v>
      </c>
      <c r="H1784">
        <v>2823</v>
      </c>
      <c r="J1784">
        <v>1</v>
      </c>
      <c r="K1784">
        <f>34-14</f>
        <v>20</v>
      </c>
      <c r="L1784" t="s">
        <v>47</v>
      </c>
      <c r="M1784">
        <v>2</v>
      </c>
    </row>
    <row r="1785" spans="1:13" x14ac:dyDescent="0.25">
      <c r="A1785" s="4">
        <v>42937</v>
      </c>
      <c r="B1785" t="s">
        <v>30</v>
      </c>
      <c r="C1785">
        <v>8</v>
      </c>
      <c r="D1785">
        <v>3</v>
      </c>
      <c r="E1785" t="s">
        <v>35</v>
      </c>
      <c r="F1785" t="s">
        <v>36</v>
      </c>
      <c r="G1785">
        <v>1</v>
      </c>
      <c r="H1785">
        <v>2823</v>
      </c>
      <c r="J1785">
        <v>1</v>
      </c>
      <c r="K1785">
        <f>37-14.5</f>
        <v>22.5</v>
      </c>
      <c r="L1785" t="s">
        <v>47</v>
      </c>
      <c r="M1785">
        <v>2</v>
      </c>
    </row>
    <row r="1786" spans="1:13" x14ac:dyDescent="0.25">
      <c r="A1786" s="4">
        <v>42948</v>
      </c>
      <c r="B1786" t="s">
        <v>30</v>
      </c>
      <c r="C1786">
        <v>8</v>
      </c>
      <c r="D1786">
        <v>3</v>
      </c>
      <c r="E1786" t="s">
        <v>35</v>
      </c>
      <c r="F1786" t="s">
        <v>36</v>
      </c>
      <c r="G1786">
        <v>1</v>
      </c>
      <c r="H1786">
        <v>2823</v>
      </c>
      <c r="J1786">
        <v>0</v>
      </c>
      <c r="K1786">
        <f>38-14</f>
        <v>24</v>
      </c>
      <c r="L1786" t="s">
        <v>47</v>
      </c>
      <c r="M1786">
        <v>2</v>
      </c>
    </row>
    <row r="1787" spans="1:13" x14ac:dyDescent="0.25">
      <c r="A1787" s="4">
        <v>42949</v>
      </c>
      <c r="B1787" t="s">
        <v>30</v>
      </c>
      <c r="C1787">
        <v>8</v>
      </c>
      <c r="D1787">
        <v>3</v>
      </c>
      <c r="E1787" t="s">
        <v>35</v>
      </c>
      <c r="F1787" t="s">
        <v>36</v>
      </c>
      <c r="G1787">
        <v>1</v>
      </c>
      <c r="H1787">
        <v>2823</v>
      </c>
      <c r="J1787">
        <v>0</v>
      </c>
      <c r="K1787">
        <f>37-14</f>
        <v>23</v>
      </c>
      <c r="L1787" t="s">
        <v>47</v>
      </c>
      <c r="M1787">
        <v>2</v>
      </c>
    </row>
    <row r="1788" spans="1:13" x14ac:dyDescent="0.25">
      <c r="A1788" s="4">
        <v>42598</v>
      </c>
      <c r="B1788" t="s">
        <v>30</v>
      </c>
      <c r="C1788">
        <v>2</v>
      </c>
      <c r="D1788">
        <v>3</v>
      </c>
      <c r="E1788" t="s">
        <v>42</v>
      </c>
      <c r="F1788" t="s">
        <v>114</v>
      </c>
      <c r="G1788">
        <v>2</v>
      </c>
      <c r="H1788" s="5" t="s">
        <v>788</v>
      </c>
      <c r="I1788" s="5"/>
      <c r="J1788">
        <v>1</v>
      </c>
      <c r="K1788">
        <f>33-16.5</f>
        <v>16.5</v>
      </c>
      <c r="L1788" t="s">
        <v>38</v>
      </c>
      <c r="M1788">
        <v>1</v>
      </c>
    </row>
    <row r="1789" spans="1:13" x14ac:dyDescent="0.25">
      <c r="A1789" s="4">
        <v>42599</v>
      </c>
      <c r="B1789" t="s">
        <v>30</v>
      </c>
      <c r="C1789">
        <v>2</v>
      </c>
      <c r="D1789">
        <v>3</v>
      </c>
      <c r="E1789" t="s">
        <v>35</v>
      </c>
      <c r="F1789" t="s">
        <v>36</v>
      </c>
      <c r="G1789">
        <v>2</v>
      </c>
      <c r="H1789" s="5" t="s">
        <v>788</v>
      </c>
      <c r="I1789" s="5"/>
      <c r="J1789">
        <v>1</v>
      </c>
      <c r="K1789">
        <f>34-15</f>
        <v>19</v>
      </c>
      <c r="L1789" t="s">
        <v>38</v>
      </c>
      <c r="M1789">
        <v>1</v>
      </c>
    </row>
    <row r="1790" spans="1:13" x14ac:dyDescent="0.25">
      <c r="A1790" s="4">
        <v>42599</v>
      </c>
      <c r="B1790" t="s">
        <v>30</v>
      </c>
      <c r="C1790">
        <v>2</v>
      </c>
      <c r="D1790">
        <v>3</v>
      </c>
      <c r="E1790" t="s">
        <v>42</v>
      </c>
      <c r="F1790" t="s">
        <v>36</v>
      </c>
      <c r="G1790">
        <v>1</v>
      </c>
      <c r="H1790" s="5" t="s">
        <v>858</v>
      </c>
      <c r="I1790" s="5" t="s">
        <v>858</v>
      </c>
      <c r="J1790">
        <v>1</v>
      </c>
      <c r="K1790">
        <f>52-14</f>
        <v>38</v>
      </c>
      <c r="L1790" t="s">
        <v>136</v>
      </c>
      <c r="M1790">
        <v>1</v>
      </c>
    </row>
    <row r="1791" spans="1:13" x14ac:dyDescent="0.25">
      <c r="A1791" s="4">
        <v>42600</v>
      </c>
      <c r="B1791" t="s">
        <v>30</v>
      </c>
      <c r="C1791">
        <v>2</v>
      </c>
      <c r="D1791">
        <v>3</v>
      </c>
      <c r="E1791" t="s">
        <v>35</v>
      </c>
      <c r="F1791" t="s">
        <v>36</v>
      </c>
      <c r="G1791">
        <v>1</v>
      </c>
      <c r="H1791" s="5" t="s">
        <v>858</v>
      </c>
      <c r="I1791" s="5" t="s">
        <v>858</v>
      </c>
      <c r="J1791">
        <v>1</v>
      </c>
      <c r="K1791">
        <f>47-13</f>
        <v>34</v>
      </c>
      <c r="L1791" t="s">
        <v>65</v>
      </c>
      <c r="M1791">
        <v>1</v>
      </c>
    </row>
    <row r="1792" spans="1:13" x14ac:dyDescent="0.25">
      <c r="A1792" s="4">
        <v>42599</v>
      </c>
      <c r="B1792" t="s">
        <v>30</v>
      </c>
      <c r="C1792">
        <v>2</v>
      </c>
      <c r="D1792">
        <v>3</v>
      </c>
      <c r="E1792" t="s">
        <v>42</v>
      </c>
      <c r="F1792" t="s">
        <v>114</v>
      </c>
      <c r="G1792">
        <v>1</v>
      </c>
      <c r="H1792" s="5" t="s">
        <v>864</v>
      </c>
      <c r="I1792" s="5"/>
      <c r="J1792">
        <v>0</v>
      </c>
      <c r="K1792">
        <f>30-13.5</f>
        <v>16.5</v>
      </c>
      <c r="L1792" t="s">
        <v>47</v>
      </c>
      <c r="M1792">
        <v>1</v>
      </c>
    </row>
    <row r="1793" spans="1:13" x14ac:dyDescent="0.25">
      <c r="A1793" s="4">
        <v>42600</v>
      </c>
      <c r="B1793" t="s">
        <v>30</v>
      </c>
      <c r="C1793">
        <v>2</v>
      </c>
      <c r="D1793">
        <v>3</v>
      </c>
      <c r="E1793" t="s">
        <v>42</v>
      </c>
      <c r="F1793" t="s">
        <v>36</v>
      </c>
      <c r="G1793">
        <v>2</v>
      </c>
      <c r="H1793" s="5" t="s">
        <v>906</v>
      </c>
      <c r="I1793" s="5"/>
      <c r="J1793">
        <v>1</v>
      </c>
      <c r="K1793">
        <f>35.5-15</f>
        <v>20.5</v>
      </c>
      <c r="L1793" t="s">
        <v>38</v>
      </c>
      <c r="M1793">
        <v>1</v>
      </c>
    </row>
    <row r="1794" spans="1:13" x14ac:dyDescent="0.25">
      <c r="A1794" s="4">
        <v>42605</v>
      </c>
      <c r="B1794" t="s">
        <v>30</v>
      </c>
      <c r="C1794">
        <v>7</v>
      </c>
      <c r="D1794">
        <v>3</v>
      </c>
      <c r="E1794" t="s">
        <v>42</v>
      </c>
      <c r="F1794" t="s">
        <v>36</v>
      </c>
      <c r="G1794">
        <v>1</v>
      </c>
      <c r="H1794" s="5" t="s">
        <v>974</v>
      </c>
      <c r="I1794" s="5"/>
      <c r="J1794">
        <v>1</v>
      </c>
      <c r="K1794">
        <f>39-13</f>
        <v>26</v>
      </c>
      <c r="L1794" t="s">
        <v>65</v>
      </c>
      <c r="M1794">
        <v>1</v>
      </c>
    </row>
    <row r="1795" spans="1:13" x14ac:dyDescent="0.25">
      <c r="A1795" s="4">
        <v>42605</v>
      </c>
      <c r="B1795" t="s">
        <v>30</v>
      </c>
      <c r="C1795">
        <v>7</v>
      </c>
      <c r="D1795">
        <v>3</v>
      </c>
      <c r="E1795" t="s">
        <v>42</v>
      </c>
      <c r="F1795" t="s">
        <v>114</v>
      </c>
      <c r="G1795">
        <v>2</v>
      </c>
      <c r="H1795" s="5" t="s">
        <v>972</v>
      </c>
      <c r="I1795" s="5"/>
      <c r="J1795">
        <v>1</v>
      </c>
      <c r="K1795">
        <f>30-13</f>
        <v>17</v>
      </c>
      <c r="L1795" t="s">
        <v>38</v>
      </c>
      <c r="M1795">
        <v>1</v>
      </c>
    </row>
    <row r="1796" spans="1:13" x14ac:dyDescent="0.25">
      <c r="A1796" s="4">
        <v>42604</v>
      </c>
      <c r="B1796" t="s">
        <v>30</v>
      </c>
      <c r="C1796">
        <v>7</v>
      </c>
      <c r="D1796">
        <v>3</v>
      </c>
      <c r="E1796" t="s">
        <v>42</v>
      </c>
      <c r="F1796" t="s">
        <v>36</v>
      </c>
      <c r="G1796">
        <v>2</v>
      </c>
      <c r="H1796" s="5" t="s">
        <v>922</v>
      </c>
      <c r="I1796" s="5"/>
      <c r="J1796">
        <v>1</v>
      </c>
      <c r="K1796">
        <f>37-16.5</f>
        <v>20.5</v>
      </c>
      <c r="L1796" t="s">
        <v>38</v>
      </c>
      <c r="M1796">
        <v>1</v>
      </c>
    </row>
    <row r="1797" spans="1:13" x14ac:dyDescent="0.25">
      <c r="A1797" s="4">
        <v>42929</v>
      </c>
      <c r="B1797" t="s">
        <v>30</v>
      </c>
      <c r="C1797">
        <v>7</v>
      </c>
      <c r="D1797">
        <v>3</v>
      </c>
      <c r="E1797" t="s">
        <v>35</v>
      </c>
      <c r="F1797" t="s">
        <v>36</v>
      </c>
      <c r="G1797">
        <v>2</v>
      </c>
      <c r="H1797">
        <v>2946</v>
      </c>
      <c r="J1797">
        <v>0</v>
      </c>
      <c r="K1797">
        <f>37-15</f>
        <v>22</v>
      </c>
      <c r="L1797" t="s">
        <v>1039</v>
      </c>
      <c r="M1797">
        <v>2</v>
      </c>
    </row>
    <row r="1798" spans="1:13" x14ac:dyDescent="0.25">
      <c r="A1798" s="4">
        <v>42936</v>
      </c>
      <c r="B1798" t="s">
        <v>30</v>
      </c>
      <c r="C1798">
        <v>7</v>
      </c>
      <c r="D1798">
        <v>3</v>
      </c>
      <c r="E1798" t="s">
        <v>35</v>
      </c>
      <c r="F1798" t="s">
        <v>36</v>
      </c>
      <c r="G1798">
        <v>2</v>
      </c>
      <c r="H1798">
        <v>2946</v>
      </c>
      <c r="J1798">
        <v>1</v>
      </c>
      <c r="K1798">
        <f>36-13.5</f>
        <v>22.5</v>
      </c>
      <c r="L1798" t="s">
        <v>1039</v>
      </c>
      <c r="M1798">
        <v>2</v>
      </c>
    </row>
    <row r="1799" spans="1:13" x14ac:dyDescent="0.25">
      <c r="A1799" s="4">
        <v>42937</v>
      </c>
      <c r="B1799" t="s">
        <v>30</v>
      </c>
      <c r="C1799">
        <v>7</v>
      </c>
      <c r="D1799">
        <v>3</v>
      </c>
      <c r="E1799" t="s">
        <v>35</v>
      </c>
      <c r="F1799" t="s">
        <v>36</v>
      </c>
      <c r="G1799">
        <v>2</v>
      </c>
      <c r="H1799">
        <v>2946</v>
      </c>
      <c r="J1799">
        <v>1</v>
      </c>
      <c r="K1799">
        <f>36-13.5</f>
        <v>22.5</v>
      </c>
      <c r="L1799" t="s">
        <v>1041</v>
      </c>
      <c r="M1799">
        <v>2</v>
      </c>
    </row>
    <row r="1800" spans="1:13" x14ac:dyDescent="0.25">
      <c r="A1800" s="4">
        <v>42961</v>
      </c>
      <c r="B1800" t="s">
        <v>30</v>
      </c>
      <c r="C1800">
        <v>7</v>
      </c>
      <c r="D1800">
        <v>3</v>
      </c>
      <c r="E1800" t="s">
        <v>35</v>
      </c>
      <c r="F1800" t="s">
        <v>36</v>
      </c>
      <c r="G1800">
        <v>2</v>
      </c>
      <c r="H1800">
        <v>2946</v>
      </c>
      <c r="J1800">
        <v>1</v>
      </c>
      <c r="K1800">
        <f>38-15.5</f>
        <v>22.5</v>
      </c>
      <c r="L1800" t="s">
        <v>1039</v>
      </c>
      <c r="M1800">
        <v>2</v>
      </c>
    </row>
    <row r="1801" spans="1:13" x14ac:dyDescent="0.25">
      <c r="A1801" s="4">
        <v>42962</v>
      </c>
      <c r="B1801" t="s">
        <v>30</v>
      </c>
      <c r="C1801">
        <v>7</v>
      </c>
      <c r="D1801">
        <v>3</v>
      </c>
      <c r="E1801" t="s">
        <v>35</v>
      </c>
      <c r="F1801" t="s">
        <v>36</v>
      </c>
      <c r="G1801">
        <v>2</v>
      </c>
      <c r="H1801">
        <v>2946</v>
      </c>
      <c r="J1801">
        <v>1</v>
      </c>
      <c r="K1801">
        <f>35-14.5</f>
        <v>20.5</v>
      </c>
      <c r="L1801" t="s">
        <v>1039</v>
      </c>
      <c r="M1801">
        <v>2</v>
      </c>
    </row>
    <row r="1802" spans="1:13" x14ac:dyDescent="0.25">
      <c r="A1802" s="4">
        <v>42963</v>
      </c>
      <c r="B1802" t="s">
        <v>30</v>
      </c>
      <c r="C1802">
        <v>7</v>
      </c>
      <c r="D1802">
        <v>3</v>
      </c>
      <c r="E1802" t="s">
        <v>35</v>
      </c>
      <c r="F1802" t="s">
        <v>36</v>
      </c>
      <c r="G1802">
        <v>2</v>
      </c>
      <c r="H1802">
        <v>2946</v>
      </c>
      <c r="J1802">
        <v>1</v>
      </c>
      <c r="K1802">
        <f>32.5-13</f>
        <v>19.5</v>
      </c>
      <c r="L1802" t="s">
        <v>1039</v>
      </c>
      <c r="M1802">
        <v>2</v>
      </c>
    </row>
    <row r="1803" spans="1:13" x14ac:dyDescent="0.25">
      <c r="A1803" s="4">
        <v>43302</v>
      </c>
      <c r="B1803" t="s">
        <v>30</v>
      </c>
      <c r="C1803">
        <v>7</v>
      </c>
      <c r="D1803">
        <v>3</v>
      </c>
      <c r="E1803" t="s">
        <v>35</v>
      </c>
      <c r="F1803" t="s">
        <v>36</v>
      </c>
      <c r="G1803">
        <v>2</v>
      </c>
      <c r="H1803">
        <v>2946</v>
      </c>
      <c r="J1803">
        <v>0</v>
      </c>
      <c r="K1803">
        <f>35-10</f>
        <v>25</v>
      </c>
      <c r="L1803" t="s">
        <v>1039</v>
      </c>
      <c r="M1803">
        <v>3</v>
      </c>
    </row>
    <row r="1804" spans="1:13" x14ac:dyDescent="0.25">
      <c r="A1804" s="4">
        <v>43317</v>
      </c>
      <c r="B1804" t="s">
        <v>30</v>
      </c>
      <c r="C1804">
        <v>7</v>
      </c>
      <c r="D1804">
        <v>3</v>
      </c>
      <c r="E1804" t="s">
        <v>35</v>
      </c>
      <c r="F1804" t="s">
        <v>36</v>
      </c>
      <c r="G1804">
        <v>2</v>
      </c>
      <c r="H1804">
        <v>2946</v>
      </c>
      <c r="J1804">
        <v>0</v>
      </c>
      <c r="K1804">
        <f>32-10</f>
        <v>22</v>
      </c>
      <c r="L1804" t="s">
        <v>38</v>
      </c>
      <c r="M1804">
        <v>3</v>
      </c>
    </row>
    <row r="1805" spans="1:13" x14ac:dyDescent="0.25">
      <c r="A1805" s="4">
        <v>43318</v>
      </c>
      <c r="B1805" t="s">
        <v>30</v>
      </c>
      <c r="C1805">
        <v>7</v>
      </c>
      <c r="D1805">
        <v>3</v>
      </c>
      <c r="E1805" t="s">
        <v>35</v>
      </c>
      <c r="F1805" t="s">
        <v>36</v>
      </c>
      <c r="G1805">
        <v>2</v>
      </c>
      <c r="H1805">
        <v>2946</v>
      </c>
      <c r="J1805">
        <v>0</v>
      </c>
      <c r="K1805">
        <f>33-14</f>
        <v>19</v>
      </c>
      <c r="L1805" t="s">
        <v>1039</v>
      </c>
      <c r="M1805">
        <v>3</v>
      </c>
    </row>
    <row r="1806" spans="1:13" x14ac:dyDescent="0.25">
      <c r="A1806" s="4">
        <v>42606</v>
      </c>
      <c r="B1806" t="s">
        <v>30</v>
      </c>
      <c r="C1806">
        <v>7</v>
      </c>
      <c r="D1806">
        <v>3</v>
      </c>
      <c r="E1806" t="s">
        <v>35</v>
      </c>
      <c r="F1806" t="s">
        <v>36</v>
      </c>
      <c r="G1806">
        <v>1</v>
      </c>
      <c r="H1806" s="5" t="s">
        <v>920</v>
      </c>
      <c r="I1806" s="5"/>
      <c r="J1806">
        <v>1</v>
      </c>
      <c r="K1806">
        <f>34.5-13</f>
        <v>21.5</v>
      </c>
      <c r="L1806" t="s">
        <v>65</v>
      </c>
      <c r="M1806">
        <v>1</v>
      </c>
    </row>
    <row r="1807" spans="1:13" x14ac:dyDescent="0.25">
      <c r="A1807" s="4">
        <v>42586</v>
      </c>
      <c r="B1807" t="s">
        <v>30</v>
      </c>
      <c r="C1807">
        <v>1</v>
      </c>
      <c r="D1807">
        <v>3</v>
      </c>
      <c r="E1807" t="s">
        <v>42</v>
      </c>
      <c r="F1807" t="s">
        <v>36</v>
      </c>
      <c r="G1807">
        <v>1</v>
      </c>
      <c r="H1807" s="5" t="s">
        <v>386</v>
      </c>
      <c r="I1807" s="5"/>
      <c r="J1807">
        <v>1</v>
      </c>
      <c r="K1807">
        <f>35.5-13</f>
        <v>22.5</v>
      </c>
      <c r="L1807" t="s">
        <v>47</v>
      </c>
      <c r="M1807">
        <v>1</v>
      </c>
    </row>
    <row r="1808" spans="1:13" x14ac:dyDescent="0.25">
      <c r="A1808" s="4">
        <v>42586</v>
      </c>
      <c r="B1808" t="s">
        <v>30</v>
      </c>
      <c r="C1808">
        <v>1</v>
      </c>
      <c r="D1808">
        <v>3</v>
      </c>
      <c r="E1808" t="s">
        <v>35</v>
      </c>
      <c r="F1808" t="s">
        <v>36</v>
      </c>
      <c r="G1808">
        <v>1</v>
      </c>
      <c r="H1808" s="5" t="s">
        <v>396</v>
      </c>
      <c r="I1808" s="5"/>
      <c r="J1808">
        <v>1</v>
      </c>
      <c r="K1808">
        <f>33-13</f>
        <v>20</v>
      </c>
      <c r="L1808" t="s">
        <v>47</v>
      </c>
      <c r="M1808">
        <v>1</v>
      </c>
    </row>
    <row r="1809" spans="1:13" x14ac:dyDescent="0.25">
      <c r="A1809" s="4">
        <v>42587</v>
      </c>
      <c r="B1809" t="s">
        <v>30</v>
      </c>
      <c r="C1809">
        <v>1</v>
      </c>
      <c r="D1809">
        <v>3</v>
      </c>
      <c r="E1809" t="s">
        <v>35</v>
      </c>
      <c r="F1809" t="s">
        <v>36</v>
      </c>
      <c r="G1809">
        <v>1</v>
      </c>
      <c r="H1809" s="5" t="s">
        <v>396</v>
      </c>
      <c r="I1809" s="5"/>
      <c r="J1809">
        <v>1</v>
      </c>
      <c r="K1809">
        <f>32-13</f>
        <v>19</v>
      </c>
      <c r="L1809" t="s">
        <v>47</v>
      </c>
      <c r="M1809">
        <v>1</v>
      </c>
    </row>
    <row r="1810" spans="1:13" x14ac:dyDescent="0.25">
      <c r="A1810" s="4">
        <v>42588</v>
      </c>
      <c r="B1810" t="s">
        <v>30</v>
      </c>
      <c r="C1810">
        <v>1</v>
      </c>
      <c r="D1810">
        <v>3</v>
      </c>
      <c r="E1810" t="s">
        <v>35</v>
      </c>
      <c r="F1810" t="s">
        <v>36</v>
      </c>
      <c r="G1810">
        <v>1</v>
      </c>
      <c r="H1810" s="5" t="s">
        <v>396</v>
      </c>
      <c r="I1810" s="5"/>
      <c r="J1810">
        <v>1</v>
      </c>
      <c r="K1810">
        <f>32-12</f>
        <v>20</v>
      </c>
      <c r="L1810" t="s">
        <v>47</v>
      </c>
      <c r="M1810">
        <v>1</v>
      </c>
    </row>
    <row r="1811" spans="1:13" x14ac:dyDescent="0.25">
      <c r="A1811" s="4">
        <v>42589</v>
      </c>
      <c r="B1811" t="s">
        <v>30</v>
      </c>
      <c r="C1811">
        <v>1</v>
      </c>
      <c r="D1811">
        <v>3</v>
      </c>
      <c r="E1811" t="s">
        <v>35</v>
      </c>
      <c r="F1811" t="s">
        <v>114</v>
      </c>
      <c r="G1811">
        <v>1</v>
      </c>
      <c r="H1811" s="5" t="s">
        <v>396</v>
      </c>
      <c r="I1811" s="5"/>
      <c r="J1811">
        <v>1</v>
      </c>
      <c r="K1811">
        <f>35-16</f>
        <v>19</v>
      </c>
      <c r="L1811" t="s">
        <v>65</v>
      </c>
      <c r="M1811">
        <v>1</v>
      </c>
    </row>
    <row r="1812" spans="1:13" x14ac:dyDescent="0.25">
      <c r="A1812" s="4">
        <v>42598</v>
      </c>
      <c r="B1812" t="s">
        <v>30</v>
      </c>
      <c r="C1812">
        <v>1</v>
      </c>
      <c r="D1812">
        <v>3</v>
      </c>
      <c r="E1812" t="s">
        <v>35</v>
      </c>
      <c r="F1812" t="s">
        <v>36</v>
      </c>
      <c r="G1812">
        <v>1</v>
      </c>
      <c r="H1812" s="5" t="s">
        <v>396</v>
      </c>
      <c r="I1812" s="5"/>
      <c r="J1812">
        <v>1</v>
      </c>
      <c r="K1812">
        <v>20</v>
      </c>
      <c r="L1812" t="s">
        <v>47</v>
      </c>
      <c r="M1812">
        <v>1</v>
      </c>
    </row>
    <row r="1813" spans="1:13" x14ac:dyDescent="0.25">
      <c r="A1813" s="4">
        <v>42585</v>
      </c>
      <c r="B1813" t="s">
        <v>30</v>
      </c>
      <c r="C1813">
        <v>1</v>
      </c>
      <c r="D1813">
        <v>3</v>
      </c>
      <c r="E1813" t="s">
        <v>42</v>
      </c>
      <c r="F1813" t="s">
        <v>114</v>
      </c>
      <c r="G1813">
        <v>1</v>
      </c>
      <c r="H1813" s="5" t="s">
        <v>325</v>
      </c>
      <c r="I1813" s="5"/>
      <c r="J1813">
        <v>1</v>
      </c>
      <c r="K1813">
        <f>20.5-4</f>
        <v>16.5</v>
      </c>
      <c r="L1813" t="s">
        <v>65</v>
      </c>
      <c r="M1813">
        <v>1</v>
      </c>
    </row>
    <row r="1814" spans="1:13" x14ac:dyDescent="0.25">
      <c r="A1814" s="4">
        <v>42587</v>
      </c>
      <c r="B1814" t="s">
        <v>30</v>
      </c>
      <c r="C1814">
        <v>1</v>
      </c>
      <c r="D1814">
        <v>3</v>
      </c>
      <c r="E1814" t="s">
        <v>35</v>
      </c>
      <c r="F1814" t="s">
        <v>114</v>
      </c>
      <c r="G1814">
        <v>2</v>
      </c>
      <c r="H1814" s="5" t="s">
        <v>325</v>
      </c>
      <c r="I1814" s="5"/>
      <c r="J1814">
        <v>0</v>
      </c>
      <c r="K1814">
        <f>30-14</f>
        <v>16</v>
      </c>
      <c r="L1814" t="s">
        <v>63</v>
      </c>
      <c r="M1814">
        <v>1</v>
      </c>
    </row>
    <row r="1815" spans="1:13" x14ac:dyDescent="0.25">
      <c r="A1815" s="4">
        <v>42588</v>
      </c>
      <c r="B1815" t="s">
        <v>30</v>
      </c>
      <c r="C1815">
        <v>1</v>
      </c>
      <c r="D1815">
        <v>3</v>
      </c>
      <c r="E1815" t="s">
        <v>35</v>
      </c>
      <c r="F1815" t="s">
        <v>114</v>
      </c>
      <c r="G1815">
        <v>2</v>
      </c>
      <c r="H1815" s="5" t="s">
        <v>325</v>
      </c>
      <c r="I1815" s="5"/>
      <c r="J1815">
        <v>0</v>
      </c>
      <c r="K1815">
        <f>30-13</f>
        <v>17</v>
      </c>
      <c r="L1815" t="s">
        <v>38</v>
      </c>
      <c r="M1815">
        <v>1</v>
      </c>
    </row>
    <row r="1816" spans="1:13" x14ac:dyDescent="0.25">
      <c r="A1816" s="4">
        <v>42589</v>
      </c>
      <c r="B1816" t="s">
        <v>30</v>
      </c>
      <c r="C1816">
        <v>1</v>
      </c>
      <c r="D1816">
        <v>3</v>
      </c>
      <c r="E1816" t="s">
        <v>35</v>
      </c>
      <c r="F1816" t="s">
        <v>114</v>
      </c>
      <c r="G1816">
        <v>2</v>
      </c>
      <c r="H1816" s="5" t="s">
        <v>325</v>
      </c>
      <c r="I1816" s="5"/>
      <c r="J1816">
        <v>0</v>
      </c>
      <c r="K1816">
        <f>30-13</f>
        <v>17</v>
      </c>
      <c r="L1816" t="s">
        <v>38</v>
      </c>
      <c r="M1816">
        <v>1</v>
      </c>
    </row>
    <row r="1817" spans="1:13" x14ac:dyDescent="0.25">
      <c r="A1817" s="4">
        <v>42585</v>
      </c>
      <c r="B1817" t="s">
        <v>30</v>
      </c>
      <c r="C1817">
        <v>1</v>
      </c>
      <c r="D1817">
        <v>3</v>
      </c>
      <c r="E1817" t="s">
        <v>42</v>
      </c>
      <c r="F1817" t="s">
        <v>36</v>
      </c>
      <c r="G1817">
        <v>1</v>
      </c>
      <c r="H1817" s="5" t="s">
        <v>322</v>
      </c>
      <c r="I1817" s="5"/>
      <c r="J1817">
        <v>1</v>
      </c>
      <c r="K1817">
        <f>24-4.5</f>
        <v>19.5</v>
      </c>
      <c r="L1817" t="s">
        <v>47</v>
      </c>
      <c r="M1817">
        <v>1</v>
      </c>
    </row>
    <row r="1818" spans="1:13" x14ac:dyDescent="0.25">
      <c r="A1818" s="4">
        <v>42587</v>
      </c>
      <c r="B1818" t="s">
        <v>30</v>
      </c>
      <c r="C1818">
        <v>1</v>
      </c>
      <c r="D1818">
        <v>3</v>
      </c>
      <c r="E1818" t="s">
        <v>35</v>
      </c>
      <c r="F1818" t="s">
        <v>36</v>
      </c>
      <c r="G1818">
        <v>1</v>
      </c>
      <c r="H1818" s="5" t="s">
        <v>322</v>
      </c>
      <c r="I1818" s="5"/>
      <c r="J1818">
        <v>1</v>
      </c>
      <c r="K1818">
        <f>34-15</f>
        <v>19</v>
      </c>
      <c r="L1818" t="s">
        <v>47</v>
      </c>
      <c r="M1818">
        <v>1</v>
      </c>
    </row>
    <row r="1819" spans="1:13" x14ac:dyDescent="0.25">
      <c r="A1819" s="4">
        <v>42588</v>
      </c>
      <c r="B1819" t="s">
        <v>30</v>
      </c>
      <c r="C1819">
        <v>1</v>
      </c>
      <c r="D1819">
        <v>3</v>
      </c>
      <c r="E1819" t="s">
        <v>35</v>
      </c>
      <c r="F1819" t="s">
        <v>36</v>
      </c>
      <c r="G1819">
        <v>1</v>
      </c>
      <c r="H1819" s="5" t="s">
        <v>322</v>
      </c>
      <c r="I1819" s="5"/>
      <c r="J1819">
        <v>1</v>
      </c>
      <c r="K1819">
        <f>33-12.5</f>
        <v>20.5</v>
      </c>
      <c r="L1819" t="s">
        <v>47</v>
      </c>
      <c r="M1819">
        <v>1</v>
      </c>
    </row>
    <row r="1820" spans="1:13" x14ac:dyDescent="0.25">
      <c r="A1820" s="4">
        <v>42585</v>
      </c>
      <c r="B1820" t="s">
        <v>30</v>
      </c>
      <c r="C1820">
        <v>1</v>
      </c>
      <c r="D1820">
        <v>3</v>
      </c>
      <c r="E1820" t="s">
        <v>42</v>
      </c>
      <c r="F1820" t="s">
        <v>36</v>
      </c>
      <c r="G1820">
        <v>2</v>
      </c>
      <c r="H1820" s="5" t="s">
        <v>321</v>
      </c>
      <c r="I1820" s="5"/>
      <c r="J1820">
        <v>0</v>
      </c>
      <c r="K1820">
        <f>28.5-5</f>
        <v>23.5</v>
      </c>
      <c r="L1820" t="s">
        <v>136</v>
      </c>
      <c r="M1820">
        <v>1</v>
      </c>
    </row>
    <row r="1821" spans="1:13" x14ac:dyDescent="0.25">
      <c r="A1821" s="4">
        <v>42586</v>
      </c>
      <c r="B1821" t="s">
        <v>30</v>
      </c>
      <c r="C1821">
        <v>1</v>
      </c>
      <c r="D1821">
        <v>3</v>
      </c>
      <c r="E1821" t="s">
        <v>35</v>
      </c>
      <c r="F1821" t="s">
        <v>36</v>
      </c>
      <c r="G1821">
        <v>2</v>
      </c>
      <c r="H1821" s="5" t="s">
        <v>321</v>
      </c>
      <c r="I1821" s="5"/>
      <c r="J1821">
        <v>0</v>
      </c>
      <c r="K1821">
        <f>34-13</f>
        <v>21</v>
      </c>
      <c r="L1821" t="s">
        <v>164</v>
      </c>
      <c r="M1821">
        <v>1</v>
      </c>
    </row>
    <row r="1822" spans="1:13" x14ac:dyDescent="0.25">
      <c r="A1822" s="4">
        <v>42587</v>
      </c>
      <c r="B1822" t="s">
        <v>30</v>
      </c>
      <c r="C1822">
        <v>1</v>
      </c>
      <c r="D1822">
        <v>3</v>
      </c>
      <c r="E1822" t="s">
        <v>35</v>
      </c>
      <c r="F1822" t="s">
        <v>36</v>
      </c>
      <c r="G1822">
        <v>2</v>
      </c>
      <c r="H1822" s="5" t="s">
        <v>321</v>
      </c>
      <c r="I1822" s="5"/>
      <c r="J1822">
        <v>0</v>
      </c>
      <c r="K1822">
        <f>38-16</f>
        <v>22</v>
      </c>
      <c r="L1822" t="s">
        <v>143</v>
      </c>
      <c r="M1822">
        <v>1</v>
      </c>
    </row>
    <row r="1823" spans="1:13" x14ac:dyDescent="0.25">
      <c r="A1823" s="4">
        <v>42588</v>
      </c>
      <c r="B1823" t="s">
        <v>30</v>
      </c>
      <c r="C1823">
        <v>1</v>
      </c>
      <c r="D1823">
        <v>3</v>
      </c>
      <c r="E1823" t="s">
        <v>35</v>
      </c>
      <c r="F1823" t="s">
        <v>36</v>
      </c>
      <c r="G1823">
        <v>2</v>
      </c>
      <c r="H1823" s="5" t="s">
        <v>321</v>
      </c>
      <c r="I1823" s="5"/>
      <c r="J1823">
        <v>0</v>
      </c>
      <c r="K1823">
        <f>35-12</f>
        <v>23</v>
      </c>
      <c r="L1823" t="s">
        <v>143</v>
      </c>
      <c r="M1823">
        <v>1</v>
      </c>
    </row>
    <row r="1824" spans="1:13" x14ac:dyDescent="0.25">
      <c r="A1824" s="4">
        <v>42589</v>
      </c>
      <c r="B1824" t="s">
        <v>30</v>
      </c>
      <c r="C1824">
        <v>1</v>
      </c>
      <c r="D1824">
        <v>3</v>
      </c>
      <c r="E1824" t="s">
        <v>35</v>
      </c>
      <c r="F1824" t="s">
        <v>36</v>
      </c>
      <c r="G1824">
        <v>2</v>
      </c>
      <c r="H1824" s="5" t="s">
        <v>321</v>
      </c>
      <c r="I1824" s="5"/>
      <c r="J1824">
        <v>0</v>
      </c>
      <c r="K1824">
        <f>38-15</f>
        <v>23</v>
      </c>
      <c r="L1824" t="s">
        <v>63</v>
      </c>
      <c r="M1824">
        <v>1</v>
      </c>
    </row>
    <row r="1825" spans="1:13" x14ac:dyDescent="0.25">
      <c r="A1825" s="4">
        <v>42587</v>
      </c>
      <c r="B1825" t="s">
        <v>30</v>
      </c>
      <c r="C1825">
        <v>1</v>
      </c>
      <c r="D1825">
        <v>3</v>
      </c>
      <c r="E1825" t="s">
        <v>42</v>
      </c>
      <c r="F1825" t="s">
        <v>36</v>
      </c>
      <c r="G1825">
        <v>2</v>
      </c>
      <c r="H1825" s="5" t="s">
        <v>446</v>
      </c>
      <c r="I1825" s="5"/>
      <c r="J1825">
        <v>0</v>
      </c>
      <c r="K1825">
        <f>33-18</f>
        <v>15</v>
      </c>
      <c r="L1825" t="s">
        <v>63</v>
      </c>
      <c r="M1825">
        <v>1</v>
      </c>
    </row>
    <row r="1826" spans="1:13" x14ac:dyDescent="0.25">
      <c r="A1826" s="4">
        <v>42586</v>
      </c>
      <c r="B1826" t="s">
        <v>30</v>
      </c>
      <c r="C1826">
        <v>3</v>
      </c>
      <c r="D1826">
        <v>3</v>
      </c>
      <c r="E1826" t="s">
        <v>42</v>
      </c>
      <c r="F1826" t="s">
        <v>114</v>
      </c>
      <c r="G1826">
        <v>1</v>
      </c>
      <c r="H1826" s="5" t="s">
        <v>438</v>
      </c>
      <c r="I1826" s="5"/>
      <c r="J1826">
        <v>1</v>
      </c>
      <c r="K1826">
        <f>31-16</f>
        <v>15</v>
      </c>
      <c r="L1826" t="s">
        <v>47</v>
      </c>
      <c r="M1826">
        <v>1</v>
      </c>
    </row>
    <row r="1827" spans="1:13" x14ac:dyDescent="0.25">
      <c r="A1827" s="4">
        <v>42586</v>
      </c>
      <c r="B1827" t="s">
        <v>30</v>
      </c>
      <c r="C1827">
        <v>3</v>
      </c>
      <c r="D1827">
        <v>3</v>
      </c>
      <c r="E1827" t="s">
        <v>42</v>
      </c>
      <c r="F1827" t="s">
        <v>36</v>
      </c>
      <c r="G1827">
        <v>2</v>
      </c>
      <c r="H1827" s="5" t="s">
        <v>433</v>
      </c>
      <c r="I1827" s="5"/>
      <c r="J1827">
        <v>1</v>
      </c>
      <c r="K1827">
        <f>41-14</f>
        <v>27</v>
      </c>
      <c r="L1827" t="s">
        <v>164</v>
      </c>
      <c r="M1827">
        <v>1</v>
      </c>
    </row>
    <row r="1828" spans="1:13" x14ac:dyDescent="0.25">
      <c r="A1828" s="4">
        <v>42586</v>
      </c>
      <c r="B1828" t="s">
        <v>30</v>
      </c>
      <c r="C1828">
        <v>3</v>
      </c>
      <c r="D1828">
        <v>3</v>
      </c>
      <c r="E1828" t="s">
        <v>42</v>
      </c>
      <c r="F1828" t="s">
        <v>36</v>
      </c>
      <c r="G1828">
        <v>2</v>
      </c>
      <c r="H1828" s="5" t="s">
        <v>432</v>
      </c>
      <c r="I1828" s="5"/>
      <c r="J1828">
        <v>0</v>
      </c>
      <c r="K1828">
        <f>30.5-13</f>
        <v>17.5</v>
      </c>
      <c r="L1828" t="s">
        <v>164</v>
      </c>
      <c r="M1828">
        <v>1</v>
      </c>
    </row>
    <row r="1829" spans="1:13" x14ac:dyDescent="0.25">
      <c r="A1829" s="4">
        <v>42586</v>
      </c>
      <c r="B1829" t="s">
        <v>30</v>
      </c>
      <c r="C1829">
        <v>1</v>
      </c>
      <c r="D1829">
        <v>3</v>
      </c>
      <c r="E1829" t="s">
        <v>42</v>
      </c>
      <c r="F1829" t="s">
        <v>114</v>
      </c>
      <c r="G1829">
        <v>1</v>
      </c>
      <c r="H1829" s="5" t="s">
        <v>389</v>
      </c>
      <c r="I1829" s="5"/>
      <c r="J1829">
        <v>1</v>
      </c>
      <c r="K1829">
        <f>30-13</f>
        <v>17</v>
      </c>
      <c r="L1829" t="s">
        <v>47</v>
      </c>
      <c r="M1829">
        <v>1</v>
      </c>
    </row>
    <row r="1830" spans="1:13" x14ac:dyDescent="0.25">
      <c r="A1830" s="4">
        <v>42587</v>
      </c>
      <c r="B1830" t="s">
        <v>30</v>
      </c>
      <c r="C1830">
        <v>1</v>
      </c>
      <c r="D1830">
        <v>3</v>
      </c>
      <c r="E1830" t="s">
        <v>35</v>
      </c>
      <c r="F1830" t="s">
        <v>114</v>
      </c>
      <c r="G1830">
        <v>1</v>
      </c>
      <c r="H1830" s="5" t="s">
        <v>389</v>
      </c>
      <c r="I1830" s="5"/>
      <c r="J1830">
        <v>1</v>
      </c>
      <c r="K1830">
        <f>31-15</f>
        <v>16</v>
      </c>
      <c r="L1830" t="s">
        <v>47</v>
      </c>
      <c r="M1830">
        <v>1</v>
      </c>
    </row>
    <row r="1831" spans="1:13" x14ac:dyDescent="0.25">
      <c r="A1831" s="4">
        <v>42588</v>
      </c>
      <c r="B1831" t="s">
        <v>30</v>
      </c>
      <c r="C1831">
        <v>1</v>
      </c>
      <c r="D1831">
        <v>3</v>
      </c>
      <c r="E1831" t="s">
        <v>35</v>
      </c>
      <c r="F1831" t="s">
        <v>114</v>
      </c>
      <c r="G1831">
        <v>1</v>
      </c>
      <c r="H1831" s="5" t="s">
        <v>389</v>
      </c>
      <c r="I1831" s="5"/>
      <c r="J1831">
        <v>1</v>
      </c>
      <c r="K1831">
        <f>30-13</f>
        <v>17</v>
      </c>
      <c r="L1831" t="s">
        <v>47</v>
      </c>
      <c r="M1831">
        <v>1</v>
      </c>
    </row>
    <row r="1832" spans="1:13" x14ac:dyDescent="0.25">
      <c r="A1832" s="4">
        <v>42589</v>
      </c>
      <c r="B1832" t="s">
        <v>30</v>
      </c>
      <c r="C1832">
        <v>4</v>
      </c>
      <c r="D1832">
        <v>3</v>
      </c>
      <c r="E1832" t="s">
        <v>42</v>
      </c>
      <c r="F1832" t="s">
        <v>36</v>
      </c>
      <c r="G1832">
        <v>1</v>
      </c>
      <c r="H1832" s="5" t="s">
        <v>544</v>
      </c>
      <c r="I1832" s="5"/>
      <c r="J1832">
        <v>1</v>
      </c>
      <c r="K1832">
        <f>36.5-14.5</f>
        <v>22</v>
      </c>
      <c r="L1832" t="s">
        <v>47</v>
      </c>
      <c r="M1832">
        <v>1</v>
      </c>
    </row>
    <row r="1833" spans="1:13" x14ac:dyDescent="0.25">
      <c r="A1833" s="4">
        <v>42598</v>
      </c>
      <c r="B1833" t="s">
        <v>30</v>
      </c>
      <c r="C1833">
        <v>1</v>
      </c>
      <c r="D1833">
        <v>3</v>
      </c>
      <c r="E1833" t="s">
        <v>42</v>
      </c>
      <c r="F1833" t="s">
        <v>36</v>
      </c>
      <c r="G1833">
        <v>2</v>
      </c>
      <c r="H1833" s="5" t="s">
        <v>802</v>
      </c>
      <c r="I1833" s="5"/>
      <c r="J1833">
        <v>0</v>
      </c>
      <c r="K1833">
        <f>32-12.5</f>
        <v>19.5</v>
      </c>
      <c r="L1833" t="s">
        <v>81</v>
      </c>
      <c r="M1833">
        <v>1</v>
      </c>
    </row>
    <row r="1834" spans="1:13" x14ac:dyDescent="0.25">
      <c r="A1834" s="4">
        <v>42931</v>
      </c>
      <c r="B1834" t="s">
        <v>30</v>
      </c>
      <c r="C1834">
        <v>1</v>
      </c>
      <c r="D1834">
        <v>3</v>
      </c>
      <c r="E1834" t="s">
        <v>35</v>
      </c>
      <c r="F1834" t="s">
        <v>36</v>
      </c>
      <c r="G1834">
        <v>2</v>
      </c>
      <c r="H1834">
        <v>11951</v>
      </c>
      <c r="J1834">
        <v>0</v>
      </c>
      <c r="K1834">
        <f>40.5-13</f>
        <v>27.5</v>
      </c>
      <c r="L1834" t="s">
        <v>1041</v>
      </c>
      <c r="M1834">
        <v>2</v>
      </c>
    </row>
    <row r="1835" spans="1:13" x14ac:dyDescent="0.25">
      <c r="A1835" s="4">
        <v>42941</v>
      </c>
      <c r="B1835" t="s">
        <v>30</v>
      </c>
      <c r="C1835">
        <v>1</v>
      </c>
      <c r="D1835">
        <v>3</v>
      </c>
      <c r="E1835" t="s">
        <v>35</v>
      </c>
      <c r="F1835" t="s">
        <v>36</v>
      </c>
      <c r="G1835">
        <v>2</v>
      </c>
      <c r="H1835">
        <v>11951</v>
      </c>
      <c r="J1835">
        <v>0</v>
      </c>
      <c r="K1835">
        <f>39-13</f>
        <v>26</v>
      </c>
      <c r="L1835" t="s">
        <v>1039</v>
      </c>
      <c r="M1835">
        <v>2</v>
      </c>
    </row>
    <row r="1836" spans="1:13" x14ac:dyDescent="0.25">
      <c r="A1836" s="4">
        <v>42942</v>
      </c>
      <c r="B1836" t="s">
        <v>30</v>
      </c>
      <c r="C1836">
        <v>1</v>
      </c>
      <c r="D1836">
        <v>3</v>
      </c>
      <c r="E1836" t="s">
        <v>35</v>
      </c>
      <c r="F1836" t="s">
        <v>36</v>
      </c>
      <c r="G1836">
        <v>2</v>
      </c>
      <c r="H1836">
        <v>11951</v>
      </c>
      <c r="J1836">
        <v>0</v>
      </c>
      <c r="K1836">
        <f>37-14</f>
        <v>23</v>
      </c>
      <c r="L1836" t="s">
        <v>1039</v>
      </c>
      <c r="M1836">
        <v>2</v>
      </c>
    </row>
    <row r="1837" spans="1:13" x14ac:dyDescent="0.25">
      <c r="A1837" s="4">
        <v>42598</v>
      </c>
      <c r="B1837" t="s">
        <v>30</v>
      </c>
      <c r="C1837">
        <v>1</v>
      </c>
      <c r="D1837">
        <v>3</v>
      </c>
      <c r="E1837" t="s">
        <v>42</v>
      </c>
      <c r="F1837" t="s">
        <v>114</v>
      </c>
      <c r="G1837">
        <v>2</v>
      </c>
      <c r="H1837" s="5" t="s">
        <v>810</v>
      </c>
      <c r="I1837" s="5"/>
      <c r="J1837">
        <v>1</v>
      </c>
      <c r="K1837">
        <f>31-13.5</f>
        <v>17.5</v>
      </c>
      <c r="L1837" t="s">
        <v>38</v>
      </c>
      <c r="M1837">
        <v>1</v>
      </c>
    </row>
    <row r="1838" spans="1:13" x14ac:dyDescent="0.25">
      <c r="A1838" s="4">
        <v>42599</v>
      </c>
      <c r="B1838" t="s">
        <v>30</v>
      </c>
      <c r="C1838">
        <v>1</v>
      </c>
      <c r="D1838">
        <v>3</v>
      </c>
      <c r="E1838" t="s">
        <v>35</v>
      </c>
      <c r="F1838" t="s">
        <v>36</v>
      </c>
      <c r="G1838">
        <v>1</v>
      </c>
      <c r="H1838" s="5" t="s">
        <v>810</v>
      </c>
      <c r="I1838" s="5"/>
      <c r="J1838">
        <v>1</v>
      </c>
      <c r="K1838">
        <f>31-13</f>
        <v>18</v>
      </c>
      <c r="L1838" t="s">
        <v>65</v>
      </c>
      <c r="M1838">
        <v>1</v>
      </c>
    </row>
    <row r="1839" spans="1:13" x14ac:dyDescent="0.25">
      <c r="A1839" s="4">
        <v>42598</v>
      </c>
      <c r="B1839" t="s">
        <v>30</v>
      </c>
      <c r="C1839">
        <v>4</v>
      </c>
      <c r="D1839">
        <v>3</v>
      </c>
      <c r="E1839" t="s">
        <v>42</v>
      </c>
      <c r="F1839" t="s">
        <v>36</v>
      </c>
      <c r="G1839">
        <v>1</v>
      </c>
      <c r="H1839" s="5" t="s">
        <v>822</v>
      </c>
      <c r="I1839" s="5"/>
      <c r="J1839">
        <v>1</v>
      </c>
      <c r="K1839">
        <f>38-19</f>
        <v>19</v>
      </c>
      <c r="L1839" t="s">
        <v>65</v>
      </c>
      <c r="M1839">
        <v>1</v>
      </c>
    </row>
    <row r="1840" spans="1:13" x14ac:dyDescent="0.25">
      <c r="A1840" s="4">
        <v>42600</v>
      </c>
      <c r="B1840" t="s">
        <v>30</v>
      </c>
      <c r="C1840">
        <v>1</v>
      </c>
      <c r="D1840">
        <v>3</v>
      </c>
      <c r="E1840" t="s">
        <v>42</v>
      </c>
      <c r="F1840" t="s">
        <v>114</v>
      </c>
      <c r="G1840">
        <v>1</v>
      </c>
      <c r="H1840" s="5" t="s">
        <v>885</v>
      </c>
      <c r="I1840" s="5"/>
      <c r="J1840">
        <v>1</v>
      </c>
      <c r="K1840">
        <f>28.5-13</f>
        <v>15.5</v>
      </c>
      <c r="L1840" t="s">
        <v>47</v>
      </c>
      <c r="M1840">
        <v>1</v>
      </c>
    </row>
    <row r="1841" spans="1:13" x14ac:dyDescent="0.25">
      <c r="A1841" s="4">
        <v>42599</v>
      </c>
      <c r="B1841" t="s">
        <v>30</v>
      </c>
      <c r="C1841">
        <v>1</v>
      </c>
      <c r="D1841">
        <v>3</v>
      </c>
      <c r="E1841" t="s">
        <v>42</v>
      </c>
      <c r="F1841" t="s">
        <v>36</v>
      </c>
      <c r="G1841">
        <v>2</v>
      </c>
      <c r="H1841" s="5" t="s">
        <v>829</v>
      </c>
      <c r="I1841" s="5"/>
      <c r="J1841">
        <v>1</v>
      </c>
      <c r="K1841">
        <f>33-13</f>
        <v>20</v>
      </c>
      <c r="L1841" t="s">
        <v>38</v>
      </c>
      <c r="M1841">
        <v>1</v>
      </c>
    </row>
    <row r="1842" spans="1:13" x14ac:dyDescent="0.25">
      <c r="A1842" s="4">
        <v>42599</v>
      </c>
      <c r="B1842" t="s">
        <v>30</v>
      </c>
      <c r="C1842">
        <v>1</v>
      </c>
      <c r="D1842">
        <v>3</v>
      </c>
      <c r="E1842" t="s">
        <v>42</v>
      </c>
      <c r="F1842" t="s">
        <v>36</v>
      </c>
      <c r="G1842">
        <v>1</v>
      </c>
      <c r="H1842" s="5" t="s">
        <v>833</v>
      </c>
      <c r="I1842" s="5"/>
      <c r="J1842">
        <v>1</v>
      </c>
      <c r="K1842">
        <f>33.5-14</f>
        <v>19.5</v>
      </c>
      <c r="L1842" t="s">
        <v>65</v>
      </c>
      <c r="M1842">
        <v>1</v>
      </c>
    </row>
    <row r="1843" spans="1:13" x14ac:dyDescent="0.25">
      <c r="A1843" s="4">
        <v>42599</v>
      </c>
      <c r="B1843" t="s">
        <v>30</v>
      </c>
      <c r="C1843">
        <v>1</v>
      </c>
      <c r="D1843">
        <v>3</v>
      </c>
      <c r="E1843" t="s">
        <v>42</v>
      </c>
      <c r="F1843" t="s">
        <v>89</v>
      </c>
      <c r="G1843">
        <v>2</v>
      </c>
      <c r="H1843" s="5" t="s">
        <v>843</v>
      </c>
      <c r="I1843" s="5"/>
      <c r="J1843">
        <v>1</v>
      </c>
      <c r="K1843">
        <f>28-14</f>
        <v>14</v>
      </c>
      <c r="L1843" t="s">
        <v>38</v>
      </c>
      <c r="M1843">
        <v>1</v>
      </c>
    </row>
    <row r="1844" spans="1:13" x14ac:dyDescent="0.25">
      <c r="A1844" s="4">
        <v>42592</v>
      </c>
      <c r="B1844" t="s">
        <v>30</v>
      </c>
      <c r="C1844">
        <v>8</v>
      </c>
      <c r="D1844">
        <v>3</v>
      </c>
      <c r="E1844" t="s">
        <v>42</v>
      </c>
      <c r="F1844" t="s">
        <v>36</v>
      </c>
      <c r="G1844">
        <v>2</v>
      </c>
      <c r="H1844" s="5" t="s">
        <v>653</v>
      </c>
      <c r="I1844" s="5"/>
      <c r="J1844">
        <v>1</v>
      </c>
      <c r="K1844">
        <f>39-17</f>
        <v>22</v>
      </c>
      <c r="L1844" t="s">
        <v>74</v>
      </c>
      <c r="M1844">
        <v>1</v>
      </c>
    </row>
    <row r="1845" spans="1:13" x14ac:dyDescent="0.25">
      <c r="A1845" s="4">
        <v>42593</v>
      </c>
      <c r="B1845" t="s">
        <v>30</v>
      </c>
      <c r="C1845">
        <v>8</v>
      </c>
      <c r="D1845">
        <v>3</v>
      </c>
      <c r="E1845" t="s">
        <v>35</v>
      </c>
      <c r="F1845" t="s">
        <v>36</v>
      </c>
      <c r="G1845">
        <v>2</v>
      </c>
      <c r="H1845" s="5" t="s">
        <v>653</v>
      </c>
      <c r="I1845" s="5" t="s">
        <v>653</v>
      </c>
      <c r="J1845">
        <v>1</v>
      </c>
      <c r="K1845">
        <f>40-17</f>
        <v>23</v>
      </c>
      <c r="L1845" t="s">
        <v>136</v>
      </c>
      <c r="M1845">
        <v>1</v>
      </c>
    </row>
    <row r="1846" spans="1:13" x14ac:dyDescent="0.25">
      <c r="A1846" s="4">
        <v>42592</v>
      </c>
      <c r="B1846" t="s">
        <v>30</v>
      </c>
      <c r="C1846">
        <v>8</v>
      </c>
      <c r="D1846">
        <v>3</v>
      </c>
      <c r="E1846" t="s">
        <v>42</v>
      </c>
      <c r="F1846" t="s">
        <v>114</v>
      </c>
      <c r="G1846">
        <v>1</v>
      </c>
      <c r="H1846" s="5" t="s">
        <v>655</v>
      </c>
      <c r="I1846" s="5"/>
      <c r="J1846">
        <v>1</v>
      </c>
      <c r="K1846">
        <f>32-15</f>
        <v>17</v>
      </c>
      <c r="L1846" t="s">
        <v>47</v>
      </c>
      <c r="M1846">
        <v>1</v>
      </c>
    </row>
    <row r="1847" spans="1:13" x14ac:dyDescent="0.25">
      <c r="A1847" s="4">
        <v>42593</v>
      </c>
      <c r="B1847" t="s">
        <v>30</v>
      </c>
      <c r="C1847">
        <v>8</v>
      </c>
      <c r="D1847">
        <v>3</v>
      </c>
      <c r="E1847" t="s">
        <v>35</v>
      </c>
      <c r="F1847" t="s">
        <v>114</v>
      </c>
      <c r="G1847">
        <v>1</v>
      </c>
      <c r="H1847" s="5" t="s">
        <v>655</v>
      </c>
      <c r="I1847" s="5"/>
      <c r="J1847">
        <v>1</v>
      </c>
      <c r="K1847">
        <f>31-13</f>
        <v>18</v>
      </c>
      <c r="L1847" t="s">
        <v>47</v>
      </c>
      <c r="M1847">
        <v>1</v>
      </c>
    </row>
    <row r="1848" spans="1:13" x14ac:dyDescent="0.25">
      <c r="A1848" s="4">
        <v>42592</v>
      </c>
      <c r="B1848" t="s">
        <v>30</v>
      </c>
      <c r="C1848">
        <v>8</v>
      </c>
      <c r="D1848">
        <v>3</v>
      </c>
      <c r="E1848" t="s">
        <v>42</v>
      </c>
      <c r="F1848" t="s">
        <v>36</v>
      </c>
      <c r="G1848">
        <v>1</v>
      </c>
      <c r="H1848" s="5" t="s">
        <v>650</v>
      </c>
      <c r="I1848" s="5"/>
      <c r="J1848">
        <v>1</v>
      </c>
      <c r="K1848">
        <f>41-15</f>
        <v>26</v>
      </c>
      <c r="L1848" t="s">
        <v>47</v>
      </c>
      <c r="M1848">
        <v>1</v>
      </c>
    </row>
    <row r="1849" spans="1:13" x14ac:dyDescent="0.25">
      <c r="A1849" s="4">
        <v>42588</v>
      </c>
      <c r="B1849" t="s">
        <v>30</v>
      </c>
      <c r="C1849">
        <v>3</v>
      </c>
      <c r="D1849">
        <v>3</v>
      </c>
      <c r="E1849" t="s">
        <v>42</v>
      </c>
      <c r="F1849" t="s">
        <v>89</v>
      </c>
      <c r="G1849">
        <v>2</v>
      </c>
      <c r="H1849" s="5" t="s">
        <v>520</v>
      </c>
      <c r="I1849" s="5"/>
      <c r="J1849">
        <v>1</v>
      </c>
      <c r="K1849">
        <f>28-16</f>
        <v>12</v>
      </c>
      <c r="L1849" t="s">
        <v>38</v>
      </c>
      <c r="M1849">
        <v>1</v>
      </c>
    </row>
    <row r="1850" spans="1:13" x14ac:dyDescent="0.25">
      <c r="A1850" s="4">
        <v>42589</v>
      </c>
      <c r="B1850" t="s">
        <v>30</v>
      </c>
      <c r="C1850">
        <v>4</v>
      </c>
      <c r="D1850">
        <v>3</v>
      </c>
      <c r="E1850" t="s">
        <v>35</v>
      </c>
      <c r="F1850" t="s">
        <v>114</v>
      </c>
      <c r="G1850">
        <v>2</v>
      </c>
      <c r="H1850" s="5" t="s">
        <v>520</v>
      </c>
      <c r="I1850" s="5"/>
      <c r="J1850">
        <v>1</v>
      </c>
      <c r="K1850">
        <f>32-13</f>
        <v>19</v>
      </c>
      <c r="L1850" t="s">
        <v>63</v>
      </c>
      <c r="M1850">
        <v>1</v>
      </c>
    </row>
    <row r="1851" spans="1:13" x14ac:dyDescent="0.25">
      <c r="A1851" s="4">
        <v>42588</v>
      </c>
      <c r="B1851" t="s">
        <v>30</v>
      </c>
      <c r="C1851">
        <v>3</v>
      </c>
      <c r="D1851">
        <v>3</v>
      </c>
      <c r="E1851" t="s">
        <v>42</v>
      </c>
      <c r="F1851" t="s">
        <v>114</v>
      </c>
      <c r="G1851">
        <v>1</v>
      </c>
      <c r="H1851" s="5" t="s">
        <v>518</v>
      </c>
      <c r="I1851" s="5"/>
      <c r="J1851">
        <v>1</v>
      </c>
      <c r="K1851">
        <f>31-13</f>
        <v>18</v>
      </c>
      <c r="L1851" t="s">
        <v>47</v>
      </c>
      <c r="M1851">
        <v>1</v>
      </c>
    </row>
    <row r="1852" spans="1:13" x14ac:dyDescent="0.25">
      <c r="A1852" s="4">
        <v>42589</v>
      </c>
      <c r="B1852" t="s">
        <v>30</v>
      </c>
      <c r="C1852">
        <v>4</v>
      </c>
      <c r="D1852">
        <v>3</v>
      </c>
      <c r="E1852" t="s">
        <v>35</v>
      </c>
      <c r="F1852" t="s">
        <v>36</v>
      </c>
      <c r="G1852">
        <v>1</v>
      </c>
      <c r="H1852" s="5" t="s">
        <v>518</v>
      </c>
      <c r="I1852" s="5"/>
      <c r="J1852">
        <v>1</v>
      </c>
      <c r="K1852">
        <f>36-17</f>
        <v>19</v>
      </c>
      <c r="L1852" t="s">
        <v>47</v>
      </c>
      <c r="M1852">
        <v>1</v>
      </c>
    </row>
    <row r="1853" spans="1:13" x14ac:dyDescent="0.25">
      <c r="A1853" s="4">
        <v>42588</v>
      </c>
      <c r="B1853" t="s">
        <v>30</v>
      </c>
      <c r="C1853">
        <v>1</v>
      </c>
      <c r="D1853">
        <v>3</v>
      </c>
      <c r="E1853" t="s">
        <v>42</v>
      </c>
      <c r="F1853" t="s">
        <v>36</v>
      </c>
      <c r="G1853">
        <v>2</v>
      </c>
      <c r="H1853" s="5" t="s">
        <v>510</v>
      </c>
      <c r="I1853" s="5"/>
      <c r="J1853">
        <v>0</v>
      </c>
      <c r="K1853">
        <f>38-13</f>
        <v>25</v>
      </c>
      <c r="L1853" t="s">
        <v>143</v>
      </c>
      <c r="M1853">
        <v>1</v>
      </c>
    </row>
    <row r="1854" spans="1:13" x14ac:dyDescent="0.25">
      <c r="A1854" s="4">
        <v>42587</v>
      </c>
      <c r="B1854" t="s">
        <v>30</v>
      </c>
      <c r="C1854">
        <v>4</v>
      </c>
      <c r="D1854">
        <v>3</v>
      </c>
      <c r="E1854" t="s">
        <v>42</v>
      </c>
      <c r="F1854" t="s">
        <v>114</v>
      </c>
      <c r="G1854">
        <v>1</v>
      </c>
      <c r="H1854" s="5" t="s">
        <v>483</v>
      </c>
      <c r="I1854" s="5"/>
      <c r="J1854">
        <v>1</v>
      </c>
      <c r="K1854">
        <f>32-16</f>
        <v>16</v>
      </c>
      <c r="L1854" t="s">
        <v>47</v>
      </c>
      <c r="M1854">
        <v>1</v>
      </c>
    </row>
    <row r="1855" spans="1:13" x14ac:dyDescent="0.25">
      <c r="A1855" s="4">
        <v>42587</v>
      </c>
      <c r="B1855" t="s">
        <v>30</v>
      </c>
      <c r="C1855">
        <v>4</v>
      </c>
      <c r="D1855">
        <v>3</v>
      </c>
      <c r="E1855" t="s">
        <v>42</v>
      </c>
      <c r="F1855" t="s">
        <v>36</v>
      </c>
      <c r="G1855">
        <v>2</v>
      </c>
      <c r="H1855" s="5" t="s">
        <v>480</v>
      </c>
      <c r="I1855" s="5"/>
      <c r="J1855">
        <v>1</v>
      </c>
      <c r="K1855">
        <f>49-13</f>
        <v>36</v>
      </c>
      <c r="L1855" t="s">
        <v>120</v>
      </c>
      <c r="M1855">
        <v>1</v>
      </c>
    </row>
    <row r="1856" spans="1:13" x14ac:dyDescent="0.25">
      <c r="A1856" s="4">
        <v>42587</v>
      </c>
      <c r="B1856" t="s">
        <v>30</v>
      </c>
      <c r="C1856">
        <v>1</v>
      </c>
      <c r="D1856">
        <v>3</v>
      </c>
      <c r="E1856" t="s">
        <v>42</v>
      </c>
      <c r="F1856" t="s">
        <v>36</v>
      </c>
      <c r="G1856">
        <v>1</v>
      </c>
      <c r="H1856" s="5" t="s">
        <v>453</v>
      </c>
      <c r="I1856" s="5"/>
      <c r="J1856">
        <v>1</v>
      </c>
      <c r="K1856">
        <f>32.5-13</f>
        <v>19.5</v>
      </c>
      <c r="L1856" t="s">
        <v>47</v>
      </c>
      <c r="M1856">
        <v>1</v>
      </c>
    </row>
    <row r="1857" spans="1:13" x14ac:dyDescent="0.25">
      <c r="A1857" s="4">
        <v>42591</v>
      </c>
      <c r="B1857" t="s">
        <v>30</v>
      </c>
      <c r="C1857">
        <v>7</v>
      </c>
      <c r="D1857">
        <v>3</v>
      </c>
      <c r="E1857" t="s">
        <v>42</v>
      </c>
      <c r="F1857" t="s">
        <v>114</v>
      </c>
      <c r="G1857">
        <v>1</v>
      </c>
      <c r="H1857" s="5" t="s">
        <v>599</v>
      </c>
      <c r="I1857" s="5"/>
      <c r="J1857">
        <v>1</v>
      </c>
      <c r="K1857">
        <f>31-13</f>
        <v>18</v>
      </c>
      <c r="L1857" t="s">
        <v>47</v>
      </c>
      <c r="M1857">
        <v>1</v>
      </c>
    </row>
    <row r="1858" spans="1:13" x14ac:dyDescent="0.25">
      <c r="A1858" s="4">
        <v>42592</v>
      </c>
      <c r="B1858" t="s">
        <v>30</v>
      </c>
      <c r="C1858">
        <v>7</v>
      </c>
      <c r="D1858">
        <v>3</v>
      </c>
      <c r="E1858" t="s">
        <v>42</v>
      </c>
      <c r="F1858" t="s">
        <v>36</v>
      </c>
      <c r="G1858">
        <v>1</v>
      </c>
      <c r="H1858" s="5" t="s">
        <v>616</v>
      </c>
      <c r="I1858" s="5"/>
      <c r="J1858">
        <v>0</v>
      </c>
      <c r="K1858">
        <f>39-13</f>
        <v>26</v>
      </c>
      <c r="L1858" t="s">
        <v>47</v>
      </c>
      <c r="M1858">
        <v>1</v>
      </c>
    </row>
    <row r="1859" spans="1:13" x14ac:dyDescent="0.25">
      <c r="A1859" s="4">
        <v>42592</v>
      </c>
      <c r="B1859" t="s">
        <v>30</v>
      </c>
      <c r="C1859">
        <v>8</v>
      </c>
      <c r="D1859">
        <v>3</v>
      </c>
      <c r="E1859" t="s">
        <v>42</v>
      </c>
      <c r="F1859" t="s">
        <v>36</v>
      </c>
      <c r="G1859">
        <v>1</v>
      </c>
      <c r="H1859" s="5" t="s">
        <v>633</v>
      </c>
      <c r="I1859" s="5"/>
      <c r="J1859">
        <v>1</v>
      </c>
      <c r="K1859">
        <f>34.5-13</f>
        <v>21.5</v>
      </c>
      <c r="L1859" t="s">
        <v>47</v>
      </c>
      <c r="M1859">
        <v>1</v>
      </c>
    </row>
    <row r="1860" spans="1:13" x14ac:dyDescent="0.25">
      <c r="A1860" s="4">
        <v>42592</v>
      </c>
      <c r="B1860" t="s">
        <v>30</v>
      </c>
      <c r="C1860">
        <v>8</v>
      </c>
      <c r="D1860">
        <v>3</v>
      </c>
      <c r="E1860" t="s">
        <v>42</v>
      </c>
      <c r="F1860" t="s">
        <v>36</v>
      </c>
      <c r="G1860">
        <v>1</v>
      </c>
      <c r="H1860" s="5" t="s">
        <v>636</v>
      </c>
      <c r="I1860" s="5"/>
      <c r="J1860">
        <v>1</v>
      </c>
      <c r="L1860" t="s">
        <v>47</v>
      </c>
      <c r="M1860">
        <v>1</v>
      </c>
    </row>
    <row r="1861" spans="1:13" x14ac:dyDescent="0.25">
      <c r="A1861" s="4">
        <v>42593</v>
      </c>
      <c r="B1861" t="s">
        <v>30</v>
      </c>
      <c r="C1861">
        <v>8</v>
      </c>
      <c r="D1861">
        <v>3</v>
      </c>
      <c r="E1861" t="s">
        <v>35</v>
      </c>
      <c r="F1861" t="s">
        <v>36</v>
      </c>
      <c r="G1861">
        <v>1</v>
      </c>
      <c r="H1861" s="5" t="s">
        <v>636</v>
      </c>
      <c r="I1861" s="5"/>
      <c r="J1861">
        <v>1</v>
      </c>
      <c r="K1861">
        <f>41-18</f>
        <v>23</v>
      </c>
      <c r="L1861" t="s">
        <v>47</v>
      </c>
      <c r="M1861">
        <v>1</v>
      </c>
    </row>
    <row r="1862" spans="1:13" x14ac:dyDescent="0.25">
      <c r="A1862" s="4">
        <v>42592</v>
      </c>
      <c r="B1862" t="s">
        <v>30</v>
      </c>
      <c r="C1862">
        <v>8</v>
      </c>
      <c r="D1862">
        <v>3</v>
      </c>
      <c r="E1862" t="s">
        <v>42</v>
      </c>
      <c r="F1862" t="s">
        <v>36</v>
      </c>
      <c r="G1862">
        <v>2</v>
      </c>
      <c r="H1862" s="5" t="s">
        <v>638</v>
      </c>
      <c r="I1862" s="5"/>
      <c r="J1862">
        <v>1</v>
      </c>
      <c r="K1862">
        <f>35-18</f>
        <v>17</v>
      </c>
      <c r="L1862" t="s">
        <v>38</v>
      </c>
      <c r="M1862">
        <v>1</v>
      </c>
    </row>
    <row r="1863" spans="1:13" x14ac:dyDescent="0.25">
      <c r="A1863" s="4">
        <v>42598</v>
      </c>
      <c r="B1863" t="s">
        <v>30</v>
      </c>
      <c r="C1863">
        <v>2</v>
      </c>
      <c r="D1863">
        <v>3</v>
      </c>
      <c r="E1863" t="s">
        <v>42</v>
      </c>
      <c r="F1863" t="s">
        <v>114</v>
      </c>
      <c r="G1863">
        <v>1</v>
      </c>
      <c r="H1863" s="5" t="s">
        <v>766</v>
      </c>
      <c r="I1863" s="5"/>
      <c r="J1863">
        <v>1</v>
      </c>
      <c r="K1863">
        <f>29-13</f>
        <v>16</v>
      </c>
      <c r="L1863" t="s">
        <v>65</v>
      </c>
      <c r="M1863">
        <v>1</v>
      </c>
    </row>
    <row r="1864" spans="1:13" x14ac:dyDescent="0.25">
      <c r="A1864" s="4">
        <v>42589</v>
      </c>
      <c r="B1864" t="s">
        <v>30</v>
      </c>
      <c r="C1864">
        <v>4</v>
      </c>
      <c r="D1864">
        <v>3</v>
      </c>
      <c r="E1864" t="s">
        <v>42</v>
      </c>
      <c r="F1864" t="s">
        <v>36</v>
      </c>
      <c r="G1864">
        <v>2</v>
      </c>
      <c r="H1864" s="5" t="s">
        <v>534</v>
      </c>
      <c r="I1864" s="5"/>
      <c r="J1864">
        <v>1</v>
      </c>
      <c r="K1864">
        <f>32-14</f>
        <v>18</v>
      </c>
      <c r="L1864" t="s">
        <v>38</v>
      </c>
      <c r="M1864">
        <v>1</v>
      </c>
    </row>
    <row r="1865" spans="1:13" x14ac:dyDescent="0.25">
      <c r="A1865" s="4">
        <v>42592</v>
      </c>
      <c r="B1865" t="s">
        <v>30</v>
      </c>
      <c r="C1865">
        <v>5</v>
      </c>
      <c r="D1865">
        <v>3</v>
      </c>
      <c r="E1865" t="s">
        <v>42</v>
      </c>
      <c r="F1865" t="s">
        <v>36</v>
      </c>
      <c r="G1865">
        <v>2</v>
      </c>
      <c r="H1865" s="5" t="s">
        <v>660</v>
      </c>
      <c r="I1865" s="5"/>
      <c r="J1865">
        <v>0</v>
      </c>
      <c r="K1865">
        <f>34-12.5</f>
        <v>21.5</v>
      </c>
      <c r="L1865" t="s">
        <v>38</v>
      </c>
      <c r="M1865">
        <v>1</v>
      </c>
    </row>
    <row r="1866" spans="1:13" x14ac:dyDescent="0.25">
      <c r="A1866" s="4">
        <v>42591</v>
      </c>
      <c r="B1866" t="s">
        <v>30</v>
      </c>
      <c r="C1866">
        <v>4</v>
      </c>
      <c r="D1866">
        <v>3</v>
      </c>
      <c r="E1866" t="s">
        <v>42</v>
      </c>
      <c r="F1866" t="s">
        <v>36</v>
      </c>
      <c r="G1866">
        <v>2</v>
      </c>
      <c r="H1866" s="5" t="s">
        <v>564</v>
      </c>
      <c r="I1866" s="5"/>
      <c r="J1866">
        <v>1</v>
      </c>
      <c r="K1866">
        <f>35-13</f>
        <v>22</v>
      </c>
      <c r="L1866" t="s">
        <v>81</v>
      </c>
      <c r="M1866">
        <v>1</v>
      </c>
    </row>
    <row r="1867" spans="1:13" x14ac:dyDescent="0.25">
      <c r="A1867" s="4">
        <v>42592</v>
      </c>
      <c r="B1867" t="s">
        <v>30</v>
      </c>
      <c r="C1867">
        <v>4</v>
      </c>
      <c r="D1867">
        <v>3</v>
      </c>
      <c r="E1867" t="s">
        <v>35</v>
      </c>
      <c r="F1867" t="s">
        <v>36</v>
      </c>
      <c r="G1867">
        <v>2</v>
      </c>
      <c r="H1867" s="5" t="s">
        <v>564</v>
      </c>
      <c r="I1867" s="5"/>
      <c r="J1867">
        <v>1</v>
      </c>
      <c r="K1867">
        <f>35-14.5</f>
        <v>20.5</v>
      </c>
      <c r="L1867" t="s">
        <v>38</v>
      </c>
      <c r="M1867">
        <v>1</v>
      </c>
    </row>
    <row r="1868" spans="1:13" x14ac:dyDescent="0.25">
      <c r="A1868" s="4">
        <v>42593</v>
      </c>
      <c r="B1868" t="s">
        <v>30</v>
      </c>
      <c r="C1868">
        <v>4</v>
      </c>
      <c r="D1868">
        <v>3</v>
      </c>
      <c r="E1868" t="s">
        <v>35</v>
      </c>
      <c r="F1868" t="s">
        <v>36</v>
      </c>
      <c r="G1868">
        <v>2</v>
      </c>
      <c r="H1868" s="5" t="s">
        <v>564</v>
      </c>
      <c r="I1868" s="5"/>
      <c r="J1868">
        <v>1</v>
      </c>
      <c r="K1868">
        <f>32-12.5</f>
        <v>19.5</v>
      </c>
      <c r="L1868" t="s">
        <v>38</v>
      </c>
      <c r="M1868">
        <v>1</v>
      </c>
    </row>
    <row r="1869" spans="1:13" x14ac:dyDescent="0.25">
      <c r="A1869" s="4">
        <v>42929</v>
      </c>
      <c r="B1869" t="s">
        <v>30</v>
      </c>
      <c r="C1869">
        <v>7</v>
      </c>
      <c r="D1869">
        <v>3</v>
      </c>
      <c r="E1869" t="s">
        <v>35</v>
      </c>
      <c r="F1869" t="s">
        <v>36</v>
      </c>
      <c r="G1869">
        <v>2</v>
      </c>
      <c r="H1869">
        <v>39166</v>
      </c>
      <c r="J1869">
        <v>0</v>
      </c>
      <c r="K1869">
        <f>39-16</f>
        <v>23</v>
      </c>
      <c r="L1869" t="s">
        <v>83</v>
      </c>
      <c r="M1869">
        <v>2</v>
      </c>
    </row>
    <row r="1870" spans="1:13" x14ac:dyDescent="0.25">
      <c r="A1870" s="4">
        <v>42935</v>
      </c>
      <c r="B1870" t="s">
        <v>30</v>
      </c>
      <c r="C1870">
        <v>7</v>
      </c>
      <c r="D1870">
        <v>3</v>
      </c>
      <c r="E1870" t="s">
        <v>35</v>
      </c>
      <c r="F1870" t="s">
        <v>36</v>
      </c>
      <c r="G1870">
        <v>2</v>
      </c>
      <c r="H1870">
        <v>39166</v>
      </c>
      <c r="J1870">
        <v>0</v>
      </c>
      <c r="K1870">
        <f>37-14</f>
        <v>23</v>
      </c>
      <c r="L1870" t="s">
        <v>83</v>
      </c>
      <c r="M1870">
        <v>2</v>
      </c>
    </row>
    <row r="1871" spans="1:13" x14ac:dyDescent="0.25">
      <c r="A1871" s="4">
        <v>42937</v>
      </c>
      <c r="B1871" t="s">
        <v>30</v>
      </c>
      <c r="C1871">
        <v>7</v>
      </c>
      <c r="D1871">
        <v>3</v>
      </c>
      <c r="E1871" t="s">
        <v>35</v>
      </c>
      <c r="F1871" t="s">
        <v>36</v>
      </c>
      <c r="G1871">
        <v>2</v>
      </c>
      <c r="H1871">
        <v>39166</v>
      </c>
      <c r="J1871">
        <v>0</v>
      </c>
      <c r="K1871">
        <f>37-14.5</f>
        <v>22.5</v>
      </c>
      <c r="L1871" t="s">
        <v>83</v>
      </c>
      <c r="M1871">
        <v>2</v>
      </c>
    </row>
    <row r="1872" spans="1:13" x14ac:dyDescent="0.25">
      <c r="A1872" s="4">
        <v>42947</v>
      </c>
      <c r="B1872" t="s">
        <v>30</v>
      </c>
      <c r="C1872">
        <v>5</v>
      </c>
      <c r="D1872">
        <v>3</v>
      </c>
      <c r="E1872" t="s">
        <v>35</v>
      </c>
      <c r="F1872" t="s">
        <v>36</v>
      </c>
      <c r="G1872">
        <v>2</v>
      </c>
      <c r="H1872">
        <v>39320</v>
      </c>
      <c r="J1872">
        <v>1</v>
      </c>
      <c r="K1872">
        <f>37.5-14.5</f>
        <v>23</v>
      </c>
      <c r="L1872" t="s">
        <v>83</v>
      </c>
      <c r="M1872">
        <v>2</v>
      </c>
    </row>
    <row r="1873" spans="1:13" x14ac:dyDescent="0.25">
      <c r="A1873" s="4">
        <v>42948</v>
      </c>
      <c r="B1873" t="s">
        <v>30</v>
      </c>
      <c r="C1873">
        <v>5</v>
      </c>
      <c r="D1873">
        <v>3</v>
      </c>
      <c r="E1873" t="s">
        <v>35</v>
      </c>
      <c r="F1873" t="s">
        <v>36</v>
      </c>
      <c r="G1873">
        <v>2</v>
      </c>
      <c r="H1873">
        <v>39320</v>
      </c>
      <c r="J1873">
        <v>1</v>
      </c>
      <c r="K1873">
        <f>36.5-14.5</f>
        <v>22</v>
      </c>
      <c r="L1873" t="s">
        <v>83</v>
      </c>
      <c r="M1873">
        <v>2</v>
      </c>
    </row>
    <row r="1874" spans="1:13" x14ac:dyDescent="0.25">
      <c r="A1874" s="4">
        <v>42961</v>
      </c>
      <c r="B1874" t="s">
        <v>30</v>
      </c>
      <c r="C1874">
        <v>5</v>
      </c>
      <c r="D1874">
        <v>3</v>
      </c>
      <c r="E1874" t="s">
        <v>35</v>
      </c>
      <c r="F1874" t="s">
        <v>36</v>
      </c>
      <c r="G1874">
        <v>2</v>
      </c>
      <c r="H1874">
        <v>39320</v>
      </c>
      <c r="J1874">
        <v>0</v>
      </c>
      <c r="K1874">
        <f>35-14</f>
        <v>21</v>
      </c>
      <c r="L1874" t="s">
        <v>83</v>
      </c>
      <c r="M1874">
        <v>2</v>
      </c>
    </row>
    <row r="1875" spans="1:13" x14ac:dyDescent="0.25">
      <c r="A1875" s="4">
        <v>42962</v>
      </c>
      <c r="B1875" t="s">
        <v>30</v>
      </c>
      <c r="C1875">
        <v>5</v>
      </c>
      <c r="D1875">
        <v>3</v>
      </c>
      <c r="E1875" t="s">
        <v>35</v>
      </c>
      <c r="F1875" t="s">
        <v>36</v>
      </c>
      <c r="G1875">
        <v>2</v>
      </c>
      <c r="H1875">
        <v>39320</v>
      </c>
      <c r="J1875">
        <v>0</v>
      </c>
      <c r="K1875">
        <f>34-13</f>
        <v>21</v>
      </c>
      <c r="L1875" t="s">
        <v>83</v>
      </c>
      <c r="M1875">
        <v>2</v>
      </c>
    </row>
    <row r="1876" spans="1:13" x14ac:dyDescent="0.25">
      <c r="A1876" s="4">
        <v>42963</v>
      </c>
      <c r="B1876" t="s">
        <v>30</v>
      </c>
      <c r="C1876">
        <v>5</v>
      </c>
      <c r="D1876">
        <v>3</v>
      </c>
      <c r="E1876" t="s">
        <v>35</v>
      </c>
      <c r="F1876" t="s">
        <v>36</v>
      </c>
      <c r="G1876">
        <v>2</v>
      </c>
      <c r="H1876">
        <v>39320</v>
      </c>
      <c r="J1876">
        <v>0</v>
      </c>
      <c r="K1876">
        <f>34-14</f>
        <v>20</v>
      </c>
      <c r="L1876" t="s">
        <v>83</v>
      </c>
      <c r="M1876">
        <v>2</v>
      </c>
    </row>
    <row r="1877" spans="1:13" x14ac:dyDescent="0.25">
      <c r="A1877" s="4">
        <v>42937</v>
      </c>
      <c r="B1877" t="s">
        <v>30</v>
      </c>
      <c r="C1877">
        <v>5</v>
      </c>
      <c r="D1877">
        <v>3</v>
      </c>
      <c r="E1877" t="s">
        <v>35</v>
      </c>
      <c r="F1877" t="s">
        <v>36</v>
      </c>
      <c r="G1877">
        <v>1</v>
      </c>
      <c r="H1877">
        <v>39328</v>
      </c>
      <c r="J1877">
        <v>0</v>
      </c>
      <c r="K1877">
        <f>34-14</f>
        <v>20</v>
      </c>
      <c r="L1877" t="s">
        <v>47</v>
      </c>
      <c r="M1877">
        <v>2</v>
      </c>
    </row>
    <row r="1878" spans="1:13" x14ac:dyDescent="0.25">
      <c r="A1878" s="4">
        <v>42941</v>
      </c>
      <c r="B1878" t="s">
        <v>30</v>
      </c>
      <c r="C1878">
        <v>2</v>
      </c>
      <c r="D1878">
        <v>3</v>
      </c>
      <c r="E1878" t="s">
        <v>42</v>
      </c>
      <c r="F1878" t="s">
        <v>36</v>
      </c>
      <c r="G1878">
        <v>2</v>
      </c>
      <c r="H1878">
        <v>39371</v>
      </c>
      <c r="I1878">
        <v>39371</v>
      </c>
      <c r="J1878">
        <v>0</v>
      </c>
      <c r="K1878">
        <f>38-13</f>
        <v>25</v>
      </c>
      <c r="L1878" t="s">
        <v>1039</v>
      </c>
      <c r="M1878">
        <v>2</v>
      </c>
    </row>
    <row r="1879" spans="1:13" x14ac:dyDescent="0.25">
      <c r="A1879" s="4">
        <v>42949</v>
      </c>
      <c r="B1879" t="s">
        <v>30</v>
      </c>
      <c r="C1879">
        <v>7</v>
      </c>
      <c r="D1879">
        <v>3</v>
      </c>
      <c r="E1879" t="s">
        <v>42</v>
      </c>
      <c r="F1879" t="s">
        <v>36</v>
      </c>
      <c r="G1879">
        <v>2</v>
      </c>
      <c r="H1879">
        <v>39402</v>
      </c>
      <c r="I1879">
        <v>39402</v>
      </c>
      <c r="J1879">
        <v>0</v>
      </c>
      <c r="K1879">
        <f>37-13</f>
        <v>24</v>
      </c>
      <c r="L1879" t="s">
        <v>1041</v>
      </c>
      <c r="M1879">
        <v>2</v>
      </c>
    </row>
    <row r="1880" spans="1:13" x14ac:dyDescent="0.25">
      <c r="A1880" s="4">
        <v>42961</v>
      </c>
      <c r="B1880" t="s">
        <v>30</v>
      </c>
      <c r="C1880">
        <v>7</v>
      </c>
      <c r="D1880">
        <v>3</v>
      </c>
      <c r="E1880" t="s">
        <v>35</v>
      </c>
      <c r="F1880" t="s">
        <v>36</v>
      </c>
      <c r="G1880">
        <v>2</v>
      </c>
      <c r="H1880">
        <v>39402</v>
      </c>
      <c r="I1880">
        <v>39402</v>
      </c>
      <c r="J1880">
        <v>1</v>
      </c>
      <c r="K1880">
        <f>35.5-14</f>
        <v>21.5</v>
      </c>
      <c r="L1880" t="s">
        <v>1039</v>
      </c>
      <c r="M1880">
        <v>2</v>
      </c>
    </row>
    <row r="1881" spans="1:13" x14ac:dyDescent="0.25">
      <c r="A1881" s="4">
        <v>42962</v>
      </c>
      <c r="B1881" t="s">
        <v>30</v>
      </c>
      <c r="C1881">
        <v>7</v>
      </c>
      <c r="D1881">
        <v>3</v>
      </c>
      <c r="E1881" t="s">
        <v>35</v>
      </c>
      <c r="F1881" t="s">
        <v>36</v>
      </c>
      <c r="G1881">
        <v>2</v>
      </c>
      <c r="H1881">
        <v>39402</v>
      </c>
      <c r="I1881">
        <v>39402</v>
      </c>
      <c r="J1881">
        <v>1</v>
      </c>
      <c r="K1881">
        <f>32-13</f>
        <v>19</v>
      </c>
      <c r="L1881" t="s">
        <v>1039</v>
      </c>
      <c r="M1881">
        <v>2</v>
      </c>
    </row>
    <row r="1882" spans="1:13" x14ac:dyDescent="0.25">
      <c r="A1882" s="4">
        <v>42963</v>
      </c>
      <c r="B1882" t="s">
        <v>30</v>
      </c>
      <c r="C1882">
        <v>7</v>
      </c>
      <c r="D1882">
        <v>3</v>
      </c>
      <c r="E1882" t="s">
        <v>35</v>
      </c>
      <c r="F1882" t="s">
        <v>36</v>
      </c>
      <c r="G1882">
        <v>2</v>
      </c>
      <c r="H1882">
        <v>39402</v>
      </c>
      <c r="I1882">
        <v>39402</v>
      </c>
      <c r="J1882">
        <v>1</v>
      </c>
      <c r="K1882">
        <f>35.5-13</f>
        <v>22.5</v>
      </c>
      <c r="L1882" t="s">
        <v>1039</v>
      </c>
      <c r="M1882">
        <v>2</v>
      </c>
    </row>
    <row r="1883" spans="1:13" x14ac:dyDescent="0.25">
      <c r="A1883" s="4">
        <v>42963</v>
      </c>
      <c r="B1883" t="s">
        <v>30</v>
      </c>
      <c r="C1883">
        <v>5</v>
      </c>
      <c r="D1883">
        <v>3</v>
      </c>
      <c r="E1883" t="s">
        <v>42</v>
      </c>
      <c r="F1883" t="s">
        <v>36</v>
      </c>
      <c r="G1883">
        <v>2</v>
      </c>
      <c r="H1883">
        <v>39422</v>
      </c>
      <c r="J1883">
        <v>0</v>
      </c>
      <c r="K1883">
        <f>40-14</f>
        <v>26</v>
      </c>
      <c r="L1883" t="s">
        <v>38</v>
      </c>
      <c r="M1883">
        <v>2</v>
      </c>
    </row>
    <row r="1884" spans="1:13" x14ac:dyDescent="0.25">
      <c r="A1884" s="4">
        <v>42956</v>
      </c>
      <c r="B1884" t="s">
        <v>30</v>
      </c>
      <c r="C1884">
        <v>4</v>
      </c>
      <c r="D1884">
        <v>3</v>
      </c>
      <c r="E1884" t="s">
        <v>42</v>
      </c>
      <c r="F1884" t="s">
        <v>36</v>
      </c>
      <c r="G1884">
        <v>1</v>
      </c>
      <c r="H1884">
        <v>39427</v>
      </c>
      <c r="J1884">
        <v>1</v>
      </c>
      <c r="K1884">
        <f>38-16.5</f>
        <v>21.5</v>
      </c>
      <c r="L1884" t="s">
        <v>47</v>
      </c>
      <c r="M1884">
        <v>2</v>
      </c>
    </row>
    <row r="1885" spans="1:13" x14ac:dyDescent="0.25">
      <c r="A1885" s="4">
        <v>42957</v>
      </c>
      <c r="B1885" t="s">
        <v>30</v>
      </c>
      <c r="C1885">
        <v>4</v>
      </c>
      <c r="D1885">
        <v>3</v>
      </c>
      <c r="E1885" t="s">
        <v>35</v>
      </c>
      <c r="F1885" t="s">
        <v>36</v>
      </c>
      <c r="G1885">
        <v>1</v>
      </c>
      <c r="H1885">
        <v>39427</v>
      </c>
      <c r="J1885">
        <v>1</v>
      </c>
      <c r="K1885">
        <f>35.5-13.5</f>
        <v>22</v>
      </c>
      <c r="L1885" t="s">
        <v>47</v>
      </c>
      <c r="M1885">
        <v>2</v>
      </c>
    </row>
    <row r="1886" spans="1:13" x14ac:dyDescent="0.25">
      <c r="A1886" s="4">
        <v>42948</v>
      </c>
      <c r="B1886" t="s">
        <v>30</v>
      </c>
      <c r="C1886">
        <v>5</v>
      </c>
      <c r="D1886">
        <v>3</v>
      </c>
      <c r="E1886" t="s">
        <v>42</v>
      </c>
      <c r="F1886" t="s">
        <v>36</v>
      </c>
      <c r="G1886">
        <v>1</v>
      </c>
      <c r="H1886">
        <v>39444</v>
      </c>
      <c r="J1886">
        <v>1</v>
      </c>
      <c r="K1886">
        <f>43-13</f>
        <v>30</v>
      </c>
      <c r="L1886" t="s">
        <v>47</v>
      </c>
      <c r="M1886">
        <v>2</v>
      </c>
    </row>
    <row r="1887" spans="1:13" x14ac:dyDescent="0.25">
      <c r="A1887" s="4">
        <v>42963</v>
      </c>
      <c r="B1887" t="s">
        <v>30</v>
      </c>
      <c r="C1887">
        <v>5</v>
      </c>
      <c r="D1887">
        <v>3</v>
      </c>
      <c r="E1887" t="s">
        <v>35</v>
      </c>
      <c r="F1887" t="s">
        <v>36</v>
      </c>
      <c r="G1887">
        <v>1</v>
      </c>
      <c r="H1887">
        <v>39444</v>
      </c>
      <c r="J1887">
        <v>0</v>
      </c>
      <c r="K1887">
        <f>39-13</f>
        <v>26</v>
      </c>
      <c r="L1887" t="s">
        <v>47</v>
      </c>
      <c r="M1887">
        <v>2</v>
      </c>
    </row>
    <row r="1888" spans="1:13" x14ac:dyDescent="0.25">
      <c r="A1888" s="4">
        <v>42941</v>
      </c>
      <c r="B1888" t="s">
        <v>30</v>
      </c>
      <c r="C1888">
        <v>1</v>
      </c>
      <c r="D1888">
        <v>3</v>
      </c>
      <c r="E1888" t="s">
        <v>42</v>
      </c>
      <c r="F1888" t="s">
        <v>36</v>
      </c>
      <c r="G1888">
        <v>2</v>
      </c>
      <c r="H1888">
        <v>39451</v>
      </c>
      <c r="J1888">
        <v>0</v>
      </c>
      <c r="K1888">
        <f>45-18</f>
        <v>27</v>
      </c>
      <c r="L1888" t="s">
        <v>1039</v>
      </c>
      <c r="M1888">
        <v>2</v>
      </c>
    </row>
    <row r="1889" spans="1:13" x14ac:dyDescent="0.25">
      <c r="A1889" s="4">
        <v>42942</v>
      </c>
      <c r="B1889" t="s">
        <v>30</v>
      </c>
      <c r="C1889">
        <v>1</v>
      </c>
      <c r="D1889">
        <v>3</v>
      </c>
      <c r="E1889" t="s">
        <v>42</v>
      </c>
      <c r="F1889" t="s">
        <v>36</v>
      </c>
      <c r="G1889">
        <v>1</v>
      </c>
      <c r="H1889">
        <v>39457</v>
      </c>
      <c r="I1889">
        <v>39457</v>
      </c>
      <c r="J1889">
        <v>0</v>
      </c>
      <c r="K1889">
        <f>37-13</f>
        <v>24</v>
      </c>
      <c r="L1889" t="s">
        <v>47</v>
      </c>
      <c r="M1889">
        <v>2</v>
      </c>
    </row>
    <row r="1890" spans="1:13" x14ac:dyDescent="0.25">
      <c r="A1890" s="4">
        <v>42931</v>
      </c>
      <c r="B1890" t="s">
        <v>30</v>
      </c>
      <c r="C1890">
        <v>1</v>
      </c>
      <c r="D1890">
        <v>3</v>
      </c>
      <c r="E1890" t="s">
        <v>42</v>
      </c>
      <c r="F1890" t="s">
        <v>36</v>
      </c>
      <c r="G1890">
        <v>2</v>
      </c>
      <c r="H1890">
        <v>39476</v>
      </c>
      <c r="J1890">
        <v>0</v>
      </c>
      <c r="K1890">
        <f>40.5-13</f>
        <v>27.5</v>
      </c>
      <c r="L1890" t="s">
        <v>1041</v>
      </c>
      <c r="M1890">
        <v>2</v>
      </c>
    </row>
    <row r="1891" spans="1:13" x14ac:dyDescent="0.25">
      <c r="A1891" s="4">
        <v>42936</v>
      </c>
      <c r="B1891" t="s">
        <v>30</v>
      </c>
      <c r="C1891">
        <v>5</v>
      </c>
      <c r="D1891">
        <v>3</v>
      </c>
      <c r="E1891" t="s">
        <v>42</v>
      </c>
      <c r="F1891" t="s">
        <v>36</v>
      </c>
      <c r="G1891">
        <v>1</v>
      </c>
      <c r="H1891">
        <v>39497</v>
      </c>
      <c r="J1891">
        <v>0</v>
      </c>
      <c r="K1891">
        <f>38-13</f>
        <v>25</v>
      </c>
      <c r="L1891" t="s">
        <v>47</v>
      </c>
      <c r="M1891">
        <v>2</v>
      </c>
    </row>
    <row r="1892" spans="1:13" x14ac:dyDescent="0.25">
      <c r="A1892" s="4">
        <v>42937</v>
      </c>
      <c r="B1892" t="s">
        <v>30</v>
      </c>
      <c r="C1892">
        <v>5</v>
      </c>
      <c r="D1892">
        <v>3</v>
      </c>
      <c r="E1892" t="s">
        <v>35</v>
      </c>
      <c r="F1892" t="s">
        <v>36</v>
      </c>
      <c r="G1892">
        <v>1</v>
      </c>
      <c r="H1892">
        <v>39497</v>
      </c>
      <c r="J1892">
        <v>0</v>
      </c>
      <c r="K1892">
        <f>36-13</f>
        <v>23</v>
      </c>
      <c r="L1892" t="s">
        <v>47</v>
      </c>
      <c r="M1892">
        <v>2</v>
      </c>
    </row>
    <row r="1893" spans="1:13" x14ac:dyDescent="0.25">
      <c r="A1893" s="4">
        <v>42948</v>
      </c>
      <c r="B1893" t="s">
        <v>30</v>
      </c>
      <c r="C1893">
        <v>5</v>
      </c>
      <c r="D1893">
        <v>3</v>
      </c>
      <c r="E1893" t="s">
        <v>35</v>
      </c>
      <c r="F1893" t="s">
        <v>36</v>
      </c>
      <c r="G1893">
        <v>1</v>
      </c>
      <c r="H1893">
        <v>39497</v>
      </c>
      <c r="J1893">
        <v>1</v>
      </c>
      <c r="K1893">
        <f>35-13</f>
        <v>22</v>
      </c>
      <c r="L1893" t="s">
        <v>47</v>
      </c>
      <c r="M1893">
        <v>2</v>
      </c>
    </row>
    <row r="1894" spans="1:13" x14ac:dyDescent="0.25">
      <c r="A1894" s="4">
        <v>42963</v>
      </c>
      <c r="B1894" t="s">
        <v>30</v>
      </c>
      <c r="C1894">
        <v>5</v>
      </c>
      <c r="D1894">
        <v>3</v>
      </c>
      <c r="E1894" t="s">
        <v>35</v>
      </c>
      <c r="F1894" t="s">
        <v>36</v>
      </c>
      <c r="G1894">
        <v>1</v>
      </c>
      <c r="H1894">
        <v>39497</v>
      </c>
      <c r="J1894">
        <v>0</v>
      </c>
      <c r="K1894">
        <f>38-14</f>
        <v>24</v>
      </c>
      <c r="L1894" t="s">
        <v>65</v>
      </c>
      <c r="M1894">
        <v>2</v>
      </c>
    </row>
    <row r="1895" spans="1:13" x14ac:dyDescent="0.25">
      <c r="A1895" s="4">
        <v>42936</v>
      </c>
      <c r="B1895" t="s">
        <v>30</v>
      </c>
      <c r="C1895">
        <v>5</v>
      </c>
      <c r="D1895">
        <v>3</v>
      </c>
      <c r="E1895" t="s">
        <v>42</v>
      </c>
      <c r="F1895" t="s">
        <v>36</v>
      </c>
      <c r="G1895">
        <v>2</v>
      </c>
      <c r="H1895">
        <v>39498</v>
      </c>
      <c r="J1895">
        <v>0</v>
      </c>
      <c r="K1895">
        <f>36-14</f>
        <v>22</v>
      </c>
      <c r="L1895" t="s">
        <v>1039</v>
      </c>
      <c r="M1895">
        <v>2</v>
      </c>
    </row>
    <row r="1896" spans="1:13" x14ac:dyDescent="0.25">
      <c r="A1896" s="4">
        <v>42937</v>
      </c>
      <c r="B1896" t="s">
        <v>30</v>
      </c>
      <c r="C1896">
        <v>5</v>
      </c>
      <c r="D1896">
        <v>3</v>
      </c>
      <c r="E1896" t="s">
        <v>35</v>
      </c>
      <c r="F1896" t="s">
        <v>36</v>
      </c>
      <c r="G1896">
        <v>2</v>
      </c>
      <c r="H1896">
        <v>39498</v>
      </c>
      <c r="J1896">
        <v>0</v>
      </c>
      <c r="K1896">
        <f>35-14</f>
        <v>21</v>
      </c>
      <c r="L1896" t="s">
        <v>1039</v>
      </c>
      <c r="M1896">
        <v>2</v>
      </c>
    </row>
    <row r="1897" spans="1:13" x14ac:dyDescent="0.25">
      <c r="A1897" s="4">
        <v>42948</v>
      </c>
      <c r="B1897" t="s">
        <v>30</v>
      </c>
      <c r="C1897">
        <v>5</v>
      </c>
      <c r="D1897">
        <v>3</v>
      </c>
      <c r="E1897" t="s">
        <v>35</v>
      </c>
      <c r="F1897" t="s">
        <v>36</v>
      </c>
      <c r="G1897">
        <v>2</v>
      </c>
      <c r="H1897">
        <v>39498</v>
      </c>
      <c r="J1897">
        <v>1</v>
      </c>
      <c r="K1897">
        <f>36.5-15</f>
        <v>21.5</v>
      </c>
      <c r="L1897" t="s">
        <v>1039</v>
      </c>
      <c r="M1897">
        <v>2</v>
      </c>
    </row>
    <row r="1898" spans="1:13" x14ac:dyDescent="0.25">
      <c r="A1898" s="4">
        <v>42962</v>
      </c>
      <c r="B1898" t="s">
        <v>30</v>
      </c>
      <c r="C1898">
        <v>5</v>
      </c>
      <c r="D1898">
        <v>3</v>
      </c>
      <c r="E1898" t="s">
        <v>35</v>
      </c>
      <c r="F1898" t="s">
        <v>36</v>
      </c>
      <c r="G1898">
        <v>2</v>
      </c>
      <c r="H1898">
        <v>39498</v>
      </c>
      <c r="J1898">
        <v>0</v>
      </c>
      <c r="K1898">
        <f>33-13.5</f>
        <v>19.5</v>
      </c>
      <c r="L1898" t="s">
        <v>38</v>
      </c>
      <c r="M1898">
        <v>2</v>
      </c>
    </row>
    <row r="1899" spans="1:13" x14ac:dyDescent="0.25">
      <c r="A1899" s="4">
        <v>42963</v>
      </c>
      <c r="B1899" t="s">
        <v>30</v>
      </c>
      <c r="C1899">
        <v>5</v>
      </c>
      <c r="D1899">
        <v>3</v>
      </c>
      <c r="E1899" t="s">
        <v>35</v>
      </c>
      <c r="F1899" t="s">
        <v>36</v>
      </c>
      <c r="G1899">
        <v>2</v>
      </c>
      <c r="H1899">
        <v>39498</v>
      </c>
      <c r="J1899">
        <v>0</v>
      </c>
      <c r="K1899">
        <f>33-14</f>
        <v>19</v>
      </c>
      <c r="L1899" t="s">
        <v>1039</v>
      </c>
      <c r="M1899">
        <v>2</v>
      </c>
    </row>
    <row r="1900" spans="1:13" x14ac:dyDescent="0.25">
      <c r="A1900" s="4">
        <v>42936</v>
      </c>
      <c r="B1900" t="s">
        <v>30</v>
      </c>
      <c r="C1900">
        <v>4</v>
      </c>
      <c r="D1900">
        <v>3</v>
      </c>
      <c r="E1900" t="s">
        <v>42</v>
      </c>
      <c r="F1900" t="s">
        <v>36</v>
      </c>
      <c r="G1900">
        <v>2</v>
      </c>
      <c r="H1900">
        <v>39499</v>
      </c>
      <c r="J1900">
        <v>1</v>
      </c>
      <c r="K1900">
        <f>43.5-15</f>
        <v>28.5</v>
      </c>
      <c r="L1900" t="s">
        <v>81</v>
      </c>
      <c r="M1900">
        <v>2</v>
      </c>
    </row>
    <row r="1901" spans="1:13" x14ac:dyDescent="0.25">
      <c r="A1901" s="4">
        <v>42941</v>
      </c>
      <c r="B1901" t="s">
        <v>30</v>
      </c>
      <c r="C1901">
        <v>1</v>
      </c>
      <c r="D1901">
        <v>3</v>
      </c>
      <c r="E1901" t="s">
        <v>42</v>
      </c>
      <c r="F1901" t="s">
        <v>36</v>
      </c>
      <c r="G1901">
        <v>1</v>
      </c>
      <c r="H1901">
        <v>39728</v>
      </c>
      <c r="J1901">
        <v>1</v>
      </c>
      <c r="K1901">
        <f>41-13</f>
        <v>28</v>
      </c>
      <c r="L1901" t="s">
        <v>47</v>
      </c>
      <c r="M1901">
        <v>2</v>
      </c>
    </row>
    <row r="1902" spans="1:13" x14ac:dyDescent="0.25">
      <c r="A1902" s="4">
        <v>42929</v>
      </c>
      <c r="B1902" t="s">
        <v>30</v>
      </c>
      <c r="C1902">
        <v>7</v>
      </c>
      <c r="D1902">
        <v>3</v>
      </c>
      <c r="E1902" t="s">
        <v>42</v>
      </c>
      <c r="F1902" t="s">
        <v>36</v>
      </c>
      <c r="G1902">
        <v>2</v>
      </c>
      <c r="H1902">
        <v>39752</v>
      </c>
      <c r="J1902">
        <v>0</v>
      </c>
      <c r="K1902">
        <f>35-13</f>
        <v>22</v>
      </c>
      <c r="L1902" t="s">
        <v>1039</v>
      </c>
      <c r="M1902">
        <v>2</v>
      </c>
    </row>
    <row r="1903" spans="1:13" x14ac:dyDescent="0.25">
      <c r="A1903" s="4">
        <v>42936</v>
      </c>
      <c r="B1903" t="s">
        <v>30</v>
      </c>
      <c r="C1903">
        <v>7</v>
      </c>
      <c r="D1903">
        <v>3</v>
      </c>
      <c r="E1903" t="s">
        <v>35</v>
      </c>
      <c r="F1903" t="s">
        <v>36</v>
      </c>
      <c r="G1903">
        <v>2</v>
      </c>
      <c r="H1903">
        <v>39752</v>
      </c>
      <c r="J1903">
        <v>0</v>
      </c>
      <c r="K1903">
        <f>32-14</f>
        <v>18</v>
      </c>
      <c r="L1903" t="s">
        <v>1039</v>
      </c>
      <c r="M1903">
        <v>2</v>
      </c>
    </row>
    <row r="1904" spans="1:13" x14ac:dyDescent="0.25">
      <c r="A1904" s="4">
        <v>42937</v>
      </c>
      <c r="B1904" t="s">
        <v>30</v>
      </c>
      <c r="C1904">
        <v>7</v>
      </c>
      <c r="D1904">
        <v>3</v>
      </c>
      <c r="E1904" t="s">
        <v>35</v>
      </c>
      <c r="F1904" t="s">
        <v>36</v>
      </c>
      <c r="G1904">
        <v>2</v>
      </c>
      <c r="H1904">
        <v>39752</v>
      </c>
      <c r="J1904">
        <v>0</v>
      </c>
      <c r="K1904">
        <f>37-13</f>
        <v>24</v>
      </c>
      <c r="L1904" t="s">
        <v>1039</v>
      </c>
      <c r="M1904">
        <v>2</v>
      </c>
    </row>
    <row r="1905" spans="1:13" x14ac:dyDescent="0.25">
      <c r="A1905" s="4">
        <v>42929</v>
      </c>
      <c r="B1905" t="s">
        <v>30</v>
      </c>
      <c r="C1905">
        <v>7</v>
      </c>
      <c r="D1905">
        <v>3</v>
      </c>
      <c r="E1905" t="s">
        <v>35</v>
      </c>
      <c r="F1905" t="s">
        <v>36</v>
      </c>
      <c r="G1905">
        <v>2</v>
      </c>
      <c r="H1905">
        <v>39759</v>
      </c>
      <c r="I1905">
        <v>39759</v>
      </c>
      <c r="J1905">
        <v>0</v>
      </c>
      <c r="K1905">
        <f>37.5-14</f>
        <v>23.5</v>
      </c>
      <c r="L1905" t="s">
        <v>1041</v>
      </c>
      <c r="M1905">
        <v>2</v>
      </c>
    </row>
    <row r="1906" spans="1:13" x14ac:dyDescent="0.25">
      <c r="A1906" s="4">
        <v>42935</v>
      </c>
      <c r="B1906" t="s">
        <v>30</v>
      </c>
      <c r="C1906">
        <v>7</v>
      </c>
      <c r="D1906">
        <v>3</v>
      </c>
      <c r="E1906" t="s">
        <v>35</v>
      </c>
      <c r="F1906" t="s">
        <v>36</v>
      </c>
      <c r="G1906">
        <v>2</v>
      </c>
      <c r="H1906">
        <v>39759</v>
      </c>
      <c r="I1906">
        <v>39759</v>
      </c>
      <c r="J1906">
        <v>0</v>
      </c>
      <c r="K1906">
        <f>35-14</f>
        <v>21</v>
      </c>
      <c r="L1906" t="s">
        <v>1039</v>
      </c>
      <c r="M1906">
        <v>2</v>
      </c>
    </row>
    <row r="1907" spans="1:13" x14ac:dyDescent="0.25">
      <c r="A1907" s="4">
        <v>42936</v>
      </c>
      <c r="B1907" t="s">
        <v>30</v>
      </c>
      <c r="C1907">
        <v>7</v>
      </c>
      <c r="D1907">
        <v>3</v>
      </c>
      <c r="E1907" t="s">
        <v>35</v>
      </c>
      <c r="F1907" t="s">
        <v>36</v>
      </c>
      <c r="G1907">
        <v>2</v>
      </c>
      <c r="H1907">
        <v>39759</v>
      </c>
      <c r="I1907">
        <v>39759</v>
      </c>
      <c r="J1907">
        <v>0</v>
      </c>
      <c r="K1907">
        <f>33-13.5</f>
        <v>19.5</v>
      </c>
      <c r="L1907" t="s">
        <v>1039</v>
      </c>
      <c r="M1907">
        <v>2</v>
      </c>
    </row>
    <row r="1908" spans="1:13" x14ac:dyDescent="0.25">
      <c r="A1908" s="4">
        <v>42937</v>
      </c>
      <c r="B1908" t="s">
        <v>30</v>
      </c>
      <c r="C1908">
        <v>7</v>
      </c>
      <c r="D1908">
        <v>3</v>
      </c>
      <c r="E1908" t="s">
        <v>35</v>
      </c>
      <c r="F1908" t="s">
        <v>36</v>
      </c>
      <c r="G1908">
        <v>2</v>
      </c>
      <c r="H1908">
        <v>39759</v>
      </c>
      <c r="I1908">
        <v>39759</v>
      </c>
      <c r="J1908">
        <v>0</v>
      </c>
      <c r="K1908">
        <f>31.5-12.5</f>
        <v>19</v>
      </c>
      <c r="L1908" t="s">
        <v>1039</v>
      </c>
      <c r="M1908">
        <v>2</v>
      </c>
    </row>
    <row r="1909" spans="1:13" x14ac:dyDescent="0.25">
      <c r="A1909" s="4">
        <v>42947</v>
      </c>
      <c r="B1909" t="s">
        <v>30</v>
      </c>
      <c r="C1909">
        <v>7</v>
      </c>
      <c r="D1909">
        <v>3</v>
      </c>
      <c r="E1909" t="s">
        <v>35</v>
      </c>
      <c r="F1909" t="s">
        <v>36</v>
      </c>
      <c r="G1909">
        <v>2</v>
      </c>
      <c r="H1909">
        <v>39759</v>
      </c>
      <c r="I1909">
        <v>39759</v>
      </c>
      <c r="J1909">
        <v>0</v>
      </c>
      <c r="K1909">
        <f>35-13</f>
        <v>22</v>
      </c>
      <c r="L1909" t="s">
        <v>1039</v>
      </c>
      <c r="M1909">
        <v>2</v>
      </c>
    </row>
    <row r="1910" spans="1:13" x14ac:dyDescent="0.25">
      <c r="A1910" s="4">
        <v>42948</v>
      </c>
      <c r="B1910" t="s">
        <v>30</v>
      </c>
      <c r="C1910">
        <v>7</v>
      </c>
      <c r="D1910">
        <v>3</v>
      </c>
      <c r="E1910" t="s">
        <v>35</v>
      </c>
      <c r="F1910" t="s">
        <v>36</v>
      </c>
      <c r="G1910">
        <v>2</v>
      </c>
      <c r="H1910">
        <v>39759</v>
      </c>
      <c r="I1910">
        <v>39759</v>
      </c>
      <c r="J1910">
        <v>0</v>
      </c>
      <c r="K1910">
        <f>33-14</f>
        <v>19</v>
      </c>
      <c r="L1910" t="s">
        <v>1039</v>
      </c>
      <c r="M1910">
        <v>2</v>
      </c>
    </row>
    <row r="1911" spans="1:13" x14ac:dyDescent="0.25">
      <c r="A1911" s="4">
        <v>42929</v>
      </c>
      <c r="B1911" t="s">
        <v>30</v>
      </c>
      <c r="C1911">
        <v>7</v>
      </c>
      <c r="D1911">
        <v>3</v>
      </c>
      <c r="E1911" t="s">
        <v>35</v>
      </c>
      <c r="F1911" t="s">
        <v>36</v>
      </c>
      <c r="G1911">
        <v>1</v>
      </c>
      <c r="H1911">
        <v>39760</v>
      </c>
      <c r="J1911">
        <v>0</v>
      </c>
      <c r="K1911">
        <f>33-12</f>
        <v>21</v>
      </c>
      <c r="L1911" t="s">
        <v>47</v>
      </c>
      <c r="M1911">
        <v>2</v>
      </c>
    </row>
    <row r="1912" spans="1:13" x14ac:dyDescent="0.25">
      <c r="A1912" s="4">
        <v>42935</v>
      </c>
      <c r="B1912" t="s">
        <v>30</v>
      </c>
      <c r="C1912">
        <v>7</v>
      </c>
      <c r="D1912">
        <v>3</v>
      </c>
      <c r="E1912" t="s">
        <v>35</v>
      </c>
      <c r="F1912" t="s">
        <v>36</v>
      </c>
      <c r="G1912">
        <v>1</v>
      </c>
      <c r="H1912">
        <v>39760</v>
      </c>
      <c r="J1912">
        <v>0</v>
      </c>
      <c r="K1912">
        <f>33-14</f>
        <v>19</v>
      </c>
      <c r="L1912" t="s">
        <v>65</v>
      </c>
      <c r="M1912">
        <v>2</v>
      </c>
    </row>
    <row r="1913" spans="1:13" x14ac:dyDescent="0.25">
      <c r="A1913" s="4">
        <v>42929</v>
      </c>
      <c r="B1913" t="s">
        <v>30</v>
      </c>
      <c r="C1913">
        <v>7</v>
      </c>
      <c r="D1913">
        <v>3</v>
      </c>
      <c r="E1913" t="s">
        <v>35</v>
      </c>
      <c r="F1913" t="s">
        <v>36</v>
      </c>
      <c r="G1913">
        <v>1</v>
      </c>
      <c r="H1913">
        <v>39772</v>
      </c>
      <c r="I1913">
        <v>39772</v>
      </c>
      <c r="J1913">
        <v>0</v>
      </c>
      <c r="K1913">
        <f>33.5-15</f>
        <v>18.5</v>
      </c>
      <c r="L1913" t="s">
        <v>47</v>
      </c>
      <c r="M1913">
        <v>2</v>
      </c>
    </row>
    <row r="1914" spans="1:13" x14ac:dyDescent="0.25">
      <c r="A1914" s="4">
        <v>42929</v>
      </c>
      <c r="B1914" t="s">
        <v>30</v>
      </c>
      <c r="C1914">
        <v>8</v>
      </c>
      <c r="D1914">
        <v>3</v>
      </c>
      <c r="E1914" t="s">
        <v>42</v>
      </c>
      <c r="F1914" t="s">
        <v>36</v>
      </c>
      <c r="G1914">
        <v>2</v>
      </c>
      <c r="H1914">
        <v>39783</v>
      </c>
      <c r="J1914">
        <v>0</v>
      </c>
      <c r="K1914">
        <f>49.5-16</f>
        <v>33.5</v>
      </c>
      <c r="L1914" t="s">
        <v>1041</v>
      </c>
      <c r="M1914">
        <v>2</v>
      </c>
    </row>
    <row r="1915" spans="1:13" x14ac:dyDescent="0.25">
      <c r="A1915" s="4">
        <v>42937</v>
      </c>
      <c r="B1915" t="s">
        <v>30</v>
      </c>
      <c r="C1915">
        <v>8</v>
      </c>
      <c r="D1915">
        <v>3</v>
      </c>
      <c r="E1915" t="s">
        <v>35</v>
      </c>
      <c r="F1915" t="s">
        <v>36</v>
      </c>
      <c r="G1915">
        <v>2</v>
      </c>
      <c r="H1915">
        <v>39783</v>
      </c>
      <c r="J1915">
        <v>0</v>
      </c>
      <c r="K1915">
        <f>39-15</f>
        <v>24</v>
      </c>
      <c r="L1915" t="s">
        <v>1039</v>
      </c>
      <c r="M1915">
        <v>2</v>
      </c>
    </row>
    <row r="1916" spans="1:13" x14ac:dyDescent="0.25">
      <c r="A1916" s="4">
        <v>42947</v>
      </c>
      <c r="B1916" t="s">
        <v>30</v>
      </c>
      <c r="C1916">
        <v>8</v>
      </c>
      <c r="D1916">
        <v>3</v>
      </c>
      <c r="E1916" t="s">
        <v>35</v>
      </c>
      <c r="F1916" t="s">
        <v>36</v>
      </c>
      <c r="G1916">
        <v>2</v>
      </c>
      <c r="H1916">
        <v>39783</v>
      </c>
      <c r="J1916">
        <v>0</v>
      </c>
      <c r="K1916">
        <f>43-14</f>
        <v>29</v>
      </c>
      <c r="L1916" t="s">
        <v>1041</v>
      </c>
      <c r="M1916">
        <v>2</v>
      </c>
    </row>
    <row r="1917" spans="1:13" x14ac:dyDescent="0.25">
      <c r="A1917" s="4">
        <v>42961</v>
      </c>
      <c r="B1917" t="s">
        <v>30</v>
      </c>
      <c r="C1917">
        <v>8</v>
      </c>
      <c r="D1917">
        <v>3</v>
      </c>
      <c r="E1917" t="s">
        <v>35</v>
      </c>
      <c r="F1917" t="s">
        <v>36</v>
      </c>
      <c r="G1917">
        <v>2</v>
      </c>
      <c r="H1917">
        <v>39783</v>
      </c>
      <c r="J1917">
        <v>1</v>
      </c>
      <c r="K1917">
        <f>37-14</f>
        <v>23</v>
      </c>
      <c r="L1917" t="s">
        <v>1039</v>
      </c>
      <c r="M1917">
        <v>2</v>
      </c>
    </row>
    <row r="1918" spans="1:13" x14ac:dyDescent="0.25">
      <c r="A1918" s="4">
        <v>42962</v>
      </c>
      <c r="B1918" t="s">
        <v>30</v>
      </c>
      <c r="C1918">
        <v>8</v>
      </c>
      <c r="D1918">
        <v>3</v>
      </c>
      <c r="E1918" t="s">
        <v>35</v>
      </c>
      <c r="F1918" t="s">
        <v>36</v>
      </c>
      <c r="G1918">
        <v>2</v>
      </c>
      <c r="H1918">
        <v>39783</v>
      </c>
      <c r="J1918">
        <v>1</v>
      </c>
      <c r="K1918">
        <f>36-14</f>
        <v>22</v>
      </c>
      <c r="L1918" t="s">
        <v>1039</v>
      </c>
      <c r="M1918">
        <v>2</v>
      </c>
    </row>
    <row r="1919" spans="1:13" x14ac:dyDescent="0.25">
      <c r="A1919" s="4">
        <v>42963</v>
      </c>
      <c r="B1919" t="s">
        <v>30</v>
      </c>
      <c r="C1919">
        <v>8</v>
      </c>
      <c r="D1919">
        <v>3</v>
      </c>
      <c r="E1919" t="s">
        <v>35</v>
      </c>
      <c r="F1919" t="s">
        <v>36</v>
      </c>
      <c r="G1919">
        <v>2</v>
      </c>
      <c r="H1919">
        <v>39783</v>
      </c>
      <c r="J1919">
        <v>1</v>
      </c>
      <c r="K1919">
        <f>40-15.5</f>
        <v>24.5</v>
      </c>
      <c r="L1919" t="s">
        <v>1039</v>
      </c>
      <c r="M1919">
        <v>2</v>
      </c>
    </row>
    <row r="1920" spans="1:13" x14ac:dyDescent="0.25">
      <c r="A1920" s="4">
        <v>42929</v>
      </c>
      <c r="B1920" t="s">
        <v>30</v>
      </c>
      <c r="C1920">
        <v>8</v>
      </c>
      <c r="D1920">
        <v>3</v>
      </c>
      <c r="E1920" t="s">
        <v>42</v>
      </c>
      <c r="F1920" t="s">
        <v>36</v>
      </c>
      <c r="G1920">
        <v>1</v>
      </c>
      <c r="H1920">
        <v>39784</v>
      </c>
      <c r="J1920">
        <v>0</v>
      </c>
      <c r="K1920">
        <f>39.5-16.5</f>
        <v>23</v>
      </c>
      <c r="L1920" t="s">
        <v>47</v>
      </c>
      <c r="M1920">
        <v>2</v>
      </c>
    </row>
    <row r="1921" spans="1:13" x14ac:dyDescent="0.25">
      <c r="A1921" s="4">
        <v>42936</v>
      </c>
      <c r="B1921" t="s">
        <v>30</v>
      </c>
      <c r="C1921">
        <v>8</v>
      </c>
      <c r="D1921">
        <v>3</v>
      </c>
      <c r="E1921" t="s">
        <v>35</v>
      </c>
      <c r="F1921" t="s">
        <v>36</v>
      </c>
      <c r="G1921">
        <v>1</v>
      </c>
      <c r="H1921">
        <v>39784</v>
      </c>
      <c r="J1921">
        <v>0</v>
      </c>
      <c r="K1921">
        <f>35-14.5</f>
        <v>20.5</v>
      </c>
      <c r="L1921" t="s">
        <v>47</v>
      </c>
      <c r="M1921">
        <v>2</v>
      </c>
    </row>
    <row r="1922" spans="1:13" x14ac:dyDescent="0.25">
      <c r="A1922" s="4">
        <v>42930</v>
      </c>
      <c r="B1922" t="s">
        <v>30</v>
      </c>
      <c r="C1922">
        <v>1</v>
      </c>
      <c r="D1922">
        <v>3</v>
      </c>
      <c r="E1922" t="s">
        <v>42</v>
      </c>
      <c r="F1922" t="s">
        <v>36</v>
      </c>
      <c r="G1922">
        <v>1</v>
      </c>
      <c r="H1922">
        <v>39793</v>
      </c>
      <c r="J1922">
        <v>0</v>
      </c>
      <c r="K1922">
        <f>36.7-16</f>
        <v>20.700000000000003</v>
      </c>
      <c r="L1922" t="s">
        <v>47</v>
      </c>
      <c r="M1922">
        <v>2</v>
      </c>
    </row>
    <row r="1923" spans="1:13" x14ac:dyDescent="0.25">
      <c r="A1923" s="4">
        <v>42931</v>
      </c>
      <c r="B1923" t="s">
        <v>30</v>
      </c>
      <c r="C1923">
        <v>1</v>
      </c>
      <c r="D1923">
        <v>3</v>
      </c>
      <c r="E1923" t="s">
        <v>35</v>
      </c>
      <c r="F1923" t="s">
        <v>36</v>
      </c>
      <c r="G1923">
        <v>1</v>
      </c>
      <c r="H1923">
        <v>39793</v>
      </c>
      <c r="J1923">
        <v>0</v>
      </c>
      <c r="K1923">
        <f>34-14</f>
        <v>20</v>
      </c>
      <c r="L1923" t="s">
        <v>47</v>
      </c>
      <c r="M1923">
        <v>2</v>
      </c>
    </row>
    <row r="1924" spans="1:13" x14ac:dyDescent="0.25">
      <c r="A1924" s="4">
        <v>42962</v>
      </c>
      <c r="B1924" t="s">
        <v>30</v>
      </c>
      <c r="C1924">
        <v>8</v>
      </c>
      <c r="D1924">
        <v>3</v>
      </c>
      <c r="E1924" t="s">
        <v>42</v>
      </c>
      <c r="F1924" t="s">
        <v>114</v>
      </c>
      <c r="G1924">
        <v>1</v>
      </c>
      <c r="H1924">
        <v>39890</v>
      </c>
      <c r="J1924">
        <v>1</v>
      </c>
      <c r="K1924">
        <f>27-13.5</f>
        <v>13.5</v>
      </c>
      <c r="L1924" t="s">
        <v>65</v>
      </c>
      <c r="M1924">
        <v>2</v>
      </c>
    </row>
    <row r="1925" spans="1:13" x14ac:dyDescent="0.25">
      <c r="A1925" s="4">
        <v>42585</v>
      </c>
      <c r="B1925" t="s">
        <v>30</v>
      </c>
      <c r="C1925">
        <v>1</v>
      </c>
      <c r="D1925">
        <v>3</v>
      </c>
      <c r="E1925" t="s">
        <v>42</v>
      </c>
      <c r="F1925" t="s">
        <v>36</v>
      </c>
      <c r="G1925">
        <v>1</v>
      </c>
      <c r="H1925" s="5" t="s">
        <v>330</v>
      </c>
      <c r="I1925" s="5"/>
      <c r="J1925">
        <v>1</v>
      </c>
      <c r="K1925">
        <f>22.5-4</f>
        <v>18.5</v>
      </c>
      <c r="L1925" t="s">
        <v>47</v>
      </c>
      <c r="M1925">
        <v>1</v>
      </c>
    </row>
    <row r="1926" spans="1:13" x14ac:dyDescent="0.25">
      <c r="A1926" s="4">
        <v>42564</v>
      </c>
      <c r="B1926" t="s">
        <v>30</v>
      </c>
      <c r="C1926">
        <v>5</v>
      </c>
      <c r="D1926">
        <v>3</v>
      </c>
      <c r="E1926" t="s">
        <v>35</v>
      </c>
      <c r="F1926" t="s">
        <v>36</v>
      </c>
      <c r="G1926">
        <v>2</v>
      </c>
      <c r="H1926" s="5">
        <v>50449</v>
      </c>
      <c r="I1926" s="5"/>
      <c r="J1926">
        <v>0</v>
      </c>
      <c r="K1926">
        <f>34-9.5</f>
        <v>24.5</v>
      </c>
      <c r="L1926" t="s">
        <v>74</v>
      </c>
      <c r="M1926">
        <v>1</v>
      </c>
    </row>
    <row r="1927" spans="1:13" x14ac:dyDescent="0.25">
      <c r="A1927" s="4">
        <v>42565</v>
      </c>
      <c r="B1927" t="s">
        <v>30</v>
      </c>
      <c r="C1927">
        <v>5</v>
      </c>
      <c r="D1927">
        <v>3</v>
      </c>
      <c r="E1927" t="s">
        <v>35</v>
      </c>
      <c r="F1927" t="s">
        <v>36</v>
      </c>
      <c r="G1927">
        <v>2</v>
      </c>
      <c r="H1927" s="5">
        <v>50449</v>
      </c>
      <c r="I1927" s="5"/>
      <c r="J1927">
        <v>0</v>
      </c>
      <c r="K1927">
        <v>24</v>
      </c>
      <c r="L1927" t="s">
        <v>74</v>
      </c>
      <c r="M1927">
        <v>1</v>
      </c>
    </row>
    <row r="1928" spans="1:13" x14ac:dyDescent="0.25">
      <c r="A1928" s="4">
        <v>42564</v>
      </c>
      <c r="B1928" t="s">
        <v>30</v>
      </c>
      <c r="C1928">
        <v>7</v>
      </c>
      <c r="D1928">
        <v>3</v>
      </c>
      <c r="E1928" t="s">
        <v>35</v>
      </c>
      <c r="F1928" t="s">
        <v>36</v>
      </c>
      <c r="G1928">
        <v>2</v>
      </c>
      <c r="H1928" s="5">
        <v>50481</v>
      </c>
      <c r="I1928" s="5">
        <v>50481</v>
      </c>
      <c r="J1928">
        <v>0</v>
      </c>
      <c r="K1928">
        <f>36-9</f>
        <v>27</v>
      </c>
      <c r="L1928" t="s">
        <v>143</v>
      </c>
      <c r="M1928">
        <v>1</v>
      </c>
    </row>
    <row r="1929" spans="1:13" x14ac:dyDescent="0.25">
      <c r="A1929" s="4">
        <v>42571</v>
      </c>
      <c r="B1929" t="s">
        <v>30</v>
      </c>
      <c r="C1929">
        <v>1</v>
      </c>
      <c r="D1929">
        <v>3</v>
      </c>
      <c r="E1929" t="s">
        <v>35</v>
      </c>
      <c r="F1929" t="s">
        <v>36</v>
      </c>
      <c r="G1929">
        <v>1</v>
      </c>
      <c r="H1929" s="5">
        <v>50495</v>
      </c>
      <c r="I1929" s="5"/>
      <c r="J1929">
        <v>0</v>
      </c>
      <c r="K1929">
        <f>33-12</f>
        <v>21</v>
      </c>
      <c r="L1929" t="s">
        <v>47</v>
      </c>
      <c r="M1929">
        <v>1</v>
      </c>
    </row>
    <row r="1930" spans="1:13" x14ac:dyDescent="0.25">
      <c r="A1930" s="4">
        <v>42572</v>
      </c>
      <c r="B1930" t="s">
        <v>30</v>
      </c>
      <c r="C1930">
        <v>1</v>
      </c>
      <c r="D1930">
        <v>3</v>
      </c>
      <c r="E1930" t="s">
        <v>35</v>
      </c>
      <c r="F1930" t="s">
        <v>36</v>
      </c>
      <c r="G1930">
        <v>1</v>
      </c>
      <c r="H1930" s="5">
        <v>50495</v>
      </c>
      <c r="I1930" s="5" t="s">
        <v>165</v>
      </c>
      <c r="J1930">
        <v>0</v>
      </c>
      <c r="K1930">
        <f>32-11.5</f>
        <v>20.5</v>
      </c>
      <c r="L1930" t="s">
        <v>47</v>
      </c>
      <c r="M1930">
        <v>1</v>
      </c>
    </row>
    <row r="1931" spans="1:13" x14ac:dyDescent="0.25">
      <c r="A1931" s="4">
        <v>42586</v>
      </c>
      <c r="B1931" t="s">
        <v>30</v>
      </c>
      <c r="C1931">
        <v>1</v>
      </c>
      <c r="D1931">
        <v>3</v>
      </c>
      <c r="E1931" t="s">
        <v>35</v>
      </c>
      <c r="F1931" t="s">
        <v>36</v>
      </c>
      <c r="G1931">
        <v>1</v>
      </c>
      <c r="H1931" s="5" t="s">
        <v>398</v>
      </c>
      <c r="I1931" s="5"/>
      <c r="J1931">
        <v>0</v>
      </c>
      <c r="K1931">
        <f>34.5-15</f>
        <v>19.5</v>
      </c>
      <c r="L1931" t="s">
        <v>47</v>
      </c>
      <c r="M1931">
        <v>1</v>
      </c>
    </row>
    <row r="1932" spans="1:13" x14ac:dyDescent="0.25">
      <c r="A1932" s="4">
        <v>42589</v>
      </c>
      <c r="B1932" t="s">
        <v>30</v>
      </c>
      <c r="C1932">
        <v>1</v>
      </c>
      <c r="D1932">
        <v>3</v>
      </c>
      <c r="E1932" t="s">
        <v>35</v>
      </c>
      <c r="F1932" t="s">
        <v>36</v>
      </c>
      <c r="G1932">
        <v>1</v>
      </c>
      <c r="H1932" s="5" t="s">
        <v>398</v>
      </c>
      <c r="I1932" s="5"/>
      <c r="J1932">
        <v>0</v>
      </c>
      <c r="K1932">
        <f>33-13.5</f>
        <v>19.5</v>
      </c>
      <c r="L1932" t="s">
        <v>47</v>
      </c>
      <c r="M1932">
        <v>1</v>
      </c>
    </row>
    <row r="1933" spans="1:13" x14ac:dyDescent="0.25">
      <c r="A1933" s="4">
        <v>42563</v>
      </c>
      <c r="B1933" t="s">
        <v>30</v>
      </c>
      <c r="C1933">
        <v>8</v>
      </c>
      <c r="D1933">
        <v>3</v>
      </c>
      <c r="E1933" t="s">
        <v>42</v>
      </c>
      <c r="F1933" t="s">
        <v>36</v>
      </c>
      <c r="G1933">
        <v>2</v>
      </c>
      <c r="H1933" s="5">
        <v>50510</v>
      </c>
      <c r="I1933" s="5">
        <v>50510</v>
      </c>
      <c r="J1933">
        <v>1</v>
      </c>
      <c r="K1933">
        <f>35-9</f>
        <v>26</v>
      </c>
      <c r="L1933" t="s">
        <v>143</v>
      </c>
      <c r="M1933">
        <v>1</v>
      </c>
    </row>
    <row r="1934" spans="1:13" x14ac:dyDescent="0.25">
      <c r="A1934" s="4">
        <v>42565</v>
      </c>
      <c r="B1934" t="s">
        <v>30</v>
      </c>
      <c r="C1934">
        <v>8</v>
      </c>
      <c r="D1934">
        <v>3</v>
      </c>
      <c r="E1934" t="s">
        <v>35</v>
      </c>
      <c r="F1934" t="s">
        <v>36</v>
      </c>
      <c r="G1934">
        <v>2</v>
      </c>
      <c r="H1934" s="5">
        <v>50510</v>
      </c>
      <c r="I1934" s="5">
        <v>50510</v>
      </c>
      <c r="J1934">
        <v>1</v>
      </c>
      <c r="K1934">
        <f>32-9</f>
        <v>23</v>
      </c>
      <c r="L1934" t="s">
        <v>143</v>
      </c>
      <c r="M1934">
        <v>1</v>
      </c>
    </row>
    <row r="1935" spans="1:13" x14ac:dyDescent="0.25">
      <c r="A1935" s="4">
        <v>42575</v>
      </c>
      <c r="B1935" t="s">
        <v>30</v>
      </c>
      <c r="C1935">
        <v>8</v>
      </c>
      <c r="D1935">
        <v>3</v>
      </c>
      <c r="E1935" t="s">
        <v>35</v>
      </c>
      <c r="F1935" t="s">
        <v>36</v>
      </c>
      <c r="G1935">
        <v>2</v>
      </c>
      <c r="H1935" s="5">
        <v>50510</v>
      </c>
      <c r="I1935" s="5">
        <v>50510</v>
      </c>
      <c r="J1935">
        <v>0</v>
      </c>
      <c r="K1935">
        <f>34-12</f>
        <v>22</v>
      </c>
      <c r="L1935" t="s">
        <v>38</v>
      </c>
      <c r="M1935">
        <v>1</v>
      </c>
    </row>
    <row r="1936" spans="1:13" x14ac:dyDescent="0.25">
      <c r="A1936" s="4">
        <v>42570</v>
      </c>
      <c r="B1936" t="s">
        <v>30</v>
      </c>
      <c r="C1936">
        <v>4</v>
      </c>
      <c r="D1936">
        <v>3</v>
      </c>
      <c r="E1936" t="s">
        <v>35</v>
      </c>
      <c r="F1936" t="s">
        <v>36</v>
      </c>
      <c r="G1936">
        <v>2</v>
      </c>
      <c r="H1936" s="5">
        <v>50554</v>
      </c>
      <c r="I1936" s="5">
        <v>50554</v>
      </c>
      <c r="J1936">
        <v>0</v>
      </c>
      <c r="K1936">
        <f>37-13</f>
        <v>24</v>
      </c>
      <c r="L1936" t="s">
        <v>38</v>
      </c>
      <c r="M1936">
        <v>1</v>
      </c>
    </row>
    <row r="1937" spans="1:13" x14ac:dyDescent="0.25">
      <c r="A1937" s="4">
        <v>42564</v>
      </c>
      <c r="B1937" t="s">
        <v>30</v>
      </c>
      <c r="C1937">
        <v>5</v>
      </c>
      <c r="D1937">
        <v>3</v>
      </c>
      <c r="E1937" t="s">
        <v>35</v>
      </c>
      <c r="F1937" t="s">
        <v>36</v>
      </c>
      <c r="G1937">
        <v>2</v>
      </c>
      <c r="H1937" s="5">
        <v>50585</v>
      </c>
      <c r="I1937" s="5">
        <v>50585</v>
      </c>
      <c r="J1937">
        <v>0</v>
      </c>
      <c r="K1937">
        <v>31</v>
      </c>
      <c r="L1937" t="s">
        <v>143</v>
      </c>
      <c r="M1937">
        <v>1</v>
      </c>
    </row>
    <row r="1938" spans="1:13" x14ac:dyDescent="0.25">
      <c r="A1938" s="4">
        <v>42565</v>
      </c>
      <c r="B1938" t="s">
        <v>30</v>
      </c>
      <c r="C1938">
        <v>8</v>
      </c>
      <c r="D1938">
        <v>3</v>
      </c>
      <c r="E1938" t="s">
        <v>35</v>
      </c>
      <c r="F1938" t="s">
        <v>36</v>
      </c>
      <c r="G1938">
        <v>2</v>
      </c>
      <c r="H1938" s="5">
        <v>50615</v>
      </c>
      <c r="I1938" s="5">
        <v>50615</v>
      </c>
      <c r="J1938">
        <v>0</v>
      </c>
      <c r="K1938">
        <v>31</v>
      </c>
      <c r="L1938" t="s">
        <v>143</v>
      </c>
      <c r="M1938">
        <v>1</v>
      </c>
    </row>
    <row r="1939" spans="1:13" x14ac:dyDescent="0.25">
      <c r="A1939" s="4">
        <v>42575</v>
      </c>
      <c r="B1939" t="s">
        <v>30</v>
      </c>
      <c r="C1939">
        <v>8</v>
      </c>
      <c r="D1939">
        <v>3</v>
      </c>
      <c r="E1939" t="s">
        <v>35</v>
      </c>
      <c r="F1939" t="s">
        <v>36</v>
      </c>
      <c r="G1939">
        <v>2</v>
      </c>
      <c r="H1939" s="5">
        <v>50615</v>
      </c>
      <c r="I1939" s="5">
        <v>50615</v>
      </c>
      <c r="J1939">
        <v>0</v>
      </c>
      <c r="K1939">
        <f>40-12.5</f>
        <v>27.5</v>
      </c>
      <c r="L1939" t="s">
        <v>74</v>
      </c>
      <c r="M1939">
        <v>1</v>
      </c>
    </row>
    <row r="1940" spans="1:13" x14ac:dyDescent="0.25">
      <c r="A1940" s="4">
        <v>42576</v>
      </c>
      <c r="B1940" t="s">
        <v>30</v>
      </c>
      <c r="C1940">
        <v>8</v>
      </c>
      <c r="D1940">
        <v>3</v>
      </c>
      <c r="E1940" t="s">
        <v>35</v>
      </c>
      <c r="F1940" t="s">
        <v>36</v>
      </c>
      <c r="G1940">
        <v>2</v>
      </c>
      <c r="H1940" s="5">
        <v>50615</v>
      </c>
      <c r="I1940" s="5">
        <v>50615</v>
      </c>
      <c r="J1940">
        <v>0</v>
      </c>
      <c r="K1940">
        <v>27</v>
      </c>
      <c r="L1940" t="s">
        <v>74</v>
      </c>
      <c r="M1940">
        <v>1</v>
      </c>
    </row>
    <row r="1941" spans="1:13" x14ac:dyDescent="0.25">
      <c r="A1941" s="4">
        <v>42592</v>
      </c>
      <c r="B1941" t="s">
        <v>30</v>
      </c>
      <c r="C1941">
        <v>8</v>
      </c>
      <c r="D1941">
        <v>3</v>
      </c>
      <c r="E1941" t="s">
        <v>35</v>
      </c>
      <c r="F1941" t="s">
        <v>36</v>
      </c>
      <c r="G1941">
        <v>2</v>
      </c>
      <c r="H1941" s="5" t="s">
        <v>651</v>
      </c>
      <c r="I1941" s="5" t="s">
        <v>651</v>
      </c>
      <c r="J1941">
        <v>0</v>
      </c>
      <c r="K1941">
        <f>46-14.5</f>
        <v>31.5</v>
      </c>
      <c r="L1941" t="s">
        <v>120</v>
      </c>
      <c r="M1941">
        <v>1</v>
      </c>
    </row>
    <row r="1942" spans="1:13" x14ac:dyDescent="0.25">
      <c r="A1942" s="4">
        <v>42929</v>
      </c>
      <c r="B1942" t="s">
        <v>30</v>
      </c>
      <c r="C1942">
        <v>8</v>
      </c>
      <c r="D1942">
        <v>3</v>
      </c>
      <c r="E1942" t="s">
        <v>35</v>
      </c>
      <c r="F1942" t="s">
        <v>36</v>
      </c>
      <c r="G1942">
        <v>2</v>
      </c>
      <c r="H1942">
        <v>50615</v>
      </c>
      <c r="I1942">
        <v>50615</v>
      </c>
      <c r="J1942">
        <v>0</v>
      </c>
      <c r="K1942">
        <f>40.5-14</f>
        <v>26.5</v>
      </c>
      <c r="L1942" t="s">
        <v>1041</v>
      </c>
      <c r="M1942">
        <v>2</v>
      </c>
    </row>
    <row r="1943" spans="1:13" x14ac:dyDescent="0.25">
      <c r="A1943" s="4">
        <v>42935</v>
      </c>
      <c r="B1943" t="s">
        <v>30</v>
      </c>
      <c r="C1943">
        <v>8</v>
      </c>
      <c r="D1943">
        <v>3</v>
      </c>
      <c r="E1943" t="s">
        <v>35</v>
      </c>
      <c r="F1943" t="s">
        <v>36</v>
      </c>
      <c r="G1943">
        <v>2</v>
      </c>
      <c r="H1943">
        <v>50615</v>
      </c>
      <c r="I1943">
        <v>50615</v>
      </c>
      <c r="J1943">
        <v>1</v>
      </c>
      <c r="K1943">
        <f>41-14</f>
        <v>27</v>
      </c>
      <c r="L1943" t="s">
        <v>1039</v>
      </c>
      <c r="M1943">
        <v>2</v>
      </c>
    </row>
    <row r="1944" spans="1:13" x14ac:dyDescent="0.25">
      <c r="A1944" s="4">
        <v>42936</v>
      </c>
      <c r="B1944" t="s">
        <v>30</v>
      </c>
      <c r="C1944">
        <v>8</v>
      </c>
      <c r="D1944">
        <v>3</v>
      </c>
      <c r="E1944" t="s">
        <v>35</v>
      </c>
      <c r="F1944" t="s">
        <v>36</v>
      </c>
      <c r="G1944">
        <v>2</v>
      </c>
      <c r="H1944">
        <v>50615</v>
      </c>
      <c r="I1944">
        <v>50615</v>
      </c>
      <c r="J1944">
        <v>1</v>
      </c>
      <c r="K1944">
        <f>37-14</f>
        <v>23</v>
      </c>
      <c r="L1944" t="s">
        <v>1039</v>
      </c>
      <c r="M1944">
        <v>2</v>
      </c>
    </row>
    <row r="1945" spans="1:13" x14ac:dyDescent="0.25">
      <c r="A1945" s="4">
        <v>42937</v>
      </c>
      <c r="B1945" t="s">
        <v>30</v>
      </c>
      <c r="C1945">
        <v>8</v>
      </c>
      <c r="D1945">
        <v>3</v>
      </c>
      <c r="E1945" t="s">
        <v>35</v>
      </c>
      <c r="F1945" t="s">
        <v>36</v>
      </c>
      <c r="G1945">
        <v>2</v>
      </c>
      <c r="H1945">
        <v>50615</v>
      </c>
      <c r="I1945">
        <v>50615</v>
      </c>
      <c r="J1945">
        <v>1</v>
      </c>
      <c r="K1945">
        <f>39-14.5</f>
        <v>24.5</v>
      </c>
      <c r="L1945" t="s">
        <v>1039</v>
      </c>
      <c r="M1945">
        <v>2</v>
      </c>
    </row>
    <row r="1946" spans="1:13" x14ac:dyDescent="0.25">
      <c r="A1946" s="4">
        <v>42947</v>
      </c>
      <c r="B1946" t="s">
        <v>30</v>
      </c>
      <c r="C1946">
        <v>8</v>
      </c>
      <c r="D1946">
        <v>3</v>
      </c>
      <c r="E1946" t="s">
        <v>35</v>
      </c>
      <c r="F1946" t="s">
        <v>36</v>
      </c>
      <c r="G1946">
        <v>2</v>
      </c>
      <c r="H1946">
        <v>50615</v>
      </c>
      <c r="I1946">
        <v>50615</v>
      </c>
      <c r="J1946">
        <v>0</v>
      </c>
      <c r="K1946">
        <f>38-13</f>
        <v>25</v>
      </c>
      <c r="L1946" t="s">
        <v>1039</v>
      </c>
      <c r="M1946">
        <v>2</v>
      </c>
    </row>
    <row r="1947" spans="1:13" x14ac:dyDescent="0.25">
      <c r="A1947" s="4">
        <v>42572</v>
      </c>
      <c r="B1947" t="s">
        <v>30</v>
      </c>
      <c r="C1947">
        <v>2</v>
      </c>
      <c r="D1947">
        <v>3</v>
      </c>
      <c r="E1947" t="s">
        <v>35</v>
      </c>
      <c r="F1947" t="s">
        <v>36</v>
      </c>
      <c r="G1947">
        <v>2</v>
      </c>
      <c r="H1947" s="5">
        <v>50656</v>
      </c>
      <c r="I1947" s="5">
        <v>50656</v>
      </c>
      <c r="J1947">
        <v>0</v>
      </c>
      <c r="K1947">
        <f>30-10.5</f>
        <v>19.5</v>
      </c>
      <c r="L1947" t="s">
        <v>74</v>
      </c>
      <c r="M1947">
        <v>1</v>
      </c>
    </row>
    <row r="1948" spans="1:13" x14ac:dyDescent="0.25">
      <c r="A1948" s="4">
        <v>42584</v>
      </c>
      <c r="B1948" t="s">
        <v>30</v>
      </c>
      <c r="C1948">
        <v>2</v>
      </c>
      <c r="D1948">
        <v>3</v>
      </c>
      <c r="E1948" t="s">
        <v>35</v>
      </c>
      <c r="F1948" t="s">
        <v>36</v>
      </c>
      <c r="G1948">
        <v>2</v>
      </c>
      <c r="H1948" s="5">
        <v>50656</v>
      </c>
      <c r="I1948" s="5">
        <v>50656</v>
      </c>
      <c r="J1948">
        <v>0</v>
      </c>
      <c r="K1948">
        <f>36.5-13.5</f>
        <v>23</v>
      </c>
      <c r="L1948" t="s">
        <v>38</v>
      </c>
      <c r="M1948">
        <v>1</v>
      </c>
    </row>
    <row r="1949" spans="1:13" x14ac:dyDescent="0.25">
      <c r="A1949" s="4">
        <v>42585</v>
      </c>
      <c r="B1949" t="s">
        <v>30</v>
      </c>
      <c r="C1949">
        <v>2</v>
      </c>
      <c r="D1949">
        <v>3</v>
      </c>
      <c r="E1949" t="s">
        <v>35</v>
      </c>
      <c r="F1949" t="s">
        <v>36</v>
      </c>
      <c r="G1949">
        <v>2</v>
      </c>
      <c r="H1949" s="5">
        <v>50656</v>
      </c>
      <c r="I1949" s="5">
        <v>50656</v>
      </c>
      <c r="J1949">
        <v>0</v>
      </c>
      <c r="K1949">
        <f>36-12.5</f>
        <v>23.5</v>
      </c>
      <c r="L1949" t="s">
        <v>74</v>
      </c>
      <c r="M1949">
        <v>1</v>
      </c>
    </row>
    <row r="1950" spans="1:13" x14ac:dyDescent="0.25">
      <c r="A1950" s="4">
        <v>42586</v>
      </c>
      <c r="B1950" t="s">
        <v>30</v>
      </c>
      <c r="C1950">
        <v>2</v>
      </c>
      <c r="D1950">
        <v>3</v>
      </c>
      <c r="E1950" t="s">
        <v>35</v>
      </c>
      <c r="F1950" t="s">
        <v>36</v>
      </c>
      <c r="G1950">
        <v>2</v>
      </c>
      <c r="H1950" s="5">
        <v>50656</v>
      </c>
      <c r="I1950" s="5">
        <v>50656</v>
      </c>
      <c r="J1950">
        <v>0</v>
      </c>
      <c r="K1950">
        <f>36-13</f>
        <v>23</v>
      </c>
      <c r="L1950" t="s">
        <v>74</v>
      </c>
      <c r="M1950">
        <v>1</v>
      </c>
    </row>
    <row r="1951" spans="1:13" x14ac:dyDescent="0.25">
      <c r="A1951" s="4">
        <v>42599</v>
      </c>
      <c r="B1951" t="s">
        <v>30</v>
      </c>
      <c r="C1951">
        <v>2</v>
      </c>
      <c r="D1951">
        <v>3</v>
      </c>
      <c r="E1951" t="s">
        <v>35</v>
      </c>
      <c r="F1951" t="s">
        <v>36</v>
      </c>
      <c r="G1951">
        <v>2</v>
      </c>
      <c r="H1951" s="5" t="s">
        <v>863</v>
      </c>
      <c r="I1951" s="5" t="s">
        <v>863</v>
      </c>
      <c r="J1951">
        <v>1</v>
      </c>
      <c r="K1951">
        <f>49-13</f>
        <v>36</v>
      </c>
      <c r="L1951" t="s">
        <v>143</v>
      </c>
      <c r="M1951">
        <v>1</v>
      </c>
    </row>
    <row r="1952" spans="1:13" x14ac:dyDescent="0.25">
      <c r="A1952" s="4">
        <v>42600</v>
      </c>
      <c r="B1952" t="s">
        <v>30</v>
      </c>
      <c r="C1952">
        <v>2</v>
      </c>
      <c r="D1952">
        <v>3</v>
      </c>
      <c r="E1952" t="s">
        <v>35</v>
      </c>
      <c r="F1952" t="s">
        <v>36</v>
      </c>
      <c r="G1952">
        <v>2</v>
      </c>
      <c r="H1952" s="5" t="s">
        <v>863</v>
      </c>
      <c r="I1952" s="5" t="s">
        <v>863</v>
      </c>
      <c r="J1952">
        <v>1</v>
      </c>
      <c r="K1952">
        <f>47-13.5</f>
        <v>33.5</v>
      </c>
      <c r="L1952" t="s">
        <v>143</v>
      </c>
      <c r="M1952">
        <v>1</v>
      </c>
    </row>
    <row r="1953" spans="1:13" x14ac:dyDescent="0.25">
      <c r="A1953" s="4">
        <v>42563</v>
      </c>
      <c r="B1953" t="s">
        <v>30</v>
      </c>
      <c r="C1953">
        <v>5</v>
      </c>
      <c r="D1953">
        <v>3</v>
      </c>
      <c r="E1953" t="s">
        <v>42</v>
      </c>
      <c r="F1953" t="s">
        <v>36</v>
      </c>
      <c r="G1953">
        <v>1</v>
      </c>
      <c r="H1953" s="5">
        <v>50731</v>
      </c>
      <c r="I1953" s="5"/>
      <c r="J1953">
        <v>0</v>
      </c>
      <c r="K1953">
        <f>31-9</f>
        <v>22</v>
      </c>
      <c r="L1953" t="s">
        <v>47</v>
      </c>
      <c r="M1953">
        <v>1</v>
      </c>
    </row>
    <row r="1954" spans="1:13" x14ac:dyDescent="0.25">
      <c r="A1954" s="4">
        <v>42592</v>
      </c>
      <c r="B1954" t="s">
        <v>30</v>
      </c>
      <c r="C1954">
        <v>8</v>
      </c>
      <c r="D1954">
        <v>3</v>
      </c>
      <c r="E1954" t="s">
        <v>35</v>
      </c>
      <c r="F1954" t="s">
        <v>36</v>
      </c>
      <c r="G1954">
        <v>2</v>
      </c>
      <c r="H1954" s="5" t="s">
        <v>649</v>
      </c>
      <c r="I1954" s="5"/>
      <c r="J1954">
        <v>1</v>
      </c>
      <c r="K1954">
        <f>46-27</f>
        <v>19</v>
      </c>
      <c r="L1954" t="s">
        <v>74</v>
      </c>
      <c r="M1954">
        <v>1</v>
      </c>
    </row>
    <row r="1955" spans="1:13" x14ac:dyDescent="0.25">
      <c r="A1955" s="4">
        <v>42565</v>
      </c>
      <c r="B1955" t="s">
        <v>30</v>
      </c>
      <c r="C1955">
        <v>5</v>
      </c>
      <c r="D1955">
        <v>3</v>
      </c>
      <c r="E1955" t="s">
        <v>35</v>
      </c>
      <c r="F1955" t="s">
        <v>36</v>
      </c>
      <c r="G1955">
        <v>2</v>
      </c>
      <c r="H1955" s="5">
        <v>50740</v>
      </c>
      <c r="I1955" s="5">
        <v>50740</v>
      </c>
      <c r="J1955">
        <v>0</v>
      </c>
      <c r="K1955">
        <f>42.5-11.5</f>
        <v>31</v>
      </c>
      <c r="L1955" t="s">
        <v>74</v>
      </c>
      <c r="M1955">
        <v>1</v>
      </c>
    </row>
    <row r="1956" spans="1:13" x14ac:dyDescent="0.25">
      <c r="A1956" s="4">
        <v>42606</v>
      </c>
      <c r="B1956" t="s">
        <v>30</v>
      </c>
      <c r="C1956">
        <v>5</v>
      </c>
      <c r="D1956">
        <v>3</v>
      </c>
      <c r="E1956" t="s">
        <v>35</v>
      </c>
      <c r="F1956" t="s">
        <v>36</v>
      </c>
      <c r="G1956">
        <v>2</v>
      </c>
      <c r="H1956" s="5" t="s">
        <v>1008</v>
      </c>
      <c r="I1956" s="5" t="s">
        <v>1008</v>
      </c>
      <c r="J1956">
        <v>1</v>
      </c>
      <c r="K1956">
        <f>35-13</f>
        <v>22</v>
      </c>
      <c r="L1956" t="s">
        <v>38</v>
      </c>
      <c r="M1956">
        <v>1</v>
      </c>
    </row>
    <row r="1957" spans="1:13" x14ac:dyDescent="0.25">
      <c r="A1957" s="4">
        <v>42565</v>
      </c>
      <c r="B1957" t="s">
        <v>30</v>
      </c>
      <c r="C1957">
        <v>8</v>
      </c>
      <c r="D1957">
        <v>3</v>
      </c>
      <c r="E1957" t="s">
        <v>42</v>
      </c>
      <c r="F1957" t="s">
        <v>36</v>
      </c>
      <c r="G1957">
        <v>2</v>
      </c>
      <c r="H1957" s="5">
        <v>50751</v>
      </c>
      <c r="I1957" s="5"/>
      <c r="J1957">
        <v>0</v>
      </c>
      <c r="K1957">
        <f>36-9.5</f>
        <v>26.5</v>
      </c>
      <c r="L1957" t="s">
        <v>143</v>
      </c>
      <c r="M1957">
        <v>1</v>
      </c>
    </row>
    <row r="1958" spans="1:13" x14ac:dyDescent="0.25">
      <c r="A1958" s="4">
        <v>42575</v>
      </c>
      <c r="B1958" t="s">
        <v>30</v>
      </c>
      <c r="C1958">
        <v>8</v>
      </c>
      <c r="D1958">
        <v>3</v>
      </c>
      <c r="E1958" t="s">
        <v>35</v>
      </c>
      <c r="F1958" t="s">
        <v>36</v>
      </c>
      <c r="G1958">
        <v>2</v>
      </c>
      <c r="H1958" s="5">
        <v>50751</v>
      </c>
      <c r="I1958" s="5"/>
      <c r="J1958">
        <v>0</v>
      </c>
      <c r="K1958">
        <f>44-16</f>
        <v>28</v>
      </c>
      <c r="L1958" t="s">
        <v>74</v>
      </c>
      <c r="M1958">
        <v>1</v>
      </c>
    </row>
    <row r="1959" spans="1:13" x14ac:dyDescent="0.25">
      <c r="A1959" s="4">
        <v>42576</v>
      </c>
      <c r="B1959" t="s">
        <v>30</v>
      </c>
      <c r="C1959">
        <v>8</v>
      </c>
      <c r="D1959">
        <v>3</v>
      </c>
      <c r="E1959" t="s">
        <v>35</v>
      </c>
      <c r="F1959" t="s">
        <v>36</v>
      </c>
      <c r="G1959">
        <v>2</v>
      </c>
      <c r="H1959" s="5">
        <v>50751</v>
      </c>
      <c r="I1959" s="5"/>
      <c r="J1959">
        <v>0</v>
      </c>
      <c r="K1959">
        <f>34-9</f>
        <v>25</v>
      </c>
      <c r="L1959" t="s">
        <v>74</v>
      </c>
      <c r="M1959">
        <v>1</v>
      </c>
    </row>
    <row r="1960" spans="1:13" x14ac:dyDescent="0.25">
      <c r="A1960" s="4">
        <v>42565</v>
      </c>
      <c r="B1960" t="s">
        <v>30</v>
      </c>
      <c r="C1960">
        <v>8</v>
      </c>
      <c r="D1960">
        <v>3</v>
      </c>
      <c r="E1960" t="s">
        <v>42</v>
      </c>
      <c r="F1960" t="s">
        <v>36</v>
      </c>
      <c r="G1960">
        <v>2</v>
      </c>
      <c r="H1960" s="5">
        <v>50752</v>
      </c>
      <c r="I1960" s="5"/>
      <c r="J1960">
        <v>0</v>
      </c>
      <c r="K1960">
        <v>23</v>
      </c>
      <c r="L1960" t="s">
        <v>143</v>
      </c>
      <c r="M1960">
        <v>1</v>
      </c>
    </row>
    <row r="1961" spans="1:13" x14ac:dyDescent="0.25">
      <c r="A1961" s="4">
        <v>42575</v>
      </c>
      <c r="B1961" t="s">
        <v>30</v>
      </c>
      <c r="C1961">
        <v>8</v>
      </c>
      <c r="D1961">
        <v>3</v>
      </c>
      <c r="E1961" t="s">
        <v>35</v>
      </c>
      <c r="F1961" t="s">
        <v>36</v>
      </c>
      <c r="G1961">
        <v>2</v>
      </c>
      <c r="H1961" s="5">
        <v>50752</v>
      </c>
      <c r="I1961" s="5"/>
      <c r="J1961">
        <v>0</v>
      </c>
      <c r="K1961">
        <f>36-16.5</f>
        <v>19.5</v>
      </c>
      <c r="L1961" t="s">
        <v>74</v>
      </c>
      <c r="M1961">
        <v>1</v>
      </c>
    </row>
    <row r="1962" spans="1:13" x14ac:dyDescent="0.25">
      <c r="A1962" s="4">
        <v>42565</v>
      </c>
      <c r="B1962" t="s">
        <v>30</v>
      </c>
      <c r="C1962">
        <v>8</v>
      </c>
      <c r="D1962">
        <v>3</v>
      </c>
      <c r="E1962" t="s">
        <v>42</v>
      </c>
      <c r="F1962" t="s">
        <v>36</v>
      </c>
      <c r="G1962">
        <v>2</v>
      </c>
      <c r="H1962" s="5">
        <v>50753</v>
      </c>
      <c r="I1962" s="5">
        <v>50753</v>
      </c>
      <c r="J1962">
        <v>0</v>
      </c>
      <c r="K1962">
        <v>24</v>
      </c>
      <c r="L1962" t="s">
        <v>143</v>
      </c>
      <c r="M1962">
        <v>1</v>
      </c>
    </row>
    <row r="1963" spans="1:13" x14ac:dyDescent="0.25">
      <c r="A1963" s="4">
        <v>42575</v>
      </c>
      <c r="B1963" t="s">
        <v>30</v>
      </c>
      <c r="C1963">
        <v>8</v>
      </c>
      <c r="D1963">
        <v>3</v>
      </c>
      <c r="E1963" t="s">
        <v>35</v>
      </c>
      <c r="F1963" t="s">
        <v>36</v>
      </c>
      <c r="G1963">
        <v>2</v>
      </c>
      <c r="H1963" s="5">
        <v>50753</v>
      </c>
      <c r="I1963" s="5">
        <v>50753</v>
      </c>
      <c r="J1963">
        <v>0</v>
      </c>
      <c r="K1963">
        <f>37-14</f>
        <v>23</v>
      </c>
      <c r="L1963" t="s">
        <v>74</v>
      </c>
      <c r="M1963">
        <v>1</v>
      </c>
    </row>
    <row r="1964" spans="1:13" x14ac:dyDescent="0.25">
      <c r="A1964" s="4">
        <v>42591</v>
      </c>
      <c r="B1964" t="s">
        <v>30</v>
      </c>
      <c r="C1964">
        <v>8</v>
      </c>
      <c r="D1964">
        <v>3</v>
      </c>
      <c r="E1964" t="s">
        <v>35</v>
      </c>
      <c r="F1964" t="s">
        <v>36</v>
      </c>
      <c r="G1964">
        <v>2</v>
      </c>
      <c r="H1964" s="5" t="s">
        <v>606</v>
      </c>
      <c r="I1964" s="5" t="s">
        <v>606</v>
      </c>
      <c r="J1964">
        <v>1</v>
      </c>
      <c r="K1964">
        <f>38-17.5</f>
        <v>20.5</v>
      </c>
      <c r="L1964" t="s">
        <v>143</v>
      </c>
      <c r="M1964">
        <v>1</v>
      </c>
    </row>
    <row r="1965" spans="1:13" x14ac:dyDescent="0.25">
      <c r="A1965" s="4">
        <v>42593</v>
      </c>
      <c r="B1965" t="s">
        <v>30</v>
      </c>
      <c r="C1965">
        <v>8</v>
      </c>
      <c r="D1965">
        <v>3</v>
      </c>
      <c r="E1965" t="s">
        <v>35</v>
      </c>
      <c r="F1965" t="s">
        <v>36</v>
      </c>
      <c r="G1965">
        <v>2</v>
      </c>
      <c r="H1965" s="5" t="s">
        <v>606</v>
      </c>
      <c r="I1965" s="5" t="s">
        <v>606</v>
      </c>
      <c r="J1965">
        <v>1</v>
      </c>
      <c r="K1965">
        <f>36-15</f>
        <v>21</v>
      </c>
      <c r="L1965" t="s">
        <v>136</v>
      </c>
      <c r="M1965">
        <v>1</v>
      </c>
    </row>
    <row r="1966" spans="1:13" x14ac:dyDescent="0.25">
      <c r="A1966" s="4">
        <v>42604</v>
      </c>
      <c r="B1966" t="s">
        <v>30</v>
      </c>
      <c r="C1966">
        <v>8</v>
      </c>
      <c r="D1966">
        <v>3</v>
      </c>
      <c r="E1966" t="s">
        <v>35</v>
      </c>
      <c r="F1966" t="s">
        <v>36</v>
      </c>
      <c r="G1966">
        <v>2</v>
      </c>
      <c r="H1966" s="5" t="s">
        <v>606</v>
      </c>
      <c r="I1966" s="5"/>
      <c r="J1966">
        <v>1</v>
      </c>
      <c r="K1966">
        <f>38-14</f>
        <v>24</v>
      </c>
      <c r="L1966" t="s">
        <v>38</v>
      </c>
      <c r="M1966">
        <v>1</v>
      </c>
    </row>
    <row r="1967" spans="1:13" x14ac:dyDescent="0.25">
      <c r="A1967" s="4">
        <v>42605</v>
      </c>
      <c r="B1967" t="s">
        <v>30</v>
      </c>
      <c r="C1967">
        <v>8</v>
      </c>
      <c r="D1967">
        <v>3</v>
      </c>
      <c r="E1967" t="s">
        <v>35</v>
      </c>
      <c r="F1967" t="s">
        <v>36</v>
      </c>
      <c r="G1967">
        <v>2</v>
      </c>
      <c r="H1967" s="5" t="s">
        <v>606</v>
      </c>
      <c r="I1967" s="5" t="s">
        <v>606</v>
      </c>
      <c r="J1967">
        <v>1</v>
      </c>
      <c r="K1967">
        <f>34-13</f>
        <v>21</v>
      </c>
      <c r="L1967" t="s">
        <v>38</v>
      </c>
      <c r="M1967">
        <v>1</v>
      </c>
    </row>
    <row r="1968" spans="1:13" x14ac:dyDescent="0.25">
      <c r="A1968" s="4">
        <v>42564</v>
      </c>
      <c r="B1968" t="s">
        <v>30</v>
      </c>
      <c r="C1968">
        <v>8</v>
      </c>
      <c r="D1968">
        <v>3</v>
      </c>
      <c r="E1968" t="s">
        <v>42</v>
      </c>
      <c r="F1968" t="s">
        <v>36</v>
      </c>
      <c r="G1968">
        <v>2</v>
      </c>
      <c r="H1968" s="5">
        <v>50771</v>
      </c>
      <c r="I1968" s="5">
        <v>50771</v>
      </c>
      <c r="J1968">
        <v>0</v>
      </c>
      <c r="K1968">
        <v>31</v>
      </c>
      <c r="L1968" t="s">
        <v>143</v>
      </c>
      <c r="M1968">
        <v>1</v>
      </c>
    </row>
    <row r="1969" spans="1:13" x14ac:dyDescent="0.25">
      <c r="A1969" s="4">
        <v>42565</v>
      </c>
      <c r="B1969" t="s">
        <v>30</v>
      </c>
      <c r="C1969">
        <v>8</v>
      </c>
      <c r="D1969">
        <v>3</v>
      </c>
      <c r="E1969" t="s">
        <v>35</v>
      </c>
      <c r="F1969" t="s">
        <v>36</v>
      </c>
      <c r="G1969">
        <v>2</v>
      </c>
      <c r="H1969" s="5">
        <v>50771</v>
      </c>
      <c r="I1969" s="5">
        <v>50771</v>
      </c>
      <c r="J1969">
        <v>0</v>
      </c>
      <c r="K1969">
        <f>43.5-13</f>
        <v>30.5</v>
      </c>
      <c r="L1969" t="s">
        <v>143</v>
      </c>
      <c r="M1969">
        <v>1</v>
      </c>
    </row>
    <row r="1970" spans="1:13" x14ac:dyDescent="0.25">
      <c r="A1970" s="4">
        <v>42575</v>
      </c>
      <c r="B1970" t="s">
        <v>30</v>
      </c>
      <c r="C1970">
        <v>8</v>
      </c>
      <c r="D1970">
        <v>3</v>
      </c>
      <c r="E1970" t="s">
        <v>35</v>
      </c>
      <c r="F1970" t="s">
        <v>36</v>
      </c>
      <c r="G1970">
        <v>2</v>
      </c>
      <c r="H1970" s="5">
        <v>50771</v>
      </c>
      <c r="I1970" s="5">
        <v>50771</v>
      </c>
      <c r="J1970">
        <v>0</v>
      </c>
      <c r="K1970">
        <f>43-14</f>
        <v>29</v>
      </c>
      <c r="L1970" t="s">
        <v>74</v>
      </c>
      <c r="M1970">
        <v>1</v>
      </c>
    </row>
    <row r="1971" spans="1:13" x14ac:dyDescent="0.25">
      <c r="A1971" s="4">
        <v>42576</v>
      </c>
      <c r="B1971" t="s">
        <v>30</v>
      </c>
      <c r="C1971">
        <v>8</v>
      </c>
      <c r="D1971">
        <v>3</v>
      </c>
      <c r="E1971" t="s">
        <v>35</v>
      </c>
      <c r="F1971" t="s">
        <v>89</v>
      </c>
      <c r="G1971">
        <v>2</v>
      </c>
      <c r="H1971" s="5">
        <v>50771</v>
      </c>
      <c r="I1971" s="5">
        <v>50771</v>
      </c>
      <c r="J1971">
        <v>0</v>
      </c>
      <c r="K1971">
        <f>35.5-9.5</f>
        <v>26</v>
      </c>
      <c r="L1971" t="s">
        <v>74</v>
      </c>
      <c r="M1971">
        <v>1</v>
      </c>
    </row>
    <row r="1972" spans="1:13" x14ac:dyDescent="0.25">
      <c r="A1972" s="4">
        <v>42571</v>
      </c>
      <c r="B1972" t="s">
        <v>30</v>
      </c>
      <c r="C1972">
        <v>1</v>
      </c>
      <c r="D1972">
        <v>3</v>
      </c>
      <c r="E1972" t="s">
        <v>51</v>
      </c>
      <c r="F1972" t="s">
        <v>36</v>
      </c>
      <c r="G1972">
        <v>2</v>
      </c>
      <c r="H1972" s="5">
        <v>50802</v>
      </c>
      <c r="I1972" s="5">
        <v>50802</v>
      </c>
      <c r="J1972">
        <v>0</v>
      </c>
      <c r="K1972">
        <v>28</v>
      </c>
      <c r="L1972" t="s">
        <v>143</v>
      </c>
      <c r="M1972">
        <v>1</v>
      </c>
    </row>
    <row r="1973" spans="1:13" x14ac:dyDescent="0.25">
      <c r="A1973" s="4">
        <v>42572</v>
      </c>
      <c r="B1973" t="s">
        <v>30</v>
      </c>
      <c r="C1973">
        <v>1</v>
      </c>
      <c r="D1973">
        <v>3</v>
      </c>
      <c r="E1973" t="s">
        <v>35</v>
      </c>
      <c r="F1973" t="s">
        <v>36</v>
      </c>
      <c r="G1973">
        <v>2</v>
      </c>
      <c r="H1973" s="5">
        <v>50802</v>
      </c>
      <c r="I1973" s="5">
        <v>50802</v>
      </c>
      <c r="J1973">
        <v>0</v>
      </c>
      <c r="K1973">
        <f>33.5-9.5</f>
        <v>24</v>
      </c>
      <c r="L1973" t="s">
        <v>74</v>
      </c>
      <c r="M1973">
        <v>1</v>
      </c>
    </row>
    <row r="1974" spans="1:13" x14ac:dyDescent="0.25">
      <c r="A1974" s="4">
        <v>42587</v>
      </c>
      <c r="B1974" t="s">
        <v>30</v>
      </c>
      <c r="C1974">
        <v>1</v>
      </c>
      <c r="D1974">
        <v>3</v>
      </c>
      <c r="E1974" t="s">
        <v>35</v>
      </c>
      <c r="F1974" t="s">
        <v>36</v>
      </c>
      <c r="G1974">
        <v>2</v>
      </c>
      <c r="H1974" s="5" t="s">
        <v>459</v>
      </c>
      <c r="I1974" s="5" t="s">
        <v>459</v>
      </c>
      <c r="J1974">
        <v>0</v>
      </c>
      <c r="K1974">
        <f>37-13</f>
        <v>24</v>
      </c>
      <c r="L1974" t="s">
        <v>74</v>
      </c>
      <c r="M1974">
        <v>1</v>
      </c>
    </row>
    <row r="1975" spans="1:13" x14ac:dyDescent="0.25">
      <c r="A1975" s="4">
        <v>42589</v>
      </c>
      <c r="B1975" t="s">
        <v>30</v>
      </c>
      <c r="C1975">
        <v>1</v>
      </c>
      <c r="D1975">
        <v>3</v>
      </c>
      <c r="E1975" t="s">
        <v>35</v>
      </c>
      <c r="F1975" t="s">
        <v>36</v>
      </c>
      <c r="G1975">
        <v>2</v>
      </c>
      <c r="H1975" s="5" t="s">
        <v>459</v>
      </c>
      <c r="I1975" s="5" t="s">
        <v>459</v>
      </c>
      <c r="J1975">
        <v>0</v>
      </c>
      <c r="K1975">
        <f>36.5-13.5</f>
        <v>23</v>
      </c>
      <c r="L1975" t="s">
        <v>74</v>
      </c>
      <c r="M1975">
        <v>1</v>
      </c>
    </row>
    <row r="1976" spans="1:13" x14ac:dyDescent="0.25">
      <c r="A1976" s="4">
        <v>42571</v>
      </c>
      <c r="B1976" t="s">
        <v>30</v>
      </c>
      <c r="C1976">
        <v>1</v>
      </c>
      <c r="D1976">
        <v>3</v>
      </c>
      <c r="E1976" t="s">
        <v>42</v>
      </c>
      <c r="F1976" t="s">
        <v>89</v>
      </c>
      <c r="G1976">
        <v>1</v>
      </c>
      <c r="H1976" s="5">
        <v>50805</v>
      </c>
      <c r="I1976" s="5"/>
      <c r="J1976">
        <v>0</v>
      </c>
      <c r="K1976">
        <f>29.5-11</f>
        <v>18.5</v>
      </c>
      <c r="L1976" t="s">
        <v>47</v>
      </c>
      <c r="M1976">
        <v>1</v>
      </c>
    </row>
    <row r="1977" spans="1:13" x14ac:dyDescent="0.25">
      <c r="A1977" s="4">
        <v>42572</v>
      </c>
      <c r="B1977" t="s">
        <v>30</v>
      </c>
      <c r="C1977">
        <v>1</v>
      </c>
      <c r="D1977">
        <v>3</v>
      </c>
      <c r="E1977" t="s">
        <v>42</v>
      </c>
      <c r="F1977" t="s">
        <v>36</v>
      </c>
      <c r="G1977">
        <v>2</v>
      </c>
      <c r="H1977" s="5">
        <v>50817</v>
      </c>
      <c r="I1977" s="5"/>
      <c r="J1977">
        <v>0</v>
      </c>
      <c r="K1977">
        <f>35-19.5</f>
        <v>15.5</v>
      </c>
      <c r="L1977" t="s">
        <v>81</v>
      </c>
      <c r="M1977">
        <v>1</v>
      </c>
    </row>
    <row r="1978" spans="1:13" x14ac:dyDescent="0.25">
      <c r="A1978" s="4">
        <v>42584</v>
      </c>
      <c r="B1978" t="s">
        <v>30</v>
      </c>
      <c r="C1978">
        <v>1</v>
      </c>
      <c r="D1978">
        <v>3</v>
      </c>
      <c r="E1978" t="s">
        <v>35</v>
      </c>
      <c r="F1978" t="s">
        <v>36</v>
      </c>
      <c r="G1978">
        <v>2</v>
      </c>
      <c r="H1978" s="5">
        <v>50817</v>
      </c>
      <c r="I1978" s="5"/>
      <c r="J1978">
        <v>1</v>
      </c>
      <c r="K1978">
        <f>34.5-10</f>
        <v>24.5</v>
      </c>
      <c r="L1978" t="s">
        <v>143</v>
      </c>
      <c r="M1978">
        <v>1</v>
      </c>
    </row>
    <row r="1979" spans="1:13" x14ac:dyDescent="0.25">
      <c r="A1979" s="4">
        <v>42586</v>
      </c>
      <c r="B1979" t="s">
        <v>30</v>
      </c>
      <c r="C1979">
        <v>1</v>
      </c>
      <c r="D1979">
        <v>3</v>
      </c>
      <c r="E1979" t="s">
        <v>35</v>
      </c>
      <c r="F1979" t="s">
        <v>36</v>
      </c>
      <c r="G1979">
        <v>2</v>
      </c>
      <c r="H1979" s="5" t="s">
        <v>388</v>
      </c>
      <c r="I1979" s="5"/>
      <c r="J1979">
        <v>1</v>
      </c>
      <c r="K1979">
        <f>37-14</f>
        <v>23</v>
      </c>
      <c r="L1979" t="s">
        <v>164</v>
      </c>
      <c r="M1979">
        <v>1</v>
      </c>
    </row>
    <row r="1980" spans="1:13" x14ac:dyDescent="0.25">
      <c r="A1980" s="4">
        <v>42588</v>
      </c>
      <c r="B1980" t="s">
        <v>30</v>
      </c>
      <c r="C1980">
        <v>1</v>
      </c>
      <c r="D1980">
        <v>3</v>
      </c>
      <c r="E1980" t="s">
        <v>35</v>
      </c>
      <c r="F1980" t="s">
        <v>36</v>
      </c>
      <c r="G1980">
        <v>2</v>
      </c>
      <c r="H1980" s="5" t="s">
        <v>388</v>
      </c>
      <c r="I1980" s="5"/>
      <c r="J1980">
        <v>1</v>
      </c>
      <c r="K1980">
        <f>35-13</f>
        <v>22</v>
      </c>
      <c r="L1980" t="s">
        <v>74</v>
      </c>
      <c r="M1980">
        <v>1</v>
      </c>
    </row>
    <row r="1981" spans="1:13" x14ac:dyDescent="0.25">
      <c r="A1981" s="4">
        <v>42572</v>
      </c>
      <c r="B1981" t="s">
        <v>30</v>
      </c>
      <c r="C1981">
        <v>2</v>
      </c>
      <c r="D1981">
        <v>3</v>
      </c>
      <c r="E1981" t="s">
        <v>42</v>
      </c>
      <c r="F1981" t="s">
        <v>36</v>
      </c>
      <c r="G1981">
        <v>2</v>
      </c>
      <c r="H1981" s="5">
        <v>50837</v>
      </c>
      <c r="I1981" s="5"/>
      <c r="J1981">
        <v>0</v>
      </c>
      <c r="K1981">
        <f>34-9.5</f>
        <v>24.5</v>
      </c>
      <c r="L1981" t="s">
        <v>143</v>
      </c>
      <c r="M1981">
        <v>1</v>
      </c>
    </row>
    <row r="1982" spans="1:13" x14ac:dyDescent="0.25">
      <c r="A1982" s="4">
        <v>42572</v>
      </c>
      <c r="B1982" t="s">
        <v>30</v>
      </c>
      <c r="C1982">
        <v>2</v>
      </c>
      <c r="D1982">
        <v>3</v>
      </c>
      <c r="E1982" t="s">
        <v>42</v>
      </c>
      <c r="F1982" t="s">
        <v>36</v>
      </c>
      <c r="G1982">
        <v>2</v>
      </c>
      <c r="H1982" s="5">
        <v>50838</v>
      </c>
      <c r="I1982" s="5">
        <v>50838</v>
      </c>
      <c r="J1982">
        <v>0</v>
      </c>
      <c r="K1982">
        <f>32-9.5</f>
        <v>22.5</v>
      </c>
      <c r="L1982" t="s">
        <v>143</v>
      </c>
      <c r="M1982">
        <v>1</v>
      </c>
    </row>
    <row r="1983" spans="1:13" x14ac:dyDescent="0.25">
      <c r="A1983" s="4">
        <v>42584</v>
      </c>
      <c r="B1983" t="s">
        <v>30</v>
      </c>
      <c r="C1983">
        <v>2</v>
      </c>
      <c r="D1983">
        <v>3</v>
      </c>
      <c r="E1983" t="s">
        <v>35</v>
      </c>
      <c r="F1983" t="s">
        <v>36</v>
      </c>
      <c r="G1983">
        <v>2</v>
      </c>
      <c r="H1983" s="5">
        <v>50838</v>
      </c>
      <c r="I1983" s="5">
        <v>50838</v>
      </c>
      <c r="J1983">
        <v>1</v>
      </c>
      <c r="K1983">
        <f>34-12.5</f>
        <v>21.5</v>
      </c>
      <c r="L1983" t="s">
        <v>74</v>
      </c>
      <c r="M1983">
        <v>1</v>
      </c>
    </row>
    <row r="1984" spans="1:13" x14ac:dyDescent="0.25">
      <c r="A1984" s="4">
        <v>42585</v>
      </c>
      <c r="B1984" t="s">
        <v>30</v>
      </c>
      <c r="C1984">
        <v>2</v>
      </c>
      <c r="D1984">
        <v>3</v>
      </c>
      <c r="E1984" t="s">
        <v>35</v>
      </c>
      <c r="F1984" t="s">
        <v>36</v>
      </c>
      <c r="G1984">
        <v>2</v>
      </c>
      <c r="H1984" s="5">
        <v>50838</v>
      </c>
      <c r="I1984" s="5">
        <v>50838</v>
      </c>
      <c r="J1984">
        <v>1</v>
      </c>
      <c r="K1984">
        <f>33.5-12</f>
        <v>21.5</v>
      </c>
      <c r="L1984" t="s">
        <v>74</v>
      </c>
      <c r="M1984">
        <v>1</v>
      </c>
    </row>
    <row r="1985" spans="1:13" x14ac:dyDescent="0.25">
      <c r="A1985" s="4">
        <v>42586</v>
      </c>
      <c r="B1985" t="s">
        <v>30</v>
      </c>
      <c r="C1985">
        <v>2</v>
      </c>
      <c r="D1985">
        <v>3</v>
      </c>
      <c r="E1985" t="s">
        <v>35</v>
      </c>
      <c r="F1985" t="s">
        <v>36</v>
      </c>
      <c r="G1985">
        <v>2</v>
      </c>
      <c r="H1985" s="5">
        <v>50838</v>
      </c>
      <c r="I1985" s="5">
        <v>50838</v>
      </c>
      <c r="J1985">
        <v>1</v>
      </c>
      <c r="K1985">
        <f>35-12.5</f>
        <v>22.5</v>
      </c>
      <c r="L1985" t="s">
        <v>74</v>
      </c>
      <c r="M1985">
        <v>1</v>
      </c>
    </row>
    <row r="1986" spans="1:13" x14ac:dyDescent="0.25">
      <c r="A1986" s="4">
        <v>42598</v>
      </c>
      <c r="B1986" t="s">
        <v>30</v>
      </c>
      <c r="C1986">
        <v>2</v>
      </c>
      <c r="D1986">
        <v>3</v>
      </c>
      <c r="E1986" t="s">
        <v>35</v>
      </c>
      <c r="F1986" t="s">
        <v>36</v>
      </c>
      <c r="G1986">
        <v>2</v>
      </c>
      <c r="H1986" s="5" t="s">
        <v>765</v>
      </c>
      <c r="I1986" s="5" t="s">
        <v>765</v>
      </c>
      <c r="J1986">
        <v>1</v>
      </c>
      <c r="K1986">
        <f>40-13.5</f>
        <v>26.5</v>
      </c>
      <c r="L1986" t="s">
        <v>136</v>
      </c>
      <c r="M1986">
        <v>1</v>
      </c>
    </row>
    <row r="1987" spans="1:13" x14ac:dyDescent="0.25">
      <c r="A1987" s="4">
        <v>42599</v>
      </c>
      <c r="B1987" t="s">
        <v>30</v>
      </c>
      <c r="C1987">
        <v>2</v>
      </c>
      <c r="D1987">
        <v>3</v>
      </c>
      <c r="E1987" t="s">
        <v>35</v>
      </c>
      <c r="F1987" t="s">
        <v>36</v>
      </c>
      <c r="G1987">
        <v>2</v>
      </c>
      <c r="H1987" s="5" t="s">
        <v>765</v>
      </c>
      <c r="I1987" s="5"/>
      <c r="J1987">
        <v>1</v>
      </c>
      <c r="K1987">
        <f>40.5-14</f>
        <v>26.5</v>
      </c>
      <c r="L1987" t="s">
        <v>136</v>
      </c>
      <c r="M1987">
        <v>1</v>
      </c>
    </row>
    <row r="1988" spans="1:13" x14ac:dyDescent="0.25">
      <c r="A1988" s="4">
        <v>42574</v>
      </c>
      <c r="B1988" t="s">
        <v>30</v>
      </c>
      <c r="C1988">
        <v>7</v>
      </c>
      <c r="D1988">
        <v>3</v>
      </c>
      <c r="E1988" t="s">
        <v>42</v>
      </c>
      <c r="F1988" t="s">
        <v>36</v>
      </c>
      <c r="G1988">
        <v>2</v>
      </c>
      <c r="H1988" s="5">
        <v>50858</v>
      </c>
      <c r="I1988" s="5"/>
      <c r="J1988">
        <v>1</v>
      </c>
      <c r="K1988">
        <v>23</v>
      </c>
      <c r="L1988" t="s">
        <v>38</v>
      </c>
      <c r="M1988">
        <v>1</v>
      </c>
    </row>
    <row r="1989" spans="1:13" x14ac:dyDescent="0.25">
      <c r="A1989" s="4">
        <v>42575</v>
      </c>
      <c r="B1989" t="s">
        <v>30</v>
      </c>
      <c r="C1989">
        <v>7</v>
      </c>
      <c r="D1989">
        <v>3</v>
      </c>
      <c r="E1989" t="s">
        <v>35</v>
      </c>
      <c r="F1989" t="s">
        <v>36</v>
      </c>
      <c r="G1989">
        <v>2</v>
      </c>
      <c r="H1989" s="5">
        <v>50858</v>
      </c>
      <c r="I1989" s="5"/>
      <c r="J1989">
        <v>1</v>
      </c>
      <c r="K1989">
        <v>23</v>
      </c>
      <c r="L1989" t="s">
        <v>74</v>
      </c>
      <c r="M1989">
        <v>1</v>
      </c>
    </row>
    <row r="1990" spans="1:13" x14ac:dyDescent="0.25">
      <c r="A1990" s="4">
        <v>42576</v>
      </c>
      <c r="B1990" t="s">
        <v>30</v>
      </c>
      <c r="C1990">
        <v>7</v>
      </c>
      <c r="D1990">
        <v>3</v>
      </c>
      <c r="E1990" t="s">
        <v>35</v>
      </c>
      <c r="F1990" t="s">
        <v>36</v>
      </c>
      <c r="G1990">
        <v>2</v>
      </c>
      <c r="H1990" s="5">
        <v>50858</v>
      </c>
      <c r="I1990" s="5"/>
      <c r="J1990">
        <v>1</v>
      </c>
      <c r="K1990">
        <f>34.5-9.5</f>
        <v>25</v>
      </c>
      <c r="L1990" t="s">
        <v>74</v>
      </c>
      <c r="M1990">
        <v>1</v>
      </c>
    </row>
    <row r="1991" spans="1:13" x14ac:dyDescent="0.25">
      <c r="A1991" s="4">
        <v>42584</v>
      </c>
      <c r="B1991" t="s">
        <v>30</v>
      </c>
      <c r="C1991">
        <v>1</v>
      </c>
      <c r="D1991">
        <v>3</v>
      </c>
      <c r="E1991" t="s">
        <v>42</v>
      </c>
      <c r="F1991" t="s">
        <v>36</v>
      </c>
      <c r="G1991">
        <v>1</v>
      </c>
      <c r="H1991" s="5">
        <v>50888</v>
      </c>
      <c r="I1991" s="5"/>
      <c r="J1991">
        <v>1</v>
      </c>
      <c r="K1991">
        <f>31.5-10</f>
        <v>21.5</v>
      </c>
      <c r="L1991" t="s">
        <v>47</v>
      </c>
      <c r="M1991">
        <v>1</v>
      </c>
    </row>
    <row r="1992" spans="1:13" x14ac:dyDescent="0.25">
      <c r="A1992" s="4">
        <v>42584</v>
      </c>
      <c r="B1992" t="s">
        <v>30</v>
      </c>
      <c r="C1992">
        <v>4</v>
      </c>
      <c r="D1992">
        <v>3</v>
      </c>
      <c r="E1992" t="s">
        <v>42</v>
      </c>
      <c r="F1992" t="s">
        <v>36</v>
      </c>
      <c r="G1992">
        <v>1</v>
      </c>
      <c r="H1992" s="5">
        <v>50898</v>
      </c>
      <c r="I1992" s="5"/>
      <c r="J1992">
        <v>1</v>
      </c>
      <c r="K1992">
        <f>30-11</f>
        <v>19</v>
      </c>
      <c r="L1992" t="s">
        <v>47</v>
      </c>
      <c r="M1992">
        <v>1</v>
      </c>
    </row>
    <row r="1993" spans="1:13" x14ac:dyDescent="0.25">
      <c r="A1993" s="4">
        <v>42584</v>
      </c>
      <c r="B1993" t="s">
        <v>30</v>
      </c>
      <c r="C1993">
        <v>2</v>
      </c>
      <c r="D1993">
        <v>3</v>
      </c>
      <c r="E1993" t="s">
        <v>42</v>
      </c>
      <c r="F1993" t="s">
        <v>36</v>
      </c>
      <c r="G1993">
        <v>1</v>
      </c>
      <c r="H1993" s="5">
        <v>50931</v>
      </c>
      <c r="I1993" s="5"/>
      <c r="J1993">
        <v>1</v>
      </c>
      <c r="K1993">
        <f>48.5-22.5</f>
        <v>26</v>
      </c>
      <c r="L1993" t="s">
        <v>47</v>
      </c>
      <c r="M1993">
        <v>1</v>
      </c>
    </row>
    <row r="1994" spans="1:13" x14ac:dyDescent="0.25">
      <c r="A1994" s="4">
        <v>42584</v>
      </c>
      <c r="B1994" t="s">
        <v>30</v>
      </c>
      <c r="C1994">
        <v>2</v>
      </c>
      <c r="D1994">
        <v>3</v>
      </c>
      <c r="E1994" t="s">
        <v>42</v>
      </c>
      <c r="F1994" t="s">
        <v>114</v>
      </c>
      <c r="G1994">
        <v>1</v>
      </c>
      <c r="H1994" s="5">
        <v>50938</v>
      </c>
      <c r="I1994" s="5"/>
      <c r="J1994">
        <v>1</v>
      </c>
      <c r="K1994">
        <f>28.5-12.5</f>
        <v>16</v>
      </c>
      <c r="L1994" t="s">
        <v>47</v>
      </c>
      <c r="M1994">
        <v>1</v>
      </c>
    </row>
    <row r="1995" spans="1:13" x14ac:dyDescent="0.25">
      <c r="A1995" s="4">
        <v>42584</v>
      </c>
      <c r="B1995" t="s">
        <v>30</v>
      </c>
      <c r="C1995">
        <v>3</v>
      </c>
      <c r="D1995">
        <v>3</v>
      </c>
      <c r="E1995" t="s">
        <v>42</v>
      </c>
      <c r="F1995" t="s">
        <v>36</v>
      </c>
      <c r="G1995">
        <v>2</v>
      </c>
      <c r="H1995" s="5">
        <v>50939</v>
      </c>
      <c r="I1995" s="5"/>
      <c r="J1995">
        <v>0</v>
      </c>
      <c r="K1995">
        <f>34.5-13</f>
        <v>21.5</v>
      </c>
      <c r="L1995" t="s">
        <v>74</v>
      </c>
      <c r="M1995">
        <v>1</v>
      </c>
    </row>
    <row r="1996" spans="1:13" x14ac:dyDescent="0.25">
      <c r="A1996" s="4">
        <v>42930</v>
      </c>
      <c r="B1996" t="s">
        <v>30</v>
      </c>
      <c r="C1996">
        <v>3</v>
      </c>
      <c r="D1996">
        <v>3</v>
      </c>
      <c r="E1996" t="s">
        <v>35</v>
      </c>
      <c r="F1996" t="s">
        <v>36</v>
      </c>
      <c r="G1996">
        <v>2</v>
      </c>
      <c r="H1996">
        <v>50939</v>
      </c>
      <c r="J1996">
        <v>0</v>
      </c>
      <c r="K1996">
        <f>36-14</f>
        <v>22</v>
      </c>
      <c r="L1996" t="s">
        <v>1039</v>
      </c>
      <c r="M1996">
        <v>2</v>
      </c>
    </row>
    <row r="1997" spans="1:13" x14ac:dyDescent="0.25">
      <c r="A1997" s="4">
        <v>42576</v>
      </c>
      <c r="B1997" t="s">
        <v>30</v>
      </c>
      <c r="C1997">
        <v>4</v>
      </c>
      <c r="D1997">
        <v>3</v>
      </c>
      <c r="E1997" t="s">
        <v>42</v>
      </c>
      <c r="F1997" t="s">
        <v>36</v>
      </c>
      <c r="G1997">
        <v>2</v>
      </c>
      <c r="H1997" s="5">
        <v>50957</v>
      </c>
      <c r="I1997" s="5"/>
      <c r="J1997">
        <v>1</v>
      </c>
      <c r="K1997">
        <f>40.5-14.5</f>
        <v>26</v>
      </c>
      <c r="L1997" t="s">
        <v>143</v>
      </c>
      <c r="M1997">
        <v>1</v>
      </c>
    </row>
    <row r="1998" spans="1:13" x14ac:dyDescent="0.25">
      <c r="A1998" s="4">
        <v>42935</v>
      </c>
      <c r="B1998" t="s">
        <v>30</v>
      </c>
      <c r="C1998">
        <v>4</v>
      </c>
      <c r="D1998">
        <v>3</v>
      </c>
      <c r="E1998" t="s">
        <v>35</v>
      </c>
      <c r="F1998" t="s">
        <v>36</v>
      </c>
      <c r="G1998">
        <v>2</v>
      </c>
      <c r="H1998">
        <v>50957</v>
      </c>
      <c r="J1998">
        <v>0</v>
      </c>
      <c r="K1998">
        <f>46-15.5</f>
        <v>30.5</v>
      </c>
      <c r="L1998" t="s">
        <v>1041</v>
      </c>
      <c r="M1998">
        <v>2</v>
      </c>
    </row>
    <row r="1999" spans="1:13" x14ac:dyDescent="0.25">
      <c r="A1999" s="4">
        <v>42936</v>
      </c>
      <c r="B1999" t="s">
        <v>30</v>
      </c>
      <c r="C1999">
        <v>4</v>
      </c>
      <c r="D1999">
        <v>3</v>
      </c>
      <c r="E1999" t="s">
        <v>35</v>
      </c>
      <c r="F1999" t="s">
        <v>36</v>
      </c>
      <c r="G1999">
        <v>2</v>
      </c>
      <c r="H1999">
        <v>50957</v>
      </c>
      <c r="J1999">
        <v>0</v>
      </c>
      <c r="K1999">
        <f>40.5-14</f>
        <v>26.5</v>
      </c>
      <c r="L1999" t="s">
        <v>1039</v>
      </c>
      <c r="M1999">
        <v>2</v>
      </c>
    </row>
    <row r="2000" spans="1:13" x14ac:dyDescent="0.25">
      <c r="A2000" s="4">
        <v>42576</v>
      </c>
      <c r="B2000" t="s">
        <v>30</v>
      </c>
      <c r="C2000">
        <v>5</v>
      </c>
      <c r="D2000">
        <v>3</v>
      </c>
      <c r="E2000" t="s">
        <v>42</v>
      </c>
      <c r="F2000" t="s">
        <v>36</v>
      </c>
      <c r="G2000">
        <v>1</v>
      </c>
      <c r="H2000" s="5">
        <v>50969</v>
      </c>
      <c r="I2000" s="5"/>
      <c r="J2000">
        <v>0</v>
      </c>
      <c r="K2000">
        <f>35-11</f>
        <v>24</v>
      </c>
      <c r="L2000" t="s">
        <v>47</v>
      </c>
      <c r="M2000">
        <v>1</v>
      </c>
    </row>
    <row r="2001" spans="1:13" x14ac:dyDescent="0.25">
      <c r="A2001" s="4">
        <v>42576</v>
      </c>
      <c r="B2001" t="s">
        <v>30</v>
      </c>
      <c r="C2001">
        <v>8</v>
      </c>
      <c r="D2001">
        <v>3</v>
      </c>
      <c r="E2001" t="s">
        <v>35</v>
      </c>
      <c r="F2001" t="s">
        <v>89</v>
      </c>
      <c r="G2001">
        <v>2</v>
      </c>
      <c r="H2001" s="5">
        <v>50994</v>
      </c>
      <c r="I2001" s="5"/>
      <c r="J2001">
        <v>0</v>
      </c>
      <c r="K2001">
        <f>26-10.5</f>
        <v>15.5</v>
      </c>
      <c r="L2001" t="s">
        <v>38</v>
      </c>
      <c r="M2001">
        <v>1</v>
      </c>
    </row>
    <row r="2002" spans="1:13" x14ac:dyDescent="0.25">
      <c r="A2002" s="4">
        <v>42570</v>
      </c>
      <c r="B2002" t="s">
        <v>30</v>
      </c>
      <c r="C2002">
        <v>1</v>
      </c>
      <c r="D2002">
        <v>3</v>
      </c>
      <c r="E2002" t="s">
        <v>35</v>
      </c>
      <c r="F2002" t="s">
        <v>36</v>
      </c>
      <c r="G2002">
        <v>1</v>
      </c>
      <c r="H2002" s="5" t="s">
        <v>234</v>
      </c>
      <c r="I2002" s="5" t="s">
        <v>234</v>
      </c>
      <c r="J2002">
        <v>0</v>
      </c>
      <c r="K2002">
        <v>20</v>
      </c>
      <c r="L2002" t="s">
        <v>47</v>
      </c>
      <c r="M2002">
        <v>1</v>
      </c>
    </row>
    <row r="2003" spans="1:13" x14ac:dyDescent="0.25">
      <c r="A2003" s="4">
        <v>42586</v>
      </c>
      <c r="B2003" t="s">
        <v>30</v>
      </c>
      <c r="C2003">
        <v>1</v>
      </c>
      <c r="D2003">
        <v>3</v>
      </c>
      <c r="E2003" t="s">
        <v>35</v>
      </c>
      <c r="F2003" t="s">
        <v>36</v>
      </c>
      <c r="G2003">
        <v>1</v>
      </c>
      <c r="H2003" s="5" t="s">
        <v>234</v>
      </c>
      <c r="I2003" s="5" t="s">
        <v>234</v>
      </c>
      <c r="J2003">
        <v>1</v>
      </c>
      <c r="K2003">
        <f>32.5-13</f>
        <v>19.5</v>
      </c>
      <c r="L2003" t="s">
        <v>47</v>
      </c>
      <c r="M2003">
        <v>1</v>
      </c>
    </row>
    <row r="2004" spans="1:13" x14ac:dyDescent="0.25">
      <c r="A2004" s="4">
        <v>42574</v>
      </c>
      <c r="B2004" t="s">
        <v>30</v>
      </c>
      <c r="C2004">
        <v>3</v>
      </c>
      <c r="D2004">
        <v>3</v>
      </c>
      <c r="E2004" t="s">
        <v>35</v>
      </c>
      <c r="F2004" t="s">
        <v>36</v>
      </c>
      <c r="G2004">
        <v>2</v>
      </c>
      <c r="H2004" s="5" t="s">
        <v>134</v>
      </c>
      <c r="I2004" s="5"/>
      <c r="J2004">
        <v>1</v>
      </c>
      <c r="K2004">
        <f>30-10.5</f>
        <v>19.5</v>
      </c>
      <c r="L2004" t="s">
        <v>143</v>
      </c>
      <c r="M2004">
        <v>1</v>
      </c>
    </row>
    <row r="2005" spans="1:13" x14ac:dyDescent="0.25">
      <c r="A2005" s="4">
        <v>42591</v>
      </c>
      <c r="B2005" t="s">
        <v>30</v>
      </c>
      <c r="C2005">
        <v>3</v>
      </c>
      <c r="D2005">
        <v>3</v>
      </c>
      <c r="E2005" t="s">
        <v>35</v>
      </c>
      <c r="F2005" t="s">
        <v>36</v>
      </c>
      <c r="G2005">
        <v>2</v>
      </c>
      <c r="H2005" s="5" t="s">
        <v>134</v>
      </c>
      <c r="I2005" s="5"/>
      <c r="J2005">
        <v>1</v>
      </c>
      <c r="K2005">
        <f>33-13</f>
        <v>20</v>
      </c>
      <c r="L2005" t="s">
        <v>38</v>
      </c>
      <c r="M2005">
        <v>1</v>
      </c>
    </row>
    <row r="2006" spans="1:13" x14ac:dyDescent="0.25">
      <c r="A2006" s="4">
        <v>42592</v>
      </c>
      <c r="B2006" t="s">
        <v>30</v>
      </c>
      <c r="C2006">
        <v>8</v>
      </c>
      <c r="D2006">
        <v>3</v>
      </c>
      <c r="E2006" t="s">
        <v>35</v>
      </c>
      <c r="F2006" t="s">
        <v>36</v>
      </c>
      <c r="G2006">
        <v>1</v>
      </c>
      <c r="H2006" s="5" t="s">
        <v>641</v>
      </c>
      <c r="I2006" s="5"/>
      <c r="J2006">
        <v>1</v>
      </c>
      <c r="K2006">
        <f>37-15</f>
        <v>22</v>
      </c>
      <c r="L2006" t="s">
        <v>47</v>
      </c>
      <c r="M2006">
        <v>1</v>
      </c>
    </row>
  </sheetData>
  <sortState xmlns:xlrd2="http://schemas.microsoft.com/office/spreadsheetml/2017/richdata2" ref="A2:M2006">
    <sortCondition ref="D2:D2006"/>
    <sortCondition ref="H2:H2006"/>
    <sortCondition ref="A2:A200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23CF-5787-4AC0-8A4C-9828CD7B6CDB}">
  <dimension ref="A1:M653"/>
  <sheetViews>
    <sheetView tabSelected="1" topLeftCell="A144" workbookViewId="0">
      <selection activeCell="K157" sqref="A1:M653"/>
    </sheetView>
  </sheetViews>
  <sheetFormatPr defaultRowHeight="15" x14ac:dyDescent="0.25"/>
  <cols>
    <col min="1" max="1" width="17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11</v>
      </c>
      <c r="H1" s="2" t="s">
        <v>14</v>
      </c>
      <c r="I1" s="2" t="s">
        <v>15</v>
      </c>
      <c r="J1" s="1" t="s">
        <v>25</v>
      </c>
      <c r="K1" s="1" t="s">
        <v>16</v>
      </c>
      <c r="L1" s="1" t="s">
        <v>17</v>
      </c>
      <c r="M1" s="8" t="s">
        <v>1038</v>
      </c>
    </row>
    <row r="2" spans="1:13" x14ac:dyDescent="0.25">
      <c r="A2" t="s">
        <v>1265</v>
      </c>
      <c r="B2" t="s">
        <v>30</v>
      </c>
      <c r="C2">
        <v>3</v>
      </c>
      <c r="D2">
        <v>1</v>
      </c>
      <c r="E2" t="s">
        <v>42</v>
      </c>
      <c r="F2" t="s">
        <v>114</v>
      </c>
      <c r="G2">
        <v>1</v>
      </c>
      <c r="H2" s="5">
        <v>1629</v>
      </c>
      <c r="I2" s="5">
        <v>1628</v>
      </c>
      <c r="J2">
        <v>0</v>
      </c>
      <c r="K2">
        <f>27-12</f>
        <v>15</v>
      </c>
      <c r="L2" t="s">
        <v>65</v>
      </c>
      <c r="M2">
        <v>4</v>
      </c>
    </row>
    <row r="3" spans="1:13" x14ac:dyDescent="0.25">
      <c r="A3" t="s">
        <v>1265</v>
      </c>
      <c r="B3" t="s">
        <v>30</v>
      </c>
      <c r="C3">
        <v>3</v>
      </c>
      <c r="D3">
        <v>1</v>
      </c>
      <c r="E3" t="s">
        <v>42</v>
      </c>
      <c r="F3" t="s">
        <v>89</v>
      </c>
      <c r="G3">
        <v>2</v>
      </c>
      <c r="H3" s="5">
        <v>1632</v>
      </c>
      <c r="I3" s="5">
        <v>1631</v>
      </c>
      <c r="J3">
        <v>0</v>
      </c>
      <c r="K3">
        <f>28.5-13.5</f>
        <v>15</v>
      </c>
      <c r="L3" t="s">
        <v>38</v>
      </c>
      <c r="M3">
        <v>4</v>
      </c>
    </row>
    <row r="4" spans="1:13" x14ac:dyDescent="0.25">
      <c r="A4" t="s">
        <v>1265</v>
      </c>
      <c r="B4" t="s">
        <v>30</v>
      </c>
      <c r="C4">
        <v>3</v>
      </c>
      <c r="D4">
        <v>1</v>
      </c>
      <c r="E4" t="s">
        <v>42</v>
      </c>
      <c r="F4" t="s">
        <v>36</v>
      </c>
      <c r="G4">
        <v>1</v>
      </c>
      <c r="H4" s="5">
        <v>1634</v>
      </c>
      <c r="I4" s="5"/>
      <c r="J4">
        <v>0</v>
      </c>
      <c r="K4">
        <f>33.5-11.5</f>
        <v>22</v>
      </c>
      <c r="L4" t="s">
        <v>47</v>
      </c>
      <c r="M4">
        <v>4</v>
      </c>
    </row>
    <row r="5" spans="1:13" x14ac:dyDescent="0.25">
      <c r="A5" t="s">
        <v>1265</v>
      </c>
      <c r="B5" t="s">
        <v>30</v>
      </c>
      <c r="C5">
        <v>3</v>
      </c>
      <c r="D5">
        <v>1</v>
      </c>
      <c r="E5" t="s">
        <v>42</v>
      </c>
      <c r="F5" t="s">
        <v>114</v>
      </c>
      <c r="G5">
        <v>1</v>
      </c>
      <c r="H5" s="5">
        <v>1636</v>
      </c>
      <c r="I5" s="5">
        <v>1635</v>
      </c>
      <c r="J5">
        <v>0</v>
      </c>
      <c r="K5">
        <f>28.5-13.5</f>
        <v>15</v>
      </c>
      <c r="L5" t="s">
        <v>65</v>
      </c>
      <c r="M5">
        <v>4</v>
      </c>
    </row>
    <row r="6" spans="1:13" x14ac:dyDescent="0.25">
      <c r="A6" t="s">
        <v>1265</v>
      </c>
      <c r="B6" t="s">
        <v>30</v>
      </c>
      <c r="C6">
        <v>3</v>
      </c>
      <c r="D6">
        <v>1</v>
      </c>
      <c r="E6" t="s">
        <v>42</v>
      </c>
      <c r="F6" t="s">
        <v>114</v>
      </c>
      <c r="G6">
        <v>1</v>
      </c>
      <c r="H6" s="5">
        <v>1638</v>
      </c>
      <c r="I6" s="5">
        <v>1637</v>
      </c>
      <c r="J6">
        <v>0</v>
      </c>
      <c r="K6">
        <f>27.5-12</f>
        <v>15.5</v>
      </c>
      <c r="L6" t="s">
        <v>65</v>
      </c>
      <c r="M6">
        <v>4</v>
      </c>
    </row>
    <row r="7" spans="1:13" x14ac:dyDescent="0.25">
      <c r="A7" t="s">
        <v>1265</v>
      </c>
      <c r="B7" t="s">
        <v>30</v>
      </c>
      <c r="C7">
        <v>2</v>
      </c>
      <c r="D7">
        <v>1</v>
      </c>
      <c r="E7" t="s">
        <v>42</v>
      </c>
      <c r="F7" t="s">
        <v>89</v>
      </c>
      <c r="G7">
        <v>1</v>
      </c>
      <c r="H7" s="5">
        <v>1641</v>
      </c>
      <c r="I7" s="5">
        <v>1640</v>
      </c>
      <c r="J7">
        <v>0</v>
      </c>
      <c r="K7">
        <f>25.5-11.5</f>
        <v>14</v>
      </c>
      <c r="L7" t="s">
        <v>65</v>
      </c>
      <c r="M7">
        <v>4</v>
      </c>
    </row>
    <row r="8" spans="1:13" x14ac:dyDescent="0.25">
      <c r="A8" t="s">
        <v>1265</v>
      </c>
      <c r="B8" t="s">
        <v>30</v>
      </c>
      <c r="C8">
        <v>2</v>
      </c>
      <c r="D8">
        <v>1</v>
      </c>
      <c r="E8" t="s">
        <v>42</v>
      </c>
      <c r="F8" t="s">
        <v>114</v>
      </c>
      <c r="G8">
        <v>1</v>
      </c>
      <c r="H8" s="5">
        <v>1643</v>
      </c>
      <c r="I8" s="5">
        <v>1642</v>
      </c>
      <c r="J8">
        <v>0</v>
      </c>
      <c r="K8">
        <f>28-12.5</f>
        <v>15.5</v>
      </c>
      <c r="L8" t="s">
        <v>47</v>
      </c>
      <c r="M8">
        <v>4</v>
      </c>
    </row>
    <row r="9" spans="1:13" x14ac:dyDescent="0.25">
      <c r="A9" t="s">
        <v>1265</v>
      </c>
      <c r="B9" t="s">
        <v>30</v>
      </c>
      <c r="C9">
        <v>2</v>
      </c>
      <c r="D9">
        <v>1</v>
      </c>
      <c r="E9" t="s">
        <v>42</v>
      </c>
      <c r="F9" t="s">
        <v>89</v>
      </c>
      <c r="G9">
        <v>1</v>
      </c>
      <c r="H9" s="5">
        <v>1645</v>
      </c>
      <c r="I9" s="5">
        <v>1644</v>
      </c>
      <c r="J9">
        <v>0</v>
      </c>
      <c r="K9">
        <f>26-13</f>
        <v>13</v>
      </c>
      <c r="L9" t="s">
        <v>65</v>
      </c>
      <c r="M9">
        <v>4</v>
      </c>
    </row>
    <row r="10" spans="1:13" x14ac:dyDescent="0.25">
      <c r="A10" t="s">
        <v>1265</v>
      </c>
      <c r="B10" t="s">
        <v>30</v>
      </c>
      <c r="C10">
        <v>2</v>
      </c>
      <c r="D10">
        <v>1</v>
      </c>
      <c r="E10" t="s">
        <v>42</v>
      </c>
      <c r="F10" t="s">
        <v>114</v>
      </c>
      <c r="G10">
        <v>1</v>
      </c>
      <c r="H10" s="5">
        <v>1647</v>
      </c>
      <c r="I10" s="5">
        <v>1646</v>
      </c>
      <c r="J10">
        <v>0</v>
      </c>
      <c r="K10">
        <f>32-14</f>
        <v>18</v>
      </c>
      <c r="L10" t="s">
        <v>47</v>
      </c>
      <c r="M10">
        <v>4</v>
      </c>
    </row>
    <row r="11" spans="1:13" x14ac:dyDescent="0.25">
      <c r="A11" t="s">
        <v>1265</v>
      </c>
      <c r="B11" t="s">
        <v>30</v>
      </c>
      <c r="C11">
        <v>2</v>
      </c>
      <c r="D11">
        <v>1</v>
      </c>
      <c r="E11" t="s">
        <v>42</v>
      </c>
      <c r="F11" t="s">
        <v>114</v>
      </c>
      <c r="G11">
        <v>2</v>
      </c>
      <c r="H11" s="5">
        <v>1650</v>
      </c>
      <c r="I11" s="5">
        <v>1649</v>
      </c>
      <c r="J11">
        <v>0</v>
      </c>
      <c r="K11">
        <f>26.5-11.5</f>
        <v>15</v>
      </c>
      <c r="L11" t="s">
        <v>38</v>
      </c>
      <c r="M11">
        <v>4</v>
      </c>
    </row>
    <row r="12" spans="1:13" x14ac:dyDescent="0.25">
      <c r="A12" t="s">
        <v>1265</v>
      </c>
      <c r="B12" t="s">
        <v>30</v>
      </c>
      <c r="C12">
        <v>2</v>
      </c>
      <c r="D12">
        <v>2</v>
      </c>
      <c r="E12" t="s">
        <v>42</v>
      </c>
      <c r="F12" t="s">
        <v>36</v>
      </c>
      <c r="G12">
        <v>1</v>
      </c>
      <c r="H12" s="5">
        <v>1639</v>
      </c>
      <c r="I12" s="5"/>
      <c r="J12">
        <v>1</v>
      </c>
      <c r="K12">
        <f>33.5-11.5</f>
        <v>22</v>
      </c>
      <c r="L12" t="s">
        <v>47</v>
      </c>
      <c r="M12">
        <v>4</v>
      </c>
    </row>
    <row r="13" spans="1:13" ht="15.75" x14ac:dyDescent="0.25">
      <c r="A13" t="s">
        <v>1258</v>
      </c>
      <c r="B13" t="s">
        <v>30</v>
      </c>
      <c r="C13">
        <v>3</v>
      </c>
      <c r="D13">
        <v>1</v>
      </c>
      <c r="E13" s="9" t="s">
        <v>42</v>
      </c>
      <c r="F13" t="s">
        <v>89</v>
      </c>
      <c r="G13">
        <v>1</v>
      </c>
      <c r="H13" s="5">
        <v>1607</v>
      </c>
      <c r="I13" s="5">
        <v>1606</v>
      </c>
      <c r="J13">
        <v>0</v>
      </c>
      <c r="K13">
        <f>38.5-14</f>
        <v>24.5</v>
      </c>
      <c r="L13" t="s">
        <v>65</v>
      </c>
      <c r="M13">
        <v>4</v>
      </c>
    </row>
    <row r="14" spans="1:13" ht="15.75" x14ac:dyDescent="0.25">
      <c r="A14" t="s">
        <v>1258</v>
      </c>
      <c r="B14" t="s">
        <v>30</v>
      </c>
      <c r="C14">
        <v>3</v>
      </c>
      <c r="D14">
        <v>1</v>
      </c>
      <c r="E14" s="9" t="s">
        <v>42</v>
      </c>
      <c r="F14" t="s">
        <v>114</v>
      </c>
      <c r="G14">
        <v>1</v>
      </c>
      <c r="H14" s="5">
        <v>1609</v>
      </c>
      <c r="I14" s="5">
        <v>1608</v>
      </c>
      <c r="J14">
        <v>0</v>
      </c>
      <c r="K14">
        <f>28-13.5</f>
        <v>14.5</v>
      </c>
      <c r="L14" t="s">
        <v>65</v>
      </c>
      <c r="M14">
        <v>4</v>
      </c>
    </row>
    <row r="15" spans="1:13" ht="15.75" x14ac:dyDescent="0.25">
      <c r="A15" t="s">
        <v>1258</v>
      </c>
      <c r="B15" t="s">
        <v>30</v>
      </c>
      <c r="C15">
        <v>2</v>
      </c>
      <c r="D15">
        <v>1</v>
      </c>
      <c r="E15" s="9" t="s">
        <v>42</v>
      </c>
      <c r="F15" t="s">
        <v>89</v>
      </c>
      <c r="G15">
        <v>2</v>
      </c>
      <c r="H15" s="5">
        <v>1613</v>
      </c>
      <c r="I15" s="5">
        <v>1612</v>
      </c>
      <c r="J15">
        <v>0</v>
      </c>
      <c r="K15">
        <f>27-13</f>
        <v>14</v>
      </c>
      <c r="L15" t="s">
        <v>38</v>
      </c>
      <c r="M15">
        <v>4</v>
      </c>
    </row>
    <row r="16" spans="1:13" x14ac:dyDescent="0.25">
      <c r="A16" t="s">
        <v>1258</v>
      </c>
      <c r="B16" t="s">
        <v>30</v>
      </c>
      <c r="C16">
        <v>2</v>
      </c>
      <c r="D16">
        <v>1</v>
      </c>
      <c r="E16" t="s">
        <v>42</v>
      </c>
      <c r="F16" t="s">
        <v>114</v>
      </c>
      <c r="G16">
        <v>2</v>
      </c>
      <c r="H16" s="5">
        <v>1615</v>
      </c>
      <c r="I16" s="5">
        <v>1614</v>
      </c>
      <c r="J16">
        <v>0</v>
      </c>
      <c r="K16">
        <f>33.5-15.5</f>
        <v>18</v>
      </c>
      <c r="L16" t="s">
        <v>38</v>
      </c>
      <c r="M16">
        <v>4</v>
      </c>
    </row>
    <row r="17" spans="1:13" x14ac:dyDescent="0.25">
      <c r="A17" t="s">
        <v>1258</v>
      </c>
      <c r="B17" t="s">
        <v>30</v>
      </c>
      <c r="C17">
        <v>2</v>
      </c>
      <c r="D17">
        <v>1</v>
      </c>
      <c r="E17" t="s">
        <v>42</v>
      </c>
      <c r="F17" t="s">
        <v>114</v>
      </c>
      <c r="G17">
        <v>2</v>
      </c>
      <c r="H17" s="5">
        <v>1617</v>
      </c>
      <c r="I17" s="5">
        <v>1616</v>
      </c>
      <c r="J17">
        <v>0</v>
      </c>
      <c r="K17">
        <f>34.5-18</f>
        <v>16.5</v>
      </c>
      <c r="L17" t="s">
        <v>38</v>
      </c>
      <c r="M17">
        <v>4</v>
      </c>
    </row>
    <row r="18" spans="1:13" x14ac:dyDescent="0.25">
      <c r="A18" t="s">
        <v>1258</v>
      </c>
      <c r="B18" t="s">
        <v>30</v>
      </c>
      <c r="C18">
        <v>2</v>
      </c>
      <c r="D18">
        <v>1</v>
      </c>
      <c r="E18" t="s">
        <v>42</v>
      </c>
      <c r="F18" t="s">
        <v>36</v>
      </c>
      <c r="G18">
        <v>1</v>
      </c>
      <c r="H18" s="5">
        <v>1619</v>
      </c>
      <c r="I18" s="5">
        <v>1618</v>
      </c>
      <c r="J18">
        <v>0</v>
      </c>
      <c r="K18">
        <f>35-14.5</f>
        <v>20.5</v>
      </c>
      <c r="L18" t="s">
        <v>47</v>
      </c>
      <c r="M18">
        <v>4</v>
      </c>
    </row>
    <row r="19" spans="1:13" x14ac:dyDescent="0.25">
      <c r="A19" t="s">
        <v>1258</v>
      </c>
      <c r="B19" t="s">
        <v>30</v>
      </c>
      <c r="C19">
        <v>2</v>
      </c>
      <c r="D19">
        <v>1</v>
      </c>
      <c r="E19" t="s">
        <v>42</v>
      </c>
      <c r="F19" t="s">
        <v>114</v>
      </c>
      <c r="G19">
        <v>1</v>
      </c>
      <c r="H19" s="5">
        <v>1623</v>
      </c>
      <c r="I19" s="5">
        <v>1622</v>
      </c>
      <c r="J19">
        <v>0</v>
      </c>
      <c r="K19">
        <f>32-12.5</f>
        <v>19.5</v>
      </c>
      <c r="L19" t="s">
        <v>65</v>
      </c>
      <c r="M19">
        <v>4</v>
      </c>
    </row>
    <row r="20" spans="1:13" x14ac:dyDescent="0.25">
      <c r="A20" t="s">
        <v>1258</v>
      </c>
      <c r="B20" t="s">
        <v>30</v>
      </c>
      <c r="C20">
        <v>2</v>
      </c>
      <c r="D20">
        <v>1</v>
      </c>
      <c r="E20" t="s">
        <v>42</v>
      </c>
      <c r="F20" t="s">
        <v>114</v>
      </c>
      <c r="G20">
        <v>2</v>
      </c>
      <c r="H20" s="5">
        <v>1625</v>
      </c>
      <c r="I20" s="5">
        <v>1624</v>
      </c>
      <c r="J20">
        <v>0</v>
      </c>
      <c r="K20">
        <f>34.5-16</f>
        <v>18.5</v>
      </c>
      <c r="L20" t="s">
        <v>38</v>
      </c>
      <c r="M20">
        <v>4</v>
      </c>
    </row>
    <row r="21" spans="1:13" ht="15.75" x14ac:dyDescent="0.25">
      <c r="A21" t="s">
        <v>1258</v>
      </c>
      <c r="B21" t="s">
        <v>30</v>
      </c>
      <c r="C21">
        <v>3</v>
      </c>
      <c r="D21">
        <v>1</v>
      </c>
      <c r="E21" s="9" t="s">
        <v>42</v>
      </c>
      <c r="F21" t="s">
        <v>114</v>
      </c>
      <c r="G21">
        <v>2</v>
      </c>
      <c r="H21" s="5">
        <v>1627</v>
      </c>
      <c r="I21" s="5">
        <v>1626</v>
      </c>
      <c r="J21">
        <v>0</v>
      </c>
      <c r="K21">
        <f>27.5-14</f>
        <v>13.5</v>
      </c>
      <c r="L21" t="s">
        <v>38</v>
      </c>
      <c r="M21">
        <v>4</v>
      </c>
    </row>
    <row r="22" spans="1:13" ht="15.75" x14ac:dyDescent="0.25">
      <c r="A22" t="s">
        <v>1258</v>
      </c>
      <c r="B22" t="s">
        <v>30</v>
      </c>
      <c r="C22">
        <v>3</v>
      </c>
      <c r="D22">
        <v>1</v>
      </c>
      <c r="E22" s="9" t="s">
        <v>35</v>
      </c>
      <c r="F22" t="s">
        <v>114</v>
      </c>
      <c r="G22">
        <v>1</v>
      </c>
      <c r="H22" s="5">
        <v>1629</v>
      </c>
      <c r="I22" s="5">
        <v>1628</v>
      </c>
      <c r="J22">
        <v>0</v>
      </c>
      <c r="K22">
        <f>27.5-12</f>
        <v>15.5</v>
      </c>
      <c r="L22" t="s">
        <v>65</v>
      </c>
      <c r="M22">
        <v>4</v>
      </c>
    </row>
    <row r="23" spans="1:13" ht="15.75" x14ac:dyDescent="0.25">
      <c r="A23" t="s">
        <v>1258</v>
      </c>
      <c r="B23" t="s">
        <v>30</v>
      </c>
      <c r="C23">
        <v>3</v>
      </c>
      <c r="D23">
        <v>1</v>
      </c>
      <c r="E23" s="9" t="s">
        <v>35</v>
      </c>
      <c r="F23" t="s">
        <v>89</v>
      </c>
      <c r="G23">
        <v>2</v>
      </c>
      <c r="H23" s="5">
        <v>1632</v>
      </c>
      <c r="I23" s="5">
        <v>1631</v>
      </c>
      <c r="J23">
        <v>0</v>
      </c>
      <c r="K23">
        <f>27.5-13</f>
        <v>14.5</v>
      </c>
      <c r="L23" t="s">
        <v>38</v>
      </c>
      <c r="M23">
        <v>4</v>
      </c>
    </row>
    <row r="24" spans="1:13" ht="15.75" x14ac:dyDescent="0.25">
      <c r="A24" t="s">
        <v>1258</v>
      </c>
      <c r="B24" t="s">
        <v>30</v>
      </c>
      <c r="C24">
        <v>3</v>
      </c>
      <c r="D24">
        <v>1</v>
      </c>
      <c r="E24" s="9" t="s">
        <v>35</v>
      </c>
      <c r="F24" t="s">
        <v>36</v>
      </c>
      <c r="G24">
        <v>1</v>
      </c>
      <c r="H24" s="5">
        <v>1634</v>
      </c>
      <c r="I24" s="5">
        <v>1633</v>
      </c>
      <c r="J24">
        <v>0</v>
      </c>
      <c r="K24">
        <f>33-12.5</f>
        <v>20.5</v>
      </c>
      <c r="L24" t="s">
        <v>47</v>
      </c>
      <c r="M24">
        <v>4</v>
      </c>
    </row>
    <row r="25" spans="1:13" ht="15.75" x14ac:dyDescent="0.25">
      <c r="A25" t="s">
        <v>1258</v>
      </c>
      <c r="B25" t="s">
        <v>30</v>
      </c>
      <c r="C25">
        <v>3</v>
      </c>
      <c r="D25">
        <v>1</v>
      </c>
      <c r="E25" s="9" t="s">
        <v>35</v>
      </c>
      <c r="F25" t="s">
        <v>114</v>
      </c>
      <c r="G25">
        <v>1</v>
      </c>
      <c r="H25" s="5">
        <v>1636</v>
      </c>
      <c r="I25" s="5">
        <v>1635</v>
      </c>
      <c r="J25">
        <v>0</v>
      </c>
      <c r="K25">
        <f>26.5-12</f>
        <v>14.5</v>
      </c>
      <c r="L25" t="s">
        <v>65</v>
      </c>
      <c r="M25">
        <v>4</v>
      </c>
    </row>
    <row r="26" spans="1:13" ht="15.75" x14ac:dyDescent="0.25">
      <c r="A26" t="s">
        <v>1258</v>
      </c>
      <c r="B26" t="s">
        <v>30</v>
      </c>
      <c r="C26">
        <v>3</v>
      </c>
      <c r="D26">
        <v>1</v>
      </c>
      <c r="E26" s="9" t="s">
        <v>35</v>
      </c>
      <c r="F26" t="s">
        <v>114</v>
      </c>
      <c r="G26">
        <v>1</v>
      </c>
      <c r="H26" s="5">
        <v>1638</v>
      </c>
      <c r="I26" s="5">
        <v>1637</v>
      </c>
      <c r="J26">
        <v>0</v>
      </c>
      <c r="K26">
        <f>30.5-15</f>
        <v>15.5</v>
      </c>
      <c r="L26" t="s">
        <v>65</v>
      </c>
      <c r="M26">
        <v>4</v>
      </c>
    </row>
    <row r="27" spans="1:13" x14ac:dyDescent="0.25">
      <c r="A27" t="s">
        <v>1258</v>
      </c>
      <c r="B27" t="s">
        <v>30</v>
      </c>
      <c r="C27">
        <v>2</v>
      </c>
      <c r="D27">
        <v>1</v>
      </c>
      <c r="E27" t="s">
        <v>35</v>
      </c>
      <c r="F27" t="s">
        <v>89</v>
      </c>
      <c r="G27">
        <v>1</v>
      </c>
      <c r="H27" s="5">
        <v>1645</v>
      </c>
      <c r="I27" s="5">
        <v>1644</v>
      </c>
      <c r="J27">
        <v>0</v>
      </c>
      <c r="K27">
        <f>33-17</f>
        <v>16</v>
      </c>
      <c r="L27" t="s">
        <v>65</v>
      </c>
      <c r="M27">
        <v>4</v>
      </c>
    </row>
    <row r="28" spans="1:13" x14ac:dyDescent="0.25">
      <c r="A28" t="s">
        <v>1258</v>
      </c>
      <c r="B28" t="s">
        <v>30</v>
      </c>
      <c r="C28">
        <v>2</v>
      </c>
      <c r="D28">
        <v>1</v>
      </c>
      <c r="E28" t="s">
        <v>35</v>
      </c>
      <c r="F28" t="s">
        <v>114</v>
      </c>
      <c r="G28">
        <v>1</v>
      </c>
      <c r="H28" s="5">
        <v>1647</v>
      </c>
      <c r="I28" s="5">
        <v>1646</v>
      </c>
      <c r="J28">
        <v>0</v>
      </c>
      <c r="K28">
        <f>30-13</f>
        <v>17</v>
      </c>
      <c r="L28" t="s">
        <v>47</v>
      </c>
      <c r="M28">
        <v>4</v>
      </c>
    </row>
    <row r="29" spans="1:13" x14ac:dyDescent="0.25">
      <c r="A29" t="s">
        <v>1258</v>
      </c>
      <c r="B29" t="s">
        <v>30</v>
      </c>
      <c r="C29">
        <v>2</v>
      </c>
      <c r="D29">
        <v>1</v>
      </c>
      <c r="E29" t="s">
        <v>35</v>
      </c>
      <c r="F29" t="s">
        <v>114</v>
      </c>
      <c r="G29">
        <v>2</v>
      </c>
      <c r="H29" s="5">
        <v>1650</v>
      </c>
      <c r="I29" s="5">
        <v>1649</v>
      </c>
      <c r="J29">
        <v>0</v>
      </c>
      <c r="K29">
        <f>28.5-13.5</f>
        <v>15</v>
      </c>
      <c r="L29" t="s">
        <v>38</v>
      </c>
      <c r="M29">
        <v>4</v>
      </c>
    </row>
    <row r="30" spans="1:13" ht="15.75" x14ac:dyDescent="0.25">
      <c r="A30" t="s">
        <v>1259</v>
      </c>
      <c r="B30" t="s">
        <v>30</v>
      </c>
      <c r="C30">
        <v>3</v>
      </c>
      <c r="D30">
        <v>1</v>
      </c>
      <c r="E30" s="9" t="s">
        <v>35</v>
      </c>
      <c r="F30" t="s">
        <v>114</v>
      </c>
      <c r="G30">
        <v>1</v>
      </c>
      <c r="H30" s="5">
        <v>1609</v>
      </c>
      <c r="I30" s="5">
        <v>1608</v>
      </c>
      <c r="J30">
        <v>0</v>
      </c>
      <c r="K30">
        <f>24.5-11</f>
        <v>13.5</v>
      </c>
      <c r="L30" t="s">
        <v>65</v>
      </c>
      <c r="M30">
        <v>4</v>
      </c>
    </row>
    <row r="31" spans="1:13" ht="15.75" x14ac:dyDescent="0.25">
      <c r="A31" t="s">
        <v>1259</v>
      </c>
      <c r="B31" t="s">
        <v>30</v>
      </c>
      <c r="C31">
        <v>2</v>
      </c>
      <c r="D31">
        <v>1</v>
      </c>
      <c r="E31" s="9" t="s">
        <v>35</v>
      </c>
      <c r="F31" t="s">
        <v>89</v>
      </c>
      <c r="G31">
        <v>2</v>
      </c>
      <c r="H31" s="5">
        <v>1613</v>
      </c>
      <c r="I31" s="5">
        <v>1612</v>
      </c>
      <c r="J31">
        <v>0</v>
      </c>
      <c r="K31">
        <f>28-13</f>
        <v>15</v>
      </c>
      <c r="L31" t="s">
        <v>38</v>
      </c>
      <c r="M31">
        <v>4</v>
      </c>
    </row>
    <row r="32" spans="1:13" ht="15.75" x14ac:dyDescent="0.25">
      <c r="A32" t="s">
        <v>1259</v>
      </c>
      <c r="B32" t="s">
        <v>30</v>
      </c>
      <c r="C32">
        <v>2</v>
      </c>
      <c r="D32">
        <v>1</v>
      </c>
      <c r="E32" s="9" t="s">
        <v>35</v>
      </c>
      <c r="F32" t="s">
        <v>114</v>
      </c>
      <c r="G32">
        <v>2</v>
      </c>
      <c r="H32" s="5">
        <v>1615</v>
      </c>
      <c r="I32" s="5">
        <v>1614</v>
      </c>
      <c r="J32">
        <v>0</v>
      </c>
      <c r="K32">
        <f>33-14.5</f>
        <v>18.5</v>
      </c>
      <c r="L32" t="s">
        <v>38</v>
      </c>
      <c r="M32">
        <v>4</v>
      </c>
    </row>
    <row r="33" spans="1:13" ht="15.75" x14ac:dyDescent="0.25">
      <c r="A33" t="s">
        <v>1259</v>
      </c>
      <c r="B33" t="s">
        <v>30</v>
      </c>
      <c r="C33">
        <v>2</v>
      </c>
      <c r="D33">
        <v>1</v>
      </c>
      <c r="E33" s="9" t="s">
        <v>35</v>
      </c>
      <c r="F33" t="s">
        <v>114</v>
      </c>
      <c r="G33">
        <v>2</v>
      </c>
      <c r="H33" s="5">
        <v>1617</v>
      </c>
      <c r="I33" s="5">
        <v>1616</v>
      </c>
      <c r="J33">
        <v>0</v>
      </c>
      <c r="K33">
        <f>29-14.5</f>
        <v>14.5</v>
      </c>
      <c r="L33" t="s">
        <v>38</v>
      </c>
      <c r="M33">
        <v>4</v>
      </c>
    </row>
    <row r="34" spans="1:13" ht="15.75" x14ac:dyDescent="0.25">
      <c r="A34" t="s">
        <v>1259</v>
      </c>
      <c r="B34" t="s">
        <v>30</v>
      </c>
      <c r="C34">
        <v>2</v>
      </c>
      <c r="D34">
        <v>1</v>
      </c>
      <c r="E34" s="9" t="s">
        <v>35</v>
      </c>
      <c r="F34" t="s">
        <v>114</v>
      </c>
      <c r="G34">
        <v>1</v>
      </c>
      <c r="H34" s="5">
        <v>1619</v>
      </c>
      <c r="I34" s="5">
        <v>1618</v>
      </c>
      <c r="J34">
        <v>0</v>
      </c>
      <c r="K34">
        <f>32.5-11</f>
        <v>21.5</v>
      </c>
      <c r="L34" t="s">
        <v>47</v>
      </c>
      <c r="M34">
        <v>4</v>
      </c>
    </row>
    <row r="35" spans="1:13" ht="15.75" x14ac:dyDescent="0.25">
      <c r="A35" t="s">
        <v>1259</v>
      </c>
      <c r="B35" t="s">
        <v>30</v>
      </c>
      <c r="C35">
        <v>3</v>
      </c>
      <c r="D35">
        <v>1</v>
      </c>
      <c r="E35" s="9" t="s">
        <v>35</v>
      </c>
      <c r="F35" t="s">
        <v>114</v>
      </c>
      <c r="G35">
        <v>2</v>
      </c>
      <c r="H35" s="5">
        <v>1627</v>
      </c>
      <c r="I35" s="5">
        <v>1626</v>
      </c>
      <c r="J35">
        <v>0</v>
      </c>
      <c r="K35">
        <f>23-11</f>
        <v>12</v>
      </c>
      <c r="L35" t="s">
        <v>38</v>
      </c>
      <c r="M35">
        <v>4</v>
      </c>
    </row>
    <row r="36" spans="1:13" ht="15.75" x14ac:dyDescent="0.25">
      <c r="A36" t="s">
        <v>1259</v>
      </c>
      <c r="B36" t="s">
        <v>30</v>
      </c>
      <c r="C36">
        <v>3</v>
      </c>
      <c r="D36">
        <v>1</v>
      </c>
      <c r="E36" s="9" t="s">
        <v>35</v>
      </c>
      <c r="F36" t="s">
        <v>114</v>
      </c>
      <c r="G36">
        <v>1</v>
      </c>
      <c r="H36" s="5">
        <v>1629</v>
      </c>
      <c r="I36" s="5">
        <v>1628</v>
      </c>
      <c r="J36">
        <v>0</v>
      </c>
      <c r="K36">
        <f>26.5-11.5</f>
        <v>15</v>
      </c>
      <c r="L36" t="s">
        <v>65</v>
      </c>
      <c r="M36">
        <v>4</v>
      </c>
    </row>
    <row r="37" spans="1:13" ht="15.75" x14ac:dyDescent="0.25">
      <c r="A37" t="s">
        <v>1259</v>
      </c>
      <c r="B37" t="s">
        <v>30</v>
      </c>
      <c r="C37">
        <v>3</v>
      </c>
      <c r="D37">
        <v>1</v>
      </c>
      <c r="E37" s="9" t="s">
        <v>35</v>
      </c>
      <c r="F37" t="s">
        <v>89</v>
      </c>
      <c r="G37">
        <v>2</v>
      </c>
      <c r="H37" s="5">
        <v>1632</v>
      </c>
      <c r="I37" s="5">
        <v>1631</v>
      </c>
      <c r="J37">
        <v>0</v>
      </c>
      <c r="K37">
        <f>25.5-11.5</f>
        <v>14</v>
      </c>
      <c r="L37" t="s">
        <v>38</v>
      </c>
      <c r="M37">
        <v>4</v>
      </c>
    </row>
    <row r="38" spans="1:13" ht="15.75" x14ac:dyDescent="0.25">
      <c r="A38" t="s">
        <v>1259</v>
      </c>
      <c r="B38" t="s">
        <v>30</v>
      </c>
      <c r="C38">
        <v>3</v>
      </c>
      <c r="D38">
        <v>1</v>
      </c>
      <c r="E38" s="9" t="s">
        <v>35</v>
      </c>
      <c r="F38" t="s">
        <v>36</v>
      </c>
      <c r="G38">
        <v>1</v>
      </c>
      <c r="H38" s="5">
        <v>1634</v>
      </c>
      <c r="I38" s="5">
        <v>1633</v>
      </c>
      <c r="J38">
        <v>0</v>
      </c>
      <c r="K38">
        <f>32-12</f>
        <v>20</v>
      </c>
      <c r="L38" t="s">
        <v>47</v>
      </c>
      <c r="M38">
        <v>4</v>
      </c>
    </row>
    <row r="39" spans="1:13" ht="15.75" x14ac:dyDescent="0.25">
      <c r="A39" t="s">
        <v>1259</v>
      </c>
      <c r="B39" t="s">
        <v>30</v>
      </c>
      <c r="C39">
        <v>2</v>
      </c>
      <c r="D39">
        <v>1</v>
      </c>
      <c r="E39" s="9" t="s">
        <v>35</v>
      </c>
      <c r="F39" t="s">
        <v>114</v>
      </c>
      <c r="G39">
        <v>1</v>
      </c>
      <c r="H39" s="5">
        <v>1647</v>
      </c>
      <c r="I39" s="5">
        <v>1646</v>
      </c>
      <c r="J39">
        <v>0</v>
      </c>
      <c r="K39">
        <f>29.5-11.5</f>
        <v>18</v>
      </c>
      <c r="L39" t="s">
        <v>47</v>
      </c>
      <c r="M39">
        <v>4</v>
      </c>
    </row>
    <row r="40" spans="1:13" ht="15.75" x14ac:dyDescent="0.25">
      <c r="A40" t="s">
        <v>1259</v>
      </c>
      <c r="B40" t="s">
        <v>30</v>
      </c>
      <c r="C40">
        <v>3</v>
      </c>
      <c r="D40">
        <v>1</v>
      </c>
      <c r="E40" s="9" t="s">
        <v>42</v>
      </c>
      <c r="F40" t="s">
        <v>89</v>
      </c>
      <c r="G40">
        <v>2</v>
      </c>
      <c r="H40" s="5">
        <v>1698</v>
      </c>
      <c r="I40" s="5">
        <v>1697</v>
      </c>
      <c r="J40">
        <v>0</v>
      </c>
      <c r="K40">
        <f>24-11.5</f>
        <v>12.5</v>
      </c>
      <c r="L40" t="s">
        <v>38</v>
      </c>
      <c r="M40">
        <v>4</v>
      </c>
    </row>
    <row r="41" spans="1:13" ht="15.75" x14ac:dyDescent="0.25">
      <c r="A41" t="s">
        <v>1259</v>
      </c>
      <c r="B41" t="s">
        <v>30</v>
      </c>
      <c r="C41">
        <v>3</v>
      </c>
      <c r="D41">
        <v>1</v>
      </c>
      <c r="E41" s="9" t="s">
        <v>42</v>
      </c>
      <c r="F41" t="s">
        <v>89</v>
      </c>
      <c r="G41">
        <v>2</v>
      </c>
      <c r="H41" s="5">
        <v>1700</v>
      </c>
      <c r="I41" s="5">
        <v>1699</v>
      </c>
      <c r="J41">
        <v>0</v>
      </c>
      <c r="K41">
        <f>24.5-10.5</f>
        <v>14</v>
      </c>
      <c r="L41" t="s">
        <v>38</v>
      </c>
      <c r="M41">
        <v>4</v>
      </c>
    </row>
    <row r="42" spans="1:13" ht="15.75" x14ac:dyDescent="0.25">
      <c r="A42" t="s">
        <v>1259</v>
      </c>
      <c r="B42" t="s">
        <v>30</v>
      </c>
      <c r="C42">
        <v>3</v>
      </c>
      <c r="D42">
        <v>1</v>
      </c>
      <c r="E42" s="9" t="s">
        <v>42</v>
      </c>
      <c r="F42" t="s">
        <v>114</v>
      </c>
      <c r="G42">
        <v>1</v>
      </c>
      <c r="H42" s="5">
        <v>1803</v>
      </c>
      <c r="I42" s="5">
        <v>1802</v>
      </c>
      <c r="J42">
        <v>0</v>
      </c>
      <c r="K42">
        <f>26-10.5</f>
        <v>15.5</v>
      </c>
      <c r="L42" t="s">
        <v>65</v>
      </c>
      <c r="M42">
        <v>4</v>
      </c>
    </row>
    <row r="43" spans="1:13" ht="15.75" x14ac:dyDescent="0.25">
      <c r="A43" t="s">
        <v>1259</v>
      </c>
      <c r="B43" t="s">
        <v>30</v>
      </c>
      <c r="C43">
        <v>2</v>
      </c>
      <c r="D43">
        <v>1</v>
      </c>
      <c r="E43" s="9" t="s">
        <v>42</v>
      </c>
      <c r="F43" t="s">
        <v>89</v>
      </c>
      <c r="G43">
        <v>2</v>
      </c>
      <c r="H43" s="5">
        <v>1805</v>
      </c>
      <c r="I43" s="5">
        <v>1804</v>
      </c>
      <c r="J43">
        <v>0</v>
      </c>
      <c r="K43">
        <f>27-12.5</f>
        <v>14.5</v>
      </c>
      <c r="L43" t="s">
        <v>38</v>
      </c>
      <c r="M43">
        <v>4</v>
      </c>
    </row>
    <row r="44" spans="1:13" ht="15.75" x14ac:dyDescent="0.25">
      <c r="A44" t="s">
        <v>1259</v>
      </c>
      <c r="B44" t="s">
        <v>30</v>
      </c>
      <c r="C44">
        <v>2</v>
      </c>
      <c r="D44">
        <v>1</v>
      </c>
      <c r="E44" s="9" t="s">
        <v>42</v>
      </c>
      <c r="F44" t="s">
        <v>114</v>
      </c>
      <c r="G44">
        <v>2</v>
      </c>
      <c r="H44" s="5">
        <v>1807</v>
      </c>
      <c r="I44" s="5">
        <v>1806</v>
      </c>
      <c r="J44">
        <v>0</v>
      </c>
      <c r="K44">
        <f>30.5-11</f>
        <v>19.5</v>
      </c>
      <c r="L44" t="s">
        <v>38</v>
      </c>
      <c r="M44">
        <v>4</v>
      </c>
    </row>
    <row r="45" spans="1:13" ht="15.75" x14ac:dyDescent="0.25">
      <c r="A45" t="s">
        <v>1259</v>
      </c>
      <c r="B45" t="s">
        <v>30</v>
      </c>
      <c r="C45">
        <v>2</v>
      </c>
      <c r="D45">
        <v>1</v>
      </c>
      <c r="E45" s="9" t="s">
        <v>42</v>
      </c>
      <c r="F45" t="s">
        <v>89</v>
      </c>
      <c r="G45">
        <v>2</v>
      </c>
      <c r="H45" s="5">
        <v>1809</v>
      </c>
      <c r="I45" s="5">
        <v>1808</v>
      </c>
      <c r="J45">
        <v>0</v>
      </c>
      <c r="K45">
        <f>25-10.5</f>
        <v>14.5</v>
      </c>
      <c r="L45" t="s">
        <v>38</v>
      </c>
      <c r="M45">
        <v>4</v>
      </c>
    </row>
    <row r="46" spans="1:13" ht="15.75" x14ac:dyDescent="0.25">
      <c r="A46" t="s">
        <v>1259</v>
      </c>
      <c r="B46" t="s">
        <v>30</v>
      </c>
      <c r="C46">
        <v>2</v>
      </c>
      <c r="D46">
        <v>1</v>
      </c>
      <c r="E46" s="9" t="s">
        <v>42</v>
      </c>
      <c r="F46" t="s">
        <v>114</v>
      </c>
      <c r="G46">
        <v>2</v>
      </c>
      <c r="H46" s="5">
        <v>1811</v>
      </c>
      <c r="I46" s="5">
        <v>1810</v>
      </c>
      <c r="J46">
        <v>0</v>
      </c>
      <c r="K46">
        <f>33-13</f>
        <v>20</v>
      </c>
      <c r="L46" t="s">
        <v>38</v>
      </c>
      <c r="M46">
        <v>4</v>
      </c>
    </row>
    <row r="47" spans="1:13" ht="15.75" x14ac:dyDescent="0.25">
      <c r="A47" t="s">
        <v>1259</v>
      </c>
      <c r="B47" t="s">
        <v>30</v>
      </c>
      <c r="C47">
        <v>2</v>
      </c>
      <c r="D47">
        <v>1</v>
      </c>
      <c r="E47" s="9" t="s">
        <v>42</v>
      </c>
      <c r="F47" t="s">
        <v>114</v>
      </c>
      <c r="G47">
        <v>1</v>
      </c>
      <c r="H47" s="5">
        <v>1813</v>
      </c>
      <c r="I47" s="5">
        <v>1812</v>
      </c>
      <c r="J47">
        <v>0</v>
      </c>
      <c r="K47">
        <f>27.5-10.5</f>
        <v>17</v>
      </c>
      <c r="L47" t="s">
        <v>47</v>
      </c>
      <c r="M47">
        <v>4</v>
      </c>
    </row>
    <row r="48" spans="1:13" ht="15.75" x14ac:dyDescent="0.25">
      <c r="A48" t="s">
        <v>1259</v>
      </c>
      <c r="B48" t="s">
        <v>30</v>
      </c>
      <c r="C48">
        <v>2</v>
      </c>
      <c r="D48">
        <v>1</v>
      </c>
      <c r="E48" s="9" t="s">
        <v>42</v>
      </c>
      <c r="F48" t="s">
        <v>114</v>
      </c>
      <c r="G48">
        <v>1</v>
      </c>
      <c r="H48" s="5">
        <v>1815</v>
      </c>
      <c r="I48" s="5">
        <v>1814</v>
      </c>
      <c r="J48">
        <v>0</v>
      </c>
      <c r="K48">
        <f>25.5-10.5</f>
        <v>15</v>
      </c>
      <c r="L48" t="s">
        <v>65</v>
      </c>
      <c r="M48">
        <v>4</v>
      </c>
    </row>
    <row r="49" spans="1:13" ht="15.75" x14ac:dyDescent="0.25">
      <c r="A49" t="s">
        <v>1259</v>
      </c>
      <c r="B49" t="s">
        <v>30</v>
      </c>
      <c r="C49">
        <v>2</v>
      </c>
      <c r="D49">
        <v>1</v>
      </c>
      <c r="E49" s="9" t="s">
        <v>42</v>
      </c>
      <c r="F49" t="s">
        <v>114</v>
      </c>
      <c r="G49">
        <v>1</v>
      </c>
      <c r="H49" s="5">
        <v>1817</v>
      </c>
      <c r="I49" s="5">
        <v>1816</v>
      </c>
      <c r="J49">
        <v>0</v>
      </c>
      <c r="K49">
        <f>25.5-11</f>
        <v>14.5</v>
      </c>
      <c r="L49" t="s">
        <v>65</v>
      </c>
      <c r="M49">
        <v>4</v>
      </c>
    </row>
    <row r="50" spans="1:13" ht="15.75" x14ac:dyDescent="0.25">
      <c r="A50" t="s">
        <v>1259</v>
      </c>
      <c r="B50" t="s">
        <v>30</v>
      </c>
      <c r="C50">
        <v>2</v>
      </c>
      <c r="D50">
        <v>1</v>
      </c>
      <c r="E50" s="9" t="s">
        <v>42</v>
      </c>
      <c r="F50" t="s">
        <v>36</v>
      </c>
      <c r="G50">
        <v>2</v>
      </c>
      <c r="H50" s="5">
        <v>1819</v>
      </c>
      <c r="I50" s="5">
        <v>1818</v>
      </c>
      <c r="J50">
        <v>0</v>
      </c>
      <c r="K50">
        <f>37.5-15</f>
        <v>22.5</v>
      </c>
      <c r="L50" t="s">
        <v>1039</v>
      </c>
      <c r="M50">
        <v>4</v>
      </c>
    </row>
    <row r="51" spans="1:13" ht="15.75" x14ac:dyDescent="0.25">
      <c r="A51" t="s">
        <v>1259</v>
      </c>
      <c r="B51" t="s">
        <v>30</v>
      </c>
      <c r="C51">
        <v>2</v>
      </c>
      <c r="D51">
        <v>1</v>
      </c>
      <c r="E51" s="9" t="s">
        <v>42</v>
      </c>
      <c r="F51" t="s">
        <v>36</v>
      </c>
      <c r="G51">
        <v>2</v>
      </c>
      <c r="H51" s="5">
        <v>1821</v>
      </c>
      <c r="I51" s="5">
        <v>1820</v>
      </c>
      <c r="J51">
        <v>0</v>
      </c>
      <c r="K51">
        <f>37.5-13.5</f>
        <v>24</v>
      </c>
      <c r="L51" t="s">
        <v>1039</v>
      </c>
      <c r="M51">
        <v>4</v>
      </c>
    </row>
    <row r="52" spans="1:13" ht="15.75" x14ac:dyDescent="0.25">
      <c r="A52" t="s">
        <v>1259</v>
      </c>
      <c r="B52" t="s">
        <v>30</v>
      </c>
      <c r="C52">
        <v>2</v>
      </c>
      <c r="D52">
        <v>1</v>
      </c>
      <c r="E52" s="9" t="s">
        <v>42</v>
      </c>
      <c r="F52" t="s">
        <v>114</v>
      </c>
      <c r="G52">
        <v>2</v>
      </c>
      <c r="H52" s="5">
        <v>1823</v>
      </c>
      <c r="I52" s="5">
        <v>1822</v>
      </c>
      <c r="J52">
        <v>0</v>
      </c>
      <c r="K52">
        <f>30.5-11</f>
        <v>19.5</v>
      </c>
      <c r="L52" t="s">
        <v>1039</v>
      </c>
      <c r="M52">
        <v>4</v>
      </c>
    </row>
    <row r="53" spans="1:13" ht="15.75" x14ac:dyDescent="0.25">
      <c r="A53" t="s">
        <v>1259</v>
      </c>
      <c r="B53" t="s">
        <v>30</v>
      </c>
      <c r="C53">
        <v>2</v>
      </c>
      <c r="D53">
        <v>1</v>
      </c>
      <c r="E53" s="9" t="s">
        <v>42</v>
      </c>
      <c r="F53" t="s">
        <v>36</v>
      </c>
      <c r="G53">
        <v>1</v>
      </c>
      <c r="H53" s="5">
        <v>1825</v>
      </c>
      <c r="I53" s="5">
        <v>1824</v>
      </c>
      <c r="J53">
        <v>0</v>
      </c>
      <c r="K53">
        <f>29-10.5</f>
        <v>18.5</v>
      </c>
      <c r="L53" t="s">
        <v>65</v>
      </c>
      <c r="M53">
        <v>4</v>
      </c>
    </row>
    <row r="54" spans="1:13" ht="15.75" x14ac:dyDescent="0.25">
      <c r="A54" t="s">
        <v>1274</v>
      </c>
      <c r="B54" t="s">
        <v>30</v>
      </c>
      <c r="C54">
        <v>4</v>
      </c>
      <c r="D54">
        <v>1</v>
      </c>
      <c r="E54" s="9" t="s">
        <v>42</v>
      </c>
      <c r="F54" t="s">
        <v>89</v>
      </c>
      <c r="G54">
        <v>1</v>
      </c>
      <c r="H54" s="5">
        <v>1678</v>
      </c>
      <c r="I54" s="5">
        <v>1676</v>
      </c>
      <c r="J54">
        <v>0</v>
      </c>
      <c r="K54">
        <f>25.5-12.5</f>
        <v>13</v>
      </c>
      <c r="L54" t="s">
        <v>65</v>
      </c>
      <c r="M54">
        <v>4</v>
      </c>
    </row>
    <row r="55" spans="1:13" ht="15.75" x14ac:dyDescent="0.25">
      <c r="A55" t="s">
        <v>1274</v>
      </c>
      <c r="B55" t="s">
        <v>30</v>
      </c>
      <c r="C55">
        <v>4</v>
      </c>
      <c r="D55">
        <v>1</v>
      </c>
      <c r="E55" s="9" t="s">
        <v>42</v>
      </c>
      <c r="F55" t="s">
        <v>36</v>
      </c>
      <c r="G55">
        <v>2</v>
      </c>
      <c r="H55" s="5">
        <v>1680</v>
      </c>
      <c r="I55" s="5">
        <v>1679</v>
      </c>
      <c r="J55">
        <v>0</v>
      </c>
      <c r="K55">
        <f>36-11</f>
        <v>25</v>
      </c>
      <c r="L55" t="s">
        <v>1039</v>
      </c>
      <c r="M55">
        <v>4</v>
      </c>
    </row>
    <row r="56" spans="1:13" ht="15.75" x14ac:dyDescent="0.25">
      <c r="A56" t="s">
        <v>1274</v>
      </c>
      <c r="B56" t="s">
        <v>30</v>
      </c>
      <c r="C56">
        <v>1</v>
      </c>
      <c r="D56">
        <v>1</v>
      </c>
      <c r="E56" s="9" t="s">
        <v>42</v>
      </c>
      <c r="F56" t="s">
        <v>114</v>
      </c>
      <c r="G56">
        <v>2</v>
      </c>
      <c r="H56" s="5">
        <v>1682</v>
      </c>
      <c r="I56" s="5">
        <v>1681</v>
      </c>
      <c r="J56">
        <v>0</v>
      </c>
      <c r="K56">
        <f>27.5-13</f>
        <v>14.5</v>
      </c>
      <c r="L56" t="s">
        <v>38</v>
      </c>
      <c r="M56">
        <v>4</v>
      </c>
    </row>
    <row r="57" spans="1:13" ht="15.75" x14ac:dyDescent="0.25">
      <c r="A57" t="s">
        <v>1274</v>
      </c>
      <c r="B57" t="s">
        <v>30</v>
      </c>
      <c r="C57">
        <v>1</v>
      </c>
      <c r="D57">
        <v>1</v>
      </c>
      <c r="E57" s="9" t="s">
        <v>42</v>
      </c>
      <c r="F57" t="s">
        <v>36</v>
      </c>
      <c r="G57">
        <v>2</v>
      </c>
      <c r="H57" s="5">
        <v>1684</v>
      </c>
      <c r="I57" s="5">
        <v>1683</v>
      </c>
      <c r="J57">
        <v>0</v>
      </c>
      <c r="K57">
        <f>31-11.5</f>
        <v>19.5</v>
      </c>
      <c r="L57" t="s">
        <v>38</v>
      </c>
      <c r="M57">
        <v>4</v>
      </c>
    </row>
    <row r="58" spans="1:13" ht="15.75" x14ac:dyDescent="0.25">
      <c r="A58" t="s">
        <v>1274</v>
      </c>
      <c r="B58" t="s">
        <v>30</v>
      </c>
      <c r="C58">
        <v>1</v>
      </c>
      <c r="D58">
        <v>1</v>
      </c>
      <c r="E58" s="9" t="s">
        <v>42</v>
      </c>
      <c r="F58" t="s">
        <v>114</v>
      </c>
      <c r="G58">
        <v>1</v>
      </c>
      <c r="H58" s="5">
        <v>1686</v>
      </c>
      <c r="I58" s="5">
        <v>1685</v>
      </c>
      <c r="J58">
        <v>0</v>
      </c>
      <c r="K58">
        <f>30-14.5</f>
        <v>15.5</v>
      </c>
      <c r="L58" t="s">
        <v>65</v>
      </c>
      <c r="M58">
        <v>4</v>
      </c>
    </row>
    <row r="59" spans="1:13" ht="15.75" x14ac:dyDescent="0.25">
      <c r="A59" t="s">
        <v>1274</v>
      </c>
      <c r="B59" t="s">
        <v>30</v>
      </c>
      <c r="C59">
        <v>1</v>
      </c>
      <c r="D59">
        <v>1</v>
      </c>
      <c r="E59" s="9" t="s">
        <v>42</v>
      </c>
      <c r="F59" t="s">
        <v>114</v>
      </c>
      <c r="G59">
        <v>1</v>
      </c>
      <c r="H59" s="5">
        <v>1688</v>
      </c>
      <c r="I59" s="5">
        <v>1687</v>
      </c>
      <c r="J59">
        <v>0</v>
      </c>
      <c r="K59">
        <f>28.5-12</f>
        <v>16.5</v>
      </c>
      <c r="L59" t="s">
        <v>65</v>
      </c>
      <c r="M59">
        <v>4</v>
      </c>
    </row>
    <row r="60" spans="1:13" ht="15.75" x14ac:dyDescent="0.25">
      <c r="A60" t="s">
        <v>1274</v>
      </c>
      <c r="B60" t="s">
        <v>30</v>
      </c>
      <c r="C60">
        <v>1</v>
      </c>
      <c r="D60">
        <v>1</v>
      </c>
      <c r="E60" s="9" t="s">
        <v>42</v>
      </c>
      <c r="F60" t="s">
        <v>114</v>
      </c>
      <c r="G60">
        <v>2</v>
      </c>
      <c r="H60" s="5">
        <v>1690</v>
      </c>
      <c r="I60" s="5">
        <v>1689</v>
      </c>
      <c r="J60">
        <v>0</v>
      </c>
      <c r="K60">
        <f>28.5-13</f>
        <v>15.5</v>
      </c>
      <c r="L60" t="s">
        <v>38</v>
      </c>
      <c r="M60">
        <v>4</v>
      </c>
    </row>
    <row r="61" spans="1:13" ht="15.75" x14ac:dyDescent="0.25">
      <c r="A61" t="s">
        <v>1274</v>
      </c>
      <c r="B61" t="s">
        <v>30</v>
      </c>
      <c r="C61">
        <v>1</v>
      </c>
      <c r="D61">
        <v>1</v>
      </c>
      <c r="E61" s="9" t="s">
        <v>35</v>
      </c>
      <c r="F61" t="s">
        <v>114</v>
      </c>
      <c r="G61">
        <v>1</v>
      </c>
      <c r="H61" s="5">
        <v>1692</v>
      </c>
      <c r="I61" s="5">
        <v>1691</v>
      </c>
      <c r="J61">
        <v>0</v>
      </c>
      <c r="K61">
        <f>27.5-11</f>
        <v>16.5</v>
      </c>
      <c r="L61" t="s">
        <v>65</v>
      </c>
      <c r="M61">
        <v>4</v>
      </c>
    </row>
    <row r="62" spans="1:13" ht="15.75" x14ac:dyDescent="0.25">
      <c r="A62" t="s">
        <v>1274</v>
      </c>
      <c r="B62" t="s">
        <v>30</v>
      </c>
      <c r="C62">
        <v>1</v>
      </c>
      <c r="D62">
        <v>1</v>
      </c>
      <c r="E62" s="9" t="s">
        <v>42</v>
      </c>
      <c r="F62" t="s">
        <v>114</v>
      </c>
      <c r="G62">
        <v>1</v>
      </c>
      <c r="H62" s="5">
        <v>1694</v>
      </c>
      <c r="I62" s="5"/>
      <c r="J62">
        <v>0</v>
      </c>
      <c r="K62">
        <f>29-11.5</f>
        <v>17.5</v>
      </c>
      <c r="L62" t="s">
        <v>65</v>
      </c>
      <c r="M62">
        <v>4</v>
      </c>
    </row>
    <row r="63" spans="1:13" ht="15.75" x14ac:dyDescent="0.25">
      <c r="A63" t="s">
        <v>1274</v>
      </c>
      <c r="B63" t="s">
        <v>30</v>
      </c>
      <c r="C63">
        <v>1</v>
      </c>
      <c r="D63">
        <v>1</v>
      </c>
      <c r="E63" s="9" t="s">
        <v>42</v>
      </c>
      <c r="F63" t="s">
        <v>89</v>
      </c>
      <c r="G63">
        <v>2</v>
      </c>
      <c r="H63" s="5">
        <v>1696</v>
      </c>
      <c r="I63" s="5">
        <v>1695</v>
      </c>
      <c r="J63">
        <v>0</v>
      </c>
      <c r="K63">
        <f>27-13.5</f>
        <v>13.5</v>
      </c>
      <c r="L63" t="s">
        <v>38</v>
      </c>
      <c r="M63">
        <v>4</v>
      </c>
    </row>
    <row r="64" spans="1:13" ht="15.75" x14ac:dyDescent="0.25">
      <c r="A64" t="s">
        <v>1274</v>
      </c>
      <c r="B64" t="s">
        <v>30</v>
      </c>
      <c r="C64">
        <v>4</v>
      </c>
      <c r="D64">
        <v>1</v>
      </c>
      <c r="E64" s="9" t="s">
        <v>42</v>
      </c>
      <c r="F64" t="s">
        <v>36</v>
      </c>
      <c r="G64">
        <v>2</v>
      </c>
      <c r="H64" s="5">
        <v>1850</v>
      </c>
      <c r="I64" s="5">
        <v>1849</v>
      </c>
      <c r="J64">
        <v>0</v>
      </c>
      <c r="K64">
        <f>33.5-11</f>
        <v>22.5</v>
      </c>
      <c r="L64" t="s">
        <v>1039</v>
      </c>
      <c r="M64">
        <v>4</v>
      </c>
    </row>
    <row r="65" spans="1:13" ht="15.75" x14ac:dyDescent="0.25">
      <c r="A65" t="s">
        <v>1274</v>
      </c>
      <c r="B65" t="s">
        <v>30</v>
      </c>
      <c r="C65">
        <v>4</v>
      </c>
      <c r="D65">
        <v>2</v>
      </c>
      <c r="E65" s="9" t="s">
        <v>42</v>
      </c>
      <c r="F65" t="s">
        <v>36</v>
      </c>
      <c r="G65">
        <v>2</v>
      </c>
      <c r="H65" s="5">
        <v>1848</v>
      </c>
      <c r="I65" s="5"/>
      <c r="J65">
        <v>1</v>
      </c>
      <c r="K65">
        <f>40-12.5</f>
        <v>27.5</v>
      </c>
      <c r="L65" t="s">
        <v>81</v>
      </c>
      <c r="M65">
        <v>4</v>
      </c>
    </row>
    <row r="66" spans="1:13" ht="15.75" x14ac:dyDescent="0.25">
      <c r="A66" t="s">
        <v>1275</v>
      </c>
      <c r="B66" t="s">
        <v>30</v>
      </c>
      <c r="C66">
        <v>4</v>
      </c>
      <c r="D66">
        <v>1</v>
      </c>
      <c r="E66" s="9" t="s">
        <v>35</v>
      </c>
      <c r="F66" t="s">
        <v>89</v>
      </c>
      <c r="G66">
        <v>1</v>
      </c>
      <c r="H66" s="5">
        <v>1678</v>
      </c>
      <c r="I66" s="5">
        <v>1676</v>
      </c>
      <c r="J66">
        <v>0</v>
      </c>
      <c r="K66">
        <f>24.5-11</f>
        <v>13.5</v>
      </c>
      <c r="L66" t="s">
        <v>65</v>
      </c>
      <c r="M66">
        <v>4</v>
      </c>
    </row>
    <row r="67" spans="1:13" ht="15.75" x14ac:dyDescent="0.25">
      <c r="A67" t="s">
        <v>1275</v>
      </c>
      <c r="B67" t="s">
        <v>30</v>
      </c>
      <c r="C67">
        <v>4</v>
      </c>
      <c r="D67">
        <v>1</v>
      </c>
      <c r="E67" s="9" t="s">
        <v>35</v>
      </c>
      <c r="F67" t="s">
        <v>114</v>
      </c>
      <c r="G67">
        <v>2</v>
      </c>
      <c r="H67" s="5">
        <v>1680</v>
      </c>
      <c r="I67" s="5">
        <v>1679</v>
      </c>
      <c r="J67">
        <v>0</v>
      </c>
      <c r="K67">
        <f>35-11.5</f>
        <v>23.5</v>
      </c>
      <c r="L67" t="s">
        <v>1039</v>
      </c>
      <c r="M67">
        <v>4</v>
      </c>
    </row>
    <row r="68" spans="1:13" ht="15.75" x14ac:dyDescent="0.25">
      <c r="A68" t="s">
        <v>1275</v>
      </c>
      <c r="B68" t="s">
        <v>30</v>
      </c>
      <c r="C68">
        <v>1</v>
      </c>
      <c r="D68">
        <v>1</v>
      </c>
      <c r="E68" s="9" t="s">
        <v>35</v>
      </c>
      <c r="F68" t="s">
        <v>114</v>
      </c>
      <c r="G68">
        <v>2</v>
      </c>
      <c r="H68" s="5">
        <v>1682</v>
      </c>
      <c r="I68" s="5">
        <v>1681</v>
      </c>
      <c r="J68">
        <v>0</v>
      </c>
      <c r="K68">
        <f>27.5-11.5</f>
        <v>16</v>
      </c>
      <c r="L68" t="s">
        <v>38</v>
      </c>
      <c r="M68">
        <v>4</v>
      </c>
    </row>
    <row r="69" spans="1:13" ht="15.75" x14ac:dyDescent="0.25">
      <c r="A69" t="s">
        <v>1275</v>
      </c>
      <c r="B69" t="s">
        <v>30</v>
      </c>
      <c r="C69">
        <v>1</v>
      </c>
      <c r="D69">
        <v>1</v>
      </c>
      <c r="E69" s="9" t="s">
        <v>35</v>
      </c>
      <c r="F69" t="s">
        <v>36</v>
      </c>
      <c r="G69">
        <v>2</v>
      </c>
      <c r="H69" s="5">
        <v>1684</v>
      </c>
      <c r="I69" s="5">
        <v>1683</v>
      </c>
      <c r="J69">
        <v>0</v>
      </c>
      <c r="K69">
        <f>30-10.25</f>
        <v>19.75</v>
      </c>
      <c r="L69" t="s">
        <v>38</v>
      </c>
      <c r="M69">
        <v>4</v>
      </c>
    </row>
    <row r="70" spans="1:13" ht="15.75" x14ac:dyDescent="0.25">
      <c r="A70" t="s">
        <v>1275</v>
      </c>
      <c r="B70" t="s">
        <v>30</v>
      </c>
      <c r="C70">
        <v>1</v>
      </c>
      <c r="D70">
        <v>1</v>
      </c>
      <c r="E70" s="9" t="s">
        <v>35</v>
      </c>
      <c r="F70" t="s">
        <v>114</v>
      </c>
      <c r="G70">
        <v>1</v>
      </c>
      <c r="H70" s="5">
        <v>1686</v>
      </c>
      <c r="I70" s="5">
        <v>1685</v>
      </c>
      <c r="J70">
        <v>0</v>
      </c>
      <c r="K70">
        <f>28.5-13.5</f>
        <v>15</v>
      </c>
      <c r="L70" t="s">
        <v>65</v>
      </c>
      <c r="M70">
        <v>4</v>
      </c>
    </row>
    <row r="71" spans="1:13" ht="15.75" x14ac:dyDescent="0.25">
      <c r="A71" t="s">
        <v>1275</v>
      </c>
      <c r="B71" t="s">
        <v>30</v>
      </c>
      <c r="C71">
        <v>1</v>
      </c>
      <c r="D71">
        <v>1</v>
      </c>
      <c r="E71" s="9" t="s">
        <v>35</v>
      </c>
      <c r="F71" t="s">
        <v>114</v>
      </c>
      <c r="G71">
        <v>1</v>
      </c>
      <c r="H71" s="5">
        <v>1688</v>
      </c>
      <c r="I71" s="5">
        <v>1687</v>
      </c>
      <c r="J71">
        <v>0</v>
      </c>
      <c r="K71">
        <f>29-12</f>
        <v>17</v>
      </c>
      <c r="L71" t="s">
        <v>65</v>
      </c>
      <c r="M71">
        <v>4</v>
      </c>
    </row>
    <row r="72" spans="1:13" ht="15.75" x14ac:dyDescent="0.25">
      <c r="A72" t="s">
        <v>1275</v>
      </c>
      <c r="B72" t="s">
        <v>30</v>
      </c>
      <c r="C72">
        <v>1</v>
      </c>
      <c r="D72">
        <v>1</v>
      </c>
      <c r="E72" s="9" t="s">
        <v>35</v>
      </c>
      <c r="F72" t="s">
        <v>114</v>
      </c>
      <c r="G72">
        <v>2</v>
      </c>
      <c r="H72" s="5">
        <v>1690</v>
      </c>
      <c r="I72" s="5">
        <v>1689</v>
      </c>
      <c r="J72">
        <v>0</v>
      </c>
      <c r="K72">
        <f>29-13</f>
        <v>16</v>
      </c>
      <c r="L72" t="s">
        <v>38</v>
      </c>
      <c r="M72">
        <v>4</v>
      </c>
    </row>
    <row r="73" spans="1:13" ht="15.75" x14ac:dyDescent="0.25">
      <c r="A73" t="s">
        <v>1275</v>
      </c>
      <c r="B73" t="s">
        <v>30</v>
      </c>
      <c r="C73">
        <v>1</v>
      </c>
      <c r="D73">
        <v>1</v>
      </c>
      <c r="E73" s="9" t="s">
        <v>35</v>
      </c>
      <c r="F73" t="s">
        <v>114</v>
      </c>
      <c r="G73">
        <v>1</v>
      </c>
      <c r="H73" s="5">
        <v>1692</v>
      </c>
      <c r="I73" s="5">
        <v>1691</v>
      </c>
      <c r="J73">
        <v>0</v>
      </c>
      <c r="K73">
        <f>27.5-11.5</f>
        <v>16</v>
      </c>
      <c r="L73" t="s">
        <v>65</v>
      </c>
      <c r="M73">
        <v>4</v>
      </c>
    </row>
    <row r="74" spans="1:13" ht="15.75" x14ac:dyDescent="0.25">
      <c r="A74" t="s">
        <v>1275</v>
      </c>
      <c r="B74" t="s">
        <v>30</v>
      </c>
      <c r="C74">
        <v>1</v>
      </c>
      <c r="D74">
        <v>1</v>
      </c>
      <c r="E74" s="9" t="s">
        <v>35</v>
      </c>
      <c r="F74" t="s">
        <v>114</v>
      </c>
      <c r="G74">
        <v>1</v>
      </c>
      <c r="H74" s="5">
        <v>1694</v>
      </c>
      <c r="I74" s="5">
        <v>1693</v>
      </c>
      <c r="J74">
        <v>0</v>
      </c>
      <c r="K74">
        <f>27.5-10.5</f>
        <v>17</v>
      </c>
      <c r="L74" t="s">
        <v>65</v>
      </c>
      <c r="M74">
        <v>4</v>
      </c>
    </row>
    <row r="75" spans="1:13" ht="15.75" x14ac:dyDescent="0.25">
      <c r="A75" t="s">
        <v>1275</v>
      </c>
      <c r="B75" t="s">
        <v>30</v>
      </c>
      <c r="C75">
        <v>1</v>
      </c>
      <c r="D75">
        <v>1</v>
      </c>
      <c r="E75" s="9" t="s">
        <v>35</v>
      </c>
      <c r="F75" t="s">
        <v>89</v>
      </c>
      <c r="G75">
        <v>2</v>
      </c>
      <c r="H75" s="5">
        <v>1696</v>
      </c>
      <c r="I75" s="5">
        <v>1695</v>
      </c>
      <c r="J75">
        <v>0</v>
      </c>
      <c r="K75">
        <f>25-12.5</f>
        <v>12.5</v>
      </c>
      <c r="L75" t="s">
        <v>38</v>
      </c>
      <c r="M75">
        <v>4</v>
      </c>
    </row>
    <row r="76" spans="1:13" ht="15.75" x14ac:dyDescent="0.25">
      <c r="A76" t="s">
        <v>1275</v>
      </c>
      <c r="B76" t="s">
        <v>30</v>
      </c>
      <c r="C76">
        <v>1</v>
      </c>
      <c r="D76">
        <v>1</v>
      </c>
      <c r="E76" s="9" t="s">
        <v>42</v>
      </c>
      <c r="F76" t="s">
        <v>114</v>
      </c>
      <c r="G76">
        <v>1</v>
      </c>
      <c r="H76" s="5">
        <v>1827</v>
      </c>
      <c r="I76" s="5">
        <v>1826</v>
      </c>
      <c r="J76">
        <v>0</v>
      </c>
      <c r="K76">
        <f>28-11.5</f>
        <v>16.5</v>
      </c>
      <c r="L76" t="s">
        <v>65</v>
      </c>
      <c r="M76">
        <v>4</v>
      </c>
    </row>
    <row r="77" spans="1:13" ht="15.75" x14ac:dyDescent="0.25">
      <c r="A77" t="s">
        <v>1275</v>
      </c>
      <c r="B77" t="s">
        <v>30</v>
      </c>
      <c r="C77">
        <v>1</v>
      </c>
      <c r="D77">
        <v>1</v>
      </c>
      <c r="E77" s="9" t="s">
        <v>42</v>
      </c>
      <c r="F77" t="s">
        <v>114</v>
      </c>
      <c r="G77">
        <v>2</v>
      </c>
      <c r="H77" s="5">
        <v>1829</v>
      </c>
      <c r="I77" s="5">
        <v>1828</v>
      </c>
      <c r="J77">
        <v>0</v>
      </c>
      <c r="K77">
        <f>27.5-11</f>
        <v>16.5</v>
      </c>
      <c r="L77" t="s">
        <v>38</v>
      </c>
      <c r="M77">
        <v>4</v>
      </c>
    </row>
    <row r="78" spans="1:13" ht="15.75" x14ac:dyDescent="0.25">
      <c r="A78" t="s">
        <v>1275</v>
      </c>
      <c r="B78" t="s">
        <v>30</v>
      </c>
      <c r="C78">
        <v>1</v>
      </c>
      <c r="D78">
        <v>1</v>
      </c>
      <c r="E78" s="9" t="s">
        <v>42</v>
      </c>
      <c r="F78" t="s">
        <v>114</v>
      </c>
      <c r="G78">
        <v>1</v>
      </c>
      <c r="H78" s="5">
        <v>1831</v>
      </c>
      <c r="I78" s="5">
        <v>1830</v>
      </c>
      <c r="J78">
        <v>0</v>
      </c>
      <c r="K78">
        <f>28-11.5</f>
        <v>16.5</v>
      </c>
      <c r="L78" t="s">
        <v>65</v>
      </c>
      <c r="M78">
        <v>4</v>
      </c>
    </row>
    <row r="79" spans="1:13" ht="15.75" x14ac:dyDescent="0.25">
      <c r="A79" t="s">
        <v>1275</v>
      </c>
      <c r="B79" t="s">
        <v>30</v>
      </c>
      <c r="C79">
        <v>1</v>
      </c>
      <c r="D79">
        <v>1</v>
      </c>
      <c r="E79" s="9" t="s">
        <v>42</v>
      </c>
      <c r="F79" t="s">
        <v>114</v>
      </c>
      <c r="G79">
        <v>1</v>
      </c>
      <c r="H79" s="5">
        <v>1833</v>
      </c>
      <c r="I79" s="5">
        <v>1832</v>
      </c>
      <c r="J79">
        <v>0</v>
      </c>
      <c r="K79">
        <f>26.5-10</f>
        <v>16.5</v>
      </c>
      <c r="L79" t="s">
        <v>65</v>
      </c>
      <c r="M79">
        <v>4</v>
      </c>
    </row>
    <row r="80" spans="1:13" ht="15.75" x14ac:dyDescent="0.25">
      <c r="A80" t="s">
        <v>1275</v>
      </c>
      <c r="B80" t="s">
        <v>30</v>
      </c>
      <c r="C80">
        <v>1</v>
      </c>
      <c r="D80">
        <v>1</v>
      </c>
      <c r="E80" s="9" t="s">
        <v>42</v>
      </c>
      <c r="F80" t="s">
        <v>114</v>
      </c>
      <c r="G80">
        <v>2</v>
      </c>
      <c r="H80" s="5">
        <v>1835</v>
      </c>
      <c r="I80" s="5">
        <v>1834</v>
      </c>
      <c r="J80">
        <v>0</v>
      </c>
      <c r="K80">
        <f>27.5-12</f>
        <v>15.5</v>
      </c>
      <c r="L80" t="s">
        <v>38</v>
      </c>
      <c r="M80">
        <v>4</v>
      </c>
    </row>
    <row r="81" spans="1:13" ht="15.75" x14ac:dyDescent="0.25">
      <c r="A81" t="s">
        <v>1275</v>
      </c>
      <c r="B81" t="s">
        <v>30</v>
      </c>
      <c r="C81">
        <v>1</v>
      </c>
      <c r="D81">
        <v>1</v>
      </c>
      <c r="E81" s="9" t="s">
        <v>42</v>
      </c>
      <c r="F81" t="s">
        <v>36</v>
      </c>
      <c r="G81">
        <v>2</v>
      </c>
      <c r="H81" s="5">
        <v>1837</v>
      </c>
      <c r="I81" s="5">
        <v>1836</v>
      </c>
      <c r="J81">
        <v>0</v>
      </c>
      <c r="K81">
        <f>32-12.5</f>
        <v>19.5</v>
      </c>
      <c r="L81" t="s">
        <v>1039</v>
      </c>
      <c r="M81">
        <v>4</v>
      </c>
    </row>
    <row r="82" spans="1:13" ht="15.75" x14ac:dyDescent="0.25">
      <c r="A82" t="s">
        <v>1275</v>
      </c>
      <c r="B82" t="s">
        <v>30</v>
      </c>
      <c r="C82">
        <v>1</v>
      </c>
      <c r="D82">
        <v>1</v>
      </c>
      <c r="E82" s="9" t="s">
        <v>42</v>
      </c>
      <c r="F82" t="s">
        <v>114</v>
      </c>
      <c r="G82">
        <v>2</v>
      </c>
      <c r="H82" s="5">
        <v>1839</v>
      </c>
      <c r="I82" s="5">
        <v>1838</v>
      </c>
      <c r="J82">
        <v>0</v>
      </c>
      <c r="K82">
        <f>29-11.5</f>
        <v>17.5</v>
      </c>
      <c r="L82" t="s">
        <v>38</v>
      </c>
      <c r="M82">
        <v>4</v>
      </c>
    </row>
    <row r="83" spans="1:13" ht="15.75" x14ac:dyDescent="0.25">
      <c r="A83" t="s">
        <v>1275</v>
      </c>
      <c r="B83" t="s">
        <v>30</v>
      </c>
      <c r="C83">
        <v>1</v>
      </c>
      <c r="D83">
        <v>1</v>
      </c>
      <c r="E83" s="9" t="s">
        <v>42</v>
      </c>
      <c r="F83" t="s">
        <v>114</v>
      </c>
      <c r="G83">
        <v>1</v>
      </c>
      <c r="H83" s="5">
        <v>1841</v>
      </c>
      <c r="I83" s="5">
        <v>1840</v>
      </c>
      <c r="J83">
        <v>0</v>
      </c>
      <c r="K83">
        <f>26.5-11</f>
        <v>15.5</v>
      </c>
      <c r="L83" t="s">
        <v>65</v>
      </c>
      <c r="M83">
        <v>4</v>
      </c>
    </row>
    <row r="84" spans="1:13" ht="15.75" x14ac:dyDescent="0.25">
      <c r="A84" t="s">
        <v>1275</v>
      </c>
      <c r="B84" t="s">
        <v>30</v>
      </c>
      <c r="C84">
        <v>1</v>
      </c>
      <c r="D84">
        <v>1</v>
      </c>
      <c r="E84" s="9" t="s">
        <v>42</v>
      </c>
      <c r="F84" t="s">
        <v>36</v>
      </c>
      <c r="G84">
        <v>1</v>
      </c>
      <c r="H84" s="5">
        <v>1844</v>
      </c>
      <c r="I84" s="5">
        <v>1843</v>
      </c>
      <c r="J84">
        <v>0</v>
      </c>
      <c r="K84">
        <f>31-10.5</f>
        <v>20.5</v>
      </c>
      <c r="L84" t="s">
        <v>47</v>
      </c>
      <c r="M84">
        <v>4</v>
      </c>
    </row>
    <row r="85" spans="1:13" ht="15.75" x14ac:dyDescent="0.25">
      <c r="A85" t="s">
        <v>1275</v>
      </c>
      <c r="B85" t="s">
        <v>30</v>
      </c>
      <c r="C85">
        <v>4</v>
      </c>
      <c r="D85">
        <v>1</v>
      </c>
      <c r="E85" s="9" t="s">
        <v>42</v>
      </c>
      <c r="F85" t="s">
        <v>114</v>
      </c>
      <c r="G85">
        <v>1</v>
      </c>
      <c r="H85" s="5">
        <v>1847</v>
      </c>
      <c r="I85" s="5">
        <v>1846</v>
      </c>
      <c r="J85">
        <v>0</v>
      </c>
      <c r="K85">
        <f>35-11.5</f>
        <v>23.5</v>
      </c>
      <c r="L85" t="s">
        <v>47</v>
      </c>
      <c r="M85">
        <v>4</v>
      </c>
    </row>
    <row r="86" spans="1:13" ht="15.75" x14ac:dyDescent="0.25">
      <c r="A86" t="s">
        <v>1275</v>
      </c>
      <c r="B86" t="s">
        <v>30</v>
      </c>
      <c r="C86">
        <v>4</v>
      </c>
      <c r="D86">
        <v>1</v>
      </c>
      <c r="E86" s="9" t="s">
        <v>35</v>
      </c>
      <c r="F86" t="s">
        <v>114</v>
      </c>
      <c r="G86">
        <v>2</v>
      </c>
      <c r="H86" s="5">
        <v>1850</v>
      </c>
      <c r="I86" s="5">
        <v>1849</v>
      </c>
      <c r="J86">
        <v>0</v>
      </c>
      <c r="K86">
        <f>24.5-10.5</f>
        <v>14</v>
      </c>
      <c r="L86" t="s">
        <v>1039</v>
      </c>
      <c r="M86">
        <v>4</v>
      </c>
    </row>
    <row r="87" spans="1:13" ht="15.75" x14ac:dyDescent="0.25">
      <c r="A87" t="s">
        <v>1275</v>
      </c>
      <c r="B87" t="s">
        <v>30</v>
      </c>
      <c r="C87">
        <v>1</v>
      </c>
      <c r="D87">
        <v>1</v>
      </c>
      <c r="E87" s="9" t="s">
        <v>42</v>
      </c>
      <c r="F87" t="s">
        <v>114</v>
      </c>
      <c r="G87">
        <v>1</v>
      </c>
      <c r="H87" s="5">
        <v>1864</v>
      </c>
      <c r="I87" s="5">
        <v>1863</v>
      </c>
      <c r="J87">
        <v>0</v>
      </c>
      <c r="K87">
        <f>27.5-12.5</f>
        <v>15</v>
      </c>
      <c r="L87" t="s">
        <v>65</v>
      </c>
      <c r="M87">
        <v>4</v>
      </c>
    </row>
    <row r="88" spans="1:13" ht="15.75" x14ac:dyDescent="0.25">
      <c r="A88" t="s">
        <v>1275</v>
      </c>
      <c r="B88" t="s">
        <v>30</v>
      </c>
      <c r="C88">
        <v>1</v>
      </c>
      <c r="D88">
        <v>1</v>
      </c>
      <c r="E88" s="9" t="s">
        <v>42</v>
      </c>
      <c r="F88" t="s">
        <v>36</v>
      </c>
      <c r="G88">
        <v>2</v>
      </c>
      <c r="H88" s="5">
        <v>1866</v>
      </c>
      <c r="I88" s="5">
        <v>1865</v>
      </c>
      <c r="J88">
        <v>0</v>
      </c>
      <c r="K88">
        <f>31.5-13.5</f>
        <v>18</v>
      </c>
      <c r="L88" t="s">
        <v>38</v>
      </c>
      <c r="M88">
        <v>4</v>
      </c>
    </row>
    <row r="89" spans="1:13" ht="15.75" x14ac:dyDescent="0.25">
      <c r="A89" t="s">
        <v>1275</v>
      </c>
      <c r="B89" t="s">
        <v>30</v>
      </c>
      <c r="C89">
        <v>1</v>
      </c>
      <c r="D89">
        <v>1</v>
      </c>
      <c r="E89" s="9" t="s">
        <v>42</v>
      </c>
      <c r="F89" t="s">
        <v>36</v>
      </c>
      <c r="G89">
        <v>1</v>
      </c>
      <c r="H89" s="5">
        <v>1868</v>
      </c>
      <c r="I89" s="5">
        <v>1867</v>
      </c>
      <c r="J89">
        <v>0</v>
      </c>
      <c r="K89">
        <f>26-10.5</f>
        <v>15.5</v>
      </c>
      <c r="L89" t="s">
        <v>47</v>
      </c>
      <c r="M89">
        <v>4</v>
      </c>
    </row>
    <row r="90" spans="1:13" ht="15.75" x14ac:dyDescent="0.25">
      <c r="A90" t="s">
        <v>1275</v>
      </c>
      <c r="B90" t="s">
        <v>30</v>
      </c>
      <c r="C90">
        <v>1</v>
      </c>
      <c r="D90">
        <v>1</v>
      </c>
      <c r="E90" s="9" t="s">
        <v>42</v>
      </c>
      <c r="F90" t="s">
        <v>114</v>
      </c>
      <c r="G90">
        <v>2</v>
      </c>
      <c r="H90" s="5">
        <v>1870</v>
      </c>
      <c r="I90" s="5">
        <v>1869</v>
      </c>
      <c r="J90">
        <v>0</v>
      </c>
      <c r="K90">
        <f>25-12.5</f>
        <v>12.5</v>
      </c>
      <c r="L90" t="s">
        <v>38</v>
      </c>
      <c r="M90">
        <v>4</v>
      </c>
    </row>
    <row r="91" spans="1:13" ht="15.75" x14ac:dyDescent="0.25">
      <c r="A91" t="s">
        <v>1275</v>
      </c>
      <c r="B91" t="s">
        <v>30</v>
      </c>
      <c r="C91">
        <v>1</v>
      </c>
      <c r="D91">
        <v>1</v>
      </c>
      <c r="E91" s="9" t="s">
        <v>42</v>
      </c>
      <c r="F91" t="s">
        <v>114</v>
      </c>
      <c r="G91">
        <v>1</v>
      </c>
      <c r="H91" s="5">
        <v>1872</v>
      </c>
      <c r="I91" s="5">
        <v>1871</v>
      </c>
      <c r="J91">
        <v>0</v>
      </c>
      <c r="K91">
        <f>27.5-12</f>
        <v>15.5</v>
      </c>
      <c r="L91" t="s">
        <v>65</v>
      </c>
      <c r="M91">
        <v>4</v>
      </c>
    </row>
    <row r="92" spans="1:13" ht="15.75" x14ac:dyDescent="0.25">
      <c r="A92" t="s">
        <v>1275</v>
      </c>
      <c r="B92" t="s">
        <v>30</v>
      </c>
      <c r="C92">
        <v>1</v>
      </c>
      <c r="D92">
        <v>1</v>
      </c>
      <c r="E92" s="9" t="s">
        <v>42</v>
      </c>
      <c r="F92" t="s">
        <v>36</v>
      </c>
      <c r="G92">
        <v>2</v>
      </c>
      <c r="H92" s="5">
        <v>1875</v>
      </c>
      <c r="I92" s="5">
        <v>1874</v>
      </c>
      <c r="J92">
        <v>0</v>
      </c>
      <c r="K92">
        <f>29-11.5</f>
        <v>17.5</v>
      </c>
      <c r="L92" t="s">
        <v>38</v>
      </c>
      <c r="M92">
        <v>4</v>
      </c>
    </row>
    <row r="93" spans="1:13" ht="15.75" x14ac:dyDescent="0.25">
      <c r="A93" t="s">
        <v>1276</v>
      </c>
      <c r="B93" t="s">
        <v>30</v>
      </c>
      <c r="C93">
        <v>4</v>
      </c>
      <c r="D93">
        <v>1</v>
      </c>
      <c r="E93" s="9" t="s">
        <v>35</v>
      </c>
      <c r="F93" t="s">
        <v>36</v>
      </c>
      <c r="G93">
        <v>2</v>
      </c>
      <c r="H93" s="5">
        <v>1680</v>
      </c>
      <c r="I93" s="5">
        <v>1679</v>
      </c>
      <c r="J93">
        <v>0</v>
      </c>
      <c r="K93">
        <f>39-11.5</f>
        <v>27.5</v>
      </c>
      <c r="L93" t="s">
        <v>1039</v>
      </c>
      <c r="M93">
        <v>4</v>
      </c>
    </row>
    <row r="94" spans="1:13" ht="15.75" x14ac:dyDescent="0.25">
      <c r="A94" t="s">
        <v>1276</v>
      </c>
      <c r="B94" t="s">
        <v>30</v>
      </c>
      <c r="C94">
        <v>1</v>
      </c>
      <c r="D94">
        <v>1</v>
      </c>
      <c r="E94" s="9" t="s">
        <v>35</v>
      </c>
      <c r="F94" t="s">
        <v>36</v>
      </c>
      <c r="G94">
        <v>2</v>
      </c>
      <c r="H94" s="5">
        <v>1684</v>
      </c>
      <c r="I94" s="5">
        <v>1683</v>
      </c>
      <c r="J94">
        <v>0</v>
      </c>
      <c r="K94">
        <f>30.5-10.5</f>
        <v>20</v>
      </c>
      <c r="L94" t="s">
        <v>38</v>
      </c>
      <c r="M94">
        <v>4</v>
      </c>
    </row>
    <row r="95" spans="1:13" ht="15.75" x14ac:dyDescent="0.25">
      <c r="A95" t="s">
        <v>1276</v>
      </c>
      <c r="B95" t="s">
        <v>30</v>
      </c>
      <c r="C95">
        <v>1</v>
      </c>
      <c r="D95">
        <v>1</v>
      </c>
      <c r="E95" s="9" t="s">
        <v>35</v>
      </c>
      <c r="F95" t="s">
        <v>114</v>
      </c>
      <c r="G95">
        <v>1</v>
      </c>
      <c r="H95" s="5">
        <v>1686</v>
      </c>
      <c r="I95" s="5">
        <v>1685</v>
      </c>
      <c r="J95">
        <v>0</v>
      </c>
      <c r="K95">
        <f>25.5-11</f>
        <v>14.5</v>
      </c>
      <c r="L95" t="s">
        <v>65</v>
      </c>
      <c r="M95">
        <v>4</v>
      </c>
    </row>
    <row r="96" spans="1:13" ht="15.75" x14ac:dyDescent="0.25">
      <c r="A96" t="s">
        <v>1276</v>
      </c>
      <c r="B96" t="s">
        <v>30</v>
      </c>
      <c r="C96">
        <v>1</v>
      </c>
      <c r="D96">
        <v>1</v>
      </c>
      <c r="E96" s="9" t="s">
        <v>35</v>
      </c>
      <c r="F96" t="s">
        <v>114</v>
      </c>
      <c r="G96">
        <v>1</v>
      </c>
      <c r="H96" s="5">
        <v>1688</v>
      </c>
      <c r="I96" s="5">
        <v>1687</v>
      </c>
      <c r="J96">
        <v>0</v>
      </c>
      <c r="K96">
        <f>29.5-12</f>
        <v>17.5</v>
      </c>
      <c r="L96" t="s">
        <v>65</v>
      </c>
      <c r="M96">
        <v>4</v>
      </c>
    </row>
    <row r="97" spans="1:13" ht="15.75" x14ac:dyDescent="0.25">
      <c r="A97" t="s">
        <v>1276</v>
      </c>
      <c r="B97" t="s">
        <v>30</v>
      </c>
      <c r="C97">
        <v>1</v>
      </c>
      <c r="D97">
        <v>1</v>
      </c>
      <c r="E97" s="9" t="s">
        <v>35</v>
      </c>
      <c r="F97" t="s">
        <v>114</v>
      </c>
      <c r="G97">
        <v>1</v>
      </c>
      <c r="H97" s="5">
        <v>1692</v>
      </c>
      <c r="I97" s="5">
        <v>1691</v>
      </c>
      <c r="J97">
        <v>0</v>
      </c>
      <c r="K97">
        <f>28-11</f>
        <v>17</v>
      </c>
      <c r="L97" t="s">
        <v>65</v>
      </c>
      <c r="M97">
        <v>4</v>
      </c>
    </row>
    <row r="98" spans="1:13" ht="15.75" x14ac:dyDescent="0.25">
      <c r="A98" t="s">
        <v>1276</v>
      </c>
      <c r="B98" t="s">
        <v>30</v>
      </c>
      <c r="C98">
        <v>1</v>
      </c>
      <c r="D98">
        <v>1</v>
      </c>
      <c r="E98" s="9" t="s">
        <v>35</v>
      </c>
      <c r="F98" t="s">
        <v>114</v>
      </c>
      <c r="G98">
        <v>2</v>
      </c>
      <c r="H98" s="5">
        <v>1829</v>
      </c>
      <c r="I98" s="5">
        <v>1828</v>
      </c>
      <c r="J98">
        <v>0</v>
      </c>
      <c r="K98">
        <f>27.5-11</f>
        <v>16.5</v>
      </c>
      <c r="L98" t="s">
        <v>83</v>
      </c>
      <c r="M98">
        <v>4</v>
      </c>
    </row>
    <row r="99" spans="1:13" ht="15.75" x14ac:dyDescent="0.25">
      <c r="A99" t="s">
        <v>1276</v>
      </c>
      <c r="B99" t="s">
        <v>30</v>
      </c>
      <c r="C99">
        <v>1</v>
      </c>
      <c r="D99">
        <v>1</v>
      </c>
      <c r="E99" s="9" t="s">
        <v>35</v>
      </c>
      <c r="F99" t="s">
        <v>114</v>
      </c>
      <c r="G99">
        <v>1</v>
      </c>
      <c r="H99" s="5">
        <v>1833</v>
      </c>
      <c r="I99" s="5">
        <v>1832</v>
      </c>
      <c r="J99">
        <v>0</v>
      </c>
      <c r="K99">
        <f>28.5-11</f>
        <v>17.5</v>
      </c>
      <c r="L99" t="s">
        <v>65</v>
      </c>
      <c r="M99">
        <v>4</v>
      </c>
    </row>
    <row r="100" spans="1:13" ht="15.75" x14ac:dyDescent="0.25">
      <c r="A100" t="s">
        <v>1276</v>
      </c>
      <c r="B100" t="s">
        <v>30</v>
      </c>
      <c r="C100">
        <v>1</v>
      </c>
      <c r="D100">
        <v>1</v>
      </c>
      <c r="E100" s="9" t="s">
        <v>35</v>
      </c>
      <c r="F100" t="s">
        <v>114</v>
      </c>
      <c r="G100">
        <v>2</v>
      </c>
      <c r="H100" s="5">
        <v>1835</v>
      </c>
      <c r="I100" s="5">
        <v>1834</v>
      </c>
      <c r="J100">
        <v>0</v>
      </c>
      <c r="K100">
        <f>29-12</f>
        <v>17</v>
      </c>
      <c r="L100" t="s">
        <v>83</v>
      </c>
      <c r="M100">
        <v>4</v>
      </c>
    </row>
    <row r="101" spans="1:13" ht="15.75" x14ac:dyDescent="0.25">
      <c r="A101" t="s">
        <v>1276</v>
      </c>
      <c r="B101" t="s">
        <v>30</v>
      </c>
      <c r="C101">
        <v>1</v>
      </c>
      <c r="D101">
        <v>1</v>
      </c>
      <c r="E101" s="9" t="s">
        <v>35</v>
      </c>
      <c r="F101" t="s">
        <v>36</v>
      </c>
      <c r="G101">
        <v>1</v>
      </c>
      <c r="H101" s="5">
        <v>1844</v>
      </c>
      <c r="I101" s="5">
        <v>1843</v>
      </c>
      <c r="J101">
        <v>0</v>
      </c>
      <c r="K101">
        <f>31.4-10</f>
        <v>21.4</v>
      </c>
      <c r="L101" t="s">
        <v>47</v>
      </c>
      <c r="M101">
        <v>4</v>
      </c>
    </row>
    <row r="102" spans="1:13" ht="15.75" x14ac:dyDescent="0.25">
      <c r="A102" t="s">
        <v>1276</v>
      </c>
      <c r="B102" t="s">
        <v>30</v>
      </c>
      <c r="C102">
        <v>4</v>
      </c>
      <c r="D102">
        <v>1</v>
      </c>
      <c r="E102" s="9" t="s">
        <v>35</v>
      </c>
      <c r="F102" t="s">
        <v>36</v>
      </c>
      <c r="G102">
        <v>2</v>
      </c>
      <c r="H102" s="5">
        <v>1850</v>
      </c>
      <c r="I102" s="5">
        <v>1849</v>
      </c>
      <c r="J102">
        <v>0</v>
      </c>
      <c r="K102">
        <f>32.5-11.5</f>
        <v>21</v>
      </c>
      <c r="L102" t="s">
        <v>38</v>
      </c>
      <c r="M102">
        <v>4</v>
      </c>
    </row>
    <row r="103" spans="1:13" ht="15.75" x14ac:dyDescent="0.25">
      <c r="A103" t="s">
        <v>1276</v>
      </c>
      <c r="B103" t="s">
        <v>30</v>
      </c>
      <c r="C103">
        <v>1</v>
      </c>
      <c r="D103">
        <v>1</v>
      </c>
      <c r="E103" s="9" t="s">
        <v>42</v>
      </c>
      <c r="F103" t="s">
        <v>114</v>
      </c>
      <c r="G103">
        <v>1</v>
      </c>
      <c r="H103" s="5">
        <v>1855</v>
      </c>
      <c r="I103" s="5">
        <v>1854</v>
      </c>
      <c r="J103">
        <v>0</v>
      </c>
      <c r="K103">
        <f>27.5-10.5</f>
        <v>17</v>
      </c>
      <c r="L103" t="s">
        <v>65</v>
      </c>
      <c r="M103">
        <v>4</v>
      </c>
    </row>
    <row r="104" spans="1:13" ht="15.75" x14ac:dyDescent="0.25">
      <c r="A104" t="s">
        <v>1276</v>
      </c>
      <c r="B104" t="s">
        <v>30</v>
      </c>
      <c r="C104">
        <v>1</v>
      </c>
      <c r="D104">
        <v>1</v>
      </c>
      <c r="E104" s="9" t="s">
        <v>42</v>
      </c>
      <c r="F104" t="s">
        <v>89</v>
      </c>
      <c r="G104">
        <v>2</v>
      </c>
      <c r="H104" s="5">
        <v>1857</v>
      </c>
      <c r="I104" s="5">
        <v>1856</v>
      </c>
      <c r="J104">
        <v>0</v>
      </c>
      <c r="K104">
        <f>30-13.5</f>
        <v>16.5</v>
      </c>
      <c r="L104" t="s">
        <v>38</v>
      </c>
      <c r="M104">
        <v>4</v>
      </c>
    </row>
    <row r="105" spans="1:13" ht="15.75" x14ac:dyDescent="0.25">
      <c r="A105" t="s">
        <v>1276</v>
      </c>
      <c r="B105" t="s">
        <v>30</v>
      </c>
      <c r="C105">
        <v>1</v>
      </c>
      <c r="D105">
        <v>1</v>
      </c>
      <c r="E105" s="9" t="s">
        <v>42</v>
      </c>
      <c r="F105" t="s">
        <v>114</v>
      </c>
      <c r="G105">
        <v>1</v>
      </c>
      <c r="H105" s="5">
        <v>1859</v>
      </c>
      <c r="I105" s="5">
        <v>1858</v>
      </c>
      <c r="J105">
        <v>0</v>
      </c>
      <c r="K105">
        <f>28.5-11.5</f>
        <v>17</v>
      </c>
      <c r="L105" t="s">
        <v>65</v>
      </c>
      <c r="M105">
        <v>4</v>
      </c>
    </row>
    <row r="106" spans="1:13" ht="15.75" x14ac:dyDescent="0.25">
      <c r="A106" t="s">
        <v>1276</v>
      </c>
      <c r="B106" t="s">
        <v>30</v>
      </c>
      <c r="C106">
        <v>1</v>
      </c>
      <c r="D106">
        <v>1</v>
      </c>
      <c r="E106" s="9" t="s">
        <v>42</v>
      </c>
      <c r="F106" t="s">
        <v>114</v>
      </c>
      <c r="G106">
        <v>2</v>
      </c>
      <c r="H106" s="5">
        <v>1862</v>
      </c>
      <c r="I106" s="5">
        <v>1861</v>
      </c>
      <c r="J106">
        <v>0</v>
      </c>
      <c r="K106">
        <f>26-10.5</f>
        <v>15.5</v>
      </c>
      <c r="L106" t="s">
        <v>38</v>
      </c>
      <c r="M106">
        <v>4</v>
      </c>
    </row>
    <row r="107" spans="1:13" ht="15.75" x14ac:dyDescent="0.25">
      <c r="A107" t="s">
        <v>1276</v>
      </c>
      <c r="B107" t="s">
        <v>30</v>
      </c>
      <c r="C107">
        <v>1</v>
      </c>
      <c r="D107">
        <v>1</v>
      </c>
      <c r="E107" s="9" t="s">
        <v>42</v>
      </c>
      <c r="F107" t="s">
        <v>36</v>
      </c>
      <c r="G107">
        <v>1</v>
      </c>
      <c r="H107" s="5">
        <v>1899</v>
      </c>
      <c r="I107" s="5">
        <v>1898</v>
      </c>
      <c r="J107">
        <v>0</v>
      </c>
      <c r="K107">
        <f>31-11.5</f>
        <v>19.5</v>
      </c>
      <c r="L107" t="s">
        <v>47</v>
      </c>
      <c r="M107">
        <v>4</v>
      </c>
    </row>
    <row r="108" spans="1:13" ht="15.75" x14ac:dyDescent="0.25">
      <c r="A108" t="s">
        <v>1276</v>
      </c>
      <c r="B108" t="s">
        <v>30</v>
      </c>
      <c r="C108">
        <v>4</v>
      </c>
      <c r="D108">
        <v>3</v>
      </c>
      <c r="E108" s="9" t="s">
        <v>35</v>
      </c>
      <c r="F108" t="s">
        <v>36</v>
      </c>
      <c r="G108">
        <v>2</v>
      </c>
      <c r="H108" s="5">
        <v>1765</v>
      </c>
      <c r="I108" s="5"/>
      <c r="J108">
        <v>0</v>
      </c>
      <c r="K108">
        <f>42.5-11.5</f>
        <v>31</v>
      </c>
      <c r="L108" t="s">
        <v>1041</v>
      </c>
      <c r="M108">
        <v>4</v>
      </c>
    </row>
    <row r="109" spans="1:13" ht="15.75" x14ac:dyDescent="0.25">
      <c r="A109" t="s">
        <v>1229</v>
      </c>
      <c r="B109" t="s">
        <v>30</v>
      </c>
      <c r="C109">
        <v>8</v>
      </c>
      <c r="D109">
        <v>1</v>
      </c>
      <c r="E109" s="9" t="s">
        <v>42</v>
      </c>
      <c r="F109" t="s">
        <v>114</v>
      </c>
      <c r="G109">
        <v>1</v>
      </c>
      <c r="H109" s="5">
        <v>1487</v>
      </c>
      <c r="I109" s="5">
        <v>1486</v>
      </c>
      <c r="J109">
        <v>1</v>
      </c>
      <c r="K109">
        <f>26.5-11.5</f>
        <v>15</v>
      </c>
      <c r="L109" t="s">
        <v>65</v>
      </c>
      <c r="M109">
        <v>4</v>
      </c>
    </row>
    <row r="110" spans="1:13" ht="15.75" x14ac:dyDescent="0.25">
      <c r="A110" t="s">
        <v>1229</v>
      </c>
      <c r="B110" t="s">
        <v>30</v>
      </c>
      <c r="C110">
        <v>8</v>
      </c>
      <c r="D110">
        <v>1</v>
      </c>
      <c r="E110" s="9" t="s">
        <v>42</v>
      </c>
      <c r="F110" t="s">
        <v>89</v>
      </c>
      <c r="G110">
        <v>2</v>
      </c>
      <c r="H110" s="5">
        <v>1490</v>
      </c>
      <c r="I110" s="5">
        <v>1489</v>
      </c>
      <c r="J110">
        <v>0</v>
      </c>
      <c r="K110">
        <f>26.5-12.5</f>
        <v>14</v>
      </c>
      <c r="L110" t="s">
        <v>38</v>
      </c>
      <c r="M110">
        <v>4</v>
      </c>
    </row>
    <row r="111" spans="1:13" ht="15.75" x14ac:dyDescent="0.25">
      <c r="A111" t="s">
        <v>1229</v>
      </c>
      <c r="B111" t="s">
        <v>30</v>
      </c>
      <c r="C111">
        <v>8</v>
      </c>
      <c r="D111">
        <v>1</v>
      </c>
      <c r="E111" s="9" t="s">
        <v>42</v>
      </c>
      <c r="F111" t="s">
        <v>89</v>
      </c>
      <c r="G111">
        <v>2</v>
      </c>
      <c r="H111" s="5">
        <v>1492</v>
      </c>
      <c r="I111" s="5">
        <v>1491</v>
      </c>
      <c r="J111">
        <v>0</v>
      </c>
      <c r="K111">
        <f>25-12</f>
        <v>13</v>
      </c>
      <c r="L111" t="s">
        <v>38</v>
      </c>
      <c r="M111">
        <v>4</v>
      </c>
    </row>
    <row r="112" spans="1:13" ht="15.75" x14ac:dyDescent="0.25">
      <c r="A112" t="s">
        <v>1229</v>
      </c>
      <c r="B112" t="s">
        <v>30</v>
      </c>
      <c r="C112">
        <v>8</v>
      </c>
      <c r="D112">
        <v>1</v>
      </c>
      <c r="E112" s="9" t="s">
        <v>42</v>
      </c>
      <c r="F112" t="s">
        <v>89</v>
      </c>
      <c r="G112">
        <v>2</v>
      </c>
      <c r="H112" s="5">
        <v>1494</v>
      </c>
      <c r="I112" s="5">
        <v>1493</v>
      </c>
      <c r="J112">
        <v>0</v>
      </c>
      <c r="K112">
        <f>25-11.5</f>
        <v>13.5</v>
      </c>
      <c r="L112" t="s">
        <v>38</v>
      </c>
      <c r="M112">
        <v>4</v>
      </c>
    </row>
    <row r="113" spans="1:13" ht="15.75" x14ac:dyDescent="0.25">
      <c r="A113" t="s">
        <v>1229</v>
      </c>
      <c r="B113" t="s">
        <v>30</v>
      </c>
      <c r="C113">
        <v>7</v>
      </c>
      <c r="D113">
        <v>1</v>
      </c>
      <c r="E113" s="9" t="s">
        <v>42</v>
      </c>
      <c r="F113" t="s">
        <v>36</v>
      </c>
      <c r="G113">
        <v>2</v>
      </c>
      <c r="H113" s="5">
        <v>1533</v>
      </c>
      <c r="I113" s="5">
        <v>1532</v>
      </c>
      <c r="J113">
        <v>0</v>
      </c>
      <c r="K113">
        <f>32.5-12.5</f>
        <v>20</v>
      </c>
      <c r="L113" t="s">
        <v>83</v>
      </c>
      <c r="M113">
        <v>4</v>
      </c>
    </row>
    <row r="114" spans="1:13" ht="15.75" x14ac:dyDescent="0.25">
      <c r="A114" t="s">
        <v>1229</v>
      </c>
      <c r="B114" t="s">
        <v>30</v>
      </c>
      <c r="C114">
        <v>7</v>
      </c>
      <c r="D114">
        <v>1</v>
      </c>
      <c r="E114" s="9" t="s">
        <v>42</v>
      </c>
      <c r="F114" t="s">
        <v>36</v>
      </c>
      <c r="G114">
        <v>1</v>
      </c>
      <c r="H114" s="5">
        <v>1535</v>
      </c>
      <c r="I114" s="5">
        <v>1534</v>
      </c>
      <c r="J114">
        <v>0</v>
      </c>
      <c r="K114">
        <f>30.5-12</f>
        <v>18.5</v>
      </c>
      <c r="L114" t="s">
        <v>47</v>
      </c>
      <c r="M114">
        <v>4</v>
      </c>
    </row>
    <row r="115" spans="1:13" ht="15.75" x14ac:dyDescent="0.25">
      <c r="A115" t="s">
        <v>1229</v>
      </c>
      <c r="B115" t="s">
        <v>30</v>
      </c>
      <c r="C115">
        <v>7</v>
      </c>
      <c r="D115">
        <v>1</v>
      </c>
      <c r="E115" s="9" t="s">
        <v>42</v>
      </c>
      <c r="F115" t="s">
        <v>114</v>
      </c>
      <c r="G115">
        <v>1</v>
      </c>
      <c r="H115" s="5">
        <v>1537</v>
      </c>
      <c r="I115" s="5">
        <v>1536</v>
      </c>
      <c r="J115">
        <v>0</v>
      </c>
      <c r="K115">
        <f>28.5-11</f>
        <v>17.5</v>
      </c>
      <c r="L115" t="s">
        <v>65</v>
      </c>
      <c r="M115">
        <v>4</v>
      </c>
    </row>
    <row r="116" spans="1:13" ht="15.75" x14ac:dyDescent="0.25">
      <c r="A116" t="s">
        <v>1229</v>
      </c>
      <c r="B116" t="s">
        <v>30</v>
      </c>
      <c r="C116">
        <v>7</v>
      </c>
      <c r="D116">
        <v>1</v>
      </c>
      <c r="E116" s="9" t="s">
        <v>42</v>
      </c>
      <c r="F116" t="s">
        <v>114</v>
      </c>
      <c r="G116">
        <v>2</v>
      </c>
      <c r="H116" s="5">
        <v>1539</v>
      </c>
      <c r="I116" s="5">
        <v>1538</v>
      </c>
      <c r="J116">
        <v>0</v>
      </c>
      <c r="K116">
        <f>26.5-11</f>
        <v>15.5</v>
      </c>
      <c r="L116" t="s">
        <v>38</v>
      </c>
      <c r="M116">
        <v>4</v>
      </c>
    </row>
    <row r="117" spans="1:13" ht="15.75" x14ac:dyDescent="0.25">
      <c r="A117" t="s">
        <v>1229</v>
      </c>
      <c r="B117" t="s">
        <v>30</v>
      </c>
      <c r="C117">
        <v>3</v>
      </c>
      <c r="D117">
        <v>1</v>
      </c>
      <c r="E117" s="9" t="s">
        <v>42</v>
      </c>
      <c r="F117" t="s">
        <v>89</v>
      </c>
      <c r="G117">
        <v>2</v>
      </c>
      <c r="H117" s="5">
        <v>1881</v>
      </c>
      <c r="I117" s="5">
        <v>1880</v>
      </c>
      <c r="J117">
        <v>1</v>
      </c>
      <c r="K117">
        <f>22.5-10.5</f>
        <v>12</v>
      </c>
      <c r="L117" t="s">
        <v>38</v>
      </c>
      <c r="M117">
        <v>4</v>
      </c>
    </row>
    <row r="118" spans="1:13" ht="15.75" x14ac:dyDescent="0.25">
      <c r="A118" t="s">
        <v>1229</v>
      </c>
      <c r="B118" t="s">
        <v>30</v>
      </c>
      <c r="C118">
        <v>3</v>
      </c>
      <c r="D118">
        <v>1</v>
      </c>
      <c r="E118" s="9" t="s">
        <v>42</v>
      </c>
      <c r="F118" t="s">
        <v>114</v>
      </c>
      <c r="G118">
        <v>1</v>
      </c>
      <c r="H118" s="5">
        <v>1883</v>
      </c>
      <c r="I118" s="5">
        <v>1882</v>
      </c>
      <c r="J118">
        <v>0</v>
      </c>
      <c r="K118">
        <f>29-14</f>
        <v>15</v>
      </c>
      <c r="L118" t="s">
        <v>65</v>
      </c>
      <c r="M118">
        <v>4</v>
      </c>
    </row>
    <row r="119" spans="1:13" ht="15.75" x14ac:dyDescent="0.25">
      <c r="A119" t="s">
        <v>1229</v>
      </c>
      <c r="B119" t="s">
        <v>30</v>
      </c>
      <c r="C119">
        <v>3</v>
      </c>
      <c r="D119">
        <v>1</v>
      </c>
      <c r="E119" s="9" t="s">
        <v>42</v>
      </c>
      <c r="F119" t="s">
        <v>36</v>
      </c>
      <c r="G119">
        <v>2</v>
      </c>
      <c r="H119" s="5">
        <v>1885</v>
      </c>
      <c r="I119" s="5">
        <v>1884</v>
      </c>
      <c r="J119">
        <v>1</v>
      </c>
      <c r="K119">
        <f>29-10.5</f>
        <v>18.5</v>
      </c>
      <c r="L119" t="s">
        <v>1039</v>
      </c>
      <c r="M119">
        <v>4</v>
      </c>
    </row>
    <row r="120" spans="1:13" ht="15.75" x14ac:dyDescent="0.25">
      <c r="A120" t="s">
        <v>1229</v>
      </c>
      <c r="B120" t="s">
        <v>30</v>
      </c>
      <c r="C120">
        <v>5</v>
      </c>
      <c r="D120">
        <v>1</v>
      </c>
      <c r="E120" s="9" t="s">
        <v>42</v>
      </c>
      <c r="F120" t="s">
        <v>89</v>
      </c>
      <c r="G120">
        <v>2</v>
      </c>
      <c r="H120" s="5">
        <v>1887</v>
      </c>
      <c r="I120" s="5">
        <v>1886</v>
      </c>
      <c r="J120">
        <v>0</v>
      </c>
      <c r="K120">
        <f>25-10.5</f>
        <v>14.5</v>
      </c>
      <c r="L120" t="s">
        <v>38</v>
      </c>
      <c r="M120">
        <v>4</v>
      </c>
    </row>
    <row r="121" spans="1:13" ht="15.75" x14ac:dyDescent="0.25">
      <c r="A121" t="s">
        <v>1229</v>
      </c>
      <c r="B121" t="s">
        <v>30</v>
      </c>
      <c r="C121">
        <v>5</v>
      </c>
      <c r="D121">
        <v>1</v>
      </c>
      <c r="E121" s="9" t="s">
        <v>42</v>
      </c>
      <c r="F121" t="s">
        <v>114</v>
      </c>
      <c r="G121">
        <v>2</v>
      </c>
      <c r="H121" s="5">
        <v>1889</v>
      </c>
      <c r="I121" s="5">
        <v>1888</v>
      </c>
      <c r="J121">
        <v>0</v>
      </c>
      <c r="K121">
        <f>28.5-12</f>
        <v>16.5</v>
      </c>
      <c r="L121" t="s">
        <v>38</v>
      </c>
      <c r="M121">
        <v>4</v>
      </c>
    </row>
    <row r="122" spans="1:13" ht="15.75" x14ac:dyDescent="0.25">
      <c r="A122" t="s">
        <v>1229</v>
      </c>
      <c r="B122" t="s">
        <v>30</v>
      </c>
      <c r="C122">
        <v>5</v>
      </c>
      <c r="D122">
        <v>1</v>
      </c>
      <c r="E122" s="9" t="s">
        <v>42</v>
      </c>
      <c r="F122" t="s">
        <v>114</v>
      </c>
      <c r="G122">
        <v>2</v>
      </c>
      <c r="H122" s="5">
        <v>1891</v>
      </c>
      <c r="I122" s="5">
        <v>1890</v>
      </c>
      <c r="J122">
        <v>0</v>
      </c>
      <c r="K122">
        <f>28.5-11.5</f>
        <v>17</v>
      </c>
      <c r="L122" t="s">
        <v>38</v>
      </c>
      <c r="M122">
        <v>4</v>
      </c>
    </row>
    <row r="123" spans="1:13" ht="15.75" x14ac:dyDescent="0.25">
      <c r="A123" t="s">
        <v>1229</v>
      </c>
      <c r="B123" t="s">
        <v>30</v>
      </c>
      <c r="C123">
        <v>5</v>
      </c>
      <c r="D123">
        <v>1</v>
      </c>
      <c r="E123" s="9" t="s">
        <v>42</v>
      </c>
      <c r="F123" t="s">
        <v>36</v>
      </c>
      <c r="G123">
        <v>1</v>
      </c>
      <c r="H123" s="5">
        <v>1893</v>
      </c>
      <c r="I123" s="5">
        <v>1892</v>
      </c>
      <c r="J123">
        <v>0</v>
      </c>
      <c r="K123">
        <f>33.5-12.5</f>
        <v>21</v>
      </c>
      <c r="L123" t="s">
        <v>47</v>
      </c>
      <c r="M123">
        <v>4</v>
      </c>
    </row>
    <row r="124" spans="1:13" ht="15.75" x14ac:dyDescent="0.25">
      <c r="A124" t="s">
        <v>1229</v>
      </c>
      <c r="B124" t="s">
        <v>30</v>
      </c>
      <c r="C124">
        <v>5</v>
      </c>
      <c r="D124">
        <v>1</v>
      </c>
      <c r="E124" s="9" t="s">
        <v>42</v>
      </c>
      <c r="F124" t="s">
        <v>36</v>
      </c>
      <c r="G124">
        <v>1</v>
      </c>
      <c r="H124" s="5">
        <v>1895</v>
      </c>
      <c r="I124" s="5">
        <v>1894</v>
      </c>
      <c r="J124">
        <v>1</v>
      </c>
      <c r="K124">
        <f>35.5-11</f>
        <v>24.5</v>
      </c>
      <c r="L124" t="s">
        <v>47</v>
      </c>
      <c r="M124">
        <v>4</v>
      </c>
    </row>
    <row r="125" spans="1:13" ht="15.75" x14ac:dyDescent="0.25">
      <c r="A125" t="s">
        <v>1229</v>
      </c>
      <c r="B125" t="s">
        <v>30</v>
      </c>
      <c r="C125">
        <v>5</v>
      </c>
      <c r="D125">
        <v>1</v>
      </c>
      <c r="E125" s="9" t="s">
        <v>42</v>
      </c>
      <c r="F125" t="s">
        <v>114</v>
      </c>
      <c r="G125">
        <v>2</v>
      </c>
      <c r="H125" s="5">
        <v>1897</v>
      </c>
      <c r="I125" s="5">
        <v>1896</v>
      </c>
      <c r="J125">
        <v>0</v>
      </c>
      <c r="K125">
        <f>29-12.5</f>
        <v>16.5</v>
      </c>
      <c r="L125" t="s">
        <v>38</v>
      </c>
      <c r="M125">
        <v>4</v>
      </c>
    </row>
    <row r="126" spans="1:13" ht="15.75" x14ac:dyDescent="0.25">
      <c r="A126" t="s">
        <v>1229</v>
      </c>
      <c r="B126" t="s">
        <v>30</v>
      </c>
      <c r="C126">
        <v>4</v>
      </c>
      <c r="D126">
        <v>1</v>
      </c>
      <c r="E126" s="9" t="s">
        <v>42</v>
      </c>
      <c r="F126" t="s">
        <v>114</v>
      </c>
      <c r="G126">
        <v>2</v>
      </c>
      <c r="H126" s="5">
        <v>1925</v>
      </c>
      <c r="I126" s="5">
        <v>1924</v>
      </c>
      <c r="J126">
        <v>0</v>
      </c>
      <c r="K126">
        <f>24.5-11</f>
        <v>13.5</v>
      </c>
      <c r="L126" t="s">
        <v>83</v>
      </c>
      <c r="M126">
        <v>4</v>
      </c>
    </row>
    <row r="127" spans="1:13" ht="15.75" x14ac:dyDescent="0.25">
      <c r="A127" t="s">
        <v>1229</v>
      </c>
      <c r="B127" t="s">
        <v>30</v>
      </c>
      <c r="C127">
        <v>7</v>
      </c>
      <c r="D127">
        <v>3</v>
      </c>
      <c r="E127" s="9" t="s">
        <v>35</v>
      </c>
      <c r="F127" t="s">
        <v>36</v>
      </c>
      <c r="G127">
        <v>2</v>
      </c>
      <c r="H127" s="5">
        <v>1013</v>
      </c>
      <c r="I127" s="5"/>
      <c r="J127">
        <v>0</v>
      </c>
      <c r="K127">
        <f>34.5-12</f>
        <v>22.5</v>
      </c>
      <c r="L127" t="s">
        <v>1039</v>
      </c>
      <c r="M127">
        <v>4</v>
      </c>
    </row>
    <row r="128" spans="1:13" ht="15.75" x14ac:dyDescent="0.25">
      <c r="A128" t="s">
        <v>1229</v>
      </c>
      <c r="B128" t="s">
        <v>30</v>
      </c>
      <c r="C128">
        <v>7</v>
      </c>
      <c r="D128">
        <v>3</v>
      </c>
      <c r="E128" s="9" t="s">
        <v>42</v>
      </c>
      <c r="F128" t="s">
        <v>36</v>
      </c>
      <c r="G128">
        <v>2</v>
      </c>
      <c r="H128" s="5">
        <v>1540</v>
      </c>
      <c r="I128" s="5"/>
      <c r="J128">
        <v>0</v>
      </c>
      <c r="K128">
        <f>33-10</f>
        <v>23</v>
      </c>
      <c r="L128" t="s">
        <v>1039</v>
      </c>
      <c r="M128">
        <v>4</v>
      </c>
    </row>
    <row r="129" spans="1:13" ht="15.75" x14ac:dyDescent="0.25">
      <c r="A129" t="s">
        <v>1230</v>
      </c>
      <c r="B129" t="s">
        <v>30</v>
      </c>
      <c r="C129">
        <v>7</v>
      </c>
      <c r="D129">
        <v>1</v>
      </c>
      <c r="E129" s="9" t="s">
        <v>42</v>
      </c>
      <c r="F129" t="s">
        <v>114</v>
      </c>
      <c r="G129">
        <v>1</v>
      </c>
      <c r="H129" s="5">
        <v>1478</v>
      </c>
      <c r="I129" s="5">
        <v>1477</v>
      </c>
      <c r="J129">
        <v>0</v>
      </c>
      <c r="K129">
        <f>26-11</f>
        <v>15</v>
      </c>
      <c r="L129" t="s">
        <v>65</v>
      </c>
      <c r="M129">
        <v>4</v>
      </c>
    </row>
    <row r="130" spans="1:13" ht="15.75" x14ac:dyDescent="0.25">
      <c r="A130" t="s">
        <v>1230</v>
      </c>
      <c r="B130" t="s">
        <v>30</v>
      </c>
      <c r="C130">
        <v>7</v>
      </c>
      <c r="D130">
        <v>1</v>
      </c>
      <c r="E130" s="9" t="s">
        <v>42</v>
      </c>
      <c r="F130" t="s">
        <v>89</v>
      </c>
      <c r="G130">
        <v>2</v>
      </c>
      <c r="H130" s="5">
        <v>1480</v>
      </c>
      <c r="I130" s="5">
        <v>1479</v>
      </c>
      <c r="J130">
        <v>0</v>
      </c>
      <c r="K130">
        <f>25.5-11</f>
        <v>14.5</v>
      </c>
      <c r="L130" t="s">
        <v>38</v>
      </c>
      <c r="M130">
        <v>4</v>
      </c>
    </row>
    <row r="131" spans="1:13" ht="15.75" x14ac:dyDescent="0.25">
      <c r="A131" t="s">
        <v>1230</v>
      </c>
      <c r="B131" t="s">
        <v>30</v>
      </c>
      <c r="C131">
        <v>7</v>
      </c>
      <c r="D131">
        <v>1</v>
      </c>
      <c r="E131" s="9" t="s">
        <v>42</v>
      </c>
      <c r="F131" t="s">
        <v>114</v>
      </c>
      <c r="G131">
        <v>2</v>
      </c>
      <c r="H131" s="5">
        <v>1482</v>
      </c>
      <c r="I131" s="5">
        <v>1481</v>
      </c>
      <c r="J131">
        <v>0</v>
      </c>
      <c r="K131">
        <f>26-11</f>
        <v>15</v>
      </c>
      <c r="L131" t="s">
        <v>38</v>
      </c>
      <c r="M131">
        <v>4</v>
      </c>
    </row>
    <row r="132" spans="1:13" ht="15.75" x14ac:dyDescent="0.25">
      <c r="A132" t="s">
        <v>1230</v>
      </c>
      <c r="B132" t="s">
        <v>30</v>
      </c>
      <c r="C132">
        <v>7</v>
      </c>
      <c r="D132">
        <v>1</v>
      </c>
      <c r="E132" s="9" t="s">
        <v>42</v>
      </c>
      <c r="F132" t="s">
        <v>114</v>
      </c>
      <c r="G132">
        <v>1</v>
      </c>
      <c r="H132" s="5">
        <v>1484</v>
      </c>
      <c r="I132" s="5">
        <v>1483</v>
      </c>
      <c r="J132">
        <v>0</v>
      </c>
      <c r="K132">
        <f>29-12.5</f>
        <v>16.5</v>
      </c>
      <c r="L132" t="s">
        <v>65</v>
      </c>
      <c r="M132">
        <v>4</v>
      </c>
    </row>
    <row r="133" spans="1:13" ht="15.75" x14ac:dyDescent="0.25">
      <c r="A133" t="s">
        <v>1230</v>
      </c>
      <c r="B133" t="s">
        <v>30</v>
      </c>
      <c r="C133">
        <v>8</v>
      </c>
      <c r="D133">
        <v>1</v>
      </c>
      <c r="E133" s="9" t="s">
        <v>35</v>
      </c>
      <c r="F133" t="s">
        <v>114</v>
      </c>
      <c r="G133">
        <v>1</v>
      </c>
      <c r="H133" s="5">
        <v>1487</v>
      </c>
      <c r="I133" s="5">
        <v>1486</v>
      </c>
      <c r="J133">
        <v>1</v>
      </c>
      <c r="K133">
        <f>26.5-11</f>
        <v>15.5</v>
      </c>
      <c r="L133" t="s">
        <v>65</v>
      </c>
      <c r="M133">
        <v>4</v>
      </c>
    </row>
    <row r="134" spans="1:13" ht="15.75" x14ac:dyDescent="0.25">
      <c r="A134" t="s">
        <v>1230</v>
      </c>
      <c r="B134" t="s">
        <v>30</v>
      </c>
      <c r="C134">
        <v>8</v>
      </c>
      <c r="D134">
        <v>1</v>
      </c>
      <c r="E134" s="9" t="s">
        <v>35</v>
      </c>
      <c r="F134" t="s">
        <v>89</v>
      </c>
      <c r="G134">
        <v>2</v>
      </c>
      <c r="H134" s="5">
        <v>1490</v>
      </c>
      <c r="I134" s="5">
        <v>1489</v>
      </c>
      <c r="J134">
        <v>0</v>
      </c>
      <c r="K134">
        <f>25-11</f>
        <v>14</v>
      </c>
      <c r="L134" t="s">
        <v>38</v>
      </c>
      <c r="M134">
        <v>4</v>
      </c>
    </row>
    <row r="135" spans="1:13" ht="15.75" x14ac:dyDescent="0.25">
      <c r="A135" t="s">
        <v>1230</v>
      </c>
      <c r="B135" t="s">
        <v>30</v>
      </c>
      <c r="C135">
        <v>8</v>
      </c>
      <c r="D135">
        <v>1</v>
      </c>
      <c r="E135" s="9" t="s">
        <v>35</v>
      </c>
      <c r="F135" t="s">
        <v>89</v>
      </c>
      <c r="G135">
        <v>2</v>
      </c>
      <c r="H135" s="5">
        <v>1492</v>
      </c>
      <c r="I135" s="5">
        <v>1491</v>
      </c>
      <c r="J135">
        <v>0</v>
      </c>
      <c r="K135">
        <f>26-11</f>
        <v>15</v>
      </c>
      <c r="L135" t="s">
        <v>38</v>
      </c>
      <c r="M135">
        <v>4</v>
      </c>
    </row>
    <row r="136" spans="1:13" ht="15.75" x14ac:dyDescent="0.25">
      <c r="A136" t="s">
        <v>1230</v>
      </c>
      <c r="B136" t="s">
        <v>30</v>
      </c>
      <c r="C136">
        <v>8</v>
      </c>
      <c r="D136">
        <v>1</v>
      </c>
      <c r="E136" s="9" t="s">
        <v>35</v>
      </c>
      <c r="F136" t="s">
        <v>89</v>
      </c>
      <c r="G136">
        <v>2</v>
      </c>
      <c r="H136" s="5">
        <v>1494</v>
      </c>
      <c r="I136" s="5">
        <v>1493</v>
      </c>
      <c r="J136">
        <v>0</v>
      </c>
      <c r="K136">
        <f>24-10.5</f>
        <v>13.5</v>
      </c>
      <c r="L136" t="s">
        <v>38</v>
      </c>
      <c r="M136">
        <v>4</v>
      </c>
    </row>
    <row r="137" spans="1:13" ht="15.75" x14ac:dyDescent="0.25">
      <c r="A137" t="s">
        <v>1230</v>
      </c>
      <c r="B137" t="s">
        <v>30</v>
      </c>
      <c r="C137">
        <v>7</v>
      </c>
      <c r="D137">
        <v>1</v>
      </c>
      <c r="E137" s="9" t="s">
        <v>35</v>
      </c>
      <c r="F137" t="s">
        <v>36</v>
      </c>
      <c r="G137">
        <v>2</v>
      </c>
      <c r="H137" s="5">
        <v>1533</v>
      </c>
      <c r="I137" s="5">
        <v>1532</v>
      </c>
      <c r="J137">
        <v>0</v>
      </c>
      <c r="K137">
        <f>31.5-11</f>
        <v>20.5</v>
      </c>
      <c r="L137" t="s">
        <v>83</v>
      </c>
      <c r="M137">
        <v>4</v>
      </c>
    </row>
    <row r="138" spans="1:13" ht="15.75" x14ac:dyDescent="0.25">
      <c r="A138" t="s">
        <v>1230</v>
      </c>
      <c r="B138" t="s">
        <v>30</v>
      </c>
      <c r="C138">
        <v>7</v>
      </c>
      <c r="D138">
        <v>1</v>
      </c>
      <c r="E138" s="9" t="s">
        <v>35</v>
      </c>
      <c r="F138" t="s">
        <v>114</v>
      </c>
      <c r="G138">
        <v>1</v>
      </c>
      <c r="H138" s="5">
        <v>1537</v>
      </c>
      <c r="I138" s="5">
        <v>1536</v>
      </c>
      <c r="J138">
        <v>0</v>
      </c>
      <c r="K138">
        <f>26.5-10</f>
        <v>16.5</v>
      </c>
      <c r="L138" t="s">
        <v>65</v>
      </c>
      <c r="M138">
        <v>4</v>
      </c>
    </row>
    <row r="139" spans="1:13" ht="15.75" x14ac:dyDescent="0.25">
      <c r="A139" t="s">
        <v>1230</v>
      </c>
      <c r="B139" t="s">
        <v>30</v>
      </c>
      <c r="C139">
        <v>7</v>
      </c>
      <c r="D139">
        <v>1</v>
      </c>
      <c r="E139" s="9" t="s">
        <v>35</v>
      </c>
      <c r="F139" t="s">
        <v>114</v>
      </c>
      <c r="G139">
        <v>2</v>
      </c>
      <c r="H139" s="5">
        <v>1539</v>
      </c>
      <c r="I139" s="5">
        <v>1538</v>
      </c>
      <c r="J139">
        <v>0</v>
      </c>
      <c r="K139">
        <f>27-11.5</f>
        <v>15.5</v>
      </c>
      <c r="L139" t="s">
        <v>38</v>
      </c>
      <c r="M139">
        <v>4</v>
      </c>
    </row>
    <row r="140" spans="1:13" ht="15.75" x14ac:dyDescent="0.25">
      <c r="A140" t="s">
        <v>1230</v>
      </c>
      <c r="B140" t="s">
        <v>30</v>
      </c>
      <c r="C140">
        <v>8</v>
      </c>
      <c r="D140">
        <v>1</v>
      </c>
      <c r="E140" s="9" t="s">
        <v>42</v>
      </c>
      <c r="F140" t="s">
        <v>114</v>
      </c>
      <c r="G140">
        <v>2</v>
      </c>
      <c r="H140" s="5">
        <v>1717</v>
      </c>
      <c r="I140" s="5">
        <v>1716</v>
      </c>
      <c r="J140">
        <v>0</v>
      </c>
      <c r="K140">
        <f>25-10.5</f>
        <v>14.5</v>
      </c>
      <c r="L140" t="s">
        <v>38</v>
      </c>
      <c r="M140">
        <v>4</v>
      </c>
    </row>
    <row r="141" spans="1:13" ht="15.75" x14ac:dyDescent="0.25">
      <c r="A141" t="s">
        <v>1230</v>
      </c>
      <c r="B141" t="s">
        <v>30</v>
      </c>
      <c r="C141">
        <v>8</v>
      </c>
      <c r="D141">
        <v>1</v>
      </c>
      <c r="E141" s="9" t="s">
        <v>42</v>
      </c>
      <c r="F141" t="s">
        <v>114</v>
      </c>
      <c r="G141">
        <v>1</v>
      </c>
      <c r="H141" s="5">
        <v>1719</v>
      </c>
      <c r="I141" s="5">
        <v>1718</v>
      </c>
      <c r="J141">
        <v>0</v>
      </c>
      <c r="K141">
        <f>26.5-10.5</f>
        <v>16</v>
      </c>
      <c r="L141" t="s">
        <v>65</v>
      </c>
      <c r="M141">
        <v>4</v>
      </c>
    </row>
    <row r="142" spans="1:13" ht="15.75" x14ac:dyDescent="0.25">
      <c r="A142" t="s">
        <v>1230</v>
      </c>
      <c r="B142" t="s">
        <v>30</v>
      </c>
      <c r="C142">
        <v>7</v>
      </c>
      <c r="D142">
        <v>1</v>
      </c>
      <c r="E142" s="9" t="s">
        <v>42</v>
      </c>
      <c r="F142" t="s">
        <v>36</v>
      </c>
      <c r="G142">
        <v>1</v>
      </c>
      <c r="H142" s="5">
        <v>1721</v>
      </c>
      <c r="I142" s="5">
        <v>1720</v>
      </c>
      <c r="J142">
        <v>0</v>
      </c>
      <c r="K142">
        <f>28-10</f>
        <v>18</v>
      </c>
      <c r="L142" t="s">
        <v>65</v>
      </c>
      <c r="M142">
        <v>4</v>
      </c>
    </row>
    <row r="143" spans="1:13" ht="15.75" x14ac:dyDescent="0.25">
      <c r="A143" t="s">
        <v>1230</v>
      </c>
      <c r="B143" t="s">
        <v>30</v>
      </c>
      <c r="C143">
        <v>7</v>
      </c>
      <c r="D143">
        <v>1</v>
      </c>
      <c r="E143" s="9" t="s">
        <v>42</v>
      </c>
      <c r="F143" t="s">
        <v>89</v>
      </c>
      <c r="G143">
        <v>1</v>
      </c>
      <c r="H143" s="5">
        <v>1723</v>
      </c>
      <c r="I143" s="5">
        <v>1722</v>
      </c>
      <c r="J143">
        <v>0</v>
      </c>
      <c r="K143">
        <f>24.5-10.5</f>
        <v>14</v>
      </c>
      <c r="L143" t="s">
        <v>65</v>
      </c>
      <c r="M143">
        <v>4</v>
      </c>
    </row>
    <row r="144" spans="1:13" ht="15.75" x14ac:dyDescent="0.25">
      <c r="A144" t="s">
        <v>1230</v>
      </c>
      <c r="B144" t="s">
        <v>30</v>
      </c>
      <c r="C144">
        <v>7</v>
      </c>
      <c r="D144">
        <v>1</v>
      </c>
      <c r="E144" s="9" t="s">
        <v>42</v>
      </c>
      <c r="F144" t="s">
        <v>36</v>
      </c>
      <c r="G144">
        <v>2</v>
      </c>
      <c r="H144" s="5">
        <v>1725</v>
      </c>
      <c r="I144" s="5">
        <v>1724</v>
      </c>
      <c r="J144">
        <v>0</v>
      </c>
      <c r="K144">
        <f>32.5-11</f>
        <v>21.5</v>
      </c>
      <c r="L144" t="s">
        <v>1041</v>
      </c>
      <c r="M144">
        <v>4</v>
      </c>
    </row>
    <row r="145" spans="1:13" ht="15.75" x14ac:dyDescent="0.25">
      <c r="A145" t="s">
        <v>1230</v>
      </c>
      <c r="B145" t="s">
        <v>30</v>
      </c>
      <c r="C145">
        <v>3</v>
      </c>
      <c r="D145">
        <v>1</v>
      </c>
      <c r="E145" s="9" t="s">
        <v>35</v>
      </c>
      <c r="F145" t="s">
        <v>36</v>
      </c>
      <c r="G145">
        <v>2</v>
      </c>
      <c r="H145" s="5">
        <v>1885</v>
      </c>
      <c r="I145" s="5">
        <v>1884</v>
      </c>
      <c r="J145">
        <v>1</v>
      </c>
      <c r="K145">
        <f>30-12.5</f>
        <v>17.5</v>
      </c>
      <c r="L145" t="s">
        <v>1039</v>
      </c>
      <c r="M145">
        <v>4</v>
      </c>
    </row>
    <row r="146" spans="1:13" ht="15.75" x14ac:dyDescent="0.25">
      <c r="A146" t="s">
        <v>1230</v>
      </c>
      <c r="B146" t="s">
        <v>30</v>
      </c>
      <c r="C146">
        <v>5</v>
      </c>
      <c r="D146">
        <v>1</v>
      </c>
      <c r="E146" s="9" t="s">
        <v>35</v>
      </c>
      <c r="F146" t="s">
        <v>89</v>
      </c>
      <c r="G146">
        <v>2</v>
      </c>
      <c r="H146" s="5">
        <v>1887</v>
      </c>
      <c r="I146" s="5">
        <v>1886</v>
      </c>
      <c r="J146">
        <v>0</v>
      </c>
      <c r="K146">
        <f>26-12</f>
        <v>14</v>
      </c>
      <c r="L146" t="s">
        <v>38</v>
      </c>
      <c r="M146">
        <v>4</v>
      </c>
    </row>
    <row r="147" spans="1:13" ht="15.75" x14ac:dyDescent="0.25">
      <c r="A147" t="s">
        <v>1230</v>
      </c>
      <c r="B147" t="s">
        <v>30</v>
      </c>
      <c r="C147">
        <v>5</v>
      </c>
      <c r="D147">
        <v>1</v>
      </c>
      <c r="E147" s="9" t="s">
        <v>35</v>
      </c>
      <c r="F147" t="s">
        <v>114</v>
      </c>
      <c r="G147">
        <v>2</v>
      </c>
      <c r="H147" s="5">
        <v>1889</v>
      </c>
      <c r="I147" s="5">
        <v>1888</v>
      </c>
      <c r="J147">
        <v>0</v>
      </c>
      <c r="K147">
        <f>27.5-12.5</f>
        <v>15</v>
      </c>
      <c r="L147" t="s">
        <v>38</v>
      </c>
      <c r="M147">
        <v>4</v>
      </c>
    </row>
    <row r="148" spans="1:13" ht="15.75" x14ac:dyDescent="0.25">
      <c r="A148" t="s">
        <v>1230</v>
      </c>
      <c r="B148" t="s">
        <v>30</v>
      </c>
      <c r="C148">
        <v>5</v>
      </c>
      <c r="D148">
        <v>1</v>
      </c>
      <c r="E148" s="9" t="s">
        <v>35</v>
      </c>
      <c r="F148" t="s">
        <v>114</v>
      </c>
      <c r="G148">
        <v>2</v>
      </c>
      <c r="H148" s="5">
        <v>1891</v>
      </c>
      <c r="I148" s="5">
        <v>1890</v>
      </c>
      <c r="J148">
        <v>0</v>
      </c>
      <c r="K148">
        <f>29.5-12.5</f>
        <v>17</v>
      </c>
      <c r="L148" t="s">
        <v>38</v>
      </c>
      <c r="M148">
        <v>4</v>
      </c>
    </row>
    <row r="149" spans="1:13" ht="15.75" x14ac:dyDescent="0.25">
      <c r="A149" t="s">
        <v>1230</v>
      </c>
      <c r="B149" t="s">
        <v>30</v>
      </c>
      <c r="C149">
        <v>5</v>
      </c>
      <c r="D149">
        <v>1</v>
      </c>
      <c r="E149" s="9" t="s">
        <v>35</v>
      </c>
      <c r="F149" t="s">
        <v>36</v>
      </c>
      <c r="G149">
        <v>1</v>
      </c>
      <c r="H149" s="5">
        <v>1893</v>
      </c>
      <c r="I149" s="5">
        <v>1892</v>
      </c>
      <c r="J149">
        <v>0</v>
      </c>
      <c r="K149">
        <f>35-14</f>
        <v>21</v>
      </c>
      <c r="L149" t="s">
        <v>47</v>
      </c>
      <c r="M149">
        <v>4</v>
      </c>
    </row>
    <row r="150" spans="1:13" ht="15.75" x14ac:dyDescent="0.25">
      <c r="A150" t="s">
        <v>1230</v>
      </c>
      <c r="B150" t="s">
        <v>30</v>
      </c>
      <c r="C150">
        <v>5</v>
      </c>
      <c r="D150">
        <v>1</v>
      </c>
      <c r="E150" s="9" t="s">
        <v>35</v>
      </c>
      <c r="F150" t="s">
        <v>114</v>
      </c>
      <c r="G150">
        <v>2</v>
      </c>
      <c r="H150" s="5">
        <v>1897</v>
      </c>
      <c r="I150" s="5">
        <v>1896</v>
      </c>
      <c r="J150">
        <v>0</v>
      </c>
      <c r="K150">
        <f>29-12.5</f>
        <v>16.5</v>
      </c>
      <c r="L150" t="s">
        <v>38</v>
      </c>
      <c r="M150">
        <v>4</v>
      </c>
    </row>
    <row r="151" spans="1:13" ht="15.75" x14ac:dyDescent="0.25">
      <c r="A151" t="s">
        <v>1230</v>
      </c>
      <c r="B151" t="s">
        <v>30</v>
      </c>
      <c r="C151">
        <v>4</v>
      </c>
      <c r="D151">
        <v>1</v>
      </c>
      <c r="E151" s="9" t="s">
        <v>42</v>
      </c>
      <c r="F151" t="s">
        <v>114</v>
      </c>
      <c r="G151">
        <v>2</v>
      </c>
      <c r="H151" s="5">
        <v>1911</v>
      </c>
      <c r="I151" s="5">
        <v>1910</v>
      </c>
      <c r="J151">
        <v>0</v>
      </c>
      <c r="K151">
        <f>26-14</f>
        <v>12</v>
      </c>
      <c r="L151" t="s">
        <v>38</v>
      </c>
      <c r="M151">
        <v>4</v>
      </c>
    </row>
    <row r="152" spans="1:13" ht="15.75" x14ac:dyDescent="0.25">
      <c r="A152" t="s">
        <v>1230</v>
      </c>
      <c r="B152" t="s">
        <v>30</v>
      </c>
      <c r="C152">
        <v>3</v>
      </c>
      <c r="D152">
        <v>1</v>
      </c>
      <c r="E152" s="9" t="s">
        <v>42</v>
      </c>
      <c r="F152" t="s">
        <v>114</v>
      </c>
      <c r="G152">
        <v>1</v>
      </c>
      <c r="H152" s="5">
        <v>1913</v>
      </c>
      <c r="I152" s="5">
        <v>1912</v>
      </c>
      <c r="J152">
        <v>0</v>
      </c>
      <c r="K152">
        <f>32.5-17</f>
        <v>15.5</v>
      </c>
      <c r="L152" t="s">
        <v>47</v>
      </c>
      <c r="M152">
        <v>4</v>
      </c>
    </row>
    <row r="153" spans="1:13" ht="15.75" x14ac:dyDescent="0.25">
      <c r="A153" t="s">
        <v>1230</v>
      </c>
      <c r="B153" t="s">
        <v>30</v>
      </c>
      <c r="C153">
        <v>3</v>
      </c>
      <c r="D153">
        <v>1</v>
      </c>
      <c r="E153" s="9" t="s">
        <v>42</v>
      </c>
      <c r="F153" t="s">
        <v>36</v>
      </c>
      <c r="G153">
        <v>1</v>
      </c>
      <c r="H153" s="5">
        <v>1915</v>
      </c>
      <c r="I153" s="5">
        <v>1914</v>
      </c>
      <c r="J153">
        <v>0</v>
      </c>
      <c r="K153">
        <f>36.5-15.5</f>
        <v>21</v>
      </c>
      <c r="L153" t="s">
        <v>47</v>
      </c>
      <c r="M153">
        <v>4</v>
      </c>
    </row>
    <row r="154" spans="1:13" ht="15.75" x14ac:dyDescent="0.25">
      <c r="A154" t="s">
        <v>1230</v>
      </c>
      <c r="B154" t="s">
        <v>30</v>
      </c>
      <c r="C154">
        <v>5</v>
      </c>
      <c r="D154">
        <v>1</v>
      </c>
      <c r="E154" s="9" t="s">
        <v>42</v>
      </c>
      <c r="F154" t="s">
        <v>114</v>
      </c>
      <c r="G154">
        <v>1</v>
      </c>
      <c r="H154" s="5">
        <v>1917</v>
      </c>
      <c r="I154" s="5">
        <v>1916</v>
      </c>
      <c r="J154">
        <v>0</v>
      </c>
      <c r="L154" t="s">
        <v>47</v>
      </c>
      <c r="M154">
        <v>4</v>
      </c>
    </row>
    <row r="155" spans="1:13" ht="15.75" x14ac:dyDescent="0.25">
      <c r="A155" t="s">
        <v>1230</v>
      </c>
      <c r="B155" t="s">
        <v>30</v>
      </c>
      <c r="C155">
        <v>5</v>
      </c>
      <c r="D155">
        <v>1</v>
      </c>
      <c r="E155" s="9" t="s">
        <v>42</v>
      </c>
      <c r="F155" t="s">
        <v>89</v>
      </c>
      <c r="G155">
        <v>1</v>
      </c>
      <c r="H155" s="5">
        <v>1919</v>
      </c>
      <c r="I155" s="5">
        <v>1918</v>
      </c>
      <c r="J155">
        <v>0</v>
      </c>
      <c r="K155">
        <f>27.5-10.5</f>
        <v>17</v>
      </c>
      <c r="L155" t="s">
        <v>65</v>
      </c>
      <c r="M155">
        <v>4</v>
      </c>
    </row>
    <row r="156" spans="1:13" ht="15.75" x14ac:dyDescent="0.25">
      <c r="A156" t="s">
        <v>1230</v>
      </c>
      <c r="B156" t="s">
        <v>30</v>
      </c>
      <c r="C156">
        <v>5</v>
      </c>
      <c r="D156">
        <v>1</v>
      </c>
      <c r="E156" s="9" t="s">
        <v>42</v>
      </c>
      <c r="F156" t="s">
        <v>114</v>
      </c>
      <c r="G156">
        <v>1</v>
      </c>
      <c r="H156" s="5">
        <v>1921</v>
      </c>
      <c r="I156" s="5">
        <v>1920</v>
      </c>
      <c r="J156">
        <v>0</v>
      </c>
      <c r="K156">
        <f>26.5-11.5</f>
        <v>15</v>
      </c>
      <c r="L156" t="s">
        <v>65</v>
      </c>
      <c r="M156">
        <v>4</v>
      </c>
    </row>
    <row r="157" spans="1:13" ht="15.75" x14ac:dyDescent="0.25">
      <c r="A157" t="s">
        <v>1230</v>
      </c>
      <c r="B157" t="s">
        <v>30</v>
      </c>
      <c r="C157">
        <v>5</v>
      </c>
      <c r="D157">
        <v>1</v>
      </c>
      <c r="E157" s="9" t="s">
        <v>42</v>
      </c>
      <c r="F157" t="s">
        <v>36</v>
      </c>
      <c r="G157">
        <v>2</v>
      </c>
      <c r="H157" s="5">
        <v>1923</v>
      </c>
      <c r="I157" s="5">
        <v>1922</v>
      </c>
      <c r="J157">
        <v>0</v>
      </c>
      <c r="K157">
        <f>33-13</f>
        <v>20</v>
      </c>
      <c r="L157" t="s">
        <v>1039</v>
      </c>
      <c r="M157">
        <v>4</v>
      </c>
    </row>
    <row r="158" spans="1:13" ht="15.75" x14ac:dyDescent="0.25">
      <c r="A158" t="s">
        <v>1230</v>
      </c>
      <c r="B158" t="s">
        <v>30</v>
      </c>
      <c r="C158">
        <v>8</v>
      </c>
      <c r="D158">
        <v>2</v>
      </c>
      <c r="E158" s="9" t="s">
        <v>42</v>
      </c>
      <c r="F158" t="s">
        <v>36</v>
      </c>
      <c r="G158">
        <v>2</v>
      </c>
      <c r="H158" s="5">
        <v>1714</v>
      </c>
      <c r="I158" s="5"/>
      <c r="J158">
        <v>0</v>
      </c>
      <c r="K158">
        <f>39.5-10.5</f>
        <v>29</v>
      </c>
      <c r="L158" t="s">
        <v>1041</v>
      </c>
      <c r="M158">
        <v>4</v>
      </c>
    </row>
    <row r="159" spans="1:13" ht="15.75" x14ac:dyDescent="0.25">
      <c r="A159" t="s">
        <v>1230</v>
      </c>
      <c r="B159" t="s">
        <v>30</v>
      </c>
      <c r="C159">
        <v>5</v>
      </c>
      <c r="D159">
        <v>2</v>
      </c>
      <c r="E159" s="9" t="s">
        <v>42</v>
      </c>
      <c r="F159" t="s">
        <v>36</v>
      </c>
      <c r="G159">
        <v>1</v>
      </c>
      <c r="H159" s="5">
        <v>1979</v>
      </c>
      <c r="I159" s="5"/>
      <c r="J159">
        <v>1</v>
      </c>
      <c r="K159">
        <f>43-13</f>
        <v>30</v>
      </c>
      <c r="L159" t="s">
        <v>47</v>
      </c>
      <c r="M159">
        <v>4</v>
      </c>
    </row>
    <row r="160" spans="1:13" ht="15.75" x14ac:dyDescent="0.25">
      <c r="A160" t="s">
        <v>1230</v>
      </c>
      <c r="B160" t="s">
        <v>30</v>
      </c>
      <c r="C160">
        <v>5</v>
      </c>
      <c r="D160">
        <v>2</v>
      </c>
      <c r="E160" s="9" t="s">
        <v>42</v>
      </c>
      <c r="F160" t="s">
        <v>36</v>
      </c>
      <c r="G160">
        <v>2</v>
      </c>
      <c r="H160" s="5">
        <v>1981</v>
      </c>
      <c r="I160" s="5"/>
      <c r="J160">
        <v>0</v>
      </c>
      <c r="K160">
        <f>35-14</f>
        <v>21</v>
      </c>
      <c r="L160" t="s">
        <v>83</v>
      </c>
      <c r="M160">
        <v>4</v>
      </c>
    </row>
    <row r="161" spans="1:13" ht="15.75" x14ac:dyDescent="0.25">
      <c r="A161" t="s">
        <v>1230</v>
      </c>
      <c r="B161" t="s">
        <v>30</v>
      </c>
      <c r="C161">
        <v>7</v>
      </c>
      <c r="D161">
        <v>3</v>
      </c>
      <c r="E161" s="9" t="s">
        <v>35</v>
      </c>
      <c r="F161" t="s">
        <v>36</v>
      </c>
      <c r="G161">
        <v>2</v>
      </c>
      <c r="H161" s="5">
        <v>1013</v>
      </c>
      <c r="I161" s="5"/>
      <c r="J161">
        <v>0</v>
      </c>
      <c r="K161">
        <f>32.5-11</f>
        <v>21.5</v>
      </c>
      <c r="L161" t="s">
        <v>1039</v>
      </c>
      <c r="M161">
        <v>4</v>
      </c>
    </row>
    <row r="162" spans="1:13" ht="15.75" x14ac:dyDescent="0.25">
      <c r="A162" t="s">
        <v>1230</v>
      </c>
      <c r="B162" t="s">
        <v>30</v>
      </c>
      <c r="C162">
        <v>8</v>
      </c>
      <c r="D162">
        <v>3</v>
      </c>
      <c r="E162" s="9" t="s">
        <v>35</v>
      </c>
      <c r="F162" t="s">
        <v>113</v>
      </c>
      <c r="G162">
        <v>2</v>
      </c>
      <c r="H162" s="5">
        <v>1371</v>
      </c>
      <c r="I162" s="5"/>
      <c r="J162">
        <v>0</v>
      </c>
      <c r="K162">
        <f>33.5-10</f>
        <v>23.5</v>
      </c>
      <c r="L162" t="s">
        <v>1039</v>
      </c>
      <c r="M162">
        <v>4</v>
      </c>
    </row>
    <row r="163" spans="1:13" ht="15.75" x14ac:dyDescent="0.25">
      <c r="A163" t="s">
        <v>1230</v>
      </c>
      <c r="B163" t="s">
        <v>30</v>
      </c>
      <c r="C163">
        <v>7</v>
      </c>
      <c r="D163">
        <v>3</v>
      </c>
      <c r="E163" s="9" t="s">
        <v>35</v>
      </c>
      <c r="F163" t="s">
        <v>36</v>
      </c>
      <c r="G163">
        <v>2</v>
      </c>
      <c r="H163" s="5">
        <v>1540</v>
      </c>
      <c r="I163" s="5"/>
      <c r="J163">
        <v>0</v>
      </c>
      <c r="K163">
        <f>30-10</f>
        <v>20</v>
      </c>
      <c r="L163" t="s">
        <v>1040</v>
      </c>
      <c r="M163">
        <v>4</v>
      </c>
    </row>
    <row r="164" spans="1:13" ht="15.75" x14ac:dyDescent="0.25">
      <c r="A164" t="s">
        <v>1231</v>
      </c>
      <c r="B164" t="s">
        <v>30</v>
      </c>
      <c r="C164">
        <v>7</v>
      </c>
      <c r="D164">
        <v>1</v>
      </c>
      <c r="E164" s="9" t="s">
        <v>35</v>
      </c>
      <c r="F164" t="s">
        <v>114</v>
      </c>
      <c r="G164">
        <v>1</v>
      </c>
      <c r="H164" s="5">
        <v>1478</v>
      </c>
      <c r="I164" s="5">
        <v>1477</v>
      </c>
      <c r="J164">
        <v>0</v>
      </c>
      <c r="K164">
        <f>25-10.5</f>
        <v>14.5</v>
      </c>
      <c r="L164" t="s">
        <v>65</v>
      </c>
      <c r="M164">
        <v>4</v>
      </c>
    </row>
    <row r="165" spans="1:13" ht="15.75" x14ac:dyDescent="0.25">
      <c r="A165" t="s">
        <v>1231</v>
      </c>
      <c r="B165" t="s">
        <v>30</v>
      </c>
      <c r="C165">
        <v>7</v>
      </c>
      <c r="D165">
        <v>1</v>
      </c>
      <c r="E165" s="9" t="s">
        <v>35</v>
      </c>
      <c r="F165" t="s">
        <v>89</v>
      </c>
      <c r="G165">
        <v>2</v>
      </c>
      <c r="H165" s="5">
        <v>1480</v>
      </c>
      <c r="I165" s="5">
        <v>1479</v>
      </c>
      <c r="J165">
        <v>0</v>
      </c>
      <c r="K165">
        <f>26-11</f>
        <v>15</v>
      </c>
      <c r="L165" t="s">
        <v>38</v>
      </c>
      <c r="M165">
        <v>4</v>
      </c>
    </row>
    <row r="166" spans="1:13" ht="15.75" x14ac:dyDescent="0.25">
      <c r="A166" t="s">
        <v>1231</v>
      </c>
      <c r="B166" t="s">
        <v>30</v>
      </c>
      <c r="C166">
        <v>7</v>
      </c>
      <c r="D166">
        <v>1</v>
      </c>
      <c r="E166" s="9" t="s">
        <v>35</v>
      </c>
      <c r="F166" t="s">
        <v>114</v>
      </c>
      <c r="G166">
        <v>2</v>
      </c>
      <c r="H166" s="5">
        <v>1482</v>
      </c>
      <c r="I166" s="5">
        <v>1481</v>
      </c>
      <c r="J166">
        <v>0</v>
      </c>
      <c r="K166">
        <f>28.5-12</f>
        <v>16.5</v>
      </c>
      <c r="L166" t="s">
        <v>38</v>
      </c>
      <c r="M166">
        <v>4</v>
      </c>
    </row>
    <row r="167" spans="1:13" ht="15.75" x14ac:dyDescent="0.25">
      <c r="A167" t="s">
        <v>1231</v>
      </c>
      <c r="B167" t="s">
        <v>30</v>
      </c>
      <c r="C167">
        <v>7</v>
      </c>
      <c r="D167">
        <v>1</v>
      </c>
      <c r="E167" s="9" t="s">
        <v>35</v>
      </c>
      <c r="F167" t="s">
        <v>114</v>
      </c>
      <c r="G167">
        <v>1</v>
      </c>
      <c r="H167" s="5">
        <v>1484</v>
      </c>
      <c r="I167" s="5">
        <v>1483</v>
      </c>
      <c r="J167">
        <v>0</v>
      </c>
      <c r="K167">
        <f>27.5-11</f>
        <v>16.5</v>
      </c>
      <c r="L167" t="s">
        <v>65</v>
      </c>
      <c r="M167">
        <v>4</v>
      </c>
    </row>
    <row r="168" spans="1:13" ht="15.75" x14ac:dyDescent="0.25">
      <c r="A168" t="s">
        <v>1231</v>
      </c>
      <c r="B168" t="s">
        <v>30</v>
      </c>
      <c r="C168">
        <v>8</v>
      </c>
      <c r="D168">
        <v>1</v>
      </c>
      <c r="E168" s="9" t="s">
        <v>35</v>
      </c>
      <c r="F168" t="s">
        <v>114</v>
      </c>
      <c r="G168">
        <v>1</v>
      </c>
      <c r="H168" s="5">
        <v>1487</v>
      </c>
      <c r="I168" s="5">
        <v>1486</v>
      </c>
      <c r="J168">
        <v>1</v>
      </c>
      <c r="K168">
        <f>29.5-14</f>
        <v>15.5</v>
      </c>
      <c r="L168" t="s">
        <v>65</v>
      </c>
      <c r="M168">
        <v>4</v>
      </c>
    </row>
    <row r="169" spans="1:13" ht="15.75" x14ac:dyDescent="0.25">
      <c r="A169" t="s">
        <v>1231</v>
      </c>
      <c r="B169" t="s">
        <v>30</v>
      </c>
      <c r="C169">
        <v>8</v>
      </c>
      <c r="D169">
        <v>1</v>
      </c>
      <c r="E169" s="9" t="s">
        <v>35</v>
      </c>
      <c r="F169" t="s">
        <v>89</v>
      </c>
      <c r="G169">
        <v>2</v>
      </c>
      <c r="H169" s="5">
        <v>1492</v>
      </c>
      <c r="I169" s="5">
        <v>1491</v>
      </c>
      <c r="J169">
        <v>0</v>
      </c>
      <c r="K169">
        <f>24-11</f>
        <v>13</v>
      </c>
      <c r="L169" t="s">
        <v>38</v>
      </c>
      <c r="M169">
        <v>4</v>
      </c>
    </row>
    <row r="170" spans="1:13" ht="15.75" x14ac:dyDescent="0.25">
      <c r="A170" t="s">
        <v>1231</v>
      </c>
      <c r="B170" t="s">
        <v>30</v>
      </c>
      <c r="C170">
        <v>8</v>
      </c>
      <c r="D170">
        <v>1</v>
      </c>
      <c r="E170" s="9" t="s">
        <v>35</v>
      </c>
      <c r="F170" t="s">
        <v>89</v>
      </c>
      <c r="G170">
        <v>2</v>
      </c>
      <c r="H170" s="5">
        <v>1494</v>
      </c>
      <c r="I170" s="5">
        <v>1493</v>
      </c>
      <c r="J170">
        <v>0</v>
      </c>
      <c r="K170">
        <f>26-10</f>
        <v>16</v>
      </c>
      <c r="L170" t="s">
        <v>38</v>
      </c>
      <c r="M170">
        <v>4</v>
      </c>
    </row>
    <row r="171" spans="1:13" ht="15.75" x14ac:dyDescent="0.25">
      <c r="A171" t="s">
        <v>1231</v>
      </c>
      <c r="B171" t="s">
        <v>30</v>
      </c>
      <c r="C171">
        <v>7</v>
      </c>
      <c r="D171">
        <v>1</v>
      </c>
      <c r="E171" s="9" t="s">
        <v>35</v>
      </c>
      <c r="F171" t="s">
        <v>36</v>
      </c>
      <c r="G171">
        <v>2</v>
      </c>
      <c r="H171" s="5">
        <v>1533</v>
      </c>
      <c r="I171" s="5">
        <v>1532</v>
      </c>
      <c r="J171">
        <v>0</v>
      </c>
      <c r="K171">
        <f>31.5-11.5</f>
        <v>20</v>
      </c>
      <c r="L171" t="s">
        <v>83</v>
      </c>
      <c r="M171">
        <v>4</v>
      </c>
    </row>
    <row r="172" spans="1:13" ht="15.75" x14ac:dyDescent="0.25">
      <c r="A172" t="s">
        <v>1231</v>
      </c>
      <c r="B172" t="s">
        <v>30</v>
      </c>
      <c r="C172">
        <v>7</v>
      </c>
      <c r="D172">
        <v>1</v>
      </c>
      <c r="E172" s="9" t="s">
        <v>35</v>
      </c>
      <c r="F172" t="s">
        <v>36</v>
      </c>
      <c r="G172">
        <v>1</v>
      </c>
      <c r="H172" s="5">
        <v>1535</v>
      </c>
      <c r="I172" s="5">
        <v>1534</v>
      </c>
      <c r="J172">
        <v>0</v>
      </c>
      <c r="K172">
        <f>30.5-11.5</f>
        <v>19</v>
      </c>
      <c r="L172" t="s">
        <v>47</v>
      </c>
      <c r="M172">
        <v>4</v>
      </c>
    </row>
    <row r="173" spans="1:13" ht="15.75" x14ac:dyDescent="0.25">
      <c r="A173" t="s">
        <v>1231</v>
      </c>
      <c r="B173" t="s">
        <v>30</v>
      </c>
      <c r="C173">
        <v>7</v>
      </c>
      <c r="D173">
        <v>1</v>
      </c>
      <c r="E173" s="9" t="s">
        <v>35</v>
      </c>
      <c r="F173" t="s">
        <v>114</v>
      </c>
      <c r="G173">
        <v>1</v>
      </c>
      <c r="H173" s="5">
        <v>1537</v>
      </c>
      <c r="I173" s="5">
        <v>1536</v>
      </c>
      <c r="J173">
        <v>0</v>
      </c>
      <c r="K173">
        <f>27-11</f>
        <v>16</v>
      </c>
      <c r="L173" t="s">
        <v>65</v>
      </c>
      <c r="M173">
        <v>4</v>
      </c>
    </row>
    <row r="174" spans="1:13" ht="15.75" x14ac:dyDescent="0.25">
      <c r="A174" t="s">
        <v>1231</v>
      </c>
      <c r="B174" t="s">
        <v>30</v>
      </c>
      <c r="C174">
        <v>7</v>
      </c>
      <c r="D174">
        <v>1</v>
      </c>
      <c r="E174" s="9" t="s">
        <v>35</v>
      </c>
      <c r="F174" t="s">
        <v>114</v>
      </c>
      <c r="G174">
        <v>2</v>
      </c>
      <c r="H174" s="5">
        <v>1539</v>
      </c>
      <c r="I174" s="5">
        <v>1538</v>
      </c>
      <c r="J174">
        <v>0</v>
      </c>
      <c r="K174">
        <f>26.5-10</f>
        <v>16.5</v>
      </c>
      <c r="L174" t="s">
        <v>38</v>
      </c>
      <c r="M174">
        <v>4</v>
      </c>
    </row>
    <row r="175" spans="1:13" ht="15.75" x14ac:dyDescent="0.25">
      <c r="A175" t="s">
        <v>1231</v>
      </c>
      <c r="B175" t="s">
        <v>30</v>
      </c>
      <c r="C175">
        <v>7</v>
      </c>
      <c r="D175">
        <v>1</v>
      </c>
      <c r="E175" s="9" t="s">
        <v>42</v>
      </c>
      <c r="F175" t="s">
        <v>114</v>
      </c>
      <c r="G175">
        <v>1</v>
      </c>
      <c r="H175" s="5">
        <v>1702</v>
      </c>
      <c r="I175" s="5">
        <v>1701</v>
      </c>
      <c r="J175">
        <v>0</v>
      </c>
      <c r="K175">
        <f>28-11</f>
        <v>17</v>
      </c>
      <c r="L175" t="s">
        <v>65</v>
      </c>
      <c r="M175">
        <v>4</v>
      </c>
    </row>
    <row r="176" spans="1:13" ht="15.75" x14ac:dyDescent="0.25">
      <c r="A176" t="s">
        <v>1231</v>
      </c>
      <c r="B176" t="s">
        <v>30</v>
      </c>
      <c r="C176">
        <v>7</v>
      </c>
      <c r="D176">
        <v>1</v>
      </c>
      <c r="E176" s="9" t="s">
        <v>42</v>
      </c>
      <c r="F176" t="s">
        <v>114</v>
      </c>
      <c r="G176">
        <v>1</v>
      </c>
      <c r="H176" s="5">
        <v>1704</v>
      </c>
      <c r="I176" s="5">
        <v>1703</v>
      </c>
      <c r="J176">
        <v>0</v>
      </c>
      <c r="K176">
        <f>25.5-11</f>
        <v>14.5</v>
      </c>
      <c r="L176" t="s">
        <v>65</v>
      </c>
      <c r="M176">
        <v>4</v>
      </c>
    </row>
    <row r="177" spans="1:13" ht="15.75" x14ac:dyDescent="0.25">
      <c r="A177" t="s">
        <v>1231</v>
      </c>
      <c r="B177" t="s">
        <v>30</v>
      </c>
      <c r="C177">
        <v>7</v>
      </c>
      <c r="D177">
        <v>1</v>
      </c>
      <c r="E177" s="9" t="s">
        <v>42</v>
      </c>
      <c r="F177" t="s">
        <v>114</v>
      </c>
      <c r="G177">
        <v>2</v>
      </c>
      <c r="H177" s="5">
        <v>1707</v>
      </c>
      <c r="I177" s="5">
        <v>1706</v>
      </c>
      <c r="J177">
        <v>0</v>
      </c>
      <c r="K177">
        <f>28.5-11</f>
        <v>17.5</v>
      </c>
      <c r="L177" t="s">
        <v>83</v>
      </c>
      <c r="M177">
        <v>4</v>
      </c>
    </row>
    <row r="178" spans="1:13" ht="15.75" x14ac:dyDescent="0.25">
      <c r="A178" t="s">
        <v>1231</v>
      </c>
      <c r="B178" t="s">
        <v>30</v>
      </c>
      <c r="C178">
        <v>7</v>
      </c>
      <c r="D178">
        <v>1</v>
      </c>
      <c r="E178" s="9" t="s">
        <v>42</v>
      </c>
      <c r="F178" t="s">
        <v>114</v>
      </c>
      <c r="G178">
        <v>1</v>
      </c>
      <c r="H178" s="5">
        <v>1709</v>
      </c>
      <c r="I178" s="5">
        <v>1708</v>
      </c>
      <c r="J178">
        <v>0</v>
      </c>
      <c r="K178">
        <f>26-10.5</f>
        <v>15.5</v>
      </c>
      <c r="L178" t="s">
        <v>65</v>
      </c>
      <c r="M178">
        <v>4</v>
      </c>
    </row>
    <row r="179" spans="1:13" ht="15.75" x14ac:dyDescent="0.25">
      <c r="A179" t="s">
        <v>1231</v>
      </c>
      <c r="B179" t="s">
        <v>30</v>
      </c>
      <c r="C179">
        <v>8</v>
      </c>
      <c r="D179">
        <v>1</v>
      </c>
      <c r="E179" s="9" t="s">
        <v>35</v>
      </c>
      <c r="F179" t="s">
        <v>114</v>
      </c>
      <c r="G179">
        <v>2</v>
      </c>
      <c r="H179" s="5">
        <v>1717</v>
      </c>
      <c r="I179" s="5">
        <v>1716</v>
      </c>
      <c r="J179">
        <v>0</v>
      </c>
      <c r="K179">
        <f>25.5-11</f>
        <v>14.5</v>
      </c>
      <c r="L179" t="s">
        <v>38</v>
      </c>
      <c r="M179">
        <v>4</v>
      </c>
    </row>
    <row r="180" spans="1:13" ht="15.75" x14ac:dyDescent="0.25">
      <c r="A180" t="s">
        <v>1231</v>
      </c>
      <c r="B180" t="s">
        <v>30</v>
      </c>
      <c r="C180">
        <v>8</v>
      </c>
      <c r="D180">
        <v>1</v>
      </c>
      <c r="E180" s="9" t="s">
        <v>35</v>
      </c>
      <c r="F180" t="s">
        <v>114</v>
      </c>
      <c r="G180">
        <v>1</v>
      </c>
      <c r="H180" s="5">
        <v>1719</v>
      </c>
      <c r="I180" s="5">
        <v>1718</v>
      </c>
      <c r="J180">
        <v>0</v>
      </c>
      <c r="K180">
        <f>26-10.5</f>
        <v>15.5</v>
      </c>
      <c r="L180" t="s">
        <v>65</v>
      </c>
      <c r="M180">
        <v>4</v>
      </c>
    </row>
    <row r="181" spans="1:13" ht="15.75" x14ac:dyDescent="0.25">
      <c r="A181" t="s">
        <v>1231</v>
      </c>
      <c r="B181" t="s">
        <v>30</v>
      </c>
      <c r="C181">
        <v>7</v>
      </c>
      <c r="D181">
        <v>1</v>
      </c>
      <c r="E181" s="9" t="s">
        <v>35</v>
      </c>
      <c r="F181" t="s">
        <v>89</v>
      </c>
      <c r="G181">
        <v>1</v>
      </c>
      <c r="H181" s="5">
        <v>1723</v>
      </c>
      <c r="I181" s="5">
        <v>1722</v>
      </c>
      <c r="J181">
        <v>0</v>
      </c>
      <c r="K181">
        <f>25-10.5</f>
        <v>14.5</v>
      </c>
      <c r="L181" t="s">
        <v>65</v>
      </c>
      <c r="M181">
        <v>4</v>
      </c>
    </row>
    <row r="182" spans="1:13" ht="15.75" x14ac:dyDescent="0.25">
      <c r="A182" t="s">
        <v>1231</v>
      </c>
      <c r="B182" t="s">
        <v>30</v>
      </c>
      <c r="C182">
        <v>7</v>
      </c>
      <c r="D182">
        <v>1</v>
      </c>
      <c r="E182" s="9" t="s">
        <v>35</v>
      </c>
      <c r="F182" t="s">
        <v>36</v>
      </c>
      <c r="G182">
        <v>2</v>
      </c>
      <c r="H182" s="5">
        <v>1725</v>
      </c>
      <c r="I182" s="5">
        <v>1724</v>
      </c>
      <c r="J182">
        <v>0</v>
      </c>
      <c r="K182">
        <f>33-11</f>
        <v>22</v>
      </c>
      <c r="L182" t="s">
        <v>38</v>
      </c>
      <c r="M182">
        <v>4</v>
      </c>
    </row>
    <row r="183" spans="1:13" ht="15.75" x14ac:dyDescent="0.25">
      <c r="A183" t="s">
        <v>1231</v>
      </c>
      <c r="B183" t="s">
        <v>30</v>
      </c>
      <c r="C183">
        <v>8</v>
      </c>
      <c r="D183">
        <v>1</v>
      </c>
      <c r="E183" s="9" t="s">
        <v>42</v>
      </c>
      <c r="F183" t="s">
        <v>36</v>
      </c>
      <c r="G183">
        <v>1</v>
      </c>
      <c r="H183" s="5">
        <v>1746</v>
      </c>
      <c r="I183" s="5">
        <v>1745</v>
      </c>
      <c r="J183">
        <v>0</v>
      </c>
      <c r="K183">
        <f>29-11</f>
        <v>18</v>
      </c>
      <c r="L183" t="s">
        <v>65</v>
      </c>
      <c r="M183">
        <v>4</v>
      </c>
    </row>
    <row r="184" spans="1:13" ht="15.75" x14ac:dyDescent="0.25">
      <c r="A184" t="s">
        <v>1231</v>
      </c>
      <c r="B184" t="s">
        <v>30</v>
      </c>
      <c r="C184">
        <v>8</v>
      </c>
      <c r="D184">
        <v>1</v>
      </c>
      <c r="E184" s="9" t="s">
        <v>42</v>
      </c>
      <c r="F184" t="s">
        <v>89</v>
      </c>
      <c r="G184">
        <v>2</v>
      </c>
      <c r="H184" s="5">
        <v>1748</v>
      </c>
      <c r="I184" s="5">
        <v>1747</v>
      </c>
      <c r="J184">
        <v>1</v>
      </c>
      <c r="K184">
        <f>25-11.5</f>
        <v>13.5</v>
      </c>
      <c r="L184" t="s">
        <v>38</v>
      </c>
      <c r="M184">
        <v>4</v>
      </c>
    </row>
    <row r="185" spans="1:13" ht="15.75" x14ac:dyDescent="0.25">
      <c r="A185" t="s">
        <v>1231</v>
      </c>
      <c r="B185" t="s">
        <v>30</v>
      </c>
      <c r="C185">
        <v>8</v>
      </c>
      <c r="D185">
        <v>1</v>
      </c>
      <c r="E185" s="9" t="s">
        <v>42</v>
      </c>
      <c r="F185" t="s">
        <v>114</v>
      </c>
      <c r="G185">
        <v>1</v>
      </c>
      <c r="H185" s="5">
        <v>1750</v>
      </c>
      <c r="I185" s="5">
        <v>1749</v>
      </c>
      <c r="J185">
        <v>0</v>
      </c>
      <c r="K185">
        <f>29-11.5</f>
        <v>17.5</v>
      </c>
      <c r="L185" t="s">
        <v>47</v>
      </c>
      <c r="M185">
        <v>4</v>
      </c>
    </row>
    <row r="186" spans="1:13" ht="15.75" x14ac:dyDescent="0.25">
      <c r="A186" t="s">
        <v>1231</v>
      </c>
      <c r="B186" t="s">
        <v>30</v>
      </c>
      <c r="C186">
        <v>3</v>
      </c>
      <c r="D186">
        <v>1</v>
      </c>
      <c r="E186" s="9" t="s">
        <v>35</v>
      </c>
      <c r="F186" t="s">
        <v>89</v>
      </c>
      <c r="G186">
        <v>2</v>
      </c>
      <c r="H186" s="5">
        <v>1881</v>
      </c>
      <c r="I186" s="5">
        <v>1880</v>
      </c>
      <c r="J186">
        <v>1</v>
      </c>
      <c r="K186">
        <f>27-14</f>
        <v>13</v>
      </c>
      <c r="L186" t="s">
        <v>38</v>
      </c>
      <c r="M186">
        <v>4</v>
      </c>
    </row>
    <row r="187" spans="1:13" ht="15.75" x14ac:dyDescent="0.25">
      <c r="A187" t="s">
        <v>1231</v>
      </c>
      <c r="B187" t="s">
        <v>30</v>
      </c>
      <c r="C187">
        <v>3</v>
      </c>
      <c r="D187">
        <v>1</v>
      </c>
      <c r="E187" s="9" t="s">
        <v>35</v>
      </c>
      <c r="F187" t="s">
        <v>114</v>
      </c>
      <c r="G187">
        <v>1</v>
      </c>
      <c r="H187" s="5">
        <v>1883</v>
      </c>
      <c r="I187" s="5">
        <v>1882</v>
      </c>
      <c r="J187">
        <v>0</v>
      </c>
      <c r="K187">
        <f>30-12.5</f>
        <v>17.5</v>
      </c>
      <c r="L187" t="s">
        <v>47</v>
      </c>
      <c r="M187">
        <v>4</v>
      </c>
    </row>
    <row r="188" spans="1:13" ht="15.75" x14ac:dyDescent="0.25">
      <c r="A188" t="s">
        <v>1231</v>
      </c>
      <c r="B188" t="s">
        <v>30</v>
      </c>
      <c r="C188">
        <v>3</v>
      </c>
      <c r="D188">
        <v>1</v>
      </c>
      <c r="E188" s="9" t="s">
        <v>35</v>
      </c>
      <c r="F188" t="s">
        <v>36</v>
      </c>
      <c r="G188">
        <v>2</v>
      </c>
      <c r="H188" s="5">
        <v>1885</v>
      </c>
      <c r="I188" s="5">
        <v>1884</v>
      </c>
      <c r="J188">
        <v>1</v>
      </c>
      <c r="K188">
        <f>35.5-14.5</f>
        <v>21</v>
      </c>
      <c r="L188" t="s">
        <v>1039</v>
      </c>
      <c r="M188">
        <v>4</v>
      </c>
    </row>
    <row r="189" spans="1:13" ht="15.75" x14ac:dyDescent="0.25">
      <c r="A189" t="s">
        <v>1231</v>
      </c>
      <c r="B189" t="s">
        <v>30</v>
      </c>
      <c r="C189">
        <v>5</v>
      </c>
      <c r="D189">
        <v>1</v>
      </c>
      <c r="E189" s="9" t="s">
        <v>35</v>
      </c>
      <c r="F189" t="s">
        <v>114</v>
      </c>
      <c r="G189">
        <v>2</v>
      </c>
      <c r="H189" s="5">
        <v>1891</v>
      </c>
      <c r="I189" s="5">
        <v>1890</v>
      </c>
      <c r="J189">
        <v>0</v>
      </c>
      <c r="K189">
        <f>30.5-14</f>
        <v>16.5</v>
      </c>
      <c r="L189" t="s">
        <v>38</v>
      </c>
      <c r="M189">
        <v>4</v>
      </c>
    </row>
    <row r="190" spans="1:13" ht="15.75" x14ac:dyDescent="0.25">
      <c r="A190" t="s">
        <v>1231</v>
      </c>
      <c r="B190" t="s">
        <v>30</v>
      </c>
      <c r="C190">
        <v>5</v>
      </c>
      <c r="D190">
        <v>1</v>
      </c>
      <c r="E190" s="9" t="s">
        <v>35</v>
      </c>
      <c r="F190" t="s">
        <v>36</v>
      </c>
      <c r="G190">
        <v>1</v>
      </c>
      <c r="H190" s="5">
        <v>1895</v>
      </c>
      <c r="I190" s="5">
        <v>1894</v>
      </c>
      <c r="J190">
        <v>1</v>
      </c>
      <c r="K190">
        <f>38.5-12</f>
        <v>26.5</v>
      </c>
      <c r="L190" t="s">
        <v>47</v>
      </c>
      <c r="M190">
        <v>4</v>
      </c>
    </row>
    <row r="191" spans="1:13" ht="15.75" x14ac:dyDescent="0.25">
      <c r="A191" t="s">
        <v>1231</v>
      </c>
      <c r="B191" t="s">
        <v>30</v>
      </c>
      <c r="C191">
        <v>5</v>
      </c>
      <c r="D191">
        <v>1</v>
      </c>
      <c r="E191" s="9" t="s">
        <v>42</v>
      </c>
      <c r="F191" t="s">
        <v>36</v>
      </c>
      <c r="G191">
        <v>2</v>
      </c>
      <c r="H191" s="5">
        <v>1909</v>
      </c>
      <c r="I191" s="5">
        <v>1908</v>
      </c>
      <c r="J191">
        <v>0</v>
      </c>
      <c r="K191">
        <f>37-14</f>
        <v>23</v>
      </c>
      <c r="L191" t="s">
        <v>1039</v>
      </c>
      <c r="M191">
        <v>4</v>
      </c>
    </row>
    <row r="192" spans="1:13" ht="15.75" x14ac:dyDescent="0.25">
      <c r="A192" t="s">
        <v>1231</v>
      </c>
      <c r="B192" t="s">
        <v>30</v>
      </c>
      <c r="C192">
        <v>4</v>
      </c>
      <c r="D192">
        <v>1</v>
      </c>
      <c r="E192" s="9" t="s">
        <v>100</v>
      </c>
      <c r="F192" t="s">
        <v>36</v>
      </c>
      <c r="G192">
        <v>1</v>
      </c>
      <c r="H192" s="5">
        <v>1994</v>
      </c>
      <c r="I192" s="5"/>
      <c r="J192">
        <v>0</v>
      </c>
      <c r="L192" t="s">
        <v>47</v>
      </c>
      <c r="M192">
        <v>4</v>
      </c>
    </row>
    <row r="193" spans="1:13" ht="15.75" x14ac:dyDescent="0.25">
      <c r="A193" t="s">
        <v>1231</v>
      </c>
      <c r="B193" t="s">
        <v>30</v>
      </c>
      <c r="C193">
        <v>4</v>
      </c>
      <c r="D193">
        <v>1</v>
      </c>
      <c r="E193" s="9" t="s">
        <v>42</v>
      </c>
      <c r="F193" t="s">
        <v>114</v>
      </c>
      <c r="G193">
        <v>1</v>
      </c>
      <c r="H193" s="5">
        <v>1996</v>
      </c>
      <c r="I193" s="5">
        <v>1995</v>
      </c>
      <c r="J193">
        <v>0</v>
      </c>
      <c r="K193">
        <f>30.5-14.5</f>
        <v>16</v>
      </c>
      <c r="L193" t="s">
        <v>47</v>
      </c>
      <c r="M193">
        <v>4</v>
      </c>
    </row>
    <row r="194" spans="1:13" ht="15.75" x14ac:dyDescent="0.25">
      <c r="A194" t="s">
        <v>1231</v>
      </c>
      <c r="B194" t="s">
        <v>30</v>
      </c>
      <c r="C194">
        <v>3</v>
      </c>
      <c r="D194">
        <v>1</v>
      </c>
      <c r="E194" s="9" t="s">
        <v>42</v>
      </c>
      <c r="F194" t="s">
        <v>36</v>
      </c>
      <c r="G194">
        <v>1</v>
      </c>
      <c r="H194" s="5">
        <v>1998</v>
      </c>
      <c r="I194" s="5">
        <v>1997</v>
      </c>
      <c r="J194">
        <v>0</v>
      </c>
      <c r="K194">
        <f>38-14.5</f>
        <v>23.5</v>
      </c>
      <c r="L194" t="s">
        <v>47</v>
      </c>
      <c r="M194">
        <v>4</v>
      </c>
    </row>
    <row r="195" spans="1:13" ht="15.75" x14ac:dyDescent="0.25">
      <c r="A195" t="s">
        <v>1231</v>
      </c>
      <c r="B195" t="s">
        <v>30</v>
      </c>
      <c r="C195">
        <v>3</v>
      </c>
      <c r="D195">
        <v>1</v>
      </c>
      <c r="E195" s="9" t="s">
        <v>42</v>
      </c>
      <c r="F195" t="s">
        <v>114</v>
      </c>
      <c r="G195">
        <v>1</v>
      </c>
      <c r="H195" s="5">
        <v>2000</v>
      </c>
      <c r="I195" s="5">
        <v>1999</v>
      </c>
      <c r="J195">
        <v>0</v>
      </c>
      <c r="K195">
        <f>27-14.5</f>
        <v>12.5</v>
      </c>
      <c r="L195" t="s">
        <v>47</v>
      </c>
      <c r="M195">
        <v>4</v>
      </c>
    </row>
    <row r="196" spans="1:13" ht="15.75" x14ac:dyDescent="0.25">
      <c r="A196" t="s">
        <v>1231</v>
      </c>
      <c r="B196" t="s">
        <v>30</v>
      </c>
      <c r="C196">
        <v>7</v>
      </c>
      <c r="D196">
        <v>2</v>
      </c>
      <c r="E196" s="9" t="s">
        <v>42</v>
      </c>
      <c r="F196" t="s">
        <v>36</v>
      </c>
      <c r="G196">
        <v>2</v>
      </c>
      <c r="H196" s="5">
        <v>1705</v>
      </c>
      <c r="I196" s="5"/>
      <c r="J196">
        <v>1</v>
      </c>
      <c r="K196">
        <f>33.5-11</f>
        <v>22.5</v>
      </c>
      <c r="L196" t="s">
        <v>81</v>
      </c>
      <c r="M196">
        <v>4</v>
      </c>
    </row>
    <row r="197" spans="1:13" ht="15.75" x14ac:dyDescent="0.25">
      <c r="A197" t="s">
        <v>1231</v>
      </c>
      <c r="B197" t="s">
        <v>30</v>
      </c>
      <c r="C197">
        <v>7</v>
      </c>
      <c r="D197">
        <v>3</v>
      </c>
      <c r="E197" s="9" t="s">
        <v>35</v>
      </c>
      <c r="F197" t="s">
        <v>36</v>
      </c>
      <c r="G197">
        <v>2</v>
      </c>
      <c r="H197" s="5">
        <v>1013</v>
      </c>
      <c r="I197" s="5"/>
      <c r="J197">
        <v>0</v>
      </c>
      <c r="K197">
        <f>32.5-11</f>
        <v>21.5</v>
      </c>
      <c r="L197" t="s">
        <v>1039</v>
      </c>
      <c r="M197">
        <v>4</v>
      </c>
    </row>
    <row r="198" spans="1:13" ht="15.75" x14ac:dyDescent="0.25">
      <c r="A198" t="s">
        <v>1231</v>
      </c>
      <c r="B198" t="s">
        <v>30</v>
      </c>
      <c r="C198">
        <v>5</v>
      </c>
      <c r="D198">
        <v>3</v>
      </c>
      <c r="E198" s="9" t="s">
        <v>42</v>
      </c>
      <c r="F198" t="s">
        <v>36</v>
      </c>
      <c r="G198">
        <v>2</v>
      </c>
      <c r="H198" s="5">
        <v>1980</v>
      </c>
      <c r="I198" s="5"/>
      <c r="J198">
        <v>0</v>
      </c>
      <c r="K198">
        <f>36.5-14</f>
        <v>22.5</v>
      </c>
      <c r="L198" t="s">
        <v>38</v>
      </c>
      <c r="M198">
        <v>4</v>
      </c>
    </row>
    <row r="199" spans="1:13" ht="15.75" x14ac:dyDescent="0.25">
      <c r="A199" t="s">
        <v>1260</v>
      </c>
      <c r="B199" t="s">
        <v>30</v>
      </c>
      <c r="C199">
        <v>3</v>
      </c>
      <c r="D199">
        <v>1</v>
      </c>
      <c r="E199" s="9" t="s">
        <v>35</v>
      </c>
      <c r="F199" t="s">
        <v>114</v>
      </c>
      <c r="G199">
        <v>1</v>
      </c>
      <c r="H199" s="5">
        <v>1609</v>
      </c>
      <c r="I199" s="5">
        <v>1608</v>
      </c>
      <c r="J199">
        <v>0</v>
      </c>
      <c r="K199">
        <f>30.5-15.5</f>
        <v>15</v>
      </c>
      <c r="L199" t="s">
        <v>65</v>
      </c>
      <c r="M199">
        <v>4</v>
      </c>
    </row>
    <row r="200" spans="1:13" ht="15.75" x14ac:dyDescent="0.25">
      <c r="A200" t="s">
        <v>1260</v>
      </c>
      <c r="B200" t="s">
        <v>30</v>
      </c>
      <c r="C200">
        <v>2</v>
      </c>
      <c r="D200">
        <v>1</v>
      </c>
      <c r="E200" s="9" t="s">
        <v>35</v>
      </c>
      <c r="F200" t="s">
        <v>114</v>
      </c>
      <c r="G200">
        <v>2</v>
      </c>
      <c r="H200" s="5">
        <v>1615</v>
      </c>
      <c r="I200" s="5">
        <v>1614</v>
      </c>
      <c r="J200">
        <v>0</v>
      </c>
      <c r="K200">
        <f>34-15</f>
        <v>19</v>
      </c>
      <c r="L200" t="s">
        <v>38</v>
      </c>
      <c r="M200">
        <v>4</v>
      </c>
    </row>
    <row r="201" spans="1:13" ht="15.75" x14ac:dyDescent="0.25">
      <c r="A201" t="s">
        <v>1260</v>
      </c>
      <c r="B201" t="s">
        <v>30</v>
      </c>
      <c r="C201">
        <v>2</v>
      </c>
      <c r="D201">
        <v>1</v>
      </c>
      <c r="E201" s="9" t="s">
        <v>35</v>
      </c>
      <c r="F201" t="s">
        <v>114</v>
      </c>
      <c r="G201">
        <v>2</v>
      </c>
      <c r="H201" s="5">
        <v>1617</v>
      </c>
      <c r="I201" s="5">
        <v>1616</v>
      </c>
      <c r="J201">
        <v>0</v>
      </c>
      <c r="K201">
        <f>32.5-17.5</f>
        <v>15</v>
      </c>
      <c r="L201" t="s">
        <v>38</v>
      </c>
      <c r="M201">
        <v>4</v>
      </c>
    </row>
    <row r="202" spans="1:13" ht="15.75" x14ac:dyDescent="0.25">
      <c r="A202" t="s">
        <v>1260</v>
      </c>
      <c r="B202" t="s">
        <v>30</v>
      </c>
      <c r="C202">
        <v>2</v>
      </c>
      <c r="D202">
        <v>1</v>
      </c>
      <c r="E202" s="9" t="s">
        <v>35</v>
      </c>
      <c r="F202" t="s">
        <v>36</v>
      </c>
      <c r="G202">
        <v>1</v>
      </c>
      <c r="H202" s="5">
        <v>1619</v>
      </c>
      <c r="I202" s="5">
        <v>1618</v>
      </c>
      <c r="J202">
        <v>0</v>
      </c>
      <c r="K202">
        <f>36.5-15</f>
        <v>21.5</v>
      </c>
      <c r="L202" t="s">
        <v>47</v>
      </c>
      <c r="M202">
        <v>4</v>
      </c>
    </row>
    <row r="203" spans="1:13" ht="15.75" x14ac:dyDescent="0.25">
      <c r="A203" t="s">
        <v>1260</v>
      </c>
      <c r="B203" t="s">
        <v>30</v>
      </c>
      <c r="C203">
        <v>3</v>
      </c>
      <c r="D203">
        <v>1</v>
      </c>
      <c r="E203" s="9" t="s">
        <v>35</v>
      </c>
      <c r="F203" t="s">
        <v>114</v>
      </c>
      <c r="G203">
        <v>1</v>
      </c>
      <c r="H203" s="5">
        <v>1629</v>
      </c>
      <c r="I203" s="5">
        <v>1628</v>
      </c>
      <c r="J203">
        <v>0</v>
      </c>
      <c r="K203">
        <f>32-15</f>
        <v>17</v>
      </c>
      <c r="L203" t="s">
        <v>65</v>
      </c>
      <c r="M203">
        <v>4</v>
      </c>
    </row>
    <row r="204" spans="1:13" ht="15.75" x14ac:dyDescent="0.25">
      <c r="A204" t="s">
        <v>1260</v>
      </c>
      <c r="B204" t="s">
        <v>30</v>
      </c>
      <c r="C204">
        <v>3</v>
      </c>
      <c r="D204">
        <v>1</v>
      </c>
      <c r="E204" s="9" t="s">
        <v>35</v>
      </c>
      <c r="F204" t="s">
        <v>114</v>
      </c>
      <c r="G204">
        <v>2</v>
      </c>
      <c r="H204" s="5">
        <v>1632</v>
      </c>
      <c r="I204" s="5">
        <v>1631</v>
      </c>
      <c r="J204">
        <v>0</v>
      </c>
      <c r="K204">
        <f>31-15</f>
        <v>16</v>
      </c>
      <c r="L204" t="s">
        <v>38</v>
      </c>
      <c r="M204">
        <v>4</v>
      </c>
    </row>
    <row r="205" spans="1:13" ht="15.75" x14ac:dyDescent="0.25">
      <c r="A205" t="s">
        <v>1260</v>
      </c>
      <c r="B205" t="s">
        <v>30</v>
      </c>
      <c r="C205">
        <v>3</v>
      </c>
      <c r="D205">
        <v>1</v>
      </c>
      <c r="E205" s="9" t="s">
        <v>35</v>
      </c>
      <c r="F205" t="s">
        <v>36</v>
      </c>
      <c r="G205">
        <v>1</v>
      </c>
      <c r="H205" s="5" t="s">
        <v>1268</v>
      </c>
      <c r="I205" s="5" t="s">
        <v>1269</v>
      </c>
      <c r="J205">
        <v>0</v>
      </c>
      <c r="K205">
        <f>38-15.5</f>
        <v>22.5</v>
      </c>
      <c r="L205" t="s">
        <v>47</v>
      </c>
      <c r="M205">
        <v>4</v>
      </c>
    </row>
    <row r="206" spans="1:13" ht="15.75" x14ac:dyDescent="0.25">
      <c r="A206" t="s">
        <v>1260</v>
      </c>
      <c r="B206" t="s">
        <v>30</v>
      </c>
      <c r="C206">
        <v>3</v>
      </c>
      <c r="D206">
        <v>1</v>
      </c>
      <c r="E206" s="9" t="s">
        <v>35</v>
      </c>
      <c r="F206" t="s">
        <v>114</v>
      </c>
      <c r="G206">
        <v>1</v>
      </c>
      <c r="H206" s="5">
        <v>1638</v>
      </c>
      <c r="I206" s="5">
        <v>1637</v>
      </c>
      <c r="J206">
        <v>0</v>
      </c>
      <c r="K206">
        <f>29.5-14.5</f>
        <v>15</v>
      </c>
      <c r="L206" t="s">
        <v>65</v>
      </c>
      <c r="M206">
        <v>4</v>
      </c>
    </row>
    <row r="207" spans="1:13" ht="15.75" x14ac:dyDescent="0.25">
      <c r="A207" t="s">
        <v>1260</v>
      </c>
      <c r="B207" t="s">
        <v>30</v>
      </c>
      <c r="C207">
        <v>2</v>
      </c>
      <c r="D207">
        <v>1</v>
      </c>
      <c r="E207" s="9" t="s">
        <v>35</v>
      </c>
      <c r="F207" t="s">
        <v>114</v>
      </c>
      <c r="G207">
        <v>1</v>
      </c>
      <c r="H207" s="5">
        <v>1641</v>
      </c>
      <c r="I207" s="5">
        <v>1640</v>
      </c>
      <c r="J207">
        <v>1</v>
      </c>
      <c r="K207">
        <f>32-17.5</f>
        <v>14.5</v>
      </c>
      <c r="L207" t="s">
        <v>65</v>
      </c>
      <c r="M207">
        <v>4</v>
      </c>
    </row>
    <row r="208" spans="1:13" ht="15.75" x14ac:dyDescent="0.25">
      <c r="A208" t="s">
        <v>1260</v>
      </c>
      <c r="B208" t="s">
        <v>30</v>
      </c>
      <c r="C208">
        <v>2</v>
      </c>
      <c r="D208">
        <v>1</v>
      </c>
      <c r="E208" s="9" t="s">
        <v>35</v>
      </c>
      <c r="F208" t="s">
        <v>114</v>
      </c>
      <c r="G208">
        <v>2</v>
      </c>
      <c r="H208" s="5">
        <v>1650</v>
      </c>
      <c r="I208" s="5">
        <v>1649</v>
      </c>
      <c r="J208">
        <v>0</v>
      </c>
      <c r="K208">
        <f>30-15.5</f>
        <v>14.5</v>
      </c>
      <c r="L208" t="s">
        <v>38</v>
      </c>
      <c r="M208">
        <v>4</v>
      </c>
    </row>
    <row r="209" spans="1:13" ht="15.75" x14ac:dyDescent="0.25">
      <c r="A209" t="s">
        <v>1260</v>
      </c>
      <c r="B209" t="s">
        <v>30</v>
      </c>
      <c r="C209">
        <v>4</v>
      </c>
      <c r="D209">
        <v>1</v>
      </c>
      <c r="E209" s="9" t="s">
        <v>35</v>
      </c>
      <c r="F209" t="s">
        <v>36</v>
      </c>
      <c r="G209">
        <v>2</v>
      </c>
      <c r="H209" s="5">
        <v>1680</v>
      </c>
      <c r="I209" s="5">
        <v>1679</v>
      </c>
      <c r="J209">
        <v>1</v>
      </c>
      <c r="K209">
        <f>35.5-12.5</f>
        <v>23</v>
      </c>
      <c r="L209" t="s">
        <v>1039</v>
      </c>
      <c r="M209">
        <v>4</v>
      </c>
    </row>
    <row r="210" spans="1:13" ht="15.75" x14ac:dyDescent="0.25">
      <c r="A210" t="s">
        <v>1260</v>
      </c>
      <c r="B210" t="s">
        <v>30</v>
      </c>
      <c r="C210">
        <v>1</v>
      </c>
      <c r="D210">
        <v>1</v>
      </c>
      <c r="E210" s="9" t="s">
        <v>35</v>
      </c>
      <c r="F210" t="s">
        <v>36</v>
      </c>
      <c r="G210">
        <v>2</v>
      </c>
      <c r="H210" s="5">
        <v>1684</v>
      </c>
      <c r="I210" s="5">
        <v>1683</v>
      </c>
      <c r="J210">
        <v>0</v>
      </c>
      <c r="K210">
        <f>29.5-10.5</f>
        <v>19</v>
      </c>
      <c r="L210" t="s">
        <v>38</v>
      </c>
      <c r="M210">
        <v>4</v>
      </c>
    </row>
    <row r="211" spans="1:13" ht="15.75" x14ac:dyDescent="0.25">
      <c r="A211" t="s">
        <v>1260</v>
      </c>
      <c r="B211" t="s">
        <v>30</v>
      </c>
      <c r="C211">
        <v>1</v>
      </c>
      <c r="D211">
        <v>1</v>
      </c>
      <c r="E211" s="9" t="s">
        <v>35</v>
      </c>
      <c r="F211" t="s">
        <v>114</v>
      </c>
      <c r="G211">
        <v>1</v>
      </c>
      <c r="H211" s="5">
        <v>1686</v>
      </c>
      <c r="I211" s="5">
        <v>1685</v>
      </c>
      <c r="J211">
        <v>0</v>
      </c>
      <c r="K211">
        <f>28.5-12.5</f>
        <v>16</v>
      </c>
      <c r="L211" t="s">
        <v>65</v>
      </c>
      <c r="M211">
        <v>4</v>
      </c>
    </row>
    <row r="212" spans="1:13" ht="15.75" x14ac:dyDescent="0.25">
      <c r="A212" t="s">
        <v>1260</v>
      </c>
      <c r="B212" t="s">
        <v>30</v>
      </c>
      <c r="C212">
        <v>1</v>
      </c>
      <c r="D212">
        <v>1</v>
      </c>
      <c r="E212" s="9" t="s">
        <v>35</v>
      </c>
      <c r="F212" t="s">
        <v>114</v>
      </c>
      <c r="G212">
        <v>1</v>
      </c>
      <c r="H212" s="5">
        <v>1688</v>
      </c>
      <c r="I212" s="5">
        <v>1687</v>
      </c>
      <c r="J212">
        <v>0</v>
      </c>
      <c r="K212">
        <f>26.5-10.5</f>
        <v>16</v>
      </c>
      <c r="L212" t="s">
        <v>65</v>
      </c>
      <c r="M212">
        <v>4</v>
      </c>
    </row>
    <row r="213" spans="1:13" ht="15.75" x14ac:dyDescent="0.25">
      <c r="A213" t="s">
        <v>1260</v>
      </c>
      <c r="B213" t="s">
        <v>30</v>
      </c>
      <c r="C213">
        <v>1</v>
      </c>
      <c r="D213">
        <v>1</v>
      </c>
      <c r="E213" s="9" t="s">
        <v>35</v>
      </c>
      <c r="F213" t="s">
        <v>114</v>
      </c>
      <c r="G213">
        <v>1</v>
      </c>
      <c r="H213" s="5">
        <v>1692</v>
      </c>
      <c r="I213" s="5">
        <v>1741</v>
      </c>
      <c r="J213">
        <v>0</v>
      </c>
      <c r="K213">
        <f>28.5-10.5</f>
        <v>18</v>
      </c>
      <c r="L213" t="s">
        <v>65</v>
      </c>
      <c r="M213">
        <v>4</v>
      </c>
    </row>
    <row r="214" spans="1:13" ht="15.75" x14ac:dyDescent="0.25">
      <c r="A214" t="s">
        <v>1260</v>
      </c>
      <c r="B214" t="s">
        <v>30</v>
      </c>
      <c r="C214">
        <v>1</v>
      </c>
      <c r="D214">
        <v>1</v>
      </c>
      <c r="E214" s="9" t="s">
        <v>35</v>
      </c>
      <c r="F214" t="s">
        <v>89</v>
      </c>
      <c r="G214">
        <v>2</v>
      </c>
      <c r="H214" s="5">
        <v>1696</v>
      </c>
      <c r="I214" s="5">
        <v>1695</v>
      </c>
      <c r="J214">
        <v>0</v>
      </c>
      <c r="K214">
        <f>23.5-10</f>
        <v>13.5</v>
      </c>
      <c r="L214" t="s">
        <v>38</v>
      </c>
      <c r="M214">
        <v>4</v>
      </c>
    </row>
    <row r="215" spans="1:13" ht="15.75" x14ac:dyDescent="0.25">
      <c r="A215" t="s">
        <v>1260</v>
      </c>
      <c r="B215" t="s">
        <v>30</v>
      </c>
      <c r="C215">
        <v>1</v>
      </c>
      <c r="D215">
        <v>1</v>
      </c>
      <c r="E215" s="9" t="s">
        <v>42</v>
      </c>
      <c r="F215" t="s">
        <v>36</v>
      </c>
      <c r="G215">
        <v>2</v>
      </c>
      <c r="H215" s="5">
        <v>1738</v>
      </c>
      <c r="I215" s="5">
        <v>1737</v>
      </c>
      <c r="J215">
        <v>0</v>
      </c>
      <c r="K215">
        <f>32-10.5</f>
        <v>21.5</v>
      </c>
      <c r="L215" t="s">
        <v>38</v>
      </c>
      <c r="M215">
        <v>4</v>
      </c>
    </row>
    <row r="216" spans="1:13" ht="15.75" x14ac:dyDescent="0.25">
      <c r="A216" t="s">
        <v>1260</v>
      </c>
      <c r="B216" t="s">
        <v>30</v>
      </c>
      <c r="C216">
        <v>1</v>
      </c>
      <c r="D216">
        <v>1</v>
      </c>
      <c r="E216" s="9" t="s">
        <v>42</v>
      </c>
      <c r="F216" t="s">
        <v>114</v>
      </c>
      <c r="G216">
        <v>2</v>
      </c>
      <c r="H216" s="5">
        <v>1743</v>
      </c>
      <c r="I216" s="5">
        <v>1742</v>
      </c>
      <c r="J216">
        <v>0</v>
      </c>
      <c r="K216">
        <f>28-10.5</f>
        <v>17.5</v>
      </c>
      <c r="L216" t="s">
        <v>38</v>
      </c>
      <c r="M216">
        <v>4</v>
      </c>
    </row>
    <row r="217" spans="1:13" ht="15.75" x14ac:dyDescent="0.25">
      <c r="A217" t="s">
        <v>1260</v>
      </c>
      <c r="B217" t="s">
        <v>30</v>
      </c>
      <c r="C217">
        <v>2</v>
      </c>
      <c r="D217">
        <v>1</v>
      </c>
      <c r="E217" s="9" t="s">
        <v>35</v>
      </c>
      <c r="F217" t="s">
        <v>36</v>
      </c>
      <c r="G217">
        <v>2</v>
      </c>
      <c r="H217" s="5">
        <v>1821</v>
      </c>
      <c r="I217" s="5">
        <v>1125</v>
      </c>
      <c r="J217">
        <v>0</v>
      </c>
      <c r="K217">
        <f>38-14.5</f>
        <v>23.5</v>
      </c>
      <c r="L217" t="s">
        <v>1039</v>
      </c>
      <c r="M217">
        <v>4</v>
      </c>
    </row>
    <row r="218" spans="1:13" ht="15.75" x14ac:dyDescent="0.25">
      <c r="A218" t="s">
        <v>1260</v>
      </c>
      <c r="B218" t="s">
        <v>30</v>
      </c>
      <c r="C218">
        <v>1</v>
      </c>
      <c r="D218">
        <v>1</v>
      </c>
      <c r="E218" s="9" t="s">
        <v>35</v>
      </c>
      <c r="F218" t="s">
        <v>114</v>
      </c>
      <c r="G218">
        <v>2</v>
      </c>
      <c r="H218" s="5">
        <v>1829</v>
      </c>
      <c r="I218" s="5">
        <v>1740</v>
      </c>
      <c r="J218">
        <v>0</v>
      </c>
      <c r="K218">
        <f>30-11.5</f>
        <v>18.5</v>
      </c>
      <c r="L218" t="s">
        <v>38</v>
      </c>
      <c r="M218">
        <v>4</v>
      </c>
    </row>
    <row r="219" spans="1:13" ht="15.75" x14ac:dyDescent="0.25">
      <c r="A219" t="s">
        <v>1260</v>
      </c>
      <c r="B219" t="s">
        <v>30</v>
      </c>
      <c r="C219">
        <v>1</v>
      </c>
      <c r="D219">
        <v>1</v>
      </c>
      <c r="E219" s="9" t="s">
        <v>35</v>
      </c>
      <c r="F219" t="s">
        <v>36</v>
      </c>
      <c r="G219">
        <v>1</v>
      </c>
      <c r="H219" s="5">
        <v>1833</v>
      </c>
      <c r="I219" s="5">
        <v>1832</v>
      </c>
      <c r="J219">
        <v>0</v>
      </c>
      <c r="K219">
        <f>31.5-12</f>
        <v>19.5</v>
      </c>
      <c r="L219" t="s">
        <v>65</v>
      </c>
      <c r="M219">
        <v>4</v>
      </c>
    </row>
    <row r="220" spans="1:13" ht="15.75" x14ac:dyDescent="0.25">
      <c r="A220" t="s">
        <v>1260</v>
      </c>
      <c r="B220" t="s">
        <v>30</v>
      </c>
      <c r="C220">
        <v>1</v>
      </c>
      <c r="D220">
        <v>1</v>
      </c>
      <c r="E220" s="9" t="s">
        <v>35</v>
      </c>
      <c r="F220" t="s">
        <v>114</v>
      </c>
      <c r="G220">
        <v>2</v>
      </c>
      <c r="H220" s="5">
        <v>1835</v>
      </c>
      <c r="I220" s="5">
        <v>1834</v>
      </c>
      <c r="J220">
        <v>0</v>
      </c>
      <c r="K220">
        <f>28-11</f>
        <v>17</v>
      </c>
      <c r="L220" t="s">
        <v>38</v>
      </c>
      <c r="M220">
        <v>4</v>
      </c>
    </row>
    <row r="221" spans="1:13" ht="15.75" x14ac:dyDescent="0.25">
      <c r="A221" t="s">
        <v>1260</v>
      </c>
      <c r="B221" t="s">
        <v>30</v>
      </c>
      <c r="C221">
        <v>1</v>
      </c>
      <c r="D221">
        <v>1</v>
      </c>
      <c r="E221" s="9" t="s">
        <v>35</v>
      </c>
      <c r="F221" t="s">
        <v>36</v>
      </c>
      <c r="G221">
        <v>2</v>
      </c>
      <c r="H221" s="5">
        <v>1837</v>
      </c>
      <c r="I221" s="5">
        <v>1836</v>
      </c>
      <c r="J221">
        <v>0</v>
      </c>
      <c r="K221">
        <f>31.5-10.5</f>
        <v>21</v>
      </c>
      <c r="L221" t="s">
        <v>38</v>
      </c>
      <c r="M221">
        <v>4</v>
      </c>
    </row>
    <row r="222" spans="1:13" ht="15.75" x14ac:dyDescent="0.25">
      <c r="A222" t="s">
        <v>1260</v>
      </c>
      <c r="B222" t="s">
        <v>30</v>
      </c>
      <c r="C222">
        <v>1</v>
      </c>
      <c r="D222">
        <v>1</v>
      </c>
      <c r="E222" s="9" t="s">
        <v>35</v>
      </c>
      <c r="F222" t="s">
        <v>36</v>
      </c>
      <c r="G222">
        <v>1</v>
      </c>
      <c r="H222" s="5">
        <v>1844</v>
      </c>
      <c r="I222" s="5">
        <v>1843</v>
      </c>
      <c r="J222">
        <v>0</v>
      </c>
      <c r="K222">
        <f>30.5-10.5</f>
        <v>20</v>
      </c>
      <c r="L222" t="s">
        <v>65</v>
      </c>
      <c r="M222">
        <v>4</v>
      </c>
    </row>
    <row r="223" spans="1:13" ht="15.75" x14ac:dyDescent="0.25">
      <c r="A223" t="s">
        <v>1260</v>
      </c>
      <c r="B223" t="s">
        <v>30</v>
      </c>
      <c r="C223">
        <v>1</v>
      </c>
      <c r="D223">
        <v>1</v>
      </c>
      <c r="E223" s="9" t="s">
        <v>35</v>
      </c>
      <c r="F223" t="s">
        <v>89</v>
      </c>
      <c r="G223">
        <v>2</v>
      </c>
      <c r="H223" s="5">
        <v>1857</v>
      </c>
      <c r="I223" s="5">
        <v>1736</v>
      </c>
      <c r="J223">
        <v>0</v>
      </c>
      <c r="K223">
        <f>25.5-11</f>
        <v>14.5</v>
      </c>
      <c r="L223" t="s">
        <v>38</v>
      </c>
      <c r="M223">
        <v>4</v>
      </c>
    </row>
    <row r="224" spans="1:13" ht="15.75" x14ac:dyDescent="0.25">
      <c r="A224" t="s">
        <v>1260</v>
      </c>
      <c r="B224" t="s">
        <v>30</v>
      </c>
      <c r="C224">
        <v>1</v>
      </c>
      <c r="D224">
        <v>1</v>
      </c>
      <c r="E224" s="9" t="s">
        <v>35</v>
      </c>
      <c r="F224" t="s">
        <v>89</v>
      </c>
      <c r="G224">
        <v>2</v>
      </c>
      <c r="H224" s="5">
        <v>1862</v>
      </c>
      <c r="I224" s="5">
        <v>1861</v>
      </c>
      <c r="J224">
        <v>0</v>
      </c>
      <c r="K224">
        <f>25.5-11</f>
        <v>14.5</v>
      </c>
      <c r="L224" t="s">
        <v>38</v>
      </c>
      <c r="M224">
        <v>4</v>
      </c>
    </row>
    <row r="225" spans="1:13" ht="15.75" x14ac:dyDescent="0.25">
      <c r="A225" t="s">
        <v>1260</v>
      </c>
      <c r="B225" t="s">
        <v>30</v>
      </c>
      <c r="C225">
        <v>2</v>
      </c>
      <c r="D225">
        <v>1</v>
      </c>
      <c r="E225" s="9" t="s">
        <v>42</v>
      </c>
      <c r="F225" t="s">
        <v>114</v>
      </c>
      <c r="G225">
        <v>2</v>
      </c>
      <c r="H225" s="5">
        <v>1948</v>
      </c>
      <c r="I225" s="5">
        <v>1947</v>
      </c>
      <c r="J225">
        <v>0</v>
      </c>
      <c r="K225">
        <f>27.5-14</f>
        <v>13.5</v>
      </c>
      <c r="L225" t="s">
        <v>38</v>
      </c>
      <c r="M225">
        <v>4</v>
      </c>
    </row>
    <row r="226" spans="1:13" ht="15.75" x14ac:dyDescent="0.25">
      <c r="A226" t="s">
        <v>1260</v>
      </c>
      <c r="B226" t="s">
        <v>30</v>
      </c>
      <c r="C226">
        <v>2</v>
      </c>
      <c r="D226">
        <v>1</v>
      </c>
      <c r="E226" s="9" t="s">
        <v>42</v>
      </c>
      <c r="F226" t="s">
        <v>114</v>
      </c>
      <c r="G226">
        <v>2</v>
      </c>
      <c r="H226" s="5">
        <v>1950</v>
      </c>
      <c r="I226" s="5">
        <v>1949</v>
      </c>
      <c r="J226">
        <v>0</v>
      </c>
      <c r="K226">
        <f>29-14.5</f>
        <v>14.5</v>
      </c>
      <c r="L226" t="s">
        <v>38</v>
      </c>
      <c r="M226">
        <v>4</v>
      </c>
    </row>
    <row r="227" spans="1:13" ht="15.75" x14ac:dyDescent="0.25">
      <c r="A227" t="s">
        <v>1260</v>
      </c>
      <c r="B227" t="s">
        <v>30</v>
      </c>
      <c r="C227">
        <v>3</v>
      </c>
      <c r="D227">
        <v>1</v>
      </c>
      <c r="E227" s="9" t="s">
        <v>35</v>
      </c>
      <c r="F227" t="s">
        <v>114</v>
      </c>
      <c r="G227">
        <v>1</v>
      </c>
      <c r="H227" s="5">
        <v>1983</v>
      </c>
      <c r="I227" s="5">
        <v>1635</v>
      </c>
      <c r="J227">
        <v>0</v>
      </c>
      <c r="K227">
        <f>32.5-15</f>
        <v>17.5</v>
      </c>
      <c r="L227" t="s">
        <v>65</v>
      </c>
      <c r="M227">
        <v>4</v>
      </c>
    </row>
    <row r="228" spans="1:13" ht="15.75" x14ac:dyDescent="0.25">
      <c r="A228" t="s">
        <v>1260</v>
      </c>
      <c r="B228" t="s">
        <v>30</v>
      </c>
      <c r="C228">
        <v>2</v>
      </c>
      <c r="D228">
        <v>1</v>
      </c>
      <c r="E228" s="9" t="s">
        <v>42</v>
      </c>
      <c r="F228" t="s">
        <v>36</v>
      </c>
      <c r="G228">
        <v>1</v>
      </c>
      <c r="H228" s="5">
        <v>1986</v>
      </c>
      <c r="I228" s="5">
        <v>1985</v>
      </c>
      <c r="J228">
        <v>0</v>
      </c>
      <c r="K228">
        <f>33.5-14.5</f>
        <v>19</v>
      </c>
      <c r="L228" t="s">
        <v>65</v>
      </c>
      <c r="M228">
        <v>4</v>
      </c>
    </row>
    <row r="229" spans="1:13" ht="15.75" x14ac:dyDescent="0.25">
      <c r="A229" t="s">
        <v>1260</v>
      </c>
      <c r="B229" t="s">
        <v>30</v>
      </c>
      <c r="C229">
        <v>2</v>
      </c>
      <c r="D229">
        <v>1</v>
      </c>
      <c r="E229" s="9" t="s">
        <v>42</v>
      </c>
      <c r="F229" t="s">
        <v>114</v>
      </c>
      <c r="G229">
        <v>2</v>
      </c>
      <c r="H229" s="5">
        <v>1988</v>
      </c>
      <c r="I229" s="5">
        <v>1987</v>
      </c>
      <c r="J229">
        <v>0</v>
      </c>
      <c r="K229">
        <f>30.5-15.5</f>
        <v>15</v>
      </c>
      <c r="L229" t="s">
        <v>38</v>
      </c>
      <c r="M229">
        <v>4</v>
      </c>
    </row>
    <row r="230" spans="1:13" ht="15.75" x14ac:dyDescent="0.25">
      <c r="A230" t="s">
        <v>1260</v>
      </c>
      <c r="B230" t="s">
        <v>30</v>
      </c>
      <c r="C230">
        <v>2</v>
      </c>
      <c r="D230">
        <v>1</v>
      </c>
      <c r="E230" s="9" t="s">
        <v>42</v>
      </c>
      <c r="F230" t="s">
        <v>114</v>
      </c>
      <c r="G230">
        <v>2</v>
      </c>
      <c r="H230" s="5">
        <v>1990</v>
      </c>
      <c r="I230" s="5">
        <v>1989</v>
      </c>
      <c r="J230">
        <v>0</v>
      </c>
      <c r="K230">
        <f>30-14.5</f>
        <v>15.5</v>
      </c>
      <c r="L230" t="s">
        <v>38</v>
      </c>
      <c r="M230">
        <v>4</v>
      </c>
    </row>
    <row r="231" spans="1:13" ht="15.75" x14ac:dyDescent="0.25">
      <c r="A231" t="s">
        <v>1260</v>
      </c>
      <c r="B231" t="s">
        <v>30</v>
      </c>
      <c r="C231">
        <v>2</v>
      </c>
      <c r="D231">
        <v>1</v>
      </c>
      <c r="E231" s="9" t="s">
        <v>42</v>
      </c>
      <c r="F231" t="s">
        <v>36</v>
      </c>
      <c r="G231">
        <v>2</v>
      </c>
      <c r="H231" s="5">
        <v>1992</v>
      </c>
      <c r="I231" s="5">
        <v>1991</v>
      </c>
      <c r="J231">
        <v>0</v>
      </c>
      <c r="K231">
        <f>34.5-14</f>
        <v>20.5</v>
      </c>
      <c r="L231" t="s">
        <v>1040</v>
      </c>
      <c r="M231">
        <v>4</v>
      </c>
    </row>
    <row r="232" spans="1:13" ht="15.75" x14ac:dyDescent="0.25">
      <c r="A232" t="s">
        <v>1143</v>
      </c>
      <c r="B232" t="s">
        <v>30</v>
      </c>
      <c r="C232">
        <v>3</v>
      </c>
      <c r="D232">
        <v>1</v>
      </c>
      <c r="E232" s="9" t="s">
        <v>42</v>
      </c>
      <c r="F232" t="s">
        <v>89</v>
      </c>
      <c r="G232">
        <v>2</v>
      </c>
      <c r="H232" s="5" t="s">
        <v>1144</v>
      </c>
      <c r="I232" s="5" t="s">
        <v>1145</v>
      </c>
      <c r="J232">
        <v>0</v>
      </c>
      <c r="K232">
        <f>27-14</f>
        <v>13</v>
      </c>
      <c r="L232" t="s">
        <v>38</v>
      </c>
      <c r="M232">
        <v>4</v>
      </c>
    </row>
    <row r="233" spans="1:13" ht="15.75" x14ac:dyDescent="0.25">
      <c r="A233" t="s">
        <v>1143</v>
      </c>
      <c r="B233" t="s">
        <v>30</v>
      </c>
      <c r="C233">
        <v>3</v>
      </c>
      <c r="D233">
        <v>1</v>
      </c>
      <c r="E233" s="9" t="s">
        <v>35</v>
      </c>
      <c r="F233" t="s">
        <v>114</v>
      </c>
      <c r="G233">
        <v>1</v>
      </c>
      <c r="H233" s="5">
        <v>1609</v>
      </c>
      <c r="I233" s="5">
        <v>1608</v>
      </c>
      <c r="J233">
        <v>0</v>
      </c>
      <c r="K233">
        <f>30.5-15.5</f>
        <v>15</v>
      </c>
      <c r="L233" t="s">
        <v>65</v>
      </c>
      <c r="M233">
        <v>4</v>
      </c>
    </row>
    <row r="234" spans="1:13" ht="15.75" x14ac:dyDescent="0.25">
      <c r="A234" t="s">
        <v>1143</v>
      </c>
      <c r="B234" t="s">
        <v>30</v>
      </c>
      <c r="C234">
        <v>2</v>
      </c>
      <c r="D234">
        <v>1</v>
      </c>
      <c r="E234" s="9" t="s">
        <v>35</v>
      </c>
      <c r="F234" t="s">
        <v>114</v>
      </c>
      <c r="G234">
        <v>2</v>
      </c>
      <c r="H234" s="5">
        <v>1613</v>
      </c>
      <c r="I234" s="5">
        <v>1612</v>
      </c>
      <c r="J234">
        <v>0</v>
      </c>
      <c r="K234">
        <f>31-16</f>
        <v>15</v>
      </c>
      <c r="L234" t="s">
        <v>38</v>
      </c>
      <c r="M234">
        <v>4</v>
      </c>
    </row>
    <row r="235" spans="1:13" ht="15.75" x14ac:dyDescent="0.25">
      <c r="A235" t="s">
        <v>1143</v>
      </c>
      <c r="B235" t="s">
        <v>30</v>
      </c>
      <c r="C235">
        <v>2</v>
      </c>
      <c r="D235">
        <v>1</v>
      </c>
      <c r="E235" s="9" t="s">
        <v>35</v>
      </c>
      <c r="F235" t="s">
        <v>114</v>
      </c>
      <c r="G235">
        <v>2</v>
      </c>
      <c r="H235" s="5">
        <v>1615</v>
      </c>
      <c r="I235" s="5">
        <v>1614</v>
      </c>
      <c r="J235">
        <v>0</v>
      </c>
      <c r="K235">
        <f>36-15.5</f>
        <v>20.5</v>
      </c>
      <c r="L235" t="s">
        <v>38</v>
      </c>
      <c r="M235">
        <v>4</v>
      </c>
    </row>
    <row r="236" spans="1:13" ht="15.75" x14ac:dyDescent="0.25">
      <c r="A236" t="s">
        <v>1143</v>
      </c>
      <c r="B236" t="s">
        <v>30</v>
      </c>
      <c r="C236">
        <v>3</v>
      </c>
      <c r="D236">
        <v>1</v>
      </c>
      <c r="E236" s="9" t="s">
        <v>35</v>
      </c>
      <c r="F236" t="s">
        <v>89</v>
      </c>
      <c r="G236">
        <v>2</v>
      </c>
      <c r="H236" s="5">
        <v>1627</v>
      </c>
      <c r="I236" s="5">
        <v>1626</v>
      </c>
      <c r="J236">
        <v>0</v>
      </c>
      <c r="K236">
        <f>29-14.5</f>
        <v>14.5</v>
      </c>
      <c r="L236" t="s">
        <v>38</v>
      </c>
      <c r="M236">
        <v>4</v>
      </c>
    </row>
    <row r="237" spans="1:13" ht="15.75" x14ac:dyDescent="0.25">
      <c r="A237" t="s">
        <v>1143</v>
      </c>
      <c r="B237" t="s">
        <v>30</v>
      </c>
      <c r="C237">
        <v>3</v>
      </c>
      <c r="D237">
        <v>1</v>
      </c>
      <c r="E237" s="9" t="s">
        <v>35</v>
      </c>
      <c r="F237" t="s">
        <v>114</v>
      </c>
      <c r="G237">
        <v>1</v>
      </c>
      <c r="H237" s="5" t="s">
        <v>1266</v>
      </c>
      <c r="I237" s="5" t="s">
        <v>1267</v>
      </c>
      <c r="J237">
        <v>0</v>
      </c>
      <c r="K237">
        <f>32-15</f>
        <v>17</v>
      </c>
      <c r="L237" t="s">
        <v>65</v>
      </c>
      <c r="M237">
        <v>4</v>
      </c>
    </row>
    <row r="238" spans="1:13" ht="15.75" x14ac:dyDescent="0.25">
      <c r="A238" t="s">
        <v>1143</v>
      </c>
      <c r="B238" t="s">
        <v>30</v>
      </c>
      <c r="C238">
        <v>3</v>
      </c>
      <c r="D238">
        <v>1</v>
      </c>
      <c r="E238" s="9" t="s">
        <v>35</v>
      </c>
      <c r="F238" t="s">
        <v>114</v>
      </c>
      <c r="G238">
        <v>2</v>
      </c>
      <c r="H238" s="5">
        <v>1632</v>
      </c>
      <c r="I238" s="5">
        <v>1631</v>
      </c>
      <c r="J238">
        <v>0</v>
      </c>
      <c r="K238">
        <f>30.5-15</f>
        <v>15.5</v>
      </c>
      <c r="L238" t="s">
        <v>38</v>
      </c>
      <c r="M238">
        <v>4</v>
      </c>
    </row>
    <row r="239" spans="1:13" ht="15.75" x14ac:dyDescent="0.25">
      <c r="A239" t="s">
        <v>1143</v>
      </c>
      <c r="B239" t="s">
        <v>30</v>
      </c>
      <c r="C239">
        <v>2</v>
      </c>
      <c r="D239">
        <v>1</v>
      </c>
      <c r="E239" s="9" t="s">
        <v>35</v>
      </c>
      <c r="F239" t="s">
        <v>114</v>
      </c>
      <c r="G239">
        <v>1</v>
      </c>
      <c r="H239" s="5">
        <v>1643</v>
      </c>
      <c r="I239" s="5">
        <v>1642</v>
      </c>
      <c r="J239">
        <v>0</v>
      </c>
      <c r="K239">
        <f>33-15.5</f>
        <v>17.5</v>
      </c>
      <c r="L239" t="s">
        <v>65</v>
      </c>
      <c r="M239">
        <v>4</v>
      </c>
    </row>
    <row r="240" spans="1:13" ht="15.75" x14ac:dyDescent="0.25">
      <c r="A240" t="s">
        <v>1143</v>
      </c>
      <c r="B240" t="s">
        <v>30</v>
      </c>
      <c r="C240">
        <v>2</v>
      </c>
      <c r="D240">
        <v>1</v>
      </c>
      <c r="E240" s="9" t="s">
        <v>35</v>
      </c>
      <c r="F240" t="s">
        <v>89</v>
      </c>
      <c r="G240">
        <v>1</v>
      </c>
      <c r="H240" s="5">
        <v>1645</v>
      </c>
      <c r="I240" s="5">
        <v>1644</v>
      </c>
      <c r="J240">
        <v>0</v>
      </c>
      <c r="K240">
        <f>32-15.5</f>
        <v>16.5</v>
      </c>
      <c r="L240" t="s">
        <v>65</v>
      </c>
      <c r="M240">
        <v>4</v>
      </c>
    </row>
    <row r="241" spans="1:13" ht="15.75" x14ac:dyDescent="0.25">
      <c r="A241" t="s">
        <v>1143</v>
      </c>
      <c r="B241" t="s">
        <v>30</v>
      </c>
      <c r="C241">
        <v>2</v>
      </c>
      <c r="D241">
        <v>1</v>
      </c>
      <c r="E241" s="9" t="s">
        <v>35</v>
      </c>
      <c r="F241" t="s">
        <v>114</v>
      </c>
      <c r="G241">
        <v>2</v>
      </c>
      <c r="H241" s="5">
        <v>1650</v>
      </c>
      <c r="I241" s="5">
        <v>1649</v>
      </c>
      <c r="J241">
        <v>0</v>
      </c>
      <c r="K241">
        <f>31.5-15.5</f>
        <v>16</v>
      </c>
      <c r="L241" t="s">
        <v>38</v>
      </c>
      <c r="M241">
        <v>4</v>
      </c>
    </row>
    <row r="242" spans="1:13" ht="15.75" x14ac:dyDescent="0.25">
      <c r="A242" t="s">
        <v>1143</v>
      </c>
      <c r="B242" t="s">
        <v>30</v>
      </c>
      <c r="C242">
        <v>4</v>
      </c>
      <c r="D242">
        <v>1</v>
      </c>
      <c r="E242" s="9" t="s">
        <v>35</v>
      </c>
      <c r="F242" t="s">
        <v>36</v>
      </c>
      <c r="G242">
        <v>2</v>
      </c>
      <c r="H242" s="5">
        <v>1680</v>
      </c>
      <c r="I242" s="5">
        <v>1679</v>
      </c>
      <c r="J242">
        <v>1</v>
      </c>
      <c r="K242">
        <f>34-12</f>
        <v>22</v>
      </c>
      <c r="L242" t="s">
        <v>1040</v>
      </c>
      <c r="M242">
        <v>4</v>
      </c>
    </row>
    <row r="243" spans="1:13" ht="15.75" x14ac:dyDescent="0.25">
      <c r="A243" t="s">
        <v>1143</v>
      </c>
      <c r="B243" t="s">
        <v>30</v>
      </c>
      <c r="C243">
        <v>1</v>
      </c>
      <c r="D243">
        <v>1</v>
      </c>
      <c r="E243" s="9" t="s">
        <v>35</v>
      </c>
      <c r="F243" t="s">
        <v>36</v>
      </c>
      <c r="G243">
        <v>2</v>
      </c>
      <c r="H243" s="5">
        <v>1682</v>
      </c>
      <c r="I243" s="5">
        <v>1681</v>
      </c>
      <c r="J243">
        <v>0</v>
      </c>
      <c r="K243">
        <f>30-13</f>
        <v>17</v>
      </c>
      <c r="L243" t="s">
        <v>38</v>
      </c>
      <c r="M243">
        <v>4</v>
      </c>
    </row>
    <row r="244" spans="1:13" ht="15.75" x14ac:dyDescent="0.25">
      <c r="A244" t="s">
        <v>1143</v>
      </c>
      <c r="B244" t="s">
        <v>30</v>
      </c>
      <c r="C244">
        <v>1</v>
      </c>
      <c r="D244">
        <v>1</v>
      </c>
      <c r="E244" s="9" t="s">
        <v>35</v>
      </c>
      <c r="F244" t="s">
        <v>36</v>
      </c>
      <c r="G244">
        <v>2</v>
      </c>
      <c r="H244" s="5">
        <v>1684</v>
      </c>
      <c r="I244" s="5">
        <v>1683</v>
      </c>
      <c r="J244">
        <v>0</v>
      </c>
      <c r="K244">
        <f>28-10.5</f>
        <v>17.5</v>
      </c>
      <c r="L244" t="s">
        <v>83</v>
      </c>
      <c r="M244">
        <v>4</v>
      </c>
    </row>
    <row r="245" spans="1:13" ht="15.75" x14ac:dyDescent="0.25">
      <c r="A245" t="s">
        <v>1143</v>
      </c>
      <c r="B245" t="s">
        <v>30</v>
      </c>
      <c r="C245">
        <v>1</v>
      </c>
      <c r="D245">
        <v>1</v>
      </c>
      <c r="E245" s="9" t="s">
        <v>35</v>
      </c>
      <c r="F245" t="s">
        <v>114</v>
      </c>
      <c r="G245">
        <v>1</v>
      </c>
      <c r="H245" s="5">
        <v>1686</v>
      </c>
      <c r="I245" s="5">
        <v>1685</v>
      </c>
      <c r="J245">
        <v>0</v>
      </c>
      <c r="K245">
        <f>26-11</f>
        <v>15</v>
      </c>
      <c r="L245" t="s">
        <v>65</v>
      </c>
      <c r="M245">
        <v>4</v>
      </c>
    </row>
    <row r="246" spans="1:13" ht="15.75" x14ac:dyDescent="0.25">
      <c r="A246" t="s">
        <v>1143</v>
      </c>
      <c r="B246" t="s">
        <v>30</v>
      </c>
      <c r="C246">
        <v>1</v>
      </c>
      <c r="D246">
        <v>1</v>
      </c>
      <c r="E246" s="9" t="s">
        <v>35</v>
      </c>
      <c r="F246" t="s">
        <v>114</v>
      </c>
      <c r="G246">
        <v>1</v>
      </c>
      <c r="H246" s="5">
        <v>1692</v>
      </c>
      <c r="I246" s="5">
        <v>1741</v>
      </c>
      <c r="J246">
        <v>0</v>
      </c>
      <c r="K246">
        <f>28.5-12</f>
        <v>16.5</v>
      </c>
      <c r="L246" t="s">
        <v>65</v>
      </c>
      <c r="M246">
        <v>4</v>
      </c>
    </row>
    <row r="247" spans="1:13" ht="15.75" x14ac:dyDescent="0.25">
      <c r="A247" t="s">
        <v>1143</v>
      </c>
      <c r="B247" t="s">
        <v>30</v>
      </c>
      <c r="C247">
        <v>1</v>
      </c>
      <c r="D247">
        <v>1</v>
      </c>
      <c r="E247" s="9" t="s">
        <v>35</v>
      </c>
      <c r="F247" t="s">
        <v>89</v>
      </c>
      <c r="G247">
        <v>2</v>
      </c>
      <c r="H247" s="5">
        <v>1696</v>
      </c>
      <c r="I247" s="5">
        <v>1695</v>
      </c>
      <c r="J247">
        <v>0</v>
      </c>
      <c r="K247">
        <f>23-10.5</f>
        <v>12.5</v>
      </c>
      <c r="L247" t="s">
        <v>38</v>
      </c>
      <c r="M247">
        <v>4</v>
      </c>
    </row>
    <row r="248" spans="1:13" ht="15.75" x14ac:dyDescent="0.25">
      <c r="A248" t="s">
        <v>1143</v>
      </c>
      <c r="B248" t="s">
        <v>30</v>
      </c>
      <c r="C248">
        <v>4</v>
      </c>
      <c r="D248">
        <v>1</v>
      </c>
      <c r="E248" s="9" t="s">
        <v>42</v>
      </c>
      <c r="F248" t="s">
        <v>114</v>
      </c>
      <c r="G248">
        <v>2</v>
      </c>
      <c r="H248" s="5">
        <v>1728</v>
      </c>
      <c r="I248" s="5">
        <v>1727</v>
      </c>
      <c r="J248">
        <v>0</v>
      </c>
      <c r="K248">
        <f>26.5-13</f>
        <v>13.5</v>
      </c>
      <c r="L248" t="s">
        <v>38</v>
      </c>
      <c r="M248">
        <v>4</v>
      </c>
    </row>
    <row r="249" spans="1:13" ht="15.75" x14ac:dyDescent="0.25">
      <c r="A249" t="s">
        <v>1143</v>
      </c>
      <c r="B249" t="s">
        <v>30</v>
      </c>
      <c r="C249">
        <v>4</v>
      </c>
      <c r="D249">
        <v>1</v>
      </c>
      <c r="E249" s="9" t="s">
        <v>42</v>
      </c>
      <c r="F249" t="s">
        <v>89</v>
      </c>
      <c r="G249">
        <v>2</v>
      </c>
      <c r="H249" s="5">
        <v>1732</v>
      </c>
      <c r="I249" s="5">
        <v>1731</v>
      </c>
      <c r="J249">
        <v>0</v>
      </c>
      <c r="K249">
        <f>22-11.5</f>
        <v>10.5</v>
      </c>
      <c r="L249" t="s">
        <v>38</v>
      </c>
      <c r="M249">
        <v>4</v>
      </c>
    </row>
    <row r="250" spans="1:13" ht="15.75" x14ac:dyDescent="0.25">
      <c r="A250" t="s">
        <v>1143</v>
      </c>
      <c r="B250" t="s">
        <v>30</v>
      </c>
      <c r="C250">
        <v>1</v>
      </c>
      <c r="D250">
        <v>1</v>
      </c>
      <c r="E250" s="9" t="s">
        <v>35</v>
      </c>
      <c r="F250" t="s">
        <v>36</v>
      </c>
      <c r="G250">
        <v>2</v>
      </c>
      <c r="H250" s="5">
        <v>1738</v>
      </c>
      <c r="I250" s="5">
        <v>1737</v>
      </c>
      <c r="J250">
        <v>0</v>
      </c>
      <c r="K250">
        <f>31-11</f>
        <v>20</v>
      </c>
      <c r="L250" t="s">
        <v>38</v>
      </c>
      <c r="M250">
        <v>4</v>
      </c>
    </row>
    <row r="251" spans="1:13" ht="15.75" x14ac:dyDescent="0.25">
      <c r="A251" t="s">
        <v>1143</v>
      </c>
      <c r="B251" t="s">
        <v>30</v>
      </c>
      <c r="C251">
        <v>3</v>
      </c>
      <c r="D251">
        <v>1</v>
      </c>
      <c r="E251" s="9" t="s">
        <v>35</v>
      </c>
      <c r="F251" t="s">
        <v>114</v>
      </c>
      <c r="G251">
        <v>1</v>
      </c>
      <c r="H251" s="5">
        <v>1803</v>
      </c>
      <c r="I251" s="5">
        <v>1802</v>
      </c>
      <c r="J251">
        <v>0</v>
      </c>
      <c r="K251">
        <f>30.5-14.5</f>
        <v>16</v>
      </c>
      <c r="L251" t="s">
        <v>65</v>
      </c>
      <c r="M251">
        <v>4</v>
      </c>
    </row>
    <row r="252" spans="1:13" ht="15.75" x14ac:dyDescent="0.25">
      <c r="A252" t="s">
        <v>1143</v>
      </c>
      <c r="B252" t="s">
        <v>30</v>
      </c>
      <c r="C252">
        <v>2</v>
      </c>
      <c r="D252">
        <v>1</v>
      </c>
      <c r="E252" s="9" t="s">
        <v>35</v>
      </c>
      <c r="F252" t="s">
        <v>36</v>
      </c>
      <c r="G252">
        <v>2</v>
      </c>
      <c r="H252" s="5">
        <v>1819</v>
      </c>
      <c r="I252" s="5">
        <v>1818</v>
      </c>
      <c r="J252">
        <v>0</v>
      </c>
      <c r="K252">
        <f>38-14.5</f>
        <v>23.5</v>
      </c>
      <c r="L252" t="s">
        <v>1041</v>
      </c>
      <c r="M252">
        <v>4</v>
      </c>
    </row>
    <row r="253" spans="1:13" ht="15.75" x14ac:dyDescent="0.25">
      <c r="A253" t="s">
        <v>1143</v>
      </c>
      <c r="B253" t="s">
        <v>30</v>
      </c>
      <c r="C253">
        <v>2</v>
      </c>
      <c r="D253">
        <v>1</v>
      </c>
      <c r="E253" s="9" t="s">
        <v>35</v>
      </c>
      <c r="F253" t="s">
        <v>36</v>
      </c>
      <c r="G253">
        <v>2</v>
      </c>
      <c r="H253" s="5">
        <v>1821</v>
      </c>
      <c r="I253" s="5" t="s">
        <v>1314</v>
      </c>
      <c r="J253">
        <v>0</v>
      </c>
      <c r="K253">
        <f>38.5-14.5</f>
        <v>24</v>
      </c>
      <c r="L253" t="s">
        <v>1039</v>
      </c>
      <c r="M253">
        <v>4</v>
      </c>
    </row>
    <row r="254" spans="1:13" ht="15.75" x14ac:dyDescent="0.25">
      <c r="A254" t="s">
        <v>1143</v>
      </c>
      <c r="B254" t="s">
        <v>30</v>
      </c>
      <c r="C254">
        <v>1</v>
      </c>
      <c r="D254">
        <v>1</v>
      </c>
      <c r="E254" s="9" t="s">
        <v>35</v>
      </c>
      <c r="F254" t="s">
        <v>114</v>
      </c>
      <c r="G254">
        <v>1</v>
      </c>
      <c r="H254" s="5">
        <v>1827</v>
      </c>
      <c r="I254" s="5">
        <v>1826</v>
      </c>
      <c r="J254">
        <v>0</v>
      </c>
      <c r="K254">
        <f>29.5-12.5</f>
        <v>17</v>
      </c>
      <c r="L254" t="s">
        <v>65</v>
      </c>
      <c r="M254">
        <v>4</v>
      </c>
    </row>
    <row r="255" spans="1:13" ht="15.75" x14ac:dyDescent="0.25">
      <c r="A255" t="s">
        <v>1143</v>
      </c>
      <c r="B255" t="s">
        <v>30</v>
      </c>
      <c r="C255">
        <v>1</v>
      </c>
      <c r="D255">
        <v>1</v>
      </c>
      <c r="E255" s="9" t="s">
        <v>35</v>
      </c>
      <c r="F255" t="s">
        <v>114</v>
      </c>
      <c r="G255">
        <v>2</v>
      </c>
      <c r="H255" s="5">
        <v>1829</v>
      </c>
      <c r="I255" s="5">
        <v>1740</v>
      </c>
      <c r="J255">
        <v>0</v>
      </c>
      <c r="K255">
        <f>28-12</f>
        <v>16</v>
      </c>
      <c r="L255" t="s">
        <v>38</v>
      </c>
      <c r="M255">
        <v>4</v>
      </c>
    </row>
    <row r="256" spans="1:13" ht="15.75" x14ac:dyDescent="0.25">
      <c r="A256" t="s">
        <v>1143</v>
      </c>
      <c r="B256" t="s">
        <v>30</v>
      </c>
      <c r="C256">
        <v>1</v>
      </c>
      <c r="D256">
        <v>1</v>
      </c>
      <c r="E256" s="9" t="s">
        <v>35</v>
      </c>
      <c r="F256" t="s">
        <v>36</v>
      </c>
      <c r="G256">
        <v>1</v>
      </c>
      <c r="H256" s="5">
        <v>1833</v>
      </c>
      <c r="I256" s="5">
        <v>1832</v>
      </c>
      <c r="J256">
        <v>0</v>
      </c>
      <c r="K256">
        <f>31-11.5</f>
        <v>19.5</v>
      </c>
      <c r="L256" t="s">
        <v>65</v>
      </c>
      <c r="M256">
        <v>4</v>
      </c>
    </row>
    <row r="257" spans="1:13" ht="15.75" x14ac:dyDescent="0.25">
      <c r="A257" t="s">
        <v>1143</v>
      </c>
      <c r="B257" t="s">
        <v>30</v>
      </c>
      <c r="C257">
        <v>1</v>
      </c>
      <c r="D257">
        <v>1</v>
      </c>
      <c r="E257" s="9" t="s">
        <v>35</v>
      </c>
      <c r="F257" t="s">
        <v>114</v>
      </c>
      <c r="G257">
        <v>2</v>
      </c>
      <c r="H257" s="5">
        <v>1835</v>
      </c>
      <c r="I257" s="5">
        <v>1733</v>
      </c>
      <c r="J257">
        <v>0</v>
      </c>
      <c r="K257">
        <f>28.5-12.5</f>
        <v>16</v>
      </c>
      <c r="L257" t="s">
        <v>38</v>
      </c>
      <c r="M257">
        <v>4</v>
      </c>
    </row>
    <row r="258" spans="1:13" ht="15.75" x14ac:dyDescent="0.25">
      <c r="A258" t="s">
        <v>1143</v>
      </c>
      <c r="B258" t="s">
        <v>30</v>
      </c>
      <c r="C258">
        <v>1</v>
      </c>
      <c r="D258">
        <v>1</v>
      </c>
      <c r="E258" s="9" t="s">
        <v>35</v>
      </c>
      <c r="F258" t="s">
        <v>114</v>
      </c>
      <c r="G258">
        <v>2</v>
      </c>
      <c r="H258" s="5">
        <v>1839</v>
      </c>
      <c r="I258" s="5">
        <v>1838</v>
      </c>
      <c r="J258">
        <v>0</v>
      </c>
      <c r="K258">
        <f>27.5-10</f>
        <v>17.5</v>
      </c>
      <c r="L258" t="s">
        <v>38</v>
      </c>
      <c r="M258">
        <v>4</v>
      </c>
    </row>
    <row r="259" spans="1:13" ht="15.75" x14ac:dyDescent="0.25">
      <c r="A259" t="s">
        <v>1143</v>
      </c>
      <c r="B259" t="s">
        <v>30</v>
      </c>
      <c r="C259">
        <v>1</v>
      </c>
      <c r="D259">
        <v>1</v>
      </c>
      <c r="E259" s="9" t="s">
        <v>35</v>
      </c>
      <c r="F259" t="s">
        <v>36</v>
      </c>
      <c r="G259">
        <v>1</v>
      </c>
      <c r="H259" s="5">
        <v>1844</v>
      </c>
      <c r="I259" s="5">
        <v>1843</v>
      </c>
      <c r="J259">
        <v>0</v>
      </c>
      <c r="K259">
        <f>29.5-11</f>
        <v>18.5</v>
      </c>
      <c r="L259" t="s">
        <v>65</v>
      </c>
      <c r="M259">
        <v>4</v>
      </c>
    </row>
    <row r="260" spans="1:13" ht="15.75" x14ac:dyDescent="0.25">
      <c r="A260" t="s">
        <v>1143</v>
      </c>
      <c r="B260" t="s">
        <v>30</v>
      </c>
      <c r="C260">
        <v>1</v>
      </c>
      <c r="D260">
        <v>1</v>
      </c>
      <c r="E260" s="9" t="s">
        <v>35</v>
      </c>
      <c r="F260" t="s">
        <v>114</v>
      </c>
      <c r="G260">
        <v>1</v>
      </c>
      <c r="H260" s="5">
        <v>1855</v>
      </c>
      <c r="I260" s="5">
        <v>1854</v>
      </c>
      <c r="J260">
        <v>0</v>
      </c>
      <c r="K260">
        <f>28-11</f>
        <v>17</v>
      </c>
      <c r="L260" t="s">
        <v>65</v>
      </c>
      <c r="M260">
        <v>4</v>
      </c>
    </row>
    <row r="261" spans="1:13" ht="15.75" x14ac:dyDescent="0.25">
      <c r="A261" t="s">
        <v>1143</v>
      </c>
      <c r="B261" t="s">
        <v>30</v>
      </c>
      <c r="C261">
        <v>1</v>
      </c>
      <c r="D261">
        <v>1</v>
      </c>
      <c r="E261" s="9" t="s">
        <v>35</v>
      </c>
      <c r="F261" t="s">
        <v>89</v>
      </c>
      <c r="G261">
        <v>2</v>
      </c>
      <c r="H261" s="5">
        <v>1857</v>
      </c>
      <c r="I261" s="5">
        <v>1736</v>
      </c>
      <c r="J261">
        <v>0</v>
      </c>
      <c r="K261">
        <f>27-11.5</f>
        <v>15.5</v>
      </c>
      <c r="L261" t="s">
        <v>38</v>
      </c>
      <c r="M261">
        <v>4</v>
      </c>
    </row>
    <row r="262" spans="1:13" ht="15.75" x14ac:dyDescent="0.25">
      <c r="A262" t="s">
        <v>1143</v>
      </c>
      <c r="B262" t="s">
        <v>30</v>
      </c>
      <c r="C262">
        <v>1</v>
      </c>
      <c r="D262">
        <v>1</v>
      </c>
      <c r="E262" s="9" t="s">
        <v>35</v>
      </c>
      <c r="F262" t="s">
        <v>114</v>
      </c>
      <c r="G262">
        <v>1</v>
      </c>
      <c r="H262" s="5">
        <v>1859</v>
      </c>
      <c r="I262" s="5">
        <v>1858</v>
      </c>
      <c r="J262">
        <v>0</v>
      </c>
      <c r="K262">
        <f>29.5-13.5</f>
        <v>16</v>
      </c>
      <c r="L262" t="s">
        <v>65</v>
      </c>
      <c r="M262">
        <v>4</v>
      </c>
    </row>
    <row r="263" spans="1:13" ht="15.75" x14ac:dyDescent="0.25">
      <c r="A263" t="s">
        <v>1143</v>
      </c>
      <c r="B263" t="s">
        <v>30</v>
      </c>
      <c r="C263">
        <v>1</v>
      </c>
      <c r="D263">
        <v>1</v>
      </c>
      <c r="E263" s="9" t="s">
        <v>35</v>
      </c>
      <c r="F263" t="s">
        <v>36</v>
      </c>
      <c r="G263">
        <v>2</v>
      </c>
      <c r="H263" s="5">
        <v>1866</v>
      </c>
      <c r="I263" s="5">
        <v>1865</v>
      </c>
      <c r="J263">
        <v>0</v>
      </c>
      <c r="K263">
        <f>28.5-11.5</f>
        <v>17</v>
      </c>
      <c r="L263" t="s">
        <v>83</v>
      </c>
      <c r="M263">
        <v>4</v>
      </c>
    </row>
    <row r="264" spans="1:13" ht="15.75" x14ac:dyDescent="0.25">
      <c r="A264" t="s">
        <v>1143</v>
      </c>
      <c r="B264" t="s">
        <v>30</v>
      </c>
      <c r="C264">
        <v>1</v>
      </c>
      <c r="D264">
        <v>1</v>
      </c>
      <c r="E264" s="9" t="s">
        <v>35</v>
      </c>
      <c r="F264" t="s">
        <v>114</v>
      </c>
      <c r="G264">
        <v>2</v>
      </c>
      <c r="H264" s="5">
        <v>1870</v>
      </c>
      <c r="I264" s="5">
        <v>1869</v>
      </c>
      <c r="J264">
        <v>0</v>
      </c>
      <c r="K264">
        <f>27.5-14</f>
        <v>13.5</v>
      </c>
      <c r="L264" t="s">
        <v>38</v>
      </c>
      <c r="M264">
        <v>4</v>
      </c>
    </row>
    <row r="265" spans="1:13" ht="15.75" x14ac:dyDescent="0.25">
      <c r="A265" t="s">
        <v>1143</v>
      </c>
      <c r="B265" t="s">
        <v>30</v>
      </c>
      <c r="C265">
        <v>1</v>
      </c>
      <c r="D265">
        <v>1</v>
      </c>
      <c r="E265" s="9" t="s">
        <v>35</v>
      </c>
      <c r="F265" t="s">
        <v>36</v>
      </c>
      <c r="G265">
        <v>2</v>
      </c>
      <c r="H265" s="5">
        <v>1875</v>
      </c>
      <c r="I265" s="5">
        <v>1874</v>
      </c>
      <c r="J265">
        <v>0</v>
      </c>
      <c r="K265">
        <f>30-12.5</f>
        <v>17.5</v>
      </c>
      <c r="L265" t="s">
        <v>83</v>
      </c>
      <c r="M265">
        <v>4</v>
      </c>
    </row>
    <row r="266" spans="1:13" ht="15.75" x14ac:dyDescent="0.25">
      <c r="A266" t="s">
        <v>1143</v>
      </c>
      <c r="B266" t="s">
        <v>30</v>
      </c>
      <c r="C266">
        <v>2</v>
      </c>
      <c r="D266">
        <v>1</v>
      </c>
      <c r="E266" s="9" t="s">
        <v>42</v>
      </c>
      <c r="F266" t="s">
        <v>114</v>
      </c>
      <c r="G266">
        <v>1</v>
      </c>
      <c r="H266" s="5">
        <v>1929</v>
      </c>
      <c r="I266" s="5">
        <v>1928</v>
      </c>
      <c r="J266">
        <v>0</v>
      </c>
      <c r="K266">
        <f>33.5-14.5</f>
        <v>19</v>
      </c>
      <c r="L266" t="s">
        <v>65</v>
      </c>
      <c r="M266">
        <v>4</v>
      </c>
    </row>
    <row r="267" spans="1:13" ht="15.75" x14ac:dyDescent="0.25">
      <c r="A267" t="s">
        <v>1143</v>
      </c>
      <c r="B267" t="s">
        <v>30</v>
      </c>
      <c r="C267">
        <v>3</v>
      </c>
      <c r="D267">
        <v>1</v>
      </c>
      <c r="E267" s="9" t="s">
        <v>42</v>
      </c>
      <c r="F267" t="s">
        <v>114</v>
      </c>
      <c r="G267">
        <v>1</v>
      </c>
      <c r="H267" s="5">
        <v>1933</v>
      </c>
      <c r="I267" s="5">
        <v>1932</v>
      </c>
      <c r="J267">
        <v>0</v>
      </c>
      <c r="K267">
        <f>30.5-15</f>
        <v>15.5</v>
      </c>
      <c r="L267" t="s">
        <v>65</v>
      </c>
      <c r="M267">
        <v>4</v>
      </c>
    </row>
    <row r="268" spans="1:13" ht="15.75" x14ac:dyDescent="0.25">
      <c r="A268" t="s">
        <v>1143</v>
      </c>
      <c r="B268" t="s">
        <v>30</v>
      </c>
      <c r="C268">
        <v>2</v>
      </c>
      <c r="D268">
        <v>1</v>
      </c>
      <c r="E268" s="9" t="s">
        <v>42</v>
      </c>
      <c r="F268" t="s">
        <v>114</v>
      </c>
      <c r="G268">
        <v>2</v>
      </c>
      <c r="H268" s="5">
        <v>1937</v>
      </c>
      <c r="I268" s="5">
        <v>1936</v>
      </c>
      <c r="J268">
        <v>0</v>
      </c>
      <c r="K268">
        <f>36-17</f>
        <v>19</v>
      </c>
      <c r="L268" t="s">
        <v>38</v>
      </c>
      <c r="M268">
        <v>4</v>
      </c>
    </row>
    <row r="269" spans="1:13" ht="15.75" x14ac:dyDescent="0.25">
      <c r="A269" t="s">
        <v>1143</v>
      </c>
      <c r="B269" t="s">
        <v>30</v>
      </c>
      <c r="C269">
        <v>2</v>
      </c>
      <c r="D269">
        <v>1</v>
      </c>
      <c r="E269" s="9" t="s">
        <v>42</v>
      </c>
      <c r="F269" t="s">
        <v>114</v>
      </c>
      <c r="G269">
        <v>2</v>
      </c>
      <c r="H269" s="5">
        <v>1939</v>
      </c>
      <c r="I269" s="5">
        <v>1938</v>
      </c>
      <c r="J269">
        <v>0</v>
      </c>
      <c r="K269">
        <f>32.5-16.5</f>
        <v>16</v>
      </c>
      <c r="L269" t="s">
        <v>38</v>
      </c>
      <c r="M269">
        <v>4</v>
      </c>
    </row>
    <row r="270" spans="1:13" ht="15.75" x14ac:dyDescent="0.25">
      <c r="A270" t="s">
        <v>1143</v>
      </c>
      <c r="B270" t="s">
        <v>30</v>
      </c>
      <c r="C270">
        <v>2</v>
      </c>
      <c r="D270">
        <v>1</v>
      </c>
      <c r="E270" s="9" t="s">
        <v>42</v>
      </c>
      <c r="F270" t="s">
        <v>114</v>
      </c>
      <c r="G270">
        <v>1</v>
      </c>
      <c r="H270" s="5">
        <v>1941</v>
      </c>
      <c r="I270" s="5">
        <v>1940</v>
      </c>
      <c r="J270">
        <v>0</v>
      </c>
      <c r="K270">
        <f>30-14.5</f>
        <v>15.5</v>
      </c>
      <c r="L270" t="s">
        <v>65</v>
      </c>
      <c r="M270">
        <v>4</v>
      </c>
    </row>
    <row r="271" spans="1:13" ht="15.75" x14ac:dyDescent="0.25">
      <c r="A271" t="s">
        <v>1143</v>
      </c>
      <c r="B271" t="s">
        <v>30</v>
      </c>
      <c r="C271">
        <v>2</v>
      </c>
      <c r="D271">
        <v>1</v>
      </c>
      <c r="E271" s="9" t="s">
        <v>42</v>
      </c>
      <c r="F271" t="s">
        <v>89</v>
      </c>
      <c r="G271">
        <v>2</v>
      </c>
      <c r="H271" s="5">
        <v>1943</v>
      </c>
      <c r="I271" s="5">
        <v>1942</v>
      </c>
      <c r="J271">
        <v>0</v>
      </c>
      <c r="K271">
        <f>29.5-15</f>
        <v>14.5</v>
      </c>
      <c r="L271" t="s">
        <v>38</v>
      </c>
      <c r="M271">
        <v>4</v>
      </c>
    </row>
    <row r="272" spans="1:13" ht="15.75" x14ac:dyDescent="0.25">
      <c r="A272" t="s">
        <v>1143</v>
      </c>
      <c r="B272" t="s">
        <v>30</v>
      </c>
      <c r="C272">
        <v>2</v>
      </c>
      <c r="D272">
        <v>1</v>
      </c>
      <c r="E272" s="9" t="s">
        <v>35</v>
      </c>
      <c r="F272" t="s">
        <v>36</v>
      </c>
      <c r="G272">
        <v>2</v>
      </c>
      <c r="H272" s="5">
        <v>1992</v>
      </c>
      <c r="I272" s="5">
        <v>1991</v>
      </c>
      <c r="J272">
        <v>0</v>
      </c>
      <c r="K272">
        <f>36.5-16</f>
        <v>20.5</v>
      </c>
      <c r="L272" t="s">
        <v>38</v>
      </c>
      <c r="M272">
        <v>4</v>
      </c>
    </row>
    <row r="273" spans="1:13" ht="15.75" x14ac:dyDescent="0.25">
      <c r="A273" t="s">
        <v>1143</v>
      </c>
      <c r="B273" t="s">
        <v>30</v>
      </c>
      <c r="C273">
        <v>4</v>
      </c>
      <c r="D273">
        <v>3</v>
      </c>
      <c r="E273" s="9" t="s">
        <v>42</v>
      </c>
      <c r="F273" t="s">
        <v>36</v>
      </c>
      <c r="G273">
        <v>2</v>
      </c>
      <c r="H273" s="5"/>
      <c r="I273" s="5">
        <v>1730</v>
      </c>
      <c r="J273">
        <v>0</v>
      </c>
      <c r="K273">
        <f>41-11</f>
        <v>30</v>
      </c>
      <c r="L273" t="s">
        <v>1040</v>
      </c>
      <c r="M273">
        <v>4</v>
      </c>
    </row>
    <row r="274" spans="1:13" ht="15.75" x14ac:dyDescent="0.25">
      <c r="A274" t="s">
        <v>1140</v>
      </c>
      <c r="B274" t="s">
        <v>30</v>
      </c>
      <c r="C274">
        <v>2</v>
      </c>
      <c r="D274">
        <v>1</v>
      </c>
      <c r="E274" s="9" t="s">
        <v>42</v>
      </c>
      <c r="F274" t="s">
        <v>89</v>
      </c>
      <c r="G274">
        <v>2</v>
      </c>
      <c r="H274" s="5" t="s">
        <v>1141</v>
      </c>
      <c r="I274" s="5" t="s">
        <v>1142</v>
      </c>
      <c r="J274">
        <v>0</v>
      </c>
      <c r="K274">
        <f>30.5-18</f>
        <v>12.5</v>
      </c>
      <c r="L274" t="s">
        <v>38</v>
      </c>
      <c r="M274">
        <v>4</v>
      </c>
    </row>
    <row r="275" spans="1:13" ht="15.75" x14ac:dyDescent="0.25">
      <c r="A275" t="s">
        <v>1140</v>
      </c>
      <c r="B275" t="s">
        <v>30</v>
      </c>
      <c r="C275">
        <v>2</v>
      </c>
      <c r="D275">
        <v>1</v>
      </c>
      <c r="E275" s="9" t="s">
        <v>35</v>
      </c>
      <c r="F275" t="s">
        <v>36</v>
      </c>
      <c r="G275">
        <v>1</v>
      </c>
      <c r="H275" s="5" t="s">
        <v>1263</v>
      </c>
      <c r="I275" s="5" t="s">
        <v>1264</v>
      </c>
      <c r="J275">
        <v>0</v>
      </c>
      <c r="K275">
        <f>36.5-14</f>
        <v>22.5</v>
      </c>
      <c r="L275" t="s">
        <v>47</v>
      </c>
      <c r="M275">
        <v>4</v>
      </c>
    </row>
    <row r="276" spans="1:13" ht="15.75" x14ac:dyDescent="0.25">
      <c r="A276" t="s">
        <v>1140</v>
      </c>
      <c r="B276" t="s">
        <v>30</v>
      </c>
      <c r="C276">
        <v>3</v>
      </c>
      <c r="D276">
        <v>1</v>
      </c>
      <c r="E276" s="9" t="s">
        <v>35</v>
      </c>
      <c r="F276" t="s">
        <v>114</v>
      </c>
      <c r="G276">
        <v>1</v>
      </c>
      <c r="H276" s="5" t="s">
        <v>1266</v>
      </c>
      <c r="I276" s="5" t="s">
        <v>1267</v>
      </c>
      <c r="J276">
        <v>0</v>
      </c>
      <c r="K276">
        <f>32.5-15.5</f>
        <v>17</v>
      </c>
      <c r="L276" t="s">
        <v>65</v>
      </c>
      <c r="M276">
        <v>4</v>
      </c>
    </row>
    <row r="277" spans="1:13" ht="15.75" x14ac:dyDescent="0.25">
      <c r="A277" t="s">
        <v>1140</v>
      </c>
      <c r="B277" t="s">
        <v>30</v>
      </c>
      <c r="C277">
        <v>2</v>
      </c>
      <c r="D277">
        <v>1</v>
      </c>
      <c r="E277" s="9" t="s">
        <v>35</v>
      </c>
      <c r="F277" t="s">
        <v>114</v>
      </c>
      <c r="G277">
        <v>2</v>
      </c>
      <c r="H277" s="5" t="s">
        <v>1272</v>
      </c>
      <c r="I277" s="5" t="s">
        <v>1273</v>
      </c>
      <c r="J277">
        <v>0</v>
      </c>
      <c r="K277">
        <f>32-17</f>
        <v>15</v>
      </c>
      <c r="L277" t="s">
        <v>38</v>
      </c>
      <c r="M277">
        <v>4</v>
      </c>
    </row>
    <row r="278" spans="1:13" ht="15.75" x14ac:dyDescent="0.25">
      <c r="A278" t="s">
        <v>1140</v>
      </c>
      <c r="B278" t="s">
        <v>30</v>
      </c>
      <c r="C278">
        <v>4</v>
      </c>
      <c r="D278">
        <v>1</v>
      </c>
      <c r="E278" s="9" t="s">
        <v>35</v>
      </c>
      <c r="F278" t="s">
        <v>36</v>
      </c>
      <c r="G278">
        <v>2</v>
      </c>
      <c r="H278" s="5" t="s">
        <v>1277</v>
      </c>
      <c r="I278" s="5" t="s">
        <v>1278</v>
      </c>
      <c r="J278">
        <v>1</v>
      </c>
      <c r="K278">
        <f>33-11.5</f>
        <v>21.5</v>
      </c>
      <c r="L278" t="s">
        <v>1040</v>
      </c>
      <c r="M278">
        <v>4</v>
      </c>
    </row>
    <row r="279" spans="1:13" ht="15.75" x14ac:dyDescent="0.25">
      <c r="A279" t="s">
        <v>1140</v>
      </c>
      <c r="B279" t="s">
        <v>30</v>
      </c>
      <c r="C279">
        <v>1</v>
      </c>
      <c r="D279">
        <v>1</v>
      </c>
      <c r="E279" s="9" t="s">
        <v>35</v>
      </c>
      <c r="F279" t="s">
        <v>36</v>
      </c>
      <c r="G279">
        <v>2</v>
      </c>
      <c r="H279" s="5" t="s">
        <v>1279</v>
      </c>
      <c r="I279" s="5" t="s">
        <v>1098</v>
      </c>
      <c r="J279">
        <v>0</v>
      </c>
      <c r="K279">
        <f>28.5-11</f>
        <v>17.5</v>
      </c>
      <c r="L279" t="s">
        <v>83</v>
      </c>
      <c r="M279">
        <v>4</v>
      </c>
    </row>
    <row r="280" spans="1:13" ht="15.75" x14ac:dyDescent="0.25">
      <c r="A280" t="s">
        <v>1140</v>
      </c>
      <c r="B280" t="s">
        <v>30</v>
      </c>
      <c r="C280">
        <v>1</v>
      </c>
      <c r="D280">
        <v>1</v>
      </c>
      <c r="E280" s="9" t="s">
        <v>35</v>
      </c>
      <c r="F280" t="s">
        <v>114</v>
      </c>
      <c r="G280">
        <v>1</v>
      </c>
      <c r="H280" s="5" t="s">
        <v>1280</v>
      </c>
      <c r="I280" s="5" t="s">
        <v>1281</v>
      </c>
      <c r="J280">
        <v>0</v>
      </c>
      <c r="K280">
        <f>26.5-11.5</f>
        <v>15</v>
      </c>
      <c r="L280" t="s">
        <v>65</v>
      </c>
      <c r="M280">
        <v>4</v>
      </c>
    </row>
    <row r="281" spans="1:13" ht="15.75" x14ac:dyDescent="0.25">
      <c r="A281" t="s">
        <v>1140</v>
      </c>
      <c r="B281" t="s">
        <v>30</v>
      </c>
      <c r="C281">
        <v>1</v>
      </c>
      <c r="D281">
        <v>1</v>
      </c>
      <c r="E281" s="9" t="s">
        <v>35</v>
      </c>
      <c r="F281" t="s">
        <v>114</v>
      </c>
      <c r="G281">
        <v>1</v>
      </c>
      <c r="H281" s="5" t="s">
        <v>1282</v>
      </c>
      <c r="I281" s="5" t="s">
        <v>1283</v>
      </c>
      <c r="J281">
        <v>0</v>
      </c>
      <c r="K281">
        <f>27-11.5</f>
        <v>15.5</v>
      </c>
      <c r="L281" t="s">
        <v>65</v>
      </c>
      <c r="M281">
        <v>4</v>
      </c>
    </row>
    <row r="282" spans="1:13" ht="15.75" x14ac:dyDescent="0.25">
      <c r="A282" t="s">
        <v>1140</v>
      </c>
      <c r="B282" t="s">
        <v>30</v>
      </c>
      <c r="C282">
        <v>1</v>
      </c>
      <c r="D282">
        <v>1</v>
      </c>
      <c r="E282" s="9" t="s">
        <v>35</v>
      </c>
      <c r="F282" t="s">
        <v>114</v>
      </c>
      <c r="G282">
        <v>1</v>
      </c>
      <c r="H282" s="5" t="s">
        <v>1284</v>
      </c>
      <c r="I282" s="5" t="s">
        <v>1285</v>
      </c>
      <c r="J282">
        <v>0</v>
      </c>
      <c r="K282">
        <f>28.5-11.5</f>
        <v>17</v>
      </c>
      <c r="L282" t="s">
        <v>65</v>
      </c>
      <c r="M282">
        <v>4</v>
      </c>
    </row>
    <row r="283" spans="1:13" ht="15.75" x14ac:dyDescent="0.25">
      <c r="A283" t="s">
        <v>1140</v>
      </c>
      <c r="B283" t="s">
        <v>30</v>
      </c>
      <c r="C283">
        <v>1</v>
      </c>
      <c r="D283">
        <v>1</v>
      </c>
      <c r="E283" s="9" t="s">
        <v>35</v>
      </c>
      <c r="F283" t="s">
        <v>89</v>
      </c>
      <c r="G283">
        <v>2</v>
      </c>
      <c r="H283" s="5" t="s">
        <v>1286</v>
      </c>
      <c r="I283" s="5" t="s">
        <v>1287</v>
      </c>
      <c r="J283">
        <v>0</v>
      </c>
      <c r="K283">
        <f>24-10.5</f>
        <v>13.5</v>
      </c>
      <c r="L283" t="s">
        <v>38</v>
      </c>
      <c r="M283">
        <v>4</v>
      </c>
    </row>
    <row r="284" spans="1:13" ht="15.75" x14ac:dyDescent="0.25">
      <c r="A284" t="s">
        <v>1140</v>
      </c>
      <c r="B284" t="s">
        <v>30</v>
      </c>
      <c r="C284">
        <v>1</v>
      </c>
      <c r="D284">
        <v>1</v>
      </c>
      <c r="E284" s="9" t="s">
        <v>35</v>
      </c>
      <c r="F284" t="s">
        <v>36</v>
      </c>
      <c r="G284">
        <v>2</v>
      </c>
      <c r="H284" s="5" t="s">
        <v>1304</v>
      </c>
      <c r="I284" s="5" t="s">
        <v>1305</v>
      </c>
      <c r="J284">
        <v>0</v>
      </c>
      <c r="K284">
        <f>32.5-12</f>
        <v>20.5</v>
      </c>
      <c r="L284" t="s">
        <v>38</v>
      </c>
      <c r="M284">
        <v>4</v>
      </c>
    </row>
    <row r="285" spans="1:13" ht="15.75" x14ac:dyDescent="0.25">
      <c r="A285" t="s">
        <v>1140</v>
      </c>
      <c r="B285" t="s">
        <v>30</v>
      </c>
      <c r="C285">
        <v>1</v>
      </c>
      <c r="D285">
        <v>1</v>
      </c>
      <c r="E285" s="9" t="s">
        <v>35</v>
      </c>
      <c r="F285" t="s">
        <v>114</v>
      </c>
      <c r="G285">
        <v>1</v>
      </c>
      <c r="H285" s="5" t="s">
        <v>1315</v>
      </c>
      <c r="I285" s="5" t="s">
        <v>1316</v>
      </c>
      <c r="J285">
        <v>0</v>
      </c>
      <c r="K285">
        <f>26.5-10.5</f>
        <v>16</v>
      </c>
      <c r="L285" t="s">
        <v>65</v>
      </c>
      <c r="M285">
        <v>4</v>
      </c>
    </row>
    <row r="286" spans="1:13" ht="15.75" x14ac:dyDescent="0.25">
      <c r="A286" t="s">
        <v>1140</v>
      </c>
      <c r="B286" t="s">
        <v>30</v>
      </c>
      <c r="C286">
        <v>1</v>
      </c>
      <c r="D286">
        <v>1</v>
      </c>
      <c r="E286" s="9" t="s">
        <v>35</v>
      </c>
      <c r="F286" t="s">
        <v>114</v>
      </c>
      <c r="G286">
        <v>2</v>
      </c>
      <c r="H286" s="5" t="s">
        <v>1317</v>
      </c>
      <c r="I286" s="5" t="s">
        <v>1318</v>
      </c>
      <c r="J286">
        <v>0</v>
      </c>
      <c r="K286">
        <f>27-10.5</f>
        <v>16.5</v>
      </c>
      <c r="L286" t="s">
        <v>38</v>
      </c>
      <c r="M286">
        <v>4</v>
      </c>
    </row>
    <row r="287" spans="1:13" ht="15.75" x14ac:dyDescent="0.25">
      <c r="A287" t="s">
        <v>1140</v>
      </c>
      <c r="B287" t="s">
        <v>30</v>
      </c>
      <c r="C287">
        <v>1</v>
      </c>
      <c r="D287">
        <v>1</v>
      </c>
      <c r="E287" s="9" t="s">
        <v>35</v>
      </c>
      <c r="F287" t="s">
        <v>114</v>
      </c>
      <c r="G287">
        <v>1</v>
      </c>
      <c r="H287" s="5" t="s">
        <v>1319</v>
      </c>
      <c r="I287" s="5" t="s">
        <v>1320</v>
      </c>
      <c r="J287">
        <v>0</v>
      </c>
      <c r="K287">
        <f>27.5-10.5</f>
        <v>17</v>
      </c>
      <c r="L287" t="s">
        <v>65</v>
      </c>
      <c r="M287">
        <v>4</v>
      </c>
    </row>
    <row r="288" spans="1:13" ht="15.75" x14ac:dyDescent="0.25">
      <c r="A288" t="s">
        <v>1140</v>
      </c>
      <c r="B288" t="s">
        <v>30</v>
      </c>
      <c r="C288">
        <v>1</v>
      </c>
      <c r="D288">
        <v>1</v>
      </c>
      <c r="E288" s="9" t="s">
        <v>35</v>
      </c>
      <c r="F288" t="s">
        <v>36</v>
      </c>
      <c r="G288">
        <v>1</v>
      </c>
      <c r="H288" s="5" t="s">
        <v>1321</v>
      </c>
      <c r="I288" s="5" t="s">
        <v>1322</v>
      </c>
      <c r="J288">
        <v>0</v>
      </c>
      <c r="K288">
        <f>29-10.5</f>
        <v>18.5</v>
      </c>
      <c r="L288" t="s">
        <v>65</v>
      </c>
      <c r="M288">
        <v>4</v>
      </c>
    </row>
    <row r="289" spans="1:13" ht="15.75" x14ac:dyDescent="0.25">
      <c r="A289" t="s">
        <v>1140</v>
      </c>
      <c r="B289" t="s">
        <v>30</v>
      </c>
      <c r="C289">
        <v>1</v>
      </c>
      <c r="D289">
        <v>1</v>
      </c>
      <c r="E289" s="9" t="s">
        <v>35</v>
      </c>
      <c r="F289" t="s">
        <v>114</v>
      </c>
      <c r="G289">
        <v>2</v>
      </c>
      <c r="H289" s="5" t="s">
        <v>1323</v>
      </c>
      <c r="I289" s="5" t="s">
        <v>1324</v>
      </c>
      <c r="J289">
        <v>0</v>
      </c>
      <c r="K289">
        <f>25.5-11</f>
        <v>14.5</v>
      </c>
      <c r="L289" t="s">
        <v>38</v>
      </c>
      <c r="M289">
        <v>4</v>
      </c>
    </row>
    <row r="290" spans="1:13" ht="15.75" x14ac:dyDescent="0.25">
      <c r="A290" t="s">
        <v>1140</v>
      </c>
      <c r="B290" t="s">
        <v>30</v>
      </c>
      <c r="C290">
        <v>1</v>
      </c>
      <c r="D290">
        <v>1</v>
      </c>
      <c r="E290" s="9" t="s">
        <v>35</v>
      </c>
      <c r="F290" t="s">
        <v>36</v>
      </c>
      <c r="G290">
        <v>2</v>
      </c>
      <c r="H290" s="5" t="s">
        <v>1325</v>
      </c>
      <c r="I290" s="5" t="s">
        <v>1326</v>
      </c>
      <c r="J290">
        <v>0</v>
      </c>
      <c r="K290">
        <f>31.5-11</f>
        <v>20.5</v>
      </c>
      <c r="L290" t="s">
        <v>38</v>
      </c>
      <c r="M290">
        <v>4</v>
      </c>
    </row>
    <row r="291" spans="1:13" ht="15.75" x14ac:dyDescent="0.25">
      <c r="A291" t="s">
        <v>1140</v>
      </c>
      <c r="B291" t="s">
        <v>30</v>
      </c>
      <c r="C291">
        <v>1</v>
      </c>
      <c r="D291">
        <v>1</v>
      </c>
      <c r="E291" s="9" t="s">
        <v>35</v>
      </c>
      <c r="F291" t="s">
        <v>36</v>
      </c>
      <c r="G291">
        <v>1</v>
      </c>
      <c r="H291" s="5" t="s">
        <v>1329</v>
      </c>
      <c r="I291" s="5" t="s">
        <v>1330</v>
      </c>
      <c r="J291">
        <v>0</v>
      </c>
      <c r="K291">
        <f>29.5-10.5</f>
        <v>19</v>
      </c>
      <c r="L291" t="s">
        <v>65</v>
      </c>
      <c r="M291">
        <v>4</v>
      </c>
    </row>
    <row r="292" spans="1:13" ht="15.75" x14ac:dyDescent="0.25">
      <c r="A292" t="s">
        <v>1140</v>
      </c>
      <c r="B292" t="s">
        <v>30</v>
      </c>
      <c r="C292">
        <v>1</v>
      </c>
      <c r="D292">
        <v>1</v>
      </c>
      <c r="E292" s="9" t="s">
        <v>35</v>
      </c>
      <c r="F292" t="s">
        <v>114</v>
      </c>
      <c r="G292">
        <v>1</v>
      </c>
      <c r="H292" s="5" t="s">
        <v>1333</v>
      </c>
      <c r="I292" s="5" t="s">
        <v>1334</v>
      </c>
      <c r="J292">
        <v>0</v>
      </c>
      <c r="K292">
        <f>29.5-13</f>
        <v>16.5</v>
      </c>
      <c r="L292" t="s">
        <v>65</v>
      </c>
      <c r="M292">
        <v>4</v>
      </c>
    </row>
    <row r="293" spans="1:13" ht="15.75" x14ac:dyDescent="0.25">
      <c r="A293" t="s">
        <v>1140</v>
      </c>
      <c r="B293" t="s">
        <v>30</v>
      </c>
      <c r="C293">
        <v>1</v>
      </c>
      <c r="D293">
        <v>1</v>
      </c>
      <c r="E293" s="9" t="s">
        <v>35</v>
      </c>
      <c r="F293" t="s">
        <v>114</v>
      </c>
      <c r="G293">
        <v>1</v>
      </c>
      <c r="H293" s="5" t="s">
        <v>1337</v>
      </c>
      <c r="I293" s="5" t="s">
        <v>1338</v>
      </c>
      <c r="J293">
        <v>0</v>
      </c>
      <c r="K293">
        <f>28-12</f>
        <v>16</v>
      </c>
      <c r="L293" t="s">
        <v>65</v>
      </c>
      <c r="M293">
        <v>4</v>
      </c>
    </row>
    <row r="294" spans="1:13" ht="15.75" x14ac:dyDescent="0.25">
      <c r="A294" t="s">
        <v>1140</v>
      </c>
      <c r="B294" t="s">
        <v>30</v>
      </c>
      <c r="C294">
        <v>4</v>
      </c>
      <c r="D294">
        <v>1</v>
      </c>
      <c r="E294" s="9" t="s">
        <v>42</v>
      </c>
      <c r="F294" t="s">
        <v>114</v>
      </c>
      <c r="G294">
        <v>1</v>
      </c>
      <c r="H294" s="5" t="s">
        <v>1386</v>
      </c>
      <c r="I294" s="5" t="s">
        <v>1387</v>
      </c>
      <c r="J294">
        <v>0</v>
      </c>
      <c r="K294">
        <f>25-10.5</f>
        <v>14.5</v>
      </c>
      <c r="L294" t="s">
        <v>65</v>
      </c>
      <c r="M294">
        <v>4</v>
      </c>
    </row>
    <row r="295" spans="1:13" ht="15.75" x14ac:dyDescent="0.25">
      <c r="A295" t="s">
        <v>1140</v>
      </c>
      <c r="B295" t="s">
        <v>30</v>
      </c>
      <c r="C295">
        <v>4</v>
      </c>
      <c r="D295">
        <v>1</v>
      </c>
      <c r="E295" s="9" t="s">
        <v>42</v>
      </c>
      <c r="F295" t="s">
        <v>114</v>
      </c>
      <c r="G295">
        <v>2</v>
      </c>
      <c r="H295" s="5" t="s">
        <v>1388</v>
      </c>
      <c r="I295" s="5" t="s">
        <v>1389</v>
      </c>
      <c r="J295">
        <v>0</v>
      </c>
      <c r="K295">
        <f>25.5-11.5</f>
        <v>14</v>
      </c>
      <c r="L295" t="s">
        <v>38</v>
      </c>
      <c r="M295">
        <v>4</v>
      </c>
    </row>
    <row r="296" spans="1:13" ht="15.75" x14ac:dyDescent="0.25">
      <c r="A296" t="s">
        <v>1140</v>
      </c>
      <c r="B296" t="s">
        <v>30</v>
      </c>
      <c r="C296">
        <v>4</v>
      </c>
      <c r="D296">
        <v>1</v>
      </c>
      <c r="E296" s="9" t="s">
        <v>42</v>
      </c>
      <c r="F296" t="s">
        <v>114</v>
      </c>
      <c r="G296">
        <v>2</v>
      </c>
      <c r="H296" s="5" t="s">
        <v>1390</v>
      </c>
      <c r="I296" s="5" t="s">
        <v>1391</v>
      </c>
      <c r="J296">
        <v>0</v>
      </c>
      <c r="K296">
        <f>25.5-12.5</f>
        <v>13</v>
      </c>
      <c r="L296" t="s">
        <v>38</v>
      </c>
      <c r="M296">
        <v>4</v>
      </c>
    </row>
    <row r="297" spans="1:13" ht="15.75" x14ac:dyDescent="0.25">
      <c r="A297" t="s">
        <v>1140</v>
      </c>
      <c r="B297" t="s">
        <v>30</v>
      </c>
      <c r="C297">
        <v>4</v>
      </c>
      <c r="D297">
        <v>1</v>
      </c>
      <c r="E297" s="9" t="s">
        <v>42</v>
      </c>
      <c r="F297" t="s">
        <v>114</v>
      </c>
      <c r="G297">
        <v>1</v>
      </c>
      <c r="H297" s="5" t="s">
        <v>1392</v>
      </c>
      <c r="I297" s="5" t="s">
        <v>1393</v>
      </c>
      <c r="J297">
        <v>0</v>
      </c>
      <c r="K297">
        <f>24-10.5</f>
        <v>13.5</v>
      </c>
      <c r="L297" t="s">
        <v>65</v>
      </c>
      <c r="M297">
        <v>4</v>
      </c>
    </row>
    <row r="298" spans="1:13" ht="15.75" x14ac:dyDescent="0.25">
      <c r="A298" t="s">
        <v>1140</v>
      </c>
      <c r="B298" t="s">
        <v>30</v>
      </c>
      <c r="C298">
        <v>1</v>
      </c>
      <c r="D298">
        <v>1</v>
      </c>
      <c r="E298" s="9" t="s">
        <v>42</v>
      </c>
      <c r="F298" t="s">
        <v>36</v>
      </c>
      <c r="G298">
        <v>1</v>
      </c>
      <c r="H298" s="5" t="s">
        <v>1394</v>
      </c>
      <c r="I298" s="5" t="s">
        <v>1395</v>
      </c>
      <c r="J298">
        <v>0</v>
      </c>
      <c r="K298">
        <f>26-11</f>
        <v>15</v>
      </c>
      <c r="L298" t="s">
        <v>65</v>
      </c>
      <c r="M298">
        <v>4</v>
      </c>
    </row>
    <row r="299" spans="1:13" ht="15.75" x14ac:dyDescent="0.25">
      <c r="A299" t="s">
        <v>1140</v>
      </c>
      <c r="B299" t="s">
        <v>30</v>
      </c>
      <c r="C299">
        <v>1</v>
      </c>
      <c r="D299">
        <v>1</v>
      </c>
      <c r="E299" s="9" t="s">
        <v>42</v>
      </c>
      <c r="F299" t="s">
        <v>114</v>
      </c>
      <c r="G299">
        <v>2</v>
      </c>
      <c r="H299" s="5" t="s">
        <v>1396</v>
      </c>
      <c r="I299" s="5" t="s">
        <v>1397</v>
      </c>
      <c r="J299">
        <v>0</v>
      </c>
      <c r="K299">
        <f>25-11</f>
        <v>14</v>
      </c>
      <c r="L299" t="s">
        <v>83</v>
      </c>
      <c r="M299">
        <v>4</v>
      </c>
    </row>
    <row r="300" spans="1:13" ht="15.75" x14ac:dyDescent="0.25">
      <c r="A300" t="s">
        <v>1140</v>
      </c>
      <c r="B300" t="s">
        <v>30</v>
      </c>
      <c r="C300">
        <v>1</v>
      </c>
      <c r="D300">
        <v>1</v>
      </c>
      <c r="E300" s="9" t="s">
        <v>35</v>
      </c>
      <c r="F300" t="s">
        <v>114</v>
      </c>
      <c r="G300">
        <v>2</v>
      </c>
      <c r="H300" s="5" t="s">
        <v>1398</v>
      </c>
      <c r="I300" s="5" t="s">
        <v>1336</v>
      </c>
      <c r="J300">
        <v>0</v>
      </c>
      <c r="K300">
        <f>26.5-12</f>
        <v>14.5</v>
      </c>
      <c r="L300" t="s">
        <v>38</v>
      </c>
      <c r="M300">
        <v>4</v>
      </c>
    </row>
    <row r="301" spans="1:13" ht="15.75" x14ac:dyDescent="0.25">
      <c r="A301" t="s">
        <v>1140</v>
      </c>
      <c r="B301" t="s">
        <v>30</v>
      </c>
      <c r="C301">
        <v>1</v>
      </c>
      <c r="D301">
        <v>1</v>
      </c>
      <c r="E301" s="9" t="s">
        <v>42</v>
      </c>
      <c r="F301" t="s">
        <v>114</v>
      </c>
      <c r="G301">
        <v>2</v>
      </c>
      <c r="H301" s="5" t="s">
        <v>1399</v>
      </c>
      <c r="I301" s="5" t="s">
        <v>1400</v>
      </c>
      <c r="J301">
        <v>0</v>
      </c>
      <c r="K301">
        <f>26-12</f>
        <v>14</v>
      </c>
      <c r="L301" t="s">
        <v>38</v>
      </c>
      <c r="M301">
        <v>4</v>
      </c>
    </row>
    <row r="302" spans="1:13" ht="15.75" x14ac:dyDescent="0.25">
      <c r="A302" t="s">
        <v>1140</v>
      </c>
      <c r="B302" t="s">
        <v>30</v>
      </c>
      <c r="C302">
        <v>2</v>
      </c>
      <c r="D302">
        <v>1</v>
      </c>
      <c r="E302" s="9" t="s">
        <v>35</v>
      </c>
      <c r="F302" t="s">
        <v>114</v>
      </c>
      <c r="G302">
        <v>2</v>
      </c>
      <c r="H302" s="5" t="s">
        <v>1401</v>
      </c>
      <c r="I302" s="5" t="s">
        <v>1402</v>
      </c>
      <c r="J302">
        <v>0</v>
      </c>
      <c r="K302">
        <f>31-16.5</f>
        <v>14.5</v>
      </c>
      <c r="L302" t="s">
        <v>38</v>
      </c>
      <c r="M302">
        <v>4</v>
      </c>
    </row>
    <row r="303" spans="1:13" ht="15.75" x14ac:dyDescent="0.25">
      <c r="A303" t="s">
        <v>1140</v>
      </c>
      <c r="B303" t="s">
        <v>30</v>
      </c>
      <c r="C303">
        <v>2</v>
      </c>
      <c r="D303">
        <v>1</v>
      </c>
      <c r="E303" s="9" t="s">
        <v>1411</v>
      </c>
      <c r="F303" t="s">
        <v>36</v>
      </c>
      <c r="G303">
        <v>1</v>
      </c>
      <c r="H303" s="5"/>
      <c r="I303" s="5"/>
      <c r="J303">
        <v>0</v>
      </c>
      <c r="M303">
        <v>4</v>
      </c>
    </row>
    <row r="304" spans="1:13" ht="15.75" x14ac:dyDescent="0.25">
      <c r="A304" t="s">
        <v>1140</v>
      </c>
      <c r="B304" t="s">
        <v>30</v>
      </c>
      <c r="C304">
        <v>2</v>
      </c>
      <c r="D304">
        <v>2</v>
      </c>
      <c r="E304" s="9" t="s">
        <v>100</v>
      </c>
      <c r="F304" t="s">
        <v>36</v>
      </c>
      <c r="G304">
        <v>2</v>
      </c>
      <c r="H304" s="5" t="s">
        <v>1375</v>
      </c>
      <c r="I304" s="5"/>
      <c r="J304">
        <v>1</v>
      </c>
      <c r="K304">
        <f>36.5-15</f>
        <v>21.5</v>
      </c>
      <c r="L304" t="s">
        <v>38</v>
      </c>
      <c r="M304">
        <v>4</v>
      </c>
    </row>
    <row r="305" spans="1:13" ht="15.75" x14ac:dyDescent="0.25">
      <c r="A305" t="s">
        <v>1121</v>
      </c>
      <c r="B305" t="s">
        <v>30</v>
      </c>
      <c r="C305">
        <v>5</v>
      </c>
      <c r="D305">
        <v>1</v>
      </c>
      <c r="E305" s="9" t="s">
        <v>42</v>
      </c>
      <c r="F305" t="s">
        <v>36</v>
      </c>
      <c r="G305">
        <v>1</v>
      </c>
      <c r="H305" s="5" t="s">
        <v>1122</v>
      </c>
      <c r="I305" s="5" t="s">
        <v>1123</v>
      </c>
      <c r="J305">
        <v>1</v>
      </c>
      <c r="K305">
        <f>37.5-15.5</f>
        <v>22</v>
      </c>
      <c r="L305" t="s">
        <v>47</v>
      </c>
      <c r="M305">
        <v>4</v>
      </c>
    </row>
    <row r="306" spans="1:13" ht="15.75" x14ac:dyDescent="0.25">
      <c r="A306" t="s">
        <v>1121</v>
      </c>
      <c r="B306" t="s">
        <v>30</v>
      </c>
      <c r="C306">
        <v>5</v>
      </c>
      <c r="D306">
        <v>1</v>
      </c>
      <c r="E306" s="9" t="s">
        <v>42</v>
      </c>
      <c r="F306" t="s">
        <v>114</v>
      </c>
      <c r="G306">
        <v>1</v>
      </c>
      <c r="H306" s="5" t="s">
        <v>1125</v>
      </c>
      <c r="I306" s="5" t="s">
        <v>1126</v>
      </c>
      <c r="J306">
        <v>0</v>
      </c>
      <c r="K306">
        <f>35.5-16</f>
        <v>19.5</v>
      </c>
      <c r="L306" t="s">
        <v>47</v>
      </c>
      <c r="M306">
        <v>4</v>
      </c>
    </row>
    <row r="307" spans="1:13" ht="15.75" x14ac:dyDescent="0.25">
      <c r="A307" t="s">
        <v>1121</v>
      </c>
      <c r="B307" t="s">
        <v>30</v>
      </c>
      <c r="C307">
        <v>3</v>
      </c>
      <c r="D307">
        <v>1</v>
      </c>
      <c r="E307" s="9" t="s">
        <v>42</v>
      </c>
      <c r="F307" t="s">
        <v>36</v>
      </c>
      <c r="G307">
        <v>1</v>
      </c>
      <c r="H307" s="5" t="s">
        <v>1136</v>
      </c>
      <c r="I307" s="5" t="s">
        <v>1137</v>
      </c>
      <c r="J307">
        <v>0</v>
      </c>
      <c r="K307">
        <f>41.5-16</f>
        <v>25.5</v>
      </c>
      <c r="L307" t="s">
        <v>47</v>
      </c>
      <c r="M307">
        <v>4</v>
      </c>
    </row>
    <row r="308" spans="1:13" ht="15.75" x14ac:dyDescent="0.25">
      <c r="A308" t="s">
        <v>1121</v>
      </c>
      <c r="B308" t="s">
        <v>30</v>
      </c>
      <c r="C308">
        <v>5</v>
      </c>
      <c r="D308">
        <v>1</v>
      </c>
      <c r="E308" s="9" t="s">
        <v>42</v>
      </c>
      <c r="F308" t="s">
        <v>114</v>
      </c>
      <c r="G308">
        <v>1</v>
      </c>
      <c r="H308" s="5" t="s">
        <v>1138</v>
      </c>
      <c r="I308" s="5" t="s">
        <v>1139</v>
      </c>
      <c r="J308">
        <v>0</v>
      </c>
      <c r="K308">
        <f>32.5-17</f>
        <v>15.5</v>
      </c>
      <c r="L308" t="s">
        <v>47</v>
      </c>
      <c r="M308">
        <v>4</v>
      </c>
    </row>
    <row r="309" spans="1:13" ht="15.75" x14ac:dyDescent="0.25">
      <c r="A309" t="s">
        <v>1121</v>
      </c>
      <c r="B309" t="s">
        <v>30</v>
      </c>
      <c r="C309">
        <v>7</v>
      </c>
      <c r="D309">
        <v>1</v>
      </c>
      <c r="E309" s="9" t="s">
        <v>35</v>
      </c>
      <c r="F309" t="s">
        <v>114</v>
      </c>
      <c r="G309">
        <v>2</v>
      </c>
      <c r="H309" s="5" t="s">
        <v>1242</v>
      </c>
      <c r="I309" s="5" t="s">
        <v>1243</v>
      </c>
      <c r="J309">
        <v>0</v>
      </c>
      <c r="K309">
        <f>27.5-11</f>
        <v>16.5</v>
      </c>
      <c r="L309" t="s">
        <v>38</v>
      </c>
      <c r="M309">
        <v>4</v>
      </c>
    </row>
    <row r="310" spans="1:13" ht="15.75" x14ac:dyDescent="0.25">
      <c r="A310" t="s">
        <v>1121</v>
      </c>
      <c r="B310" t="s">
        <v>30</v>
      </c>
      <c r="C310">
        <v>7</v>
      </c>
      <c r="D310">
        <v>1</v>
      </c>
      <c r="E310" s="9" t="s">
        <v>35</v>
      </c>
      <c r="F310" t="s">
        <v>114</v>
      </c>
      <c r="G310">
        <v>2</v>
      </c>
      <c r="H310" s="5" t="s">
        <v>1244</v>
      </c>
      <c r="I310" s="5" t="s">
        <v>1245</v>
      </c>
      <c r="J310">
        <v>0</v>
      </c>
      <c r="K310">
        <f>27.5-10.5</f>
        <v>17</v>
      </c>
      <c r="L310" t="s">
        <v>38</v>
      </c>
      <c r="M310">
        <v>4</v>
      </c>
    </row>
    <row r="311" spans="1:13" ht="15.75" x14ac:dyDescent="0.25">
      <c r="A311" t="s">
        <v>1121</v>
      </c>
      <c r="B311" t="s">
        <v>30</v>
      </c>
      <c r="C311">
        <v>7</v>
      </c>
      <c r="D311">
        <v>1</v>
      </c>
      <c r="E311" s="9" t="s">
        <v>35</v>
      </c>
      <c r="F311" t="s">
        <v>114</v>
      </c>
      <c r="G311">
        <v>1</v>
      </c>
      <c r="H311" s="5" t="s">
        <v>1246</v>
      </c>
      <c r="I311" s="5" t="s">
        <v>1247</v>
      </c>
      <c r="J311">
        <v>1</v>
      </c>
      <c r="K311">
        <f>27-10.5</f>
        <v>16.5</v>
      </c>
      <c r="L311" t="s">
        <v>65</v>
      </c>
      <c r="M311">
        <v>4</v>
      </c>
    </row>
    <row r="312" spans="1:13" ht="15.75" x14ac:dyDescent="0.25">
      <c r="A312" t="s">
        <v>1121</v>
      </c>
      <c r="B312" t="s">
        <v>30</v>
      </c>
      <c r="C312">
        <v>8</v>
      </c>
      <c r="D312">
        <v>1</v>
      </c>
      <c r="E312" s="9" t="s">
        <v>35</v>
      </c>
      <c r="F312" t="s">
        <v>114</v>
      </c>
      <c r="G312">
        <v>2</v>
      </c>
      <c r="H312" s="5" t="s">
        <v>1248</v>
      </c>
      <c r="I312" s="5" t="s">
        <v>1249</v>
      </c>
      <c r="J312">
        <v>0</v>
      </c>
      <c r="K312">
        <f>26.5-12</f>
        <v>14.5</v>
      </c>
      <c r="L312" t="s">
        <v>38</v>
      </c>
      <c r="M312">
        <v>4</v>
      </c>
    </row>
    <row r="313" spans="1:13" ht="15.75" x14ac:dyDescent="0.25">
      <c r="A313" t="s">
        <v>1121</v>
      </c>
      <c r="B313" t="s">
        <v>30</v>
      </c>
      <c r="C313">
        <v>8</v>
      </c>
      <c r="D313">
        <v>1</v>
      </c>
      <c r="E313" s="9" t="s">
        <v>35</v>
      </c>
      <c r="F313" t="s">
        <v>114</v>
      </c>
      <c r="G313">
        <v>2</v>
      </c>
      <c r="H313" s="5" t="s">
        <v>1250</v>
      </c>
      <c r="I313" s="5" t="s">
        <v>1251</v>
      </c>
      <c r="J313">
        <v>0</v>
      </c>
      <c r="K313">
        <f>28-12.5</f>
        <v>15.5</v>
      </c>
      <c r="L313" t="s">
        <v>38</v>
      </c>
      <c r="M313">
        <v>4</v>
      </c>
    </row>
    <row r="314" spans="1:13" ht="15.75" x14ac:dyDescent="0.25">
      <c r="A314" t="s">
        <v>1121</v>
      </c>
      <c r="B314" t="s">
        <v>30</v>
      </c>
      <c r="C314">
        <v>7</v>
      </c>
      <c r="D314">
        <v>1</v>
      </c>
      <c r="E314" s="9" t="s">
        <v>35</v>
      </c>
      <c r="F314" t="s">
        <v>36</v>
      </c>
      <c r="G314">
        <v>2</v>
      </c>
      <c r="H314" s="5" t="s">
        <v>1252</v>
      </c>
      <c r="I314" s="5" t="s">
        <v>1253</v>
      </c>
      <c r="J314">
        <v>0</v>
      </c>
      <c r="K314">
        <f>32-11</f>
        <v>21</v>
      </c>
      <c r="L314" t="s">
        <v>83</v>
      </c>
      <c r="M314">
        <v>4</v>
      </c>
    </row>
    <row r="315" spans="1:13" ht="15.75" x14ac:dyDescent="0.25">
      <c r="A315" t="s">
        <v>1121</v>
      </c>
      <c r="B315" t="s">
        <v>30</v>
      </c>
      <c r="C315">
        <v>7</v>
      </c>
      <c r="D315">
        <v>1</v>
      </c>
      <c r="E315" s="9" t="s">
        <v>35</v>
      </c>
      <c r="F315" t="s">
        <v>36</v>
      </c>
      <c r="G315">
        <v>1</v>
      </c>
      <c r="H315" s="5" t="s">
        <v>1254</v>
      </c>
      <c r="I315" s="5" t="s">
        <v>1255</v>
      </c>
      <c r="J315">
        <v>0</v>
      </c>
      <c r="K315">
        <f>29.5-11</f>
        <v>18.5</v>
      </c>
      <c r="L315" t="s">
        <v>65</v>
      </c>
      <c r="M315">
        <v>4</v>
      </c>
    </row>
    <row r="316" spans="1:13" ht="15.75" x14ac:dyDescent="0.25">
      <c r="A316" t="s">
        <v>1121</v>
      </c>
      <c r="B316" t="s">
        <v>30</v>
      </c>
      <c r="C316">
        <v>7</v>
      </c>
      <c r="D316">
        <v>1</v>
      </c>
      <c r="E316" s="9" t="s">
        <v>35</v>
      </c>
      <c r="F316" t="s">
        <v>114</v>
      </c>
      <c r="G316">
        <v>2</v>
      </c>
      <c r="H316" s="5" t="s">
        <v>1256</v>
      </c>
      <c r="I316" s="5" t="s">
        <v>1257</v>
      </c>
      <c r="J316">
        <v>0</v>
      </c>
      <c r="K316">
        <f>27.5-11</f>
        <v>16.5</v>
      </c>
      <c r="L316" t="s">
        <v>38</v>
      </c>
      <c r="M316">
        <v>4</v>
      </c>
    </row>
    <row r="317" spans="1:13" ht="15.75" x14ac:dyDescent="0.25">
      <c r="A317" t="s">
        <v>1121</v>
      </c>
      <c r="B317" t="s">
        <v>30</v>
      </c>
      <c r="C317">
        <v>7</v>
      </c>
      <c r="D317">
        <v>1</v>
      </c>
      <c r="E317" s="9" t="s">
        <v>35</v>
      </c>
      <c r="F317" t="s">
        <v>114</v>
      </c>
      <c r="G317">
        <v>1</v>
      </c>
      <c r="H317" s="5" t="s">
        <v>1290</v>
      </c>
      <c r="I317" s="5" t="s">
        <v>1291</v>
      </c>
      <c r="J317">
        <v>0</v>
      </c>
      <c r="K317">
        <f>26.5-11</f>
        <v>15.5</v>
      </c>
      <c r="L317" t="s">
        <v>65</v>
      </c>
      <c r="M317">
        <v>4</v>
      </c>
    </row>
    <row r="318" spans="1:13" ht="15.75" x14ac:dyDescent="0.25">
      <c r="A318" t="s">
        <v>1121</v>
      </c>
      <c r="B318" t="s">
        <v>30</v>
      </c>
      <c r="C318">
        <v>7</v>
      </c>
      <c r="D318">
        <v>1</v>
      </c>
      <c r="E318" s="9" t="s">
        <v>35</v>
      </c>
      <c r="F318" t="s">
        <v>114</v>
      </c>
      <c r="G318">
        <v>1</v>
      </c>
      <c r="H318" s="5" t="s">
        <v>1300</v>
      </c>
      <c r="I318" s="5" t="s">
        <v>1301</v>
      </c>
      <c r="J318">
        <v>0</v>
      </c>
      <c r="K318">
        <f>26-11</f>
        <v>15</v>
      </c>
      <c r="L318" t="s">
        <v>65</v>
      </c>
      <c r="M318">
        <v>4</v>
      </c>
    </row>
    <row r="319" spans="1:13" ht="15.75" x14ac:dyDescent="0.25">
      <c r="A319" t="s">
        <v>1121</v>
      </c>
      <c r="B319" t="s">
        <v>30</v>
      </c>
      <c r="C319">
        <v>5</v>
      </c>
      <c r="D319">
        <v>1</v>
      </c>
      <c r="E319" s="9" t="s">
        <v>35</v>
      </c>
      <c r="F319" t="s">
        <v>114</v>
      </c>
      <c r="G319">
        <v>2</v>
      </c>
      <c r="H319" s="5" t="s">
        <v>1355</v>
      </c>
      <c r="I319" s="5" t="s">
        <v>1171</v>
      </c>
      <c r="J319">
        <v>0</v>
      </c>
      <c r="K319">
        <f>35.5-18.5</f>
        <v>17</v>
      </c>
      <c r="L319" t="s">
        <v>83</v>
      </c>
      <c r="M319">
        <v>4</v>
      </c>
    </row>
    <row r="320" spans="1:13" ht="15.75" x14ac:dyDescent="0.25">
      <c r="A320" t="s">
        <v>1121</v>
      </c>
      <c r="B320" t="s">
        <v>30</v>
      </c>
      <c r="C320">
        <v>5</v>
      </c>
      <c r="D320">
        <v>1</v>
      </c>
      <c r="E320" s="9" t="s">
        <v>35</v>
      </c>
      <c r="F320" t="s">
        <v>114</v>
      </c>
      <c r="G320">
        <v>2</v>
      </c>
      <c r="H320" s="5" t="s">
        <v>1359</v>
      </c>
      <c r="I320" s="5" t="s">
        <v>1360</v>
      </c>
      <c r="J320">
        <v>0</v>
      </c>
      <c r="K320">
        <f>34-16</f>
        <v>18</v>
      </c>
      <c r="L320" t="s">
        <v>38</v>
      </c>
      <c r="M320">
        <v>4</v>
      </c>
    </row>
    <row r="321" spans="1:13" ht="15.75" x14ac:dyDescent="0.25">
      <c r="A321" t="s">
        <v>1121</v>
      </c>
      <c r="B321" t="s">
        <v>30</v>
      </c>
      <c r="C321">
        <v>4</v>
      </c>
      <c r="D321">
        <v>1</v>
      </c>
      <c r="E321" s="9" t="s">
        <v>35</v>
      </c>
      <c r="F321" t="s">
        <v>114</v>
      </c>
      <c r="G321">
        <v>2</v>
      </c>
      <c r="H321" s="5" t="s">
        <v>1363</v>
      </c>
      <c r="I321" s="5" t="s">
        <v>1364</v>
      </c>
      <c r="J321">
        <v>0</v>
      </c>
      <c r="K321">
        <f>31-17.5</f>
        <v>13.5</v>
      </c>
      <c r="L321" t="s">
        <v>38</v>
      </c>
      <c r="M321">
        <v>4</v>
      </c>
    </row>
    <row r="322" spans="1:13" ht="15.75" x14ac:dyDescent="0.25">
      <c r="A322" t="s">
        <v>1121</v>
      </c>
      <c r="B322" t="s">
        <v>30</v>
      </c>
      <c r="C322">
        <v>7</v>
      </c>
      <c r="D322">
        <v>1</v>
      </c>
      <c r="E322" s="9" t="s">
        <v>42</v>
      </c>
      <c r="F322" t="s">
        <v>114</v>
      </c>
      <c r="G322">
        <v>1</v>
      </c>
      <c r="H322" s="5" t="s">
        <v>1384</v>
      </c>
      <c r="I322" s="5" t="s">
        <v>1385</v>
      </c>
      <c r="J322">
        <v>1</v>
      </c>
      <c r="K322">
        <f>28.5-13</f>
        <v>15.5</v>
      </c>
      <c r="L322" t="s">
        <v>65</v>
      </c>
      <c r="M322">
        <v>4</v>
      </c>
    </row>
    <row r="323" spans="1:13" ht="15.75" x14ac:dyDescent="0.25">
      <c r="A323" t="s">
        <v>1121</v>
      </c>
      <c r="B323" t="s">
        <v>30</v>
      </c>
      <c r="C323">
        <v>4</v>
      </c>
      <c r="D323">
        <v>1</v>
      </c>
      <c r="E323" s="9" t="s">
        <v>35</v>
      </c>
      <c r="F323" t="s">
        <v>36</v>
      </c>
      <c r="G323">
        <v>1</v>
      </c>
      <c r="H323" s="5" t="s">
        <v>1405</v>
      </c>
      <c r="I323" s="5" t="s">
        <v>1406</v>
      </c>
      <c r="J323">
        <v>1</v>
      </c>
      <c r="K323">
        <f>35-17.5</f>
        <v>17.5</v>
      </c>
      <c r="L323" t="s">
        <v>65</v>
      </c>
      <c r="M323">
        <v>4</v>
      </c>
    </row>
    <row r="324" spans="1:13" ht="15.75" x14ac:dyDescent="0.25">
      <c r="A324" t="s">
        <v>1121</v>
      </c>
      <c r="B324" t="s">
        <v>30</v>
      </c>
      <c r="C324">
        <v>5</v>
      </c>
      <c r="D324">
        <v>2</v>
      </c>
      <c r="E324" s="9" t="s">
        <v>42</v>
      </c>
      <c r="F324" t="s">
        <v>36</v>
      </c>
      <c r="G324">
        <v>2</v>
      </c>
      <c r="H324" s="5" t="s">
        <v>1124</v>
      </c>
      <c r="I324" s="5"/>
      <c r="J324">
        <v>1</v>
      </c>
      <c r="K324">
        <f>40-17</f>
        <v>23</v>
      </c>
      <c r="L324" t="s">
        <v>38</v>
      </c>
      <c r="M324">
        <v>4</v>
      </c>
    </row>
    <row r="325" spans="1:13" ht="15.75" x14ac:dyDescent="0.25">
      <c r="A325" t="s">
        <v>1121</v>
      </c>
      <c r="B325" t="s">
        <v>30</v>
      </c>
      <c r="C325">
        <v>5</v>
      </c>
      <c r="D325">
        <v>2</v>
      </c>
      <c r="E325" s="9" t="s">
        <v>42</v>
      </c>
      <c r="F325" t="s">
        <v>36</v>
      </c>
      <c r="G325">
        <v>1</v>
      </c>
      <c r="H325" s="5" t="s">
        <v>1127</v>
      </c>
      <c r="I325" s="5"/>
      <c r="J325">
        <v>1</v>
      </c>
      <c r="K325">
        <f>48-18.5</f>
        <v>29.5</v>
      </c>
      <c r="L325" t="s">
        <v>47</v>
      </c>
      <c r="M325">
        <v>4</v>
      </c>
    </row>
    <row r="326" spans="1:13" ht="15.75" x14ac:dyDescent="0.25">
      <c r="A326" t="s">
        <v>1121</v>
      </c>
      <c r="B326" t="s">
        <v>30</v>
      </c>
      <c r="C326">
        <v>7</v>
      </c>
      <c r="D326">
        <v>2</v>
      </c>
      <c r="E326" s="9" t="s">
        <v>42</v>
      </c>
      <c r="F326" t="s">
        <v>36</v>
      </c>
      <c r="G326">
        <v>2</v>
      </c>
      <c r="H326" s="5" t="s">
        <v>1383</v>
      </c>
      <c r="I326" s="5"/>
      <c r="J326">
        <v>1</v>
      </c>
      <c r="K326">
        <f>29-12</f>
        <v>17</v>
      </c>
      <c r="L326" t="s">
        <v>38</v>
      </c>
      <c r="M326">
        <v>4</v>
      </c>
    </row>
    <row r="327" spans="1:13" ht="15.75" x14ac:dyDescent="0.25">
      <c r="A327" t="s">
        <v>1121</v>
      </c>
      <c r="B327" t="s">
        <v>30</v>
      </c>
      <c r="C327">
        <v>7</v>
      </c>
      <c r="D327">
        <v>3</v>
      </c>
      <c r="E327" s="9" t="s">
        <v>35</v>
      </c>
      <c r="F327" t="s">
        <v>36</v>
      </c>
      <c r="G327">
        <v>2</v>
      </c>
      <c r="H327" s="5" t="s">
        <v>1228</v>
      </c>
      <c r="I327" s="5"/>
      <c r="J327">
        <v>0</v>
      </c>
      <c r="K327">
        <f>34.5-11.5</f>
        <v>23</v>
      </c>
      <c r="L327" t="s">
        <v>1039</v>
      </c>
      <c r="M327">
        <v>4</v>
      </c>
    </row>
    <row r="328" spans="1:13" ht="15.75" x14ac:dyDescent="0.25">
      <c r="A328" t="s">
        <v>1121</v>
      </c>
      <c r="B328" t="s">
        <v>30</v>
      </c>
      <c r="C328">
        <v>8</v>
      </c>
      <c r="D328">
        <v>3</v>
      </c>
      <c r="E328" s="9" t="s">
        <v>35</v>
      </c>
      <c r="F328" t="s">
        <v>36</v>
      </c>
      <c r="G328">
        <v>2</v>
      </c>
      <c r="H328" s="5" t="s">
        <v>1241</v>
      </c>
      <c r="I328" s="5"/>
      <c r="J328">
        <v>0</v>
      </c>
      <c r="K328">
        <f>36-13</f>
        <v>23</v>
      </c>
      <c r="L328" t="s">
        <v>1039</v>
      </c>
      <c r="M328">
        <v>4</v>
      </c>
    </row>
    <row r="329" spans="1:13" ht="15.75" x14ac:dyDescent="0.25">
      <c r="A329" t="s">
        <v>1121</v>
      </c>
      <c r="B329" t="s">
        <v>30</v>
      </c>
      <c r="C329">
        <v>7</v>
      </c>
      <c r="D329">
        <v>3</v>
      </c>
      <c r="E329" s="9" t="s">
        <v>42</v>
      </c>
      <c r="F329" t="s">
        <v>36</v>
      </c>
      <c r="G329">
        <v>2</v>
      </c>
      <c r="H329" s="5" t="s">
        <v>1381</v>
      </c>
      <c r="I329" s="5"/>
      <c r="J329">
        <v>0</v>
      </c>
      <c r="K329">
        <f>28.5-11</f>
        <v>17.5</v>
      </c>
      <c r="L329" t="s">
        <v>81</v>
      </c>
      <c r="M329">
        <v>4</v>
      </c>
    </row>
    <row r="330" spans="1:13" ht="15.75" x14ac:dyDescent="0.25">
      <c r="A330" t="s">
        <v>1121</v>
      </c>
      <c r="B330" t="s">
        <v>30</v>
      </c>
      <c r="C330">
        <v>7</v>
      </c>
      <c r="D330">
        <v>3</v>
      </c>
      <c r="E330" s="9" t="s">
        <v>42</v>
      </c>
      <c r="F330" t="s">
        <v>89</v>
      </c>
      <c r="G330">
        <v>2</v>
      </c>
      <c r="H330" s="5" t="s">
        <v>1382</v>
      </c>
      <c r="I330" s="5"/>
      <c r="J330">
        <v>0</v>
      </c>
      <c r="K330">
        <f>26-11.5</f>
        <v>14.5</v>
      </c>
      <c r="L330" t="s">
        <v>38</v>
      </c>
      <c r="M330">
        <v>4</v>
      </c>
    </row>
    <row r="331" spans="1:13" ht="15.75" x14ac:dyDescent="0.25">
      <c r="A331" t="s">
        <v>1061</v>
      </c>
      <c r="B331" t="s">
        <v>30</v>
      </c>
      <c r="C331">
        <v>9</v>
      </c>
      <c r="D331">
        <v>1</v>
      </c>
      <c r="E331" s="9" t="s">
        <v>42</v>
      </c>
      <c r="F331" t="s">
        <v>114</v>
      </c>
      <c r="G331">
        <v>2</v>
      </c>
      <c r="H331" s="5" t="s">
        <v>1062</v>
      </c>
      <c r="I331" s="5" t="s">
        <v>1063</v>
      </c>
      <c r="J331">
        <v>0</v>
      </c>
      <c r="K331">
        <f>29.5-11.5</f>
        <v>18</v>
      </c>
      <c r="L331" t="s">
        <v>83</v>
      </c>
      <c r="M331">
        <v>4</v>
      </c>
    </row>
    <row r="332" spans="1:13" ht="15.75" x14ac:dyDescent="0.25">
      <c r="A332" t="s">
        <v>1061</v>
      </c>
      <c r="B332" t="s">
        <v>30</v>
      </c>
      <c r="C332">
        <v>8</v>
      </c>
      <c r="D332">
        <v>1</v>
      </c>
      <c r="E332" s="9" t="s">
        <v>42</v>
      </c>
      <c r="F332" t="s">
        <v>114</v>
      </c>
      <c r="G332">
        <v>2</v>
      </c>
      <c r="H332" s="5" t="s">
        <v>1064</v>
      </c>
      <c r="I332" s="5" t="s">
        <v>1065</v>
      </c>
      <c r="J332">
        <v>0</v>
      </c>
      <c r="K332">
        <f>27.5-12.5</f>
        <v>15</v>
      </c>
      <c r="L332" t="s">
        <v>38</v>
      </c>
      <c r="M332">
        <v>4</v>
      </c>
    </row>
    <row r="333" spans="1:13" x14ac:dyDescent="0.25">
      <c r="A333" t="s">
        <v>1061</v>
      </c>
      <c r="B333" t="s">
        <v>30</v>
      </c>
      <c r="C333">
        <v>7</v>
      </c>
      <c r="D333">
        <v>1</v>
      </c>
      <c r="E333" t="s">
        <v>42</v>
      </c>
      <c r="F333" t="s">
        <v>36</v>
      </c>
      <c r="G333">
        <v>2</v>
      </c>
      <c r="H333" s="5" t="s">
        <v>1066</v>
      </c>
      <c r="I333" s="5" t="s">
        <v>1067</v>
      </c>
      <c r="J333">
        <v>0</v>
      </c>
      <c r="K333">
        <f>30.5-11</f>
        <v>19.5</v>
      </c>
      <c r="L333" t="s">
        <v>83</v>
      </c>
      <c r="M333">
        <v>4</v>
      </c>
    </row>
    <row r="334" spans="1:13" x14ac:dyDescent="0.25">
      <c r="A334" t="s">
        <v>1061</v>
      </c>
      <c r="B334" t="s">
        <v>30</v>
      </c>
      <c r="C334">
        <v>7</v>
      </c>
      <c r="D334">
        <v>1</v>
      </c>
      <c r="E334" t="s">
        <v>42</v>
      </c>
      <c r="F334" t="s">
        <v>36</v>
      </c>
      <c r="G334">
        <v>2</v>
      </c>
      <c r="H334" s="5" t="s">
        <v>1069</v>
      </c>
      <c r="I334" s="5" t="s">
        <v>1070</v>
      </c>
      <c r="J334">
        <v>0</v>
      </c>
      <c r="K334">
        <f>30-11</f>
        <v>19</v>
      </c>
      <c r="L334" t="s">
        <v>1041</v>
      </c>
      <c r="M334">
        <v>4</v>
      </c>
    </row>
    <row r="335" spans="1:13" x14ac:dyDescent="0.25">
      <c r="A335" t="s">
        <v>1061</v>
      </c>
      <c r="B335" t="s">
        <v>30</v>
      </c>
      <c r="C335">
        <v>7</v>
      </c>
      <c r="D335">
        <v>1</v>
      </c>
      <c r="E335" t="s">
        <v>42</v>
      </c>
      <c r="F335" t="s">
        <v>114</v>
      </c>
      <c r="G335">
        <v>1</v>
      </c>
      <c r="H335" s="5" t="s">
        <v>1071</v>
      </c>
      <c r="I335" s="5" t="s">
        <v>1072</v>
      </c>
      <c r="J335">
        <v>0</v>
      </c>
      <c r="K335">
        <f>26.5-10</f>
        <v>16.5</v>
      </c>
      <c r="L335" t="s">
        <v>65</v>
      </c>
      <c r="M335">
        <v>4</v>
      </c>
    </row>
    <row r="336" spans="1:13" ht="15.75" x14ac:dyDescent="0.25">
      <c r="A336" t="s">
        <v>1061</v>
      </c>
      <c r="B336" t="s">
        <v>30</v>
      </c>
      <c r="C336">
        <v>5</v>
      </c>
      <c r="D336">
        <v>1</v>
      </c>
      <c r="E336" s="9" t="s">
        <v>35</v>
      </c>
      <c r="F336" t="s">
        <v>36</v>
      </c>
      <c r="G336">
        <v>1</v>
      </c>
      <c r="H336" s="5" t="s">
        <v>1122</v>
      </c>
      <c r="I336" s="5" t="s">
        <v>1123</v>
      </c>
      <c r="J336">
        <v>1</v>
      </c>
      <c r="K336">
        <f>34.5-14.5</f>
        <v>20</v>
      </c>
      <c r="L336" t="s">
        <v>47</v>
      </c>
      <c r="M336">
        <v>4</v>
      </c>
    </row>
    <row r="337" spans="1:13" ht="15.75" x14ac:dyDescent="0.25">
      <c r="A337" t="s">
        <v>1061</v>
      </c>
      <c r="B337" t="s">
        <v>30</v>
      </c>
      <c r="C337">
        <v>4</v>
      </c>
      <c r="D337">
        <v>1</v>
      </c>
      <c r="E337" s="9" t="s">
        <v>42</v>
      </c>
      <c r="F337" t="s">
        <v>89</v>
      </c>
      <c r="G337">
        <v>2</v>
      </c>
      <c r="H337" s="5" t="s">
        <v>1130</v>
      </c>
      <c r="I337" s="5" t="s">
        <v>1131</v>
      </c>
      <c r="J337">
        <v>0</v>
      </c>
      <c r="K337">
        <f>28-15.5</f>
        <v>12.5</v>
      </c>
      <c r="L337" t="s">
        <v>38</v>
      </c>
      <c r="M337">
        <v>4</v>
      </c>
    </row>
    <row r="338" spans="1:13" ht="15.75" x14ac:dyDescent="0.25">
      <c r="A338" t="s">
        <v>1061</v>
      </c>
      <c r="B338" t="s">
        <v>30</v>
      </c>
      <c r="C338">
        <v>3</v>
      </c>
      <c r="D338">
        <v>1</v>
      </c>
      <c r="E338" s="9" t="s">
        <v>42</v>
      </c>
      <c r="F338" t="s">
        <v>114</v>
      </c>
      <c r="G338">
        <v>2</v>
      </c>
      <c r="H338" s="5" t="s">
        <v>1132</v>
      </c>
      <c r="I338" s="5" t="s">
        <v>1133</v>
      </c>
      <c r="J338">
        <v>0</v>
      </c>
      <c r="K338">
        <f>31.5-15</f>
        <v>16.5</v>
      </c>
      <c r="L338" t="s">
        <v>83</v>
      </c>
      <c r="M338">
        <v>4</v>
      </c>
    </row>
    <row r="339" spans="1:13" ht="15.75" x14ac:dyDescent="0.25">
      <c r="A339" t="s">
        <v>1061</v>
      </c>
      <c r="B339" t="s">
        <v>30</v>
      </c>
      <c r="C339">
        <v>5</v>
      </c>
      <c r="D339">
        <v>1</v>
      </c>
      <c r="E339" s="9" t="s">
        <v>42</v>
      </c>
      <c r="F339" t="s">
        <v>114</v>
      </c>
      <c r="G339">
        <v>2</v>
      </c>
      <c r="H339" s="5" t="s">
        <v>1134</v>
      </c>
      <c r="I339" s="5" t="s">
        <v>1135</v>
      </c>
      <c r="J339">
        <v>0</v>
      </c>
      <c r="K339">
        <f>30.5-14.5</f>
        <v>16</v>
      </c>
      <c r="L339" t="s">
        <v>38</v>
      </c>
      <c r="M339">
        <v>4</v>
      </c>
    </row>
    <row r="340" spans="1:13" ht="15.75" x14ac:dyDescent="0.25">
      <c r="A340" t="s">
        <v>1061</v>
      </c>
      <c r="B340" t="s">
        <v>30</v>
      </c>
      <c r="C340">
        <v>3</v>
      </c>
      <c r="D340">
        <v>1</v>
      </c>
      <c r="E340" s="9" t="s">
        <v>35</v>
      </c>
      <c r="F340" t="s">
        <v>36</v>
      </c>
      <c r="G340">
        <v>1</v>
      </c>
      <c r="H340" s="5" t="s">
        <v>1136</v>
      </c>
      <c r="I340" s="5" t="s">
        <v>1137</v>
      </c>
      <c r="J340">
        <v>0</v>
      </c>
      <c r="K340">
        <f>37-15</f>
        <v>22</v>
      </c>
      <c r="L340" t="s">
        <v>47</v>
      </c>
      <c r="M340">
        <v>4</v>
      </c>
    </row>
    <row r="341" spans="1:13" x14ac:dyDescent="0.25">
      <c r="A341" t="s">
        <v>1061</v>
      </c>
      <c r="B341" t="s">
        <v>30</v>
      </c>
      <c r="C341">
        <v>7</v>
      </c>
      <c r="D341">
        <v>1</v>
      </c>
      <c r="E341" t="s">
        <v>35</v>
      </c>
      <c r="F341" t="s">
        <v>114</v>
      </c>
      <c r="G341">
        <v>2</v>
      </c>
      <c r="H341" s="5" t="s">
        <v>1242</v>
      </c>
      <c r="I341" s="5" t="s">
        <v>1243</v>
      </c>
      <c r="J341">
        <v>0</v>
      </c>
      <c r="K341">
        <f>27-11</f>
        <v>16</v>
      </c>
      <c r="L341" t="s">
        <v>38</v>
      </c>
      <c r="M341">
        <v>4</v>
      </c>
    </row>
    <row r="342" spans="1:13" x14ac:dyDescent="0.25">
      <c r="A342" t="s">
        <v>1061</v>
      </c>
      <c r="B342" t="s">
        <v>30</v>
      </c>
      <c r="C342">
        <v>7</v>
      </c>
      <c r="D342">
        <v>1</v>
      </c>
      <c r="E342" t="s">
        <v>35</v>
      </c>
      <c r="F342" t="s">
        <v>114</v>
      </c>
      <c r="G342">
        <v>1</v>
      </c>
      <c r="H342" s="5" t="s">
        <v>1246</v>
      </c>
      <c r="I342" s="5" t="s">
        <v>1247</v>
      </c>
      <c r="J342">
        <v>1</v>
      </c>
      <c r="K342">
        <f>28-10.5</f>
        <v>17.5</v>
      </c>
      <c r="L342" t="s">
        <v>65</v>
      </c>
      <c r="M342">
        <v>4</v>
      </c>
    </row>
    <row r="343" spans="1:13" ht="15.75" x14ac:dyDescent="0.25">
      <c r="A343" t="s">
        <v>1061</v>
      </c>
      <c r="B343" t="s">
        <v>30</v>
      </c>
      <c r="C343">
        <v>8</v>
      </c>
      <c r="D343">
        <v>1</v>
      </c>
      <c r="E343" s="9" t="s">
        <v>35</v>
      </c>
      <c r="F343" t="s">
        <v>114</v>
      </c>
      <c r="G343">
        <v>2</v>
      </c>
      <c r="H343" s="5" t="s">
        <v>1248</v>
      </c>
      <c r="I343" s="5" t="s">
        <v>1249</v>
      </c>
      <c r="J343">
        <v>0</v>
      </c>
      <c r="K343">
        <f>24.5-11.5</f>
        <v>13</v>
      </c>
      <c r="L343" t="s">
        <v>38</v>
      </c>
      <c r="M343">
        <v>4</v>
      </c>
    </row>
    <row r="344" spans="1:13" ht="15.75" x14ac:dyDescent="0.25">
      <c r="A344" t="s">
        <v>1061</v>
      </c>
      <c r="B344" t="s">
        <v>30</v>
      </c>
      <c r="C344">
        <v>8</v>
      </c>
      <c r="D344">
        <v>1</v>
      </c>
      <c r="E344" s="9" t="s">
        <v>35</v>
      </c>
      <c r="F344" t="s">
        <v>114</v>
      </c>
      <c r="G344">
        <v>2</v>
      </c>
      <c r="H344" s="5" t="s">
        <v>1250</v>
      </c>
      <c r="I344" s="5" t="s">
        <v>1251</v>
      </c>
      <c r="J344">
        <v>0</v>
      </c>
      <c r="K344">
        <f>26.5-12</f>
        <v>14.5</v>
      </c>
      <c r="L344" t="s">
        <v>38</v>
      </c>
      <c r="M344">
        <v>4</v>
      </c>
    </row>
    <row r="345" spans="1:13" x14ac:dyDescent="0.25">
      <c r="A345" t="s">
        <v>1061</v>
      </c>
      <c r="B345" t="s">
        <v>30</v>
      </c>
      <c r="C345">
        <v>7</v>
      </c>
      <c r="D345">
        <v>1</v>
      </c>
      <c r="E345" t="s">
        <v>35</v>
      </c>
      <c r="F345" t="s">
        <v>36</v>
      </c>
      <c r="G345">
        <v>2</v>
      </c>
      <c r="H345" s="5" t="s">
        <v>1252</v>
      </c>
      <c r="I345" s="5" t="s">
        <v>1253</v>
      </c>
      <c r="J345">
        <v>0</v>
      </c>
      <c r="K345">
        <f>32-10.5</f>
        <v>21.5</v>
      </c>
      <c r="L345" t="s">
        <v>83</v>
      </c>
      <c r="M345">
        <v>4</v>
      </c>
    </row>
    <row r="346" spans="1:13" x14ac:dyDescent="0.25">
      <c r="A346" t="s">
        <v>1061</v>
      </c>
      <c r="B346" t="s">
        <v>30</v>
      </c>
      <c r="C346">
        <v>7</v>
      </c>
      <c r="D346">
        <v>1</v>
      </c>
      <c r="E346" t="s">
        <v>35</v>
      </c>
      <c r="F346" t="s">
        <v>36</v>
      </c>
      <c r="G346">
        <v>1</v>
      </c>
      <c r="H346" s="5" t="s">
        <v>1254</v>
      </c>
      <c r="I346" s="5" t="s">
        <v>1255</v>
      </c>
      <c r="J346">
        <v>0</v>
      </c>
      <c r="K346">
        <f>29.5-11</f>
        <v>18.5</v>
      </c>
      <c r="L346" t="s">
        <v>65</v>
      </c>
      <c r="M346">
        <v>4</v>
      </c>
    </row>
    <row r="347" spans="1:13" x14ac:dyDescent="0.25">
      <c r="A347" t="s">
        <v>1061</v>
      </c>
      <c r="B347" t="s">
        <v>30</v>
      </c>
      <c r="C347">
        <v>7</v>
      </c>
      <c r="D347">
        <v>1</v>
      </c>
      <c r="E347" t="s">
        <v>35</v>
      </c>
      <c r="F347" t="s">
        <v>114</v>
      </c>
      <c r="G347">
        <v>2</v>
      </c>
      <c r="H347" s="5" t="s">
        <v>1256</v>
      </c>
      <c r="I347" s="5" t="s">
        <v>1257</v>
      </c>
      <c r="J347">
        <v>0</v>
      </c>
      <c r="K347">
        <f>28-11</f>
        <v>17</v>
      </c>
      <c r="L347" t="s">
        <v>38</v>
      </c>
      <c r="M347">
        <v>4</v>
      </c>
    </row>
    <row r="348" spans="1:13" x14ac:dyDescent="0.25">
      <c r="A348" t="s">
        <v>1061</v>
      </c>
      <c r="B348" t="s">
        <v>30</v>
      </c>
      <c r="C348">
        <v>7</v>
      </c>
      <c r="D348">
        <v>1</v>
      </c>
      <c r="E348" t="s">
        <v>35</v>
      </c>
      <c r="F348" t="s">
        <v>114</v>
      </c>
      <c r="G348">
        <v>1</v>
      </c>
      <c r="H348" s="5" t="s">
        <v>1288</v>
      </c>
      <c r="I348" s="5" t="s">
        <v>1289</v>
      </c>
      <c r="J348">
        <v>0</v>
      </c>
      <c r="K348">
        <f>29-11.5</f>
        <v>17.5</v>
      </c>
      <c r="L348" t="s">
        <v>65</v>
      </c>
      <c r="M348">
        <v>4</v>
      </c>
    </row>
    <row r="349" spans="1:13" ht="15.75" x14ac:dyDescent="0.25">
      <c r="A349" t="s">
        <v>1061</v>
      </c>
      <c r="B349" t="s">
        <v>30</v>
      </c>
      <c r="C349">
        <v>8</v>
      </c>
      <c r="D349">
        <v>1</v>
      </c>
      <c r="E349" s="9" t="s">
        <v>35</v>
      </c>
      <c r="F349" t="s">
        <v>114</v>
      </c>
      <c r="G349">
        <v>2</v>
      </c>
      <c r="H349" s="5" t="s">
        <v>1294</v>
      </c>
      <c r="I349" s="5" t="s">
        <v>1295</v>
      </c>
      <c r="J349">
        <v>0</v>
      </c>
      <c r="K349">
        <f>26.5-11</f>
        <v>15.5</v>
      </c>
      <c r="L349" t="s">
        <v>38</v>
      </c>
      <c r="M349">
        <v>4</v>
      </c>
    </row>
    <row r="350" spans="1:13" x14ac:dyDescent="0.25">
      <c r="A350" t="s">
        <v>1061</v>
      </c>
      <c r="B350" t="s">
        <v>30</v>
      </c>
      <c r="C350">
        <v>7</v>
      </c>
      <c r="D350">
        <v>1</v>
      </c>
      <c r="E350" t="s">
        <v>35</v>
      </c>
      <c r="F350" t="s">
        <v>36</v>
      </c>
      <c r="G350">
        <v>1</v>
      </c>
      <c r="H350" s="5" t="s">
        <v>1298</v>
      </c>
      <c r="I350" s="5" t="s">
        <v>1299</v>
      </c>
      <c r="J350">
        <v>0</v>
      </c>
      <c r="K350">
        <f>29.5-12</f>
        <v>17.5</v>
      </c>
      <c r="L350" t="s">
        <v>47</v>
      </c>
      <c r="M350">
        <v>4</v>
      </c>
    </row>
    <row r="351" spans="1:13" x14ac:dyDescent="0.25">
      <c r="A351" t="s">
        <v>1061</v>
      </c>
      <c r="B351" t="s">
        <v>30</v>
      </c>
      <c r="C351">
        <v>7</v>
      </c>
      <c r="D351">
        <v>1</v>
      </c>
      <c r="E351" t="s">
        <v>35</v>
      </c>
      <c r="F351" t="s">
        <v>114</v>
      </c>
      <c r="G351">
        <v>1</v>
      </c>
      <c r="H351" s="5" t="s">
        <v>1300</v>
      </c>
      <c r="I351" s="5" t="s">
        <v>1301</v>
      </c>
      <c r="J351">
        <v>0</v>
      </c>
      <c r="K351">
        <f>27-11.5</f>
        <v>15.5</v>
      </c>
      <c r="L351" t="s">
        <v>65</v>
      </c>
      <c r="M351">
        <v>4</v>
      </c>
    </row>
    <row r="352" spans="1:13" ht="15.75" x14ac:dyDescent="0.25">
      <c r="A352" t="s">
        <v>1061</v>
      </c>
      <c r="B352" t="s">
        <v>30</v>
      </c>
      <c r="C352">
        <v>3</v>
      </c>
      <c r="D352">
        <v>1</v>
      </c>
      <c r="E352" s="9" t="s">
        <v>35</v>
      </c>
      <c r="F352" t="s">
        <v>36</v>
      </c>
      <c r="G352">
        <v>2</v>
      </c>
      <c r="H352" s="5" t="s">
        <v>1351</v>
      </c>
      <c r="I352" s="5" t="s">
        <v>1352</v>
      </c>
      <c r="J352">
        <v>0</v>
      </c>
      <c r="K352">
        <f>36.5-15.5</f>
        <v>21</v>
      </c>
      <c r="L352" t="s">
        <v>38</v>
      </c>
      <c r="M352">
        <v>4</v>
      </c>
    </row>
    <row r="353" spans="1:13" ht="15.75" x14ac:dyDescent="0.25">
      <c r="A353" t="s">
        <v>1061</v>
      </c>
      <c r="B353" t="s">
        <v>30</v>
      </c>
      <c r="C353">
        <v>5</v>
      </c>
      <c r="D353">
        <v>1</v>
      </c>
      <c r="E353" s="9" t="s">
        <v>35</v>
      </c>
      <c r="F353" t="s">
        <v>114</v>
      </c>
      <c r="G353">
        <v>2</v>
      </c>
      <c r="H353" s="5" t="s">
        <v>1355</v>
      </c>
      <c r="I353" s="5" t="s">
        <v>1171</v>
      </c>
      <c r="J353">
        <v>0</v>
      </c>
      <c r="K353">
        <f>33.5-18</f>
        <v>15.5</v>
      </c>
      <c r="L353" t="s">
        <v>38</v>
      </c>
      <c r="M353">
        <v>4</v>
      </c>
    </row>
    <row r="354" spans="1:13" ht="15.75" x14ac:dyDescent="0.25">
      <c r="A354" t="s">
        <v>1061</v>
      </c>
      <c r="B354" t="s">
        <v>30</v>
      </c>
      <c r="C354">
        <v>5</v>
      </c>
      <c r="D354">
        <v>1</v>
      </c>
      <c r="E354" s="9" t="s">
        <v>35</v>
      </c>
      <c r="F354" t="s">
        <v>114</v>
      </c>
      <c r="G354">
        <v>2</v>
      </c>
      <c r="H354" s="5" t="s">
        <v>1359</v>
      </c>
      <c r="I354" s="5" t="s">
        <v>1360</v>
      </c>
      <c r="J354">
        <v>0</v>
      </c>
      <c r="K354">
        <f>31.5-14</f>
        <v>17.5</v>
      </c>
      <c r="L354" t="s">
        <v>38</v>
      </c>
      <c r="M354">
        <v>4</v>
      </c>
    </row>
    <row r="355" spans="1:13" ht="15.75" x14ac:dyDescent="0.25">
      <c r="A355" t="s">
        <v>1061</v>
      </c>
      <c r="B355" t="s">
        <v>30</v>
      </c>
      <c r="C355">
        <v>3</v>
      </c>
      <c r="D355">
        <v>1</v>
      </c>
      <c r="E355" s="9" t="s">
        <v>35</v>
      </c>
      <c r="F355" t="s">
        <v>114</v>
      </c>
      <c r="G355">
        <v>1</v>
      </c>
      <c r="H355" s="5" t="s">
        <v>1365</v>
      </c>
      <c r="I355" s="5" t="s">
        <v>1366</v>
      </c>
      <c r="J355">
        <v>0</v>
      </c>
      <c r="K355">
        <f>35.5-16.5</f>
        <v>19</v>
      </c>
      <c r="L355" t="s">
        <v>47</v>
      </c>
      <c r="M355">
        <v>4</v>
      </c>
    </row>
    <row r="356" spans="1:13" ht="15.75" x14ac:dyDescent="0.25">
      <c r="A356" t="s">
        <v>1061</v>
      </c>
      <c r="B356" t="s">
        <v>30</v>
      </c>
      <c r="C356">
        <v>3</v>
      </c>
      <c r="D356">
        <v>1</v>
      </c>
      <c r="E356" s="9" t="s">
        <v>35</v>
      </c>
      <c r="F356" t="s">
        <v>36</v>
      </c>
      <c r="G356">
        <v>1</v>
      </c>
      <c r="H356" s="5" t="s">
        <v>1367</v>
      </c>
      <c r="I356" s="5" t="s">
        <v>1368</v>
      </c>
      <c r="J356">
        <v>0</v>
      </c>
      <c r="K356">
        <f>40-16.5</f>
        <v>23.5</v>
      </c>
      <c r="L356" t="s">
        <v>47</v>
      </c>
      <c r="M356">
        <v>4</v>
      </c>
    </row>
    <row r="357" spans="1:13" ht="15.75" x14ac:dyDescent="0.25">
      <c r="A357" t="s">
        <v>1061</v>
      </c>
      <c r="B357" t="s">
        <v>30</v>
      </c>
      <c r="C357">
        <v>4</v>
      </c>
      <c r="D357">
        <v>1</v>
      </c>
      <c r="E357" s="9" t="s">
        <v>35</v>
      </c>
      <c r="F357" t="s">
        <v>114</v>
      </c>
      <c r="G357">
        <v>2</v>
      </c>
      <c r="H357" s="5" t="s">
        <v>1373</v>
      </c>
      <c r="I357" s="5" t="s">
        <v>1374</v>
      </c>
      <c r="J357">
        <v>0</v>
      </c>
      <c r="K357">
        <f>29.5-14.5</f>
        <v>15</v>
      </c>
      <c r="L357" t="s">
        <v>38</v>
      </c>
      <c r="M357">
        <v>4</v>
      </c>
    </row>
    <row r="358" spans="1:13" x14ac:dyDescent="0.25">
      <c r="A358" t="s">
        <v>1061</v>
      </c>
      <c r="B358" t="s">
        <v>30</v>
      </c>
      <c r="C358">
        <v>7</v>
      </c>
      <c r="D358">
        <v>1</v>
      </c>
      <c r="E358" t="s">
        <v>35</v>
      </c>
      <c r="F358" t="s">
        <v>114</v>
      </c>
      <c r="G358">
        <v>1</v>
      </c>
      <c r="H358" s="5" t="s">
        <v>1384</v>
      </c>
      <c r="I358" s="5" t="s">
        <v>1385</v>
      </c>
      <c r="J358">
        <v>1</v>
      </c>
      <c r="K358">
        <f>27-11.5</f>
        <v>15.5</v>
      </c>
      <c r="L358" t="s">
        <v>65</v>
      </c>
      <c r="M358">
        <v>4</v>
      </c>
    </row>
    <row r="359" spans="1:13" ht="15.75" x14ac:dyDescent="0.25">
      <c r="A359" t="s">
        <v>1061</v>
      </c>
      <c r="B359" t="s">
        <v>30</v>
      </c>
      <c r="C359">
        <v>4</v>
      </c>
      <c r="D359">
        <v>1</v>
      </c>
      <c r="E359" s="9" t="s">
        <v>35</v>
      </c>
      <c r="F359" t="s">
        <v>36</v>
      </c>
      <c r="G359">
        <v>1</v>
      </c>
      <c r="H359" s="5" t="s">
        <v>1405</v>
      </c>
      <c r="I359" s="5" t="s">
        <v>1406</v>
      </c>
      <c r="J359">
        <v>1</v>
      </c>
      <c r="K359">
        <f>33-15.5</f>
        <v>17.5</v>
      </c>
      <c r="L359" t="s">
        <v>65</v>
      </c>
      <c r="M359">
        <v>4</v>
      </c>
    </row>
    <row r="360" spans="1:13" ht="15.75" x14ac:dyDescent="0.25">
      <c r="A360" t="s">
        <v>1061</v>
      </c>
      <c r="B360" t="s">
        <v>30</v>
      </c>
      <c r="C360">
        <v>9</v>
      </c>
      <c r="D360">
        <v>1</v>
      </c>
      <c r="E360" s="9" t="s">
        <v>42</v>
      </c>
      <c r="F360" t="s">
        <v>36</v>
      </c>
      <c r="G360">
        <v>1</v>
      </c>
      <c r="H360" s="5"/>
      <c r="I360" s="5" t="s">
        <v>1409</v>
      </c>
      <c r="J360">
        <v>0</v>
      </c>
      <c r="K360">
        <f>32.5-13</f>
        <v>19.5</v>
      </c>
      <c r="L360" t="s">
        <v>47</v>
      </c>
      <c r="M360">
        <v>4</v>
      </c>
    </row>
    <row r="361" spans="1:13" x14ac:dyDescent="0.25">
      <c r="A361" t="s">
        <v>1061</v>
      </c>
      <c r="B361" t="s">
        <v>30</v>
      </c>
      <c r="C361">
        <v>7</v>
      </c>
      <c r="D361">
        <v>2</v>
      </c>
      <c r="E361" t="s">
        <v>42</v>
      </c>
      <c r="F361" t="s">
        <v>36</v>
      </c>
      <c r="G361">
        <v>1</v>
      </c>
      <c r="H361" s="5" t="s">
        <v>1068</v>
      </c>
      <c r="I361" s="5"/>
      <c r="J361">
        <v>1</v>
      </c>
      <c r="K361">
        <f>32-11.5</f>
        <v>20.5</v>
      </c>
      <c r="L361" t="s">
        <v>65</v>
      </c>
      <c r="M361">
        <v>4</v>
      </c>
    </row>
    <row r="362" spans="1:13" x14ac:dyDescent="0.25">
      <c r="A362" t="s">
        <v>1061</v>
      </c>
      <c r="B362" t="s">
        <v>30</v>
      </c>
      <c r="C362">
        <v>7</v>
      </c>
      <c r="D362">
        <v>2</v>
      </c>
      <c r="E362" t="s">
        <v>42</v>
      </c>
      <c r="F362" t="s">
        <v>36</v>
      </c>
      <c r="G362">
        <v>2</v>
      </c>
      <c r="H362" s="5" t="s">
        <v>1380</v>
      </c>
      <c r="I362" s="5"/>
      <c r="J362">
        <v>1</v>
      </c>
      <c r="K362">
        <f>41.5-11</f>
        <v>30.5</v>
      </c>
      <c r="L362" t="s">
        <v>1041</v>
      </c>
      <c r="M362">
        <v>4</v>
      </c>
    </row>
    <row r="363" spans="1:13" x14ac:dyDescent="0.25">
      <c r="A363" t="s">
        <v>1061</v>
      </c>
      <c r="B363" t="s">
        <v>30</v>
      </c>
      <c r="C363">
        <v>7</v>
      </c>
      <c r="D363">
        <v>2</v>
      </c>
      <c r="E363" t="s">
        <v>35</v>
      </c>
      <c r="F363" t="s">
        <v>36</v>
      </c>
      <c r="G363">
        <v>2</v>
      </c>
      <c r="H363" s="5" t="s">
        <v>1383</v>
      </c>
      <c r="I363" s="5"/>
      <c r="J363">
        <v>1</v>
      </c>
      <c r="K363">
        <f>29-11.5</f>
        <v>17.5</v>
      </c>
      <c r="L363" t="s">
        <v>38</v>
      </c>
      <c r="M363">
        <v>4</v>
      </c>
    </row>
    <row r="364" spans="1:13" x14ac:dyDescent="0.25">
      <c r="A364" t="s">
        <v>1061</v>
      </c>
      <c r="B364" t="s">
        <v>30</v>
      </c>
      <c r="C364">
        <v>7</v>
      </c>
      <c r="D364">
        <v>3</v>
      </c>
      <c r="E364" t="s">
        <v>35</v>
      </c>
      <c r="F364" t="s">
        <v>36</v>
      </c>
      <c r="G364">
        <v>2</v>
      </c>
      <c r="H364" s="5" t="s">
        <v>1228</v>
      </c>
      <c r="I364" s="5"/>
      <c r="J364">
        <v>0</v>
      </c>
      <c r="K364">
        <f>34.5-12</f>
        <v>22.5</v>
      </c>
      <c r="L364" t="s">
        <v>1039</v>
      </c>
      <c r="M364">
        <v>4</v>
      </c>
    </row>
    <row r="365" spans="1:13" ht="15.75" x14ac:dyDescent="0.25">
      <c r="A365" s="4" t="s">
        <v>1047</v>
      </c>
      <c r="B365" t="s">
        <v>30</v>
      </c>
      <c r="C365">
        <v>8</v>
      </c>
      <c r="D365">
        <v>1</v>
      </c>
      <c r="E365" s="9" t="s">
        <v>42</v>
      </c>
      <c r="F365" t="s">
        <v>36</v>
      </c>
      <c r="G365">
        <v>2</v>
      </c>
      <c r="H365" s="5" t="s">
        <v>1049</v>
      </c>
      <c r="I365" s="5" t="s">
        <v>1050</v>
      </c>
      <c r="J365">
        <v>0</v>
      </c>
      <c r="K365">
        <f>30-11</f>
        <v>19</v>
      </c>
      <c r="L365" t="s">
        <v>1040</v>
      </c>
      <c r="M365">
        <v>4</v>
      </c>
    </row>
    <row r="366" spans="1:13" ht="15.75" x14ac:dyDescent="0.25">
      <c r="A366" s="4" t="s">
        <v>1047</v>
      </c>
      <c r="B366" t="s">
        <v>30</v>
      </c>
      <c r="C366">
        <v>7</v>
      </c>
      <c r="D366">
        <v>1</v>
      </c>
      <c r="E366" s="9" t="s">
        <v>42</v>
      </c>
      <c r="F366" t="s">
        <v>114</v>
      </c>
      <c r="G366">
        <v>2</v>
      </c>
      <c r="H366" s="5" t="s">
        <v>1051</v>
      </c>
      <c r="I366" s="5" t="s">
        <v>1052</v>
      </c>
      <c r="J366">
        <v>0</v>
      </c>
      <c r="K366">
        <f>25-10.5</f>
        <v>14.5</v>
      </c>
      <c r="L366" t="s">
        <v>38</v>
      </c>
      <c r="M366">
        <v>4</v>
      </c>
    </row>
    <row r="367" spans="1:13" ht="15.75" x14ac:dyDescent="0.25">
      <c r="A367" s="4" t="s">
        <v>1047</v>
      </c>
      <c r="B367" t="s">
        <v>30</v>
      </c>
      <c r="C367">
        <v>7</v>
      </c>
      <c r="D367">
        <v>1</v>
      </c>
      <c r="E367" s="9" t="s">
        <v>42</v>
      </c>
      <c r="F367" t="s">
        <v>89</v>
      </c>
      <c r="G367">
        <v>2</v>
      </c>
      <c r="H367" s="5" t="s">
        <v>1055</v>
      </c>
      <c r="I367" s="5" t="s">
        <v>1056</v>
      </c>
      <c r="J367">
        <v>0</v>
      </c>
      <c r="K367">
        <f>25.5-11</f>
        <v>14.5</v>
      </c>
      <c r="L367" t="s">
        <v>38</v>
      </c>
      <c r="M367">
        <v>4</v>
      </c>
    </row>
    <row r="368" spans="1:13" ht="15.75" x14ac:dyDescent="0.25">
      <c r="A368" t="s">
        <v>1047</v>
      </c>
      <c r="B368" t="s">
        <v>30</v>
      </c>
      <c r="C368">
        <v>7</v>
      </c>
      <c r="D368">
        <v>1</v>
      </c>
      <c r="E368" s="9" t="s">
        <v>42</v>
      </c>
      <c r="F368" t="s">
        <v>114</v>
      </c>
      <c r="G368">
        <v>2</v>
      </c>
      <c r="H368" s="5" t="s">
        <v>1058</v>
      </c>
      <c r="I368" s="5" t="s">
        <v>1059</v>
      </c>
      <c r="J368">
        <v>0</v>
      </c>
      <c r="K368">
        <f>24.5-10.5</f>
        <v>14</v>
      </c>
      <c r="L368" t="s">
        <v>38</v>
      </c>
      <c r="M368">
        <v>4</v>
      </c>
    </row>
    <row r="369" spans="1:13" ht="15.75" x14ac:dyDescent="0.25">
      <c r="A369" t="s">
        <v>1047</v>
      </c>
      <c r="B369" t="s">
        <v>30</v>
      </c>
      <c r="C369">
        <v>9</v>
      </c>
      <c r="D369">
        <v>1</v>
      </c>
      <c r="E369" s="9" t="s">
        <v>35</v>
      </c>
      <c r="F369" t="s">
        <v>114</v>
      </c>
      <c r="G369">
        <v>2</v>
      </c>
      <c r="H369" s="5" t="s">
        <v>1062</v>
      </c>
      <c r="I369" s="5" t="s">
        <v>1063</v>
      </c>
      <c r="J369">
        <v>0</v>
      </c>
      <c r="K369">
        <f>29-11.5</f>
        <v>17.5</v>
      </c>
      <c r="L369" t="s">
        <v>83</v>
      </c>
      <c r="M369">
        <v>4</v>
      </c>
    </row>
    <row r="370" spans="1:13" ht="15.75" x14ac:dyDescent="0.25">
      <c r="A370" t="s">
        <v>1047</v>
      </c>
      <c r="B370" t="s">
        <v>30</v>
      </c>
      <c r="C370">
        <v>8</v>
      </c>
      <c r="D370">
        <v>1</v>
      </c>
      <c r="E370" s="9" t="s">
        <v>35</v>
      </c>
      <c r="F370" t="s">
        <v>114</v>
      </c>
      <c r="G370">
        <v>2</v>
      </c>
      <c r="H370" s="5" t="s">
        <v>1064</v>
      </c>
      <c r="I370" s="5" t="s">
        <v>1065</v>
      </c>
      <c r="J370">
        <v>0</v>
      </c>
      <c r="K370">
        <f>25.5-11</f>
        <v>14.5</v>
      </c>
      <c r="L370" t="s">
        <v>38</v>
      </c>
      <c r="M370">
        <v>4</v>
      </c>
    </row>
    <row r="371" spans="1:13" ht="15.75" x14ac:dyDescent="0.25">
      <c r="A371" t="s">
        <v>1047</v>
      </c>
      <c r="B371" t="s">
        <v>30</v>
      </c>
      <c r="C371">
        <v>7</v>
      </c>
      <c r="D371">
        <v>1</v>
      </c>
      <c r="E371" s="9" t="s">
        <v>35</v>
      </c>
      <c r="F371" t="s">
        <v>36</v>
      </c>
      <c r="G371">
        <v>2</v>
      </c>
      <c r="H371" s="5" t="s">
        <v>1066</v>
      </c>
      <c r="I371" s="5" t="s">
        <v>1067</v>
      </c>
      <c r="J371">
        <v>0</v>
      </c>
      <c r="K371">
        <f>29.5-10.5</f>
        <v>19</v>
      </c>
      <c r="L371" t="s">
        <v>83</v>
      </c>
      <c r="M371">
        <v>4</v>
      </c>
    </row>
    <row r="372" spans="1:13" ht="15.75" x14ac:dyDescent="0.25">
      <c r="A372" t="s">
        <v>1047</v>
      </c>
      <c r="B372" t="s">
        <v>30</v>
      </c>
      <c r="C372">
        <v>7</v>
      </c>
      <c r="D372">
        <v>1</v>
      </c>
      <c r="E372" s="9" t="s">
        <v>35</v>
      </c>
      <c r="F372" t="s">
        <v>36</v>
      </c>
      <c r="G372">
        <v>2</v>
      </c>
      <c r="H372" s="5" t="s">
        <v>1069</v>
      </c>
      <c r="I372" s="5" t="s">
        <v>1070</v>
      </c>
      <c r="J372">
        <v>0</v>
      </c>
      <c r="K372">
        <f>32.5-11</f>
        <v>21.5</v>
      </c>
      <c r="L372" t="s">
        <v>1041</v>
      </c>
      <c r="M372">
        <v>4</v>
      </c>
    </row>
    <row r="373" spans="1:13" ht="15.75" x14ac:dyDescent="0.25">
      <c r="A373" t="s">
        <v>1047</v>
      </c>
      <c r="B373" t="s">
        <v>30</v>
      </c>
      <c r="C373">
        <v>7</v>
      </c>
      <c r="D373">
        <v>1</v>
      </c>
      <c r="E373" s="9" t="s">
        <v>35</v>
      </c>
      <c r="F373" t="s">
        <v>114</v>
      </c>
      <c r="G373">
        <v>1</v>
      </c>
      <c r="H373" s="5" t="s">
        <v>1071</v>
      </c>
      <c r="I373" s="5" t="s">
        <v>1072</v>
      </c>
      <c r="J373">
        <v>0</v>
      </c>
      <c r="K373">
        <f>26-10</f>
        <v>16</v>
      </c>
      <c r="L373" t="s">
        <v>65</v>
      </c>
      <c r="M373">
        <v>4</v>
      </c>
    </row>
    <row r="374" spans="1:13" ht="15.75" x14ac:dyDescent="0.25">
      <c r="A374" t="s">
        <v>1047</v>
      </c>
      <c r="B374" t="s">
        <v>30</v>
      </c>
      <c r="C374">
        <v>4</v>
      </c>
      <c r="D374">
        <v>1</v>
      </c>
      <c r="E374" s="9" t="s">
        <v>42</v>
      </c>
      <c r="F374" t="s">
        <v>114</v>
      </c>
      <c r="G374">
        <v>1</v>
      </c>
      <c r="H374" s="5" t="s">
        <v>1109</v>
      </c>
      <c r="I374" s="5" t="s">
        <v>1110</v>
      </c>
      <c r="J374">
        <v>0</v>
      </c>
      <c r="K374">
        <f>19-12</f>
        <v>7</v>
      </c>
      <c r="L374" t="s">
        <v>65</v>
      </c>
      <c r="M374">
        <v>4</v>
      </c>
    </row>
    <row r="375" spans="1:13" ht="15.75" x14ac:dyDescent="0.25">
      <c r="A375" t="s">
        <v>1047</v>
      </c>
      <c r="B375" t="s">
        <v>30</v>
      </c>
      <c r="C375">
        <v>4</v>
      </c>
      <c r="D375">
        <v>1</v>
      </c>
      <c r="E375" s="9" t="s">
        <v>42</v>
      </c>
      <c r="F375" t="s">
        <v>36</v>
      </c>
      <c r="G375">
        <v>2</v>
      </c>
      <c r="H375" s="5" t="s">
        <v>1111</v>
      </c>
      <c r="I375" s="5" t="s">
        <v>1112</v>
      </c>
      <c r="J375">
        <v>0</v>
      </c>
      <c r="K375">
        <f>35-16</f>
        <v>19</v>
      </c>
      <c r="L375" t="s">
        <v>1039</v>
      </c>
      <c r="M375">
        <v>4</v>
      </c>
    </row>
    <row r="376" spans="1:13" ht="15.75" x14ac:dyDescent="0.25">
      <c r="A376" t="s">
        <v>1047</v>
      </c>
      <c r="B376" t="s">
        <v>30</v>
      </c>
      <c r="C376">
        <v>4</v>
      </c>
      <c r="D376">
        <v>1</v>
      </c>
      <c r="E376" s="9" t="s">
        <v>42</v>
      </c>
      <c r="F376" t="s">
        <v>114</v>
      </c>
      <c r="G376">
        <v>2</v>
      </c>
      <c r="H376" s="5" t="s">
        <v>1113</v>
      </c>
      <c r="I376" s="5" t="s">
        <v>1114</v>
      </c>
      <c r="J376">
        <v>0</v>
      </c>
      <c r="K376">
        <f>30.5-15.5</f>
        <v>15</v>
      </c>
      <c r="L376" t="s">
        <v>38</v>
      </c>
      <c r="M376">
        <v>4</v>
      </c>
    </row>
    <row r="377" spans="1:13" ht="15.75" x14ac:dyDescent="0.25">
      <c r="A377" t="s">
        <v>1047</v>
      </c>
      <c r="B377" t="s">
        <v>30</v>
      </c>
      <c r="C377">
        <v>3</v>
      </c>
      <c r="D377">
        <v>1</v>
      </c>
      <c r="E377" s="9" t="s">
        <v>42</v>
      </c>
      <c r="F377" t="s">
        <v>114</v>
      </c>
      <c r="G377">
        <v>1</v>
      </c>
      <c r="H377" s="5" t="s">
        <v>1115</v>
      </c>
      <c r="I377" s="5" t="s">
        <v>1116</v>
      </c>
      <c r="J377">
        <v>0</v>
      </c>
      <c r="K377">
        <f>32-14</f>
        <v>18</v>
      </c>
      <c r="L377" t="s">
        <v>47</v>
      </c>
      <c r="M377">
        <v>4</v>
      </c>
    </row>
    <row r="378" spans="1:13" ht="15.75" x14ac:dyDescent="0.25">
      <c r="A378" t="s">
        <v>1047</v>
      </c>
      <c r="B378" t="s">
        <v>30</v>
      </c>
      <c r="C378">
        <v>5</v>
      </c>
      <c r="D378">
        <v>1</v>
      </c>
      <c r="E378" s="9" t="s">
        <v>42</v>
      </c>
      <c r="F378" t="s">
        <v>114</v>
      </c>
      <c r="G378">
        <v>2</v>
      </c>
      <c r="H378" s="5" t="s">
        <v>1117</v>
      </c>
      <c r="I378" s="5" t="s">
        <v>1118</v>
      </c>
      <c r="J378">
        <v>0</v>
      </c>
      <c r="K378">
        <f>29.5-14.5</f>
        <v>15</v>
      </c>
      <c r="L378" t="s">
        <v>38</v>
      </c>
      <c r="M378">
        <v>4</v>
      </c>
    </row>
    <row r="379" spans="1:13" ht="15.75" x14ac:dyDescent="0.25">
      <c r="A379" t="s">
        <v>1047</v>
      </c>
      <c r="B379" t="s">
        <v>30</v>
      </c>
      <c r="C379">
        <v>5</v>
      </c>
      <c r="D379">
        <v>1</v>
      </c>
      <c r="E379" s="9" t="s">
        <v>42</v>
      </c>
      <c r="F379" t="s">
        <v>114</v>
      </c>
      <c r="G379">
        <v>2</v>
      </c>
      <c r="H379" s="5" t="s">
        <v>1119</v>
      </c>
      <c r="I379" s="5" t="s">
        <v>1120</v>
      </c>
      <c r="J379">
        <v>0</v>
      </c>
      <c r="K379">
        <f>34.5-17</f>
        <v>17.5</v>
      </c>
      <c r="L379" t="s">
        <v>83</v>
      </c>
      <c r="M379">
        <v>4</v>
      </c>
    </row>
    <row r="380" spans="1:13" ht="15.75" x14ac:dyDescent="0.25">
      <c r="A380" t="s">
        <v>1047</v>
      </c>
      <c r="B380" t="s">
        <v>30</v>
      </c>
      <c r="C380">
        <v>5</v>
      </c>
      <c r="D380">
        <v>1</v>
      </c>
      <c r="E380" s="9" t="s">
        <v>35</v>
      </c>
      <c r="F380" t="s">
        <v>36</v>
      </c>
      <c r="G380">
        <v>1</v>
      </c>
      <c r="H380" s="5" t="s">
        <v>1122</v>
      </c>
      <c r="I380" s="5" t="s">
        <v>1123</v>
      </c>
      <c r="J380">
        <v>1</v>
      </c>
      <c r="K380">
        <f>38-17.5</f>
        <v>20.5</v>
      </c>
      <c r="L380" t="s">
        <v>47</v>
      </c>
      <c r="M380">
        <v>4</v>
      </c>
    </row>
    <row r="381" spans="1:13" ht="15.75" x14ac:dyDescent="0.25">
      <c r="A381" t="s">
        <v>1047</v>
      </c>
      <c r="B381" t="s">
        <v>30</v>
      </c>
      <c r="C381">
        <v>5</v>
      </c>
      <c r="D381">
        <v>1</v>
      </c>
      <c r="E381" s="9" t="s">
        <v>35</v>
      </c>
      <c r="F381" t="s">
        <v>114</v>
      </c>
      <c r="G381">
        <v>1</v>
      </c>
      <c r="H381" s="5" t="s">
        <v>1125</v>
      </c>
      <c r="I381" s="5" t="s">
        <v>1126</v>
      </c>
      <c r="J381">
        <v>0</v>
      </c>
      <c r="K381">
        <f>34.5-15.5</f>
        <v>19</v>
      </c>
      <c r="L381" t="s">
        <v>47</v>
      </c>
      <c r="M381">
        <v>4</v>
      </c>
    </row>
    <row r="382" spans="1:13" ht="15.75" x14ac:dyDescent="0.25">
      <c r="A382" t="s">
        <v>1047</v>
      </c>
      <c r="B382" t="s">
        <v>30</v>
      </c>
      <c r="C382">
        <v>5</v>
      </c>
      <c r="D382">
        <v>1</v>
      </c>
      <c r="E382" s="9" t="s">
        <v>42</v>
      </c>
      <c r="F382" t="s">
        <v>89</v>
      </c>
      <c r="G382">
        <v>2</v>
      </c>
      <c r="H382" s="5" t="s">
        <v>1128</v>
      </c>
      <c r="I382" s="5" t="s">
        <v>1129</v>
      </c>
      <c r="J382">
        <v>0</v>
      </c>
      <c r="K382">
        <f>30.5-16.5</f>
        <v>14</v>
      </c>
      <c r="L382" t="s">
        <v>38</v>
      </c>
      <c r="M382">
        <v>4</v>
      </c>
    </row>
    <row r="383" spans="1:13" ht="15.75" x14ac:dyDescent="0.25">
      <c r="A383" t="s">
        <v>1047</v>
      </c>
      <c r="B383" t="s">
        <v>30</v>
      </c>
      <c r="C383">
        <v>7</v>
      </c>
      <c r="D383">
        <v>1</v>
      </c>
      <c r="E383" s="9" t="s">
        <v>35</v>
      </c>
      <c r="F383" t="s">
        <v>114</v>
      </c>
      <c r="G383">
        <v>2</v>
      </c>
      <c r="H383" s="5" t="s">
        <v>1242</v>
      </c>
      <c r="I383" s="5" t="s">
        <v>1243</v>
      </c>
      <c r="J383">
        <v>0</v>
      </c>
      <c r="K383">
        <f>26-11</f>
        <v>15</v>
      </c>
      <c r="L383" t="s">
        <v>38</v>
      </c>
      <c r="M383">
        <v>4</v>
      </c>
    </row>
    <row r="384" spans="1:13" ht="15.75" x14ac:dyDescent="0.25">
      <c r="A384" t="s">
        <v>1047</v>
      </c>
      <c r="B384" t="s">
        <v>30</v>
      </c>
      <c r="C384">
        <v>7</v>
      </c>
      <c r="D384">
        <v>1</v>
      </c>
      <c r="E384" s="9" t="s">
        <v>35</v>
      </c>
      <c r="F384" t="s">
        <v>114</v>
      </c>
      <c r="G384">
        <v>2</v>
      </c>
      <c r="H384" s="5" t="s">
        <v>1244</v>
      </c>
      <c r="I384" s="5" t="s">
        <v>1245</v>
      </c>
      <c r="J384">
        <v>0</v>
      </c>
      <c r="K384">
        <f>29-11</f>
        <v>18</v>
      </c>
      <c r="L384" t="s">
        <v>38</v>
      </c>
      <c r="M384">
        <v>4</v>
      </c>
    </row>
    <row r="385" spans="1:13" ht="15.75" x14ac:dyDescent="0.25">
      <c r="A385" t="s">
        <v>1047</v>
      </c>
      <c r="B385" t="s">
        <v>30</v>
      </c>
      <c r="C385">
        <v>7</v>
      </c>
      <c r="D385">
        <v>1</v>
      </c>
      <c r="E385" s="9" t="s">
        <v>35</v>
      </c>
      <c r="F385" t="s">
        <v>114</v>
      </c>
      <c r="G385">
        <v>1</v>
      </c>
      <c r="H385" s="5" t="s">
        <v>1246</v>
      </c>
      <c r="I385" s="5" t="s">
        <v>1247</v>
      </c>
      <c r="J385">
        <v>1</v>
      </c>
      <c r="K385">
        <f>28-10.5</f>
        <v>17.5</v>
      </c>
      <c r="L385" t="s">
        <v>65</v>
      </c>
      <c r="M385">
        <v>4</v>
      </c>
    </row>
    <row r="386" spans="1:13" ht="15.75" x14ac:dyDescent="0.25">
      <c r="A386" t="s">
        <v>1047</v>
      </c>
      <c r="B386" t="s">
        <v>30</v>
      </c>
      <c r="C386">
        <v>8</v>
      </c>
      <c r="D386">
        <v>1</v>
      </c>
      <c r="E386" s="9" t="s">
        <v>35</v>
      </c>
      <c r="F386" t="s">
        <v>114</v>
      </c>
      <c r="G386">
        <v>2</v>
      </c>
      <c r="H386" s="5" t="s">
        <v>1248</v>
      </c>
      <c r="I386" s="5" t="s">
        <v>1249</v>
      </c>
      <c r="J386">
        <v>0</v>
      </c>
      <c r="K386">
        <f>24.5-11.5</f>
        <v>13</v>
      </c>
      <c r="L386" t="s">
        <v>38</v>
      </c>
      <c r="M386">
        <v>4</v>
      </c>
    </row>
    <row r="387" spans="1:13" ht="15.75" x14ac:dyDescent="0.25">
      <c r="A387" t="s">
        <v>1047</v>
      </c>
      <c r="B387" t="s">
        <v>30</v>
      </c>
      <c r="C387">
        <v>8</v>
      </c>
      <c r="D387">
        <v>1</v>
      </c>
      <c r="E387" s="9" t="s">
        <v>35</v>
      </c>
      <c r="F387" t="s">
        <v>114</v>
      </c>
      <c r="G387">
        <v>2</v>
      </c>
      <c r="H387" s="5" t="s">
        <v>1250</v>
      </c>
      <c r="I387" s="5" t="s">
        <v>1251</v>
      </c>
      <c r="J387">
        <v>0</v>
      </c>
      <c r="K387">
        <f>24-11</f>
        <v>13</v>
      </c>
      <c r="L387" t="s">
        <v>38</v>
      </c>
      <c r="M387">
        <v>4</v>
      </c>
    </row>
    <row r="388" spans="1:13" ht="15.75" x14ac:dyDescent="0.25">
      <c r="A388" t="s">
        <v>1047</v>
      </c>
      <c r="B388" t="s">
        <v>30</v>
      </c>
      <c r="C388">
        <v>7</v>
      </c>
      <c r="D388">
        <v>1</v>
      </c>
      <c r="E388" s="9" t="s">
        <v>35</v>
      </c>
      <c r="F388" t="s">
        <v>36</v>
      </c>
      <c r="G388">
        <v>2</v>
      </c>
      <c r="H388" s="5" t="s">
        <v>1252</v>
      </c>
      <c r="I388" s="5" t="s">
        <v>1253</v>
      </c>
      <c r="J388">
        <v>0</v>
      </c>
      <c r="K388">
        <f>29-10</f>
        <v>19</v>
      </c>
      <c r="L388" t="s">
        <v>83</v>
      </c>
      <c r="M388">
        <v>4</v>
      </c>
    </row>
    <row r="389" spans="1:13" ht="15.75" x14ac:dyDescent="0.25">
      <c r="A389" t="s">
        <v>1047</v>
      </c>
      <c r="B389" t="s">
        <v>30</v>
      </c>
      <c r="C389">
        <v>7</v>
      </c>
      <c r="D389">
        <v>1</v>
      </c>
      <c r="E389" s="9" t="s">
        <v>35</v>
      </c>
      <c r="F389" t="s">
        <v>36</v>
      </c>
      <c r="G389">
        <v>1</v>
      </c>
      <c r="H389" s="5" t="s">
        <v>1254</v>
      </c>
      <c r="I389" s="5" t="s">
        <v>1255</v>
      </c>
      <c r="J389">
        <v>0</v>
      </c>
      <c r="K389">
        <f>30.5-11.5</f>
        <v>19</v>
      </c>
      <c r="L389" t="s">
        <v>65</v>
      </c>
      <c r="M389">
        <v>4</v>
      </c>
    </row>
    <row r="390" spans="1:13" ht="15.75" x14ac:dyDescent="0.25">
      <c r="A390" t="s">
        <v>1047</v>
      </c>
      <c r="B390" t="s">
        <v>30</v>
      </c>
      <c r="C390">
        <v>7</v>
      </c>
      <c r="D390">
        <v>1</v>
      </c>
      <c r="E390" s="9" t="s">
        <v>35</v>
      </c>
      <c r="F390" t="s">
        <v>114</v>
      </c>
      <c r="G390">
        <v>2</v>
      </c>
      <c r="H390" s="5" t="s">
        <v>1256</v>
      </c>
      <c r="I390" s="5" t="s">
        <v>1257</v>
      </c>
      <c r="J390">
        <v>0</v>
      </c>
      <c r="K390">
        <f>27-11</f>
        <v>16</v>
      </c>
      <c r="L390" t="s">
        <v>38</v>
      </c>
      <c r="M390">
        <v>4</v>
      </c>
    </row>
    <row r="391" spans="1:13" ht="15.75" x14ac:dyDescent="0.25">
      <c r="A391" t="s">
        <v>1047</v>
      </c>
      <c r="B391" t="s">
        <v>30</v>
      </c>
      <c r="C391">
        <v>8</v>
      </c>
      <c r="D391">
        <v>1</v>
      </c>
      <c r="E391" s="9" t="s">
        <v>35</v>
      </c>
      <c r="F391" t="s">
        <v>114</v>
      </c>
      <c r="G391">
        <v>2</v>
      </c>
      <c r="H391" s="5" t="s">
        <v>1294</v>
      </c>
      <c r="I391" s="5" t="s">
        <v>1295</v>
      </c>
      <c r="J391">
        <v>0</v>
      </c>
      <c r="K391">
        <f>24-10.5</f>
        <v>13.5</v>
      </c>
      <c r="L391" t="s">
        <v>38</v>
      </c>
      <c r="M391">
        <v>4</v>
      </c>
    </row>
    <row r="392" spans="1:13" ht="15.75" x14ac:dyDescent="0.25">
      <c r="A392" t="s">
        <v>1047</v>
      </c>
      <c r="B392" t="s">
        <v>30</v>
      </c>
      <c r="C392">
        <v>8</v>
      </c>
      <c r="D392">
        <v>1</v>
      </c>
      <c r="E392" s="9" t="s">
        <v>35</v>
      </c>
      <c r="F392" t="s">
        <v>114</v>
      </c>
      <c r="G392">
        <v>1</v>
      </c>
      <c r="H392" s="5" t="s">
        <v>1296</v>
      </c>
      <c r="I392" s="5" t="s">
        <v>1297</v>
      </c>
      <c r="J392">
        <v>0</v>
      </c>
      <c r="K392">
        <f>30-11.5</f>
        <v>18.5</v>
      </c>
      <c r="L392" t="s">
        <v>65</v>
      </c>
      <c r="M392">
        <v>4</v>
      </c>
    </row>
    <row r="393" spans="1:13" ht="15.75" x14ac:dyDescent="0.25">
      <c r="A393" t="s">
        <v>1047</v>
      </c>
      <c r="B393" t="s">
        <v>30</v>
      </c>
      <c r="C393">
        <v>7</v>
      </c>
      <c r="D393">
        <v>1</v>
      </c>
      <c r="E393" s="9" t="s">
        <v>35</v>
      </c>
      <c r="F393" t="s">
        <v>36</v>
      </c>
      <c r="G393">
        <v>1</v>
      </c>
      <c r="H393" s="5" t="s">
        <v>1298</v>
      </c>
      <c r="I393" s="5" t="s">
        <v>1299</v>
      </c>
      <c r="J393">
        <v>0</v>
      </c>
      <c r="K393">
        <f>27-10.5</f>
        <v>16.5</v>
      </c>
      <c r="L393" t="s">
        <v>47</v>
      </c>
      <c r="M393">
        <v>4</v>
      </c>
    </row>
    <row r="394" spans="1:13" ht="15.75" x14ac:dyDescent="0.25">
      <c r="A394" t="s">
        <v>1047</v>
      </c>
      <c r="B394" t="s">
        <v>30</v>
      </c>
      <c r="C394">
        <v>7</v>
      </c>
      <c r="D394">
        <v>1</v>
      </c>
      <c r="E394" s="9" t="s">
        <v>35</v>
      </c>
      <c r="F394" t="s">
        <v>36</v>
      </c>
      <c r="G394">
        <v>2</v>
      </c>
      <c r="H394" s="5" t="s">
        <v>1302</v>
      </c>
      <c r="I394" s="5" t="s">
        <v>1303</v>
      </c>
      <c r="J394">
        <v>0</v>
      </c>
      <c r="K394">
        <f>30-10</f>
        <v>20</v>
      </c>
      <c r="L394" t="s">
        <v>83</v>
      </c>
      <c r="M394">
        <v>4</v>
      </c>
    </row>
    <row r="395" spans="1:13" ht="15.75" x14ac:dyDescent="0.25">
      <c r="A395" t="s">
        <v>1047</v>
      </c>
      <c r="B395" t="s">
        <v>30</v>
      </c>
      <c r="C395">
        <v>8</v>
      </c>
      <c r="D395">
        <v>1</v>
      </c>
      <c r="E395" s="9" t="s">
        <v>35</v>
      </c>
      <c r="F395" t="s">
        <v>89</v>
      </c>
      <c r="G395">
        <v>2</v>
      </c>
      <c r="H395" s="5" t="s">
        <v>1308</v>
      </c>
      <c r="I395" s="5" t="s">
        <v>1309</v>
      </c>
      <c r="J395">
        <v>0</v>
      </c>
      <c r="K395">
        <f>26-11.5</f>
        <v>14.5</v>
      </c>
      <c r="L395" t="s">
        <v>38</v>
      </c>
      <c r="M395">
        <v>4</v>
      </c>
    </row>
    <row r="396" spans="1:13" ht="15.75" x14ac:dyDescent="0.25">
      <c r="A396" t="s">
        <v>1047</v>
      </c>
      <c r="B396" t="s">
        <v>30</v>
      </c>
      <c r="C396">
        <v>3</v>
      </c>
      <c r="D396">
        <v>1</v>
      </c>
      <c r="E396" s="9" t="s">
        <v>35</v>
      </c>
      <c r="F396" t="s">
        <v>114</v>
      </c>
      <c r="G396">
        <v>2</v>
      </c>
      <c r="H396" s="5" t="s">
        <v>1347</v>
      </c>
      <c r="I396" s="5" t="s">
        <v>1348</v>
      </c>
      <c r="J396">
        <v>0</v>
      </c>
      <c r="K396">
        <f>34.5-16</f>
        <v>18.5</v>
      </c>
      <c r="L396" t="s">
        <v>38</v>
      </c>
      <c r="M396">
        <v>4</v>
      </c>
    </row>
    <row r="397" spans="1:13" ht="15.75" x14ac:dyDescent="0.25">
      <c r="A397" t="s">
        <v>1047</v>
      </c>
      <c r="B397" t="s">
        <v>30</v>
      </c>
      <c r="C397">
        <v>5</v>
      </c>
      <c r="D397">
        <v>1</v>
      </c>
      <c r="E397" s="9" t="s">
        <v>35</v>
      </c>
      <c r="F397" t="s">
        <v>114</v>
      </c>
      <c r="G397">
        <v>2</v>
      </c>
      <c r="H397" s="5" t="s">
        <v>1355</v>
      </c>
      <c r="I397" s="5" t="s">
        <v>1356</v>
      </c>
      <c r="J397">
        <v>0</v>
      </c>
      <c r="K397">
        <f>31-16</f>
        <v>15</v>
      </c>
      <c r="L397" t="s">
        <v>38</v>
      </c>
      <c r="M397">
        <v>4</v>
      </c>
    </row>
    <row r="398" spans="1:13" ht="15.75" x14ac:dyDescent="0.25">
      <c r="A398" t="s">
        <v>1047</v>
      </c>
      <c r="B398" t="s">
        <v>30</v>
      </c>
      <c r="C398">
        <v>5</v>
      </c>
      <c r="D398">
        <v>1</v>
      </c>
      <c r="E398" s="9" t="s">
        <v>35</v>
      </c>
      <c r="F398" t="s">
        <v>36</v>
      </c>
      <c r="G398">
        <v>1</v>
      </c>
      <c r="H398" s="5" t="s">
        <v>1357</v>
      </c>
      <c r="I398" s="5" t="s">
        <v>1358</v>
      </c>
      <c r="J398">
        <v>1</v>
      </c>
      <c r="K398">
        <f>40.5-16</f>
        <v>24.5</v>
      </c>
      <c r="L398" t="s">
        <v>47</v>
      </c>
      <c r="M398">
        <v>4</v>
      </c>
    </row>
    <row r="399" spans="1:13" ht="15.75" x14ac:dyDescent="0.25">
      <c r="A399" t="s">
        <v>1047</v>
      </c>
      <c r="B399" t="s">
        <v>30</v>
      </c>
      <c r="C399">
        <v>5</v>
      </c>
      <c r="D399">
        <v>1</v>
      </c>
      <c r="E399" s="9" t="s">
        <v>35</v>
      </c>
      <c r="F399" t="s">
        <v>114</v>
      </c>
      <c r="G399">
        <v>2</v>
      </c>
      <c r="H399" s="5" t="s">
        <v>1359</v>
      </c>
      <c r="I399" s="5" t="s">
        <v>1360</v>
      </c>
      <c r="J399">
        <v>0</v>
      </c>
      <c r="K399">
        <f>34-15.5</f>
        <v>18.5</v>
      </c>
      <c r="L399" t="s">
        <v>38</v>
      </c>
      <c r="M399">
        <v>4</v>
      </c>
    </row>
    <row r="400" spans="1:13" ht="15.75" x14ac:dyDescent="0.25">
      <c r="A400" t="s">
        <v>1047</v>
      </c>
      <c r="B400" t="s">
        <v>30</v>
      </c>
      <c r="C400">
        <v>5</v>
      </c>
      <c r="D400">
        <v>1</v>
      </c>
      <c r="E400" s="9" t="s">
        <v>35</v>
      </c>
      <c r="F400" t="s">
        <v>114</v>
      </c>
      <c r="G400">
        <v>1</v>
      </c>
      <c r="H400" s="5" t="s">
        <v>1371</v>
      </c>
      <c r="I400" s="5" t="s">
        <v>1372</v>
      </c>
      <c r="J400">
        <v>0</v>
      </c>
      <c r="K400">
        <f>32.5-12.5</f>
        <v>20</v>
      </c>
      <c r="L400" t="s">
        <v>65</v>
      </c>
      <c r="M400">
        <v>4</v>
      </c>
    </row>
    <row r="401" spans="1:13" ht="15.75" x14ac:dyDescent="0.25">
      <c r="A401" t="s">
        <v>1047</v>
      </c>
      <c r="B401" t="s">
        <v>30</v>
      </c>
      <c r="C401">
        <v>4</v>
      </c>
      <c r="D401">
        <v>1</v>
      </c>
      <c r="E401" s="9" t="s">
        <v>35</v>
      </c>
      <c r="F401" t="s">
        <v>114</v>
      </c>
      <c r="G401">
        <v>2</v>
      </c>
      <c r="H401" s="5" t="s">
        <v>1373</v>
      </c>
      <c r="I401" s="5" t="s">
        <v>1374</v>
      </c>
      <c r="J401">
        <v>0</v>
      </c>
      <c r="K401">
        <f>29.5-16</f>
        <v>13.5</v>
      </c>
      <c r="L401" t="s">
        <v>38</v>
      </c>
      <c r="M401">
        <v>4</v>
      </c>
    </row>
    <row r="402" spans="1:13" ht="15.75" x14ac:dyDescent="0.25">
      <c r="A402" t="s">
        <v>1047</v>
      </c>
      <c r="B402" t="s">
        <v>30</v>
      </c>
      <c r="C402">
        <v>7</v>
      </c>
      <c r="D402">
        <v>1</v>
      </c>
      <c r="E402" s="9" t="s">
        <v>35</v>
      </c>
      <c r="F402" t="s">
        <v>114</v>
      </c>
      <c r="G402">
        <v>1</v>
      </c>
      <c r="H402" s="5" t="s">
        <v>1384</v>
      </c>
      <c r="I402" s="5" t="s">
        <v>1385</v>
      </c>
      <c r="J402">
        <v>1</v>
      </c>
      <c r="K402">
        <f>26.5-12.5</f>
        <v>14</v>
      </c>
      <c r="L402" t="s">
        <v>65</v>
      </c>
      <c r="M402">
        <v>4</v>
      </c>
    </row>
    <row r="403" spans="1:13" ht="15.75" x14ac:dyDescent="0.25">
      <c r="A403" t="s">
        <v>1047</v>
      </c>
      <c r="B403" t="s">
        <v>30</v>
      </c>
      <c r="C403">
        <v>4</v>
      </c>
      <c r="D403">
        <v>1</v>
      </c>
      <c r="E403" s="9" t="s">
        <v>35</v>
      </c>
      <c r="F403" t="s">
        <v>36</v>
      </c>
      <c r="G403">
        <v>1</v>
      </c>
      <c r="H403" s="5" t="s">
        <v>1405</v>
      </c>
      <c r="I403" s="5" t="s">
        <v>1406</v>
      </c>
      <c r="J403">
        <v>1</v>
      </c>
      <c r="K403">
        <f>34.5-17</f>
        <v>17.5</v>
      </c>
      <c r="L403" t="s">
        <v>65</v>
      </c>
      <c r="M403">
        <v>4</v>
      </c>
    </row>
    <row r="404" spans="1:13" ht="15.75" x14ac:dyDescent="0.25">
      <c r="A404" t="s">
        <v>1047</v>
      </c>
      <c r="B404" t="s">
        <v>30</v>
      </c>
      <c r="C404">
        <v>9</v>
      </c>
      <c r="D404">
        <v>1</v>
      </c>
      <c r="E404" s="9" t="s">
        <v>35</v>
      </c>
      <c r="F404" t="s">
        <v>36</v>
      </c>
      <c r="G404">
        <v>1</v>
      </c>
      <c r="H404" s="5"/>
      <c r="I404" s="5" t="s">
        <v>1409</v>
      </c>
      <c r="J404">
        <v>0</v>
      </c>
      <c r="K404">
        <f>30.5-12.5</f>
        <v>18</v>
      </c>
      <c r="L404" t="s">
        <v>65</v>
      </c>
      <c r="M404">
        <v>4</v>
      </c>
    </row>
    <row r="405" spans="1:13" ht="15.75" x14ac:dyDescent="0.25">
      <c r="A405" t="s">
        <v>1047</v>
      </c>
      <c r="B405" t="s">
        <v>30</v>
      </c>
      <c r="C405">
        <v>7</v>
      </c>
      <c r="D405">
        <v>2</v>
      </c>
      <c r="E405" s="9" t="s">
        <v>42</v>
      </c>
      <c r="F405" t="s">
        <v>36</v>
      </c>
      <c r="G405">
        <v>2</v>
      </c>
      <c r="H405" s="5" t="s">
        <v>1060</v>
      </c>
      <c r="I405" s="5"/>
      <c r="J405">
        <v>1</v>
      </c>
      <c r="K405">
        <f>38-10</f>
        <v>28</v>
      </c>
      <c r="L405" t="s">
        <v>1041</v>
      </c>
      <c r="M405">
        <v>4</v>
      </c>
    </row>
    <row r="406" spans="1:13" ht="15.75" x14ac:dyDescent="0.25">
      <c r="A406" t="s">
        <v>1047</v>
      </c>
      <c r="B406" t="s">
        <v>30</v>
      </c>
      <c r="C406">
        <v>7</v>
      </c>
      <c r="D406">
        <v>2</v>
      </c>
      <c r="E406" s="9" t="s">
        <v>35</v>
      </c>
      <c r="F406" t="s">
        <v>36</v>
      </c>
      <c r="G406">
        <v>2</v>
      </c>
      <c r="H406" s="5" t="s">
        <v>1383</v>
      </c>
      <c r="I406" s="5"/>
      <c r="J406">
        <v>1</v>
      </c>
      <c r="K406">
        <f>28-10.5</f>
        <v>17.5</v>
      </c>
      <c r="L406" t="s">
        <v>38</v>
      </c>
      <c r="M406">
        <v>4</v>
      </c>
    </row>
    <row r="407" spans="1:13" ht="15.75" x14ac:dyDescent="0.25">
      <c r="A407" s="4" t="s">
        <v>1047</v>
      </c>
      <c r="B407" t="s">
        <v>30</v>
      </c>
      <c r="C407">
        <v>8</v>
      </c>
      <c r="D407">
        <v>3</v>
      </c>
      <c r="E407" s="9" t="s">
        <v>42</v>
      </c>
      <c r="F407" t="s">
        <v>36</v>
      </c>
      <c r="G407">
        <v>2</v>
      </c>
      <c r="H407" s="5" t="s">
        <v>1048</v>
      </c>
      <c r="I407" s="5"/>
      <c r="J407">
        <v>0</v>
      </c>
      <c r="K407">
        <f>38-11</f>
        <v>27</v>
      </c>
      <c r="L407" t="s">
        <v>81</v>
      </c>
      <c r="M407">
        <v>4</v>
      </c>
    </row>
    <row r="408" spans="1:13" ht="15.75" x14ac:dyDescent="0.25">
      <c r="A408" t="s">
        <v>1047</v>
      </c>
      <c r="B408" t="s">
        <v>30</v>
      </c>
      <c r="C408">
        <v>8</v>
      </c>
      <c r="D408">
        <v>3</v>
      </c>
      <c r="E408" s="9" t="s">
        <v>42</v>
      </c>
      <c r="F408" t="s">
        <v>36</v>
      </c>
      <c r="G408">
        <v>2</v>
      </c>
      <c r="H408" s="5" t="s">
        <v>1095</v>
      </c>
      <c r="I408" s="5"/>
      <c r="J408">
        <v>0</v>
      </c>
      <c r="K408">
        <f>28.5-11</f>
        <v>17.5</v>
      </c>
      <c r="L408" t="s">
        <v>83</v>
      </c>
      <c r="M408">
        <v>4</v>
      </c>
    </row>
    <row r="409" spans="1:13" ht="15.75" x14ac:dyDescent="0.25">
      <c r="A409" t="s">
        <v>1047</v>
      </c>
      <c r="B409" t="s">
        <v>30</v>
      </c>
      <c r="C409">
        <v>8</v>
      </c>
      <c r="D409">
        <v>3</v>
      </c>
      <c r="E409" s="9" t="s">
        <v>42</v>
      </c>
      <c r="F409" t="s">
        <v>36</v>
      </c>
      <c r="G409">
        <v>2</v>
      </c>
      <c r="H409" s="5" t="s">
        <v>1096</v>
      </c>
      <c r="I409" s="5"/>
      <c r="J409">
        <v>0</v>
      </c>
      <c r="K409">
        <f>35-11</f>
        <v>24</v>
      </c>
      <c r="L409" t="s">
        <v>1039</v>
      </c>
      <c r="M409">
        <v>4</v>
      </c>
    </row>
    <row r="410" spans="1:13" ht="15.75" x14ac:dyDescent="0.25">
      <c r="A410" t="s">
        <v>1047</v>
      </c>
      <c r="B410" t="s">
        <v>30</v>
      </c>
      <c r="C410">
        <v>7</v>
      </c>
      <c r="D410">
        <v>3</v>
      </c>
      <c r="E410" s="9" t="s">
        <v>35</v>
      </c>
      <c r="F410" t="s">
        <v>36</v>
      </c>
      <c r="G410">
        <v>2</v>
      </c>
      <c r="H410" s="5" t="s">
        <v>1228</v>
      </c>
      <c r="I410" s="5"/>
      <c r="J410">
        <v>0</v>
      </c>
      <c r="K410">
        <f>35-11.5</f>
        <v>23.5</v>
      </c>
      <c r="L410" t="s">
        <v>1039</v>
      </c>
      <c r="M410">
        <v>4</v>
      </c>
    </row>
    <row r="411" spans="1:13" ht="15.75" x14ac:dyDescent="0.25">
      <c r="A411" t="s">
        <v>1047</v>
      </c>
      <c r="B411" t="s">
        <v>30</v>
      </c>
      <c r="C411">
        <v>8</v>
      </c>
      <c r="D411">
        <v>3</v>
      </c>
      <c r="E411" s="9" t="s">
        <v>35</v>
      </c>
      <c r="F411" t="s">
        <v>36</v>
      </c>
      <c r="G411">
        <v>2</v>
      </c>
      <c r="H411" s="5" t="s">
        <v>1241</v>
      </c>
      <c r="I411" s="5"/>
      <c r="J411">
        <v>0</v>
      </c>
      <c r="K411">
        <f>36.5-11</f>
        <v>25.5</v>
      </c>
      <c r="L411" t="s">
        <v>1039</v>
      </c>
      <c r="M411">
        <v>4</v>
      </c>
    </row>
    <row r="412" spans="1:13" ht="15.75" x14ac:dyDescent="0.25">
      <c r="A412" t="s">
        <v>1082</v>
      </c>
      <c r="B412" t="s">
        <v>30</v>
      </c>
      <c r="C412">
        <v>3</v>
      </c>
      <c r="D412">
        <v>1</v>
      </c>
      <c r="E412" s="9" t="s">
        <v>42</v>
      </c>
      <c r="F412" t="s">
        <v>114</v>
      </c>
      <c r="G412">
        <v>1</v>
      </c>
      <c r="H412" s="5" t="s">
        <v>1083</v>
      </c>
      <c r="I412" s="5" t="s">
        <v>1084</v>
      </c>
      <c r="J412">
        <v>0</v>
      </c>
      <c r="K412">
        <f>37-21</f>
        <v>16</v>
      </c>
      <c r="L412" t="s">
        <v>65</v>
      </c>
      <c r="M412">
        <v>4</v>
      </c>
    </row>
    <row r="413" spans="1:13" ht="15.75" x14ac:dyDescent="0.25">
      <c r="A413" t="s">
        <v>1082</v>
      </c>
      <c r="B413" t="s">
        <v>30</v>
      </c>
      <c r="C413">
        <v>2</v>
      </c>
      <c r="D413">
        <v>1</v>
      </c>
      <c r="E413" s="9" t="s">
        <v>42</v>
      </c>
      <c r="F413" t="s">
        <v>114</v>
      </c>
      <c r="G413">
        <v>1</v>
      </c>
      <c r="H413" s="5" t="s">
        <v>1085</v>
      </c>
      <c r="I413" s="5" t="s">
        <v>1086</v>
      </c>
      <c r="J413">
        <v>0</v>
      </c>
      <c r="K413">
        <f>37.5-23.5</f>
        <v>14</v>
      </c>
      <c r="L413" t="s">
        <v>65</v>
      </c>
      <c r="M413">
        <v>4</v>
      </c>
    </row>
    <row r="414" spans="1:13" ht="15.75" x14ac:dyDescent="0.25">
      <c r="A414" t="s">
        <v>1082</v>
      </c>
      <c r="B414" t="s">
        <v>30</v>
      </c>
      <c r="C414">
        <v>2</v>
      </c>
      <c r="D414">
        <v>1</v>
      </c>
      <c r="E414" s="9" t="s">
        <v>42</v>
      </c>
      <c r="F414" t="s">
        <v>114</v>
      </c>
      <c r="G414">
        <v>2</v>
      </c>
      <c r="H414" s="5" t="s">
        <v>1087</v>
      </c>
      <c r="I414" s="5" t="s">
        <v>1088</v>
      </c>
      <c r="J414">
        <v>0</v>
      </c>
      <c r="K414">
        <f>27.5-19.5</f>
        <v>8</v>
      </c>
      <c r="L414" t="s">
        <v>38</v>
      </c>
      <c r="M414">
        <v>4</v>
      </c>
    </row>
    <row r="415" spans="1:13" ht="15.75" x14ac:dyDescent="0.25">
      <c r="A415" t="s">
        <v>1082</v>
      </c>
      <c r="B415" t="s">
        <v>30</v>
      </c>
      <c r="C415">
        <v>2</v>
      </c>
      <c r="D415">
        <v>1</v>
      </c>
      <c r="E415" s="9" t="s">
        <v>42</v>
      </c>
      <c r="F415" t="s">
        <v>114</v>
      </c>
      <c r="G415">
        <v>1</v>
      </c>
      <c r="H415" s="5" t="s">
        <v>1091</v>
      </c>
      <c r="I415" s="5" t="s">
        <v>1092</v>
      </c>
      <c r="J415">
        <v>0</v>
      </c>
      <c r="K415">
        <f>28.5-12.5</f>
        <v>16</v>
      </c>
      <c r="L415" t="s">
        <v>65</v>
      </c>
      <c r="M415">
        <v>4</v>
      </c>
    </row>
    <row r="416" spans="1:13" ht="15.75" x14ac:dyDescent="0.25">
      <c r="A416" t="s">
        <v>1082</v>
      </c>
      <c r="B416" t="s">
        <v>30</v>
      </c>
      <c r="C416">
        <v>2</v>
      </c>
      <c r="D416">
        <v>1</v>
      </c>
      <c r="E416" s="9" t="s">
        <v>42</v>
      </c>
      <c r="F416" t="s">
        <v>36</v>
      </c>
      <c r="G416">
        <v>2</v>
      </c>
      <c r="H416" s="5" t="s">
        <v>1093</v>
      </c>
      <c r="I416" s="5" t="s">
        <v>1094</v>
      </c>
      <c r="J416">
        <v>0</v>
      </c>
      <c r="K416">
        <f>36-13</f>
        <v>23</v>
      </c>
      <c r="L416" t="s">
        <v>38</v>
      </c>
      <c r="M416">
        <v>4</v>
      </c>
    </row>
    <row r="417" spans="1:13" ht="15.75" x14ac:dyDescent="0.25">
      <c r="A417" t="s">
        <v>1082</v>
      </c>
      <c r="B417" t="s">
        <v>30</v>
      </c>
      <c r="C417">
        <v>1</v>
      </c>
      <c r="D417">
        <v>1</v>
      </c>
      <c r="E417" s="9" t="s">
        <v>35</v>
      </c>
      <c r="F417" t="s">
        <v>36</v>
      </c>
      <c r="G417">
        <v>2</v>
      </c>
      <c r="H417" s="5" t="s">
        <v>1097</v>
      </c>
      <c r="I417" s="5" t="s">
        <v>1098</v>
      </c>
      <c r="J417">
        <v>0</v>
      </c>
      <c r="K417">
        <f>42.5-20</f>
        <v>22.5</v>
      </c>
      <c r="L417" t="s">
        <v>83</v>
      </c>
      <c r="M417">
        <v>4</v>
      </c>
    </row>
    <row r="418" spans="1:13" ht="15.75" x14ac:dyDescent="0.25">
      <c r="A418" t="s">
        <v>1082</v>
      </c>
      <c r="B418" t="s">
        <v>30</v>
      </c>
      <c r="C418">
        <v>1</v>
      </c>
      <c r="D418">
        <v>1</v>
      </c>
      <c r="E418" s="9" t="s">
        <v>42</v>
      </c>
      <c r="F418" t="s">
        <v>89</v>
      </c>
      <c r="G418">
        <v>1</v>
      </c>
      <c r="H418" s="5" t="s">
        <v>1105</v>
      </c>
      <c r="I418" s="5" t="s">
        <v>1106</v>
      </c>
      <c r="J418">
        <v>0</v>
      </c>
      <c r="K418">
        <f>41-27</f>
        <v>14</v>
      </c>
      <c r="L418" t="s">
        <v>65</v>
      </c>
      <c r="M418">
        <v>4</v>
      </c>
    </row>
    <row r="419" spans="1:13" ht="15.75" x14ac:dyDescent="0.25">
      <c r="A419" t="s">
        <v>1082</v>
      </c>
      <c r="B419" t="s">
        <v>30</v>
      </c>
      <c r="C419">
        <v>1</v>
      </c>
      <c r="D419">
        <v>1</v>
      </c>
      <c r="E419" s="9" t="s">
        <v>42</v>
      </c>
      <c r="F419" t="s">
        <v>114</v>
      </c>
      <c r="G419">
        <v>1</v>
      </c>
      <c r="H419" s="5" t="s">
        <v>1107</v>
      </c>
      <c r="I419" s="5" t="s">
        <v>1108</v>
      </c>
      <c r="J419">
        <v>0</v>
      </c>
      <c r="K419">
        <f>38.5-24</f>
        <v>14.5</v>
      </c>
      <c r="L419" t="s">
        <v>47</v>
      </c>
      <c r="M419">
        <v>4</v>
      </c>
    </row>
    <row r="420" spans="1:13" ht="15.75" x14ac:dyDescent="0.25">
      <c r="A420" t="s">
        <v>1082</v>
      </c>
      <c r="B420" t="s">
        <v>30</v>
      </c>
      <c r="C420">
        <v>2</v>
      </c>
      <c r="D420">
        <v>1</v>
      </c>
      <c r="E420" s="9" t="s">
        <v>35</v>
      </c>
      <c r="F420" t="s">
        <v>114</v>
      </c>
      <c r="G420">
        <v>2</v>
      </c>
      <c r="H420" s="5" t="s">
        <v>1261</v>
      </c>
      <c r="I420" s="5" t="s">
        <v>1262</v>
      </c>
      <c r="J420">
        <v>0</v>
      </c>
      <c r="K420">
        <f>30-14</f>
        <v>16</v>
      </c>
      <c r="L420" t="s">
        <v>38</v>
      </c>
      <c r="M420">
        <v>4</v>
      </c>
    </row>
    <row r="421" spans="1:13" ht="15.75" x14ac:dyDescent="0.25">
      <c r="A421" t="s">
        <v>1082</v>
      </c>
      <c r="B421" t="s">
        <v>30</v>
      </c>
      <c r="C421">
        <v>2</v>
      </c>
      <c r="D421">
        <v>1</v>
      </c>
      <c r="E421" s="9" t="s">
        <v>35</v>
      </c>
      <c r="F421" t="s">
        <v>36</v>
      </c>
      <c r="G421">
        <v>1</v>
      </c>
      <c r="H421" s="5" t="s">
        <v>1263</v>
      </c>
      <c r="I421" s="5" t="s">
        <v>1264</v>
      </c>
      <c r="J421">
        <v>0</v>
      </c>
      <c r="K421">
        <f>37-14</f>
        <v>23</v>
      </c>
      <c r="L421" t="s">
        <v>47</v>
      </c>
      <c r="M421">
        <v>4</v>
      </c>
    </row>
    <row r="422" spans="1:13" ht="15.75" x14ac:dyDescent="0.25">
      <c r="A422" t="s">
        <v>1082</v>
      </c>
      <c r="B422" t="s">
        <v>30</v>
      </c>
      <c r="C422">
        <v>2</v>
      </c>
      <c r="D422">
        <v>1</v>
      </c>
      <c r="E422" s="9" t="s">
        <v>35</v>
      </c>
      <c r="F422" t="s">
        <v>114</v>
      </c>
      <c r="G422">
        <v>1</v>
      </c>
      <c r="H422" s="5" t="s">
        <v>1270</v>
      </c>
      <c r="I422" s="5" t="s">
        <v>1271</v>
      </c>
      <c r="J422">
        <v>0</v>
      </c>
      <c r="K422">
        <f>28-13</f>
        <v>15</v>
      </c>
      <c r="L422" t="s">
        <v>65</v>
      </c>
      <c r="M422">
        <v>4</v>
      </c>
    </row>
    <row r="423" spans="1:13" ht="15.75" x14ac:dyDescent="0.25">
      <c r="A423" t="s">
        <v>1082</v>
      </c>
      <c r="B423" t="s">
        <v>30</v>
      </c>
      <c r="C423">
        <v>2</v>
      </c>
      <c r="D423">
        <v>1</v>
      </c>
      <c r="E423" s="9" t="s">
        <v>35</v>
      </c>
      <c r="F423" t="s">
        <v>114</v>
      </c>
      <c r="G423">
        <v>2</v>
      </c>
      <c r="H423" s="5" t="s">
        <v>1272</v>
      </c>
      <c r="I423" s="5" t="s">
        <v>1273</v>
      </c>
      <c r="J423">
        <v>0</v>
      </c>
      <c r="K423">
        <f>27-12.5</f>
        <v>14.5</v>
      </c>
      <c r="L423" t="s">
        <v>83</v>
      </c>
      <c r="M423">
        <v>4</v>
      </c>
    </row>
    <row r="424" spans="1:13" ht="15.75" x14ac:dyDescent="0.25">
      <c r="A424" t="s">
        <v>1082</v>
      </c>
      <c r="B424" t="s">
        <v>30</v>
      </c>
      <c r="C424">
        <v>1</v>
      </c>
      <c r="D424">
        <v>1</v>
      </c>
      <c r="E424" s="9" t="s">
        <v>35</v>
      </c>
      <c r="F424" t="s">
        <v>114</v>
      </c>
      <c r="G424">
        <v>1</v>
      </c>
      <c r="H424" s="5" t="s">
        <v>1284</v>
      </c>
      <c r="I424" s="5" t="s">
        <v>1285</v>
      </c>
      <c r="J424">
        <v>0</v>
      </c>
      <c r="K424">
        <f>48-30.5</f>
        <v>17.5</v>
      </c>
      <c r="L424" t="s">
        <v>47</v>
      </c>
      <c r="M424">
        <v>4</v>
      </c>
    </row>
    <row r="425" spans="1:13" ht="15.75" x14ac:dyDescent="0.25">
      <c r="A425" t="s">
        <v>1082</v>
      </c>
      <c r="B425" t="s">
        <v>30</v>
      </c>
      <c r="C425">
        <v>1</v>
      </c>
      <c r="D425">
        <v>1</v>
      </c>
      <c r="E425" s="9" t="s">
        <v>35</v>
      </c>
      <c r="F425" t="s">
        <v>36</v>
      </c>
      <c r="G425">
        <v>2</v>
      </c>
      <c r="H425" s="5" t="s">
        <v>1304</v>
      </c>
      <c r="I425" s="5" t="s">
        <v>1305</v>
      </c>
      <c r="J425">
        <v>0</v>
      </c>
      <c r="K425">
        <f>37-17.5</f>
        <v>19.5</v>
      </c>
      <c r="L425" t="s">
        <v>38</v>
      </c>
      <c r="M425">
        <v>4</v>
      </c>
    </row>
    <row r="426" spans="1:13" ht="15.75" x14ac:dyDescent="0.25">
      <c r="A426" t="s">
        <v>1082</v>
      </c>
      <c r="B426" t="s">
        <v>30</v>
      </c>
      <c r="C426">
        <v>2</v>
      </c>
      <c r="D426">
        <v>1</v>
      </c>
      <c r="E426" s="9" t="s">
        <v>35</v>
      </c>
      <c r="F426" t="s">
        <v>114</v>
      </c>
      <c r="G426">
        <v>1</v>
      </c>
      <c r="H426" s="5" t="s">
        <v>1312</v>
      </c>
      <c r="I426" s="5" t="s">
        <v>1313</v>
      </c>
      <c r="J426">
        <v>0</v>
      </c>
      <c r="K426">
        <f>29.5-12.5</f>
        <v>17</v>
      </c>
      <c r="L426" t="s">
        <v>65</v>
      </c>
      <c r="M426">
        <v>4</v>
      </c>
    </row>
    <row r="427" spans="1:13" ht="15.75" x14ac:dyDescent="0.25">
      <c r="A427" t="s">
        <v>1082</v>
      </c>
      <c r="B427" t="s">
        <v>30</v>
      </c>
      <c r="C427">
        <v>1</v>
      </c>
      <c r="D427">
        <v>1</v>
      </c>
      <c r="E427" s="9" t="s">
        <v>35</v>
      </c>
      <c r="F427" t="s">
        <v>36</v>
      </c>
      <c r="G427">
        <v>1</v>
      </c>
      <c r="H427" s="5" t="s">
        <v>1321</v>
      </c>
      <c r="I427" s="5" t="s">
        <v>1322</v>
      </c>
      <c r="J427">
        <v>0</v>
      </c>
      <c r="K427">
        <f>42-24.5</f>
        <v>17.5</v>
      </c>
      <c r="L427" t="s">
        <v>47</v>
      </c>
      <c r="M427">
        <v>4</v>
      </c>
    </row>
    <row r="428" spans="1:13" ht="15.75" x14ac:dyDescent="0.25">
      <c r="A428" t="s">
        <v>1082</v>
      </c>
      <c r="B428" t="s">
        <v>30</v>
      </c>
      <c r="C428">
        <v>1</v>
      </c>
      <c r="D428">
        <v>1</v>
      </c>
      <c r="E428" s="9" t="s">
        <v>35</v>
      </c>
      <c r="F428" t="s">
        <v>114</v>
      </c>
      <c r="G428">
        <v>2</v>
      </c>
      <c r="H428" s="5" t="s">
        <v>1327</v>
      </c>
      <c r="I428" s="5" t="s">
        <v>1328</v>
      </c>
      <c r="J428">
        <v>0</v>
      </c>
      <c r="K428">
        <f>39-23.5</f>
        <v>15.5</v>
      </c>
      <c r="L428" t="s">
        <v>83</v>
      </c>
      <c r="M428">
        <v>4</v>
      </c>
    </row>
    <row r="429" spans="1:13" ht="15.75" x14ac:dyDescent="0.25">
      <c r="A429" t="s">
        <v>1082</v>
      </c>
      <c r="B429" t="s">
        <v>30</v>
      </c>
      <c r="C429">
        <v>1</v>
      </c>
      <c r="D429">
        <v>1</v>
      </c>
      <c r="E429" s="9" t="s">
        <v>35</v>
      </c>
      <c r="F429" t="s">
        <v>36</v>
      </c>
      <c r="G429">
        <v>1</v>
      </c>
      <c r="H429" s="5" t="s">
        <v>1329</v>
      </c>
      <c r="I429" s="5" t="s">
        <v>1330</v>
      </c>
      <c r="J429">
        <v>0</v>
      </c>
      <c r="K429">
        <f>47-25</f>
        <v>22</v>
      </c>
      <c r="L429" t="s">
        <v>47</v>
      </c>
      <c r="M429">
        <v>4</v>
      </c>
    </row>
    <row r="430" spans="1:13" ht="15.75" x14ac:dyDescent="0.25">
      <c r="A430" t="s">
        <v>1082</v>
      </c>
      <c r="B430" t="s">
        <v>30</v>
      </c>
      <c r="C430">
        <v>4</v>
      </c>
      <c r="D430">
        <v>1</v>
      </c>
      <c r="E430" s="9" t="s">
        <v>35</v>
      </c>
      <c r="F430" t="s">
        <v>114</v>
      </c>
      <c r="G430">
        <v>1</v>
      </c>
      <c r="H430" s="5" t="s">
        <v>1331</v>
      </c>
      <c r="I430" s="5" t="s">
        <v>1332</v>
      </c>
      <c r="J430">
        <v>0</v>
      </c>
      <c r="K430">
        <f>47-25</f>
        <v>22</v>
      </c>
      <c r="L430" t="s">
        <v>65</v>
      </c>
      <c r="M430">
        <v>4</v>
      </c>
    </row>
    <row r="431" spans="1:13" ht="15.75" x14ac:dyDescent="0.25">
      <c r="A431" t="s">
        <v>1082</v>
      </c>
      <c r="B431" t="s">
        <v>30</v>
      </c>
      <c r="C431">
        <v>1</v>
      </c>
      <c r="D431">
        <v>1</v>
      </c>
      <c r="E431" s="9" t="s">
        <v>35</v>
      </c>
      <c r="F431" t="s">
        <v>89</v>
      </c>
      <c r="G431">
        <v>2</v>
      </c>
      <c r="H431" s="5" t="s">
        <v>1335</v>
      </c>
      <c r="I431" s="5" t="s">
        <v>1336</v>
      </c>
      <c r="J431">
        <v>0</v>
      </c>
      <c r="K431">
        <f>34-17.5</f>
        <v>16.5</v>
      </c>
      <c r="L431" t="s">
        <v>38</v>
      </c>
      <c r="M431">
        <v>4</v>
      </c>
    </row>
    <row r="432" spans="1:13" ht="15.75" x14ac:dyDescent="0.25">
      <c r="A432" t="s">
        <v>1082</v>
      </c>
      <c r="B432" t="s">
        <v>30</v>
      </c>
      <c r="C432">
        <v>1</v>
      </c>
      <c r="D432">
        <v>1</v>
      </c>
      <c r="E432" s="9" t="s">
        <v>35</v>
      </c>
      <c r="F432" t="s">
        <v>114</v>
      </c>
      <c r="G432">
        <v>1</v>
      </c>
      <c r="H432" s="5" t="s">
        <v>1337</v>
      </c>
      <c r="I432" s="5" t="s">
        <v>1338</v>
      </c>
      <c r="J432">
        <v>0</v>
      </c>
      <c r="K432">
        <f>37-20</f>
        <v>17</v>
      </c>
      <c r="L432" t="s">
        <v>47</v>
      </c>
      <c r="M432">
        <v>4</v>
      </c>
    </row>
    <row r="433" spans="1:13" ht="15.75" x14ac:dyDescent="0.25">
      <c r="A433" t="s">
        <v>1082</v>
      </c>
      <c r="B433" t="s">
        <v>30</v>
      </c>
      <c r="C433">
        <v>1</v>
      </c>
      <c r="D433">
        <v>1</v>
      </c>
      <c r="E433" s="9" t="s">
        <v>35</v>
      </c>
      <c r="F433" t="s">
        <v>114</v>
      </c>
      <c r="G433">
        <v>1</v>
      </c>
      <c r="H433" s="5" t="s">
        <v>1337</v>
      </c>
      <c r="I433" s="5" t="s">
        <v>1338</v>
      </c>
      <c r="J433">
        <v>0</v>
      </c>
      <c r="K433">
        <f>37-20</f>
        <v>17</v>
      </c>
      <c r="L433" t="s">
        <v>47</v>
      </c>
      <c r="M433">
        <v>4</v>
      </c>
    </row>
    <row r="434" spans="1:13" ht="15.75" x14ac:dyDescent="0.25">
      <c r="A434" t="s">
        <v>1082</v>
      </c>
      <c r="B434" t="s">
        <v>30</v>
      </c>
      <c r="C434">
        <v>1</v>
      </c>
      <c r="D434">
        <v>1</v>
      </c>
      <c r="E434" s="9" t="s">
        <v>35</v>
      </c>
      <c r="F434" t="s">
        <v>36</v>
      </c>
      <c r="G434">
        <v>2</v>
      </c>
      <c r="H434" s="5" t="s">
        <v>1341</v>
      </c>
      <c r="I434" s="5" t="s">
        <v>1342</v>
      </c>
      <c r="J434">
        <v>0</v>
      </c>
      <c r="K434">
        <f>39-21</f>
        <v>18</v>
      </c>
      <c r="L434" t="s">
        <v>38</v>
      </c>
      <c r="M434">
        <v>4</v>
      </c>
    </row>
    <row r="435" spans="1:13" ht="15.75" x14ac:dyDescent="0.25">
      <c r="A435" t="s">
        <v>1082</v>
      </c>
      <c r="B435" t="s">
        <v>30</v>
      </c>
      <c r="C435">
        <v>1</v>
      </c>
      <c r="D435">
        <v>1</v>
      </c>
      <c r="E435" s="9" t="s">
        <v>35</v>
      </c>
      <c r="F435" t="s">
        <v>114</v>
      </c>
      <c r="G435">
        <v>2</v>
      </c>
      <c r="H435" s="5" t="s">
        <v>1343</v>
      </c>
      <c r="I435" s="5" t="s">
        <v>1344</v>
      </c>
      <c r="J435">
        <v>0</v>
      </c>
      <c r="K435">
        <f>32-15.5</f>
        <v>16.5</v>
      </c>
      <c r="L435" t="s">
        <v>38</v>
      </c>
      <c r="M435">
        <v>4</v>
      </c>
    </row>
    <row r="436" spans="1:13" ht="15.75" x14ac:dyDescent="0.25">
      <c r="A436" t="s">
        <v>1082</v>
      </c>
      <c r="B436" t="s">
        <v>30</v>
      </c>
      <c r="C436">
        <v>1</v>
      </c>
      <c r="D436">
        <v>1</v>
      </c>
      <c r="E436" s="9" t="s">
        <v>35</v>
      </c>
      <c r="F436" t="s">
        <v>36</v>
      </c>
      <c r="G436">
        <v>2</v>
      </c>
      <c r="H436" s="5" t="s">
        <v>1345</v>
      </c>
      <c r="I436" s="5" t="s">
        <v>1346</v>
      </c>
      <c r="J436">
        <v>0</v>
      </c>
      <c r="K436">
        <f>32-14</f>
        <v>18</v>
      </c>
      <c r="L436" t="s">
        <v>81</v>
      </c>
      <c r="M436">
        <v>4</v>
      </c>
    </row>
    <row r="437" spans="1:13" ht="15.75" x14ac:dyDescent="0.25">
      <c r="A437" t="s">
        <v>1082</v>
      </c>
      <c r="B437" t="s">
        <v>30</v>
      </c>
      <c r="C437">
        <v>2</v>
      </c>
      <c r="D437">
        <v>1</v>
      </c>
      <c r="E437" s="9" t="s">
        <v>35</v>
      </c>
      <c r="F437" t="s">
        <v>114</v>
      </c>
      <c r="G437">
        <v>1</v>
      </c>
      <c r="H437" s="5" t="s">
        <v>1376</v>
      </c>
      <c r="I437" s="5" t="s">
        <v>1377</v>
      </c>
      <c r="J437">
        <v>0</v>
      </c>
      <c r="K437">
        <f>30-13.5</f>
        <v>16.5</v>
      </c>
      <c r="L437" t="s">
        <v>65</v>
      </c>
      <c r="M437">
        <v>4</v>
      </c>
    </row>
    <row r="438" spans="1:13" ht="15.75" x14ac:dyDescent="0.25">
      <c r="A438" t="s">
        <v>1082</v>
      </c>
      <c r="B438" t="s">
        <v>30</v>
      </c>
      <c r="C438">
        <v>2</v>
      </c>
      <c r="D438">
        <v>1</v>
      </c>
      <c r="E438" s="9" t="s">
        <v>35</v>
      </c>
      <c r="F438" t="s">
        <v>114</v>
      </c>
      <c r="G438">
        <v>2</v>
      </c>
      <c r="H438" s="5" t="s">
        <v>1378</v>
      </c>
      <c r="I438" s="5" t="s">
        <v>1379</v>
      </c>
      <c r="J438">
        <v>0</v>
      </c>
      <c r="K438">
        <f>31-15</f>
        <v>16</v>
      </c>
      <c r="L438" t="s">
        <v>38</v>
      </c>
      <c r="M438">
        <v>4</v>
      </c>
    </row>
    <row r="439" spans="1:13" ht="15.75" x14ac:dyDescent="0.25">
      <c r="A439" t="s">
        <v>1082</v>
      </c>
      <c r="B439" t="s">
        <v>30</v>
      </c>
      <c r="C439">
        <v>4</v>
      </c>
      <c r="D439">
        <v>1</v>
      </c>
      <c r="E439" s="9" t="s">
        <v>35</v>
      </c>
      <c r="F439" t="s">
        <v>36</v>
      </c>
      <c r="G439">
        <v>2</v>
      </c>
      <c r="H439" s="5" t="s">
        <v>1390</v>
      </c>
      <c r="I439" s="5" t="s">
        <v>1391</v>
      </c>
      <c r="J439">
        <v>0</v>
      </c>
      <c r="K439">
        <f>32-13</f>
        <v>19</v>
      </c>
      <c r="L439" t="s">
        <v>81</v>
      </c>
      <c r="M439">
        <v>4</v>
      </c>
    </row>
    <row r="440" spans="1:13" ht="15.75" x14ac:dyDescent="0.25">
      <c r="A440" t="s">
        <v>1082</v>
      </c>
      <c r="B440" t="s">
        <v>30</v>
      </c>
      <c r="C440">
        <v>1</v>
      </c>
      <c r="D440">
        <v>1</v>
      </c>
      <c r="E440" s="9" t="s">
        <v>35</v>
      </c>
      <c r="F440" t="s">
        <v>114</v>
      </c>
      <c r="G440">
        <v>2</v>
      </c>
      <c r="H440" s="5" t="s">
        <v>1399</v>
      </c>
      <c r="I440" s="5" t="s">
        <v>1400</v>
      </c>
      <c r="J440">
        <v>0</v>
      </c>
      <c r="K440">
        <f>32-15.5</f>
        <v>16.5</v>
      </c>
      <c r="L440" t="s">
        <v>38</v>
      </c>
      <c r="M440">
        <v>4</v>
      </c>
    </row>
    <row r="441" spans="1:13" ht="15.75" x14ac:dyDescent="0.25">
      <c r="A441" t="s">
        <v>1082</v>
      </c>
      <c r="B441" t="s">
        <v>30</v>
      </c>
      <c r="C441">
        <v>2</v>
      </c>
      <c r="D441">
        <v>1</v>
      </c>
      <c r="E441" s="9" t="s">
        <v>35</v>
      </c>
      <c r="F441" t="s">
        <v>36</v>
      </c>
      <c r="G441">
        <v>2</v>
      </c>
      <c r="H441" s="5" t="s">
        <v>1403</v>
      </c>
      <c r="I441" s="5" t="s">
        <v>1404</v>
      </c>
      <c r="J441">
        <v>0</v>
      </c>
      <c r="K441">
        <f>34.5-15</f>
        <v>19.5</v>
      </c>
      <c r="L441" t="s">
        <v>83</v>
      </c>
      <c r="M441">
        <v>4</v>
      </c>
    </row>
    <row r="442" spans="1:13" ht="15.75" x14ac:dyDescent="0.25">
      <c r="A442" t="s">
        <v>1082</v>
      </c>
      <c r="B442" t="s">
        <v>30</v>
      </c>
      <c r="C442">
        <v>2</v>
      </c>
      <c r="D442">
        <v>2</v>
      </c>
      <c r="E442" s="9" t="s">
        <v>42</v>
      </c>
      <c r="F442" t="s">
        <v>36</v>
      </c>
      <c r="G442">
        <v>2</v>
      </c>
      <c r="H442" s="5" t="s">
        <v>1089</v>
      </c>
      <c r="I442" s="5"/>
      <c r="J442">
        <v>0</v>
      </c>
      <c r="K442">
        <f>33.5-12.5</f>
        <v>21</v>
      </c>
      <c r="L442" t="s">
        <v>38</v>
      </c>
      <c r="M442">
        <v>4</v>
      </c>
    </row>
    <row r="443" spans="1:13" ht="15.75" x14ac:dyDescent="0.25">
      <c r="A443" t="s">
        <v>1082</v>
      </c>
      <c r="B443" t="s">
        <v>30</v>
      </c>
      <c r="C443">
        <v>2</v>
      </c>
      <c r="D443">
        <v>2</v>
      </c>
      <c r="E443" s="9" t="s">
        <v>42</v>
      </c>
      <c r="F443" t="s">
        <v>36</v>
      </c>
      <c r="G443">
        <v>2</v>
      </c>
      <c r="H443" s="5" t="s">
        <v>1090</v>
      </c>
      <c r="I443" s="5"/>
      <c r="J443">
        <v>1</v>
      </c>
      <c r="K443">
        <f>33-13</f>
        <v>20</v>
      </c>
      <c r="L443" t="s">
        <v>38</v>
      </c>
      <c r="M443">
        <v>4</v>
      </c>
    </row>
    <row r="444" spans="1:13" ht="15.75" x14ac:dyDescent="0.25">
      <c r="A444" t="s">
        <v>1079</v>
      </c>
      <c r="B444" t="s">
        <v>30</v>
      </c>
      <c r="C444">
        <v>3</v>
      </c>
      <c r="D444">
        <v>1</v>
      </c>
      <c r="E444" s="9" t="s">
        <v>42</v>
      </c>
      <c r="F444" t="s">
        <v>36</v>
      </c>
      <c r="G444">
        <v>2</v>
      </c>
      <c r="H444" s="5" t="s">
        <v>1080</v>
      </c>
      <c r="I444" s="5" t="s">
        <v>1081</v>
      </c>
      <c r="J444">
        <v>0</v>
      </c>
      <c r="K444">
        <f>31-12</f>
        <v>19</v>
      </c>
      <c r="L444" t="s">
        <v>83</v>
      </c>
      <c r="M444">
        <v>4</v>
      </c>
    </row>
    <row r="445" spans="1:13" ht="15.75" x14ac:dyDescent="0.25">
      <c r="A445" t="s">
        <v>1079</v>
      </c>
      <c r="B445" t="s">
        <v>30</v>
      </c>
      <c r="C445">
        <v>3</v>
      </c>
      <c r="D445">
        <v>1</v>
      </c>
      <c r="E445" s="9" t="s">
        <v>35</v>
      </c>
      <c r="F445" t="s">
        <v>114</v>
      </c>
      <c r="G445">
        <v>1</v>
      </c>
      <c r="H445" s="5" t="s">
        <v>1083</v>
      </c>
      <c r="I445" s="5" t="s">
        <v>1084</v>
      </c>
      <c r="J445">
        <v>0</v>
      </c>
      <c r="K445">
        <f>28-12</f>
        <v>16</v>
      </c>
      <c r="L445" t="s">
        <v>65</v>
      </c>
      <c r="M445">
        <v>4</v>
      </c>
    </row>
    <row r="446" spans="1:13" ht="15.75" x14ac:dyDescent="0.25">
      <c r="A446" t="s">
        <v>1079</v>
      </c>
      <c r="B446" t="s">
        <v>30</v>
      </c>
      <c r="C446">
        <v>1</v>
      </c>
      <c r="D446">
        <v>1</v>
      </c>
      <c r="E446" s="9" t="s">
        <v>35</v>
      </c>
      <c r="F446" t="s">
        <v>36</v>
      </c>
      <c r="G446">
        <v>2</v>
      </c>
      <c r="H446" s="5" t="s">
        <v>1097</v>
      </c>
      <c r="I446" s="5" t="s">
        <v>1098</v>
      </c>
      <c r="J446">
        <v>0</v>
      </c>
      <c r="K446">
        <f>42-23</f>
        <v>19</v>
      </c>
      <c r="L446" t="s">
        <v>83</v>
      </c>
      <c r="M446">
        <v>4</v>
      </c>
    </row>
    <row r="447" spans="1:13" ht="15.75" x14ac:dyDescent="0.25">
      <c r="A447" t="s">
        <v>1079</v>
      </c>
      <c r="B447" t="s">
        <v>30</v>
      </c>
      <c r="C447">
        <v>1</v>
      </c>
      <c r="D447">
        <v>1</v>
      </c>
      <c r="E447" s="9" t="s">
        <v>42</v>
      </c>
      <c r="F447" t="s">
        <v>114</v>
      </c>
      <c r="G447">
        <v>2</v>
      </c>
      <c r="H447" s="5" t="s">
        <v>1101</v>
      </c>
      <c r="I447" s="5" t="s">
        <v>1102</v>
      </c>
      <c r="J447">
        <v>0</v>
      </c>
      <c r="K447">
        <f>41.5-23</f>
        <v>18.5</v>
      </c>
      <c r="L447" t="s">
        <v>38</v>
      </c>
      <c r="M447">
        <v>4</v>
      </c>
    </row>
    <row r="448" spans="1:13" ht="15.75" x14ac:dyDescent="0.25">
      <c r="A448" t="s">
        <v>1079</v>
      </c>
      <c r="B448" t="s">
        <v>30</v>
      </c>
      <c r="C448">
        <v>1</v>
      </c>
      <c r="D448">
        <v>1</v>
      </c>
      <c r="E448" s="9" t="s">
        <v>42</v>
      </c>
      <c r="F448" t="s">
        <v>114</v>
      </c>
      <c r="G448">
        <v>1</v>
      </c>
      <c r="H448" s="5" t="s">
        <v>1103</v>
      </c>
      <c r="I448" s="5" t="s">
        <v>1104</v>
      </c>
      <c r="J448">
        <v>0</v>
      </c>
      <c r="K448">
        <f>36.5-22.5</f>
        <v>14</v>
      </c>
      <c r="L448" t="s">
        <v>65</v>
      </c>
      <c r="M448">
        <v>4</v>
      </c>
    </row>
    <row r="449" spans="1:13" ht="15.75" x14ac:dyDescent="0.25">
      <c r="A449" t="s">
        <v>1079</v>
      </c>
      <c r="B449" t="s">
        <v>30</v>
      </c>
      <c r="C449">
        <v>2</v>
      </c>
      <c r="D449">
        <v>1</v>
      </c>
      <c r="E449" s="9" t="s">
        <v>35</v>
      </c>
      <c r="F449" t="s">
        <v>36</v>
      </c>
      <c r="G449">
        <v>1</v>
      </c>
      <c r="H449" s="5" t="s">
        <v>1263</v>
      </c>
      <c r="I449" s="5" t="s">
        <v>1264</v>
      </c>
      <c r="J449">
        <v>0</v>
      </c>
      <c r="K449">
        <f>35.5-13.5</f>
        <v>22</v>
      </c>
      <c r="L449" t="s">
        <v>47</v>
      </c>
      <c r="M449">
        <v>4</v>
      </c>
    </row>
    <row r="450" spans="1:13" ht="15.75" x14ac:dyDescent="0.25">
      <c r="A450" t="s">
        <v>1079</v>
      </c>
      <c r="B450" t="s">
        <v>30</v>
      </c>
      <c r="C450">
        <v>1</v>
      </c>
      <c r="D450">
        <v>1</v>
      </c>
      <c r="E450" s="9" t="s">
        <v>35</v>
      </c>
      <c r="F450" t="s">
        <v>114</v>
      </c>
      <c r="G450">
        <v>1</v>
      </c>
      <c r="H450" s="5" t="s">
        <v>1284</v>
      </c>
      <c r="I450" s="5" t="s">
        <v>1285</v>
      </c>
      <c r="J450">
        <v>0</v>
      </c>
      <c r="K450">
        <f>40.5-23</f>
        <v>17.5</v>
      </c>
      <c r="L450" t="s">
        <v>65</v>
      </c>
      <c r="M450">
        <v>4</v>
      </c>
    </row>
    <row r="451" spans="1:13" ht="15.75" x14ac:dyDescent="0.25">
      <c r="A451" t="s">
        <v>1079</v>
      </c>
      <c r="B451" t="s">
        <v>30</v>
      </c>
      <c r="C451">
        <v>1</v>
      </c>
      <c r="D451">
        <v>1</v>
      </c>
      <c r="E451" s="9" t="s">
        <v>35</v>
      </c>
      <c r="F451" t="s">
        <v>36</v>
      </c>
      <c r="G451">
        <v>2</v>
      </c>
      <c r="H451" s="5" t="s">
        <v>1304</v>
      </c>
      <c r="I451" s="5" t="s">
        <v>1305</v>
      </c>
      <c r="J451">
        <v>0</v>
      </c>
      <c r="K451">
        <f>45-23</f>
        <v>22</v>
      </c>
      <c r="L451" t="s">
        <v>38</v>
      </c>
      <c r="M451">
        <v>4</v>
      </c>
    </row>
    <row r="452" spans="1:13" ht="15.75" x14ac:dyDescent="0.25">
      <c r="A452" t="s">
        <v>1079</v>
      </c>
      <c r="B452" t="s">
        <v>30</v>
      </c>
      <c r="C452">
        <v>1</v>
      </c>
      <c r="D452">
        <v>1</v>
      </c>
      <c r="E452" s="9" t="s">
        <v>35</v>
      </c>
      <c r="F452" t="s">
        <v>36</v>
      </c>
      <c r="G452">
        <v>2</v>
      </c>
      <c r="H452" s="5" t="s">
        <v>1306</v>
      </c>
      <c r="I452" s="5" t="s">
        <v>1307</v>
      </c>
      <c r="J452">
        <v>0</v>
      </c>
      <c r="K452">
        <f>42-23.5</f>
        <v>18.5</v>
      </c>
      <c r="L452" t="s">
        <v>38</v>
      </c>
      <c r="M452">
        <v>4</v>
      </c>
    </row>
    <row r="453" spans="1:13" ht="15.75" x14ac:dyDescent="0.25">
      <c r="A453" t="s">
        <v>1079</v>
      </c>
      <c r="B453" t="s">
        <v>30</v>
      </c>
      <c r="C453">
        <v>3</v>
      </c>
      <c r="D453">
        <v>1</v>
      </c>
      <c r="E453" s="9" t="s">
        <v>35</v>
      </c>
      <c r="F453" t="s">
        <v>114</v>
      </c>
      <c r="G453">
        <v>1</v>
      </c>
      <c r="H453" s="5" t="s">
        <v>1310</v>
      </c>
      <c r="I453" s="5" t="s">
        <v>1311</v>
      </c>
      <c r="J453">
        <v>0</v>
      </c>
      <c r="K453">
        <f>29.5-12</f>
        <v>17.5</v>
      </c>
      <c r="L453" t="s">
        <v>65</v>
      </c>
      <c r="M453">
        <v>4</v>
      </c>
    </row>
    <row r="454" spans="1:13" ht="15.75" x14ac:dyDescent="0.25">
      <c r="A454" t="s">
        <v>1079</v>
      </c>
      <c r="B454" t="s">
        <v>30</v>
      </c>
      <c r="C454">
        <v>1</v>
      </c>
      <c r="D454">
        <v>1</v>
      </c>
      <c r="E454" s="9" t="s">
        <v>35</v>
      </c>
      <c r="F454" t="s">
        <v>114</v>
      </c>
      <c r="G454">
        <v>2</v>
      </c>
      <c r="H454" s="5" t="s">
        <v>1317</v>
      </c>
      <c r="I454" s="5" t="s">
        <v>1318</v>
      </c>
      <c r="J454">
        <v>0</v>
      </c>
      <c r="K454">
        <f>38.5-22.5</f>
        <v>16</v>
      </c>
      <c r="L454" t="s">
        <v>38</v>
      </c>
      <c r="M454">
        <v>4</v>
      </c>
    </row>
    <row r="455" spans="1:13" ht="15.75" x14ac:dyDescent="0.25">
      <c r="A455" t="s">
        <v>1079</v>
      </c>
      <c r="B455" t="s">
        <v>30</v>
      </c>
      <c r="C455">
        <v>1</v>
      </c>
      <c r="D455">
        <v>1</v>
      </c>
      <c r="E455" s="9" t="s">
        <v>35</v>
      </c>
      <c r="F455" t="s">
        <v>114</v>
      </c>
      <c r="G455">
        <v>2</v>
      </c>
      <c r="H455" s="5" t="s">
        <v>1323</v>
      </c>
      <c r="I455" s="5" t="s">
        <v>1324</v>
      </c>
      <c r="J455">
        <v>0</v>
      </c>
      <c r="K455">
        <f>41.5-24.5</f>
        <v>17</v>
      </c>
      <c r="L455" t="s">
        <v>38</v>
      </c>
      <c r="M455">
        <v>4</v>
      </c>
    </row>
    <row r="456" spans="1:13" ht="15.75" x14ac:dyDescent="0.25">
      <c r="A456" t="s">
        <v>1079</v>
      </c>
      <c r="B456" t="s">
        <v>30</v>
      </c>
      <c r="C456">
        <v>1</v>
      </c>
      <c r="D456">
        <v>1</v>
      </c>
      <c r="E456" s="9" t="s">
        <v>35</v>
      </c>
      <c r="F456" t="s">
        <v>36</v>
      </c>
      <c r="G456">
        <v>1</v>
      </c>
      <c r="H456" s="5" t="s">
        <v>1329</v>
      </c>
      <c r="I456" s="5" t="s">
        <v>1330</v>
      </c>
      <c r="J456">
        <v>0</v>
      </c>
      <c r="K456">
        <f>45-24.5</f>
        <v>20.5</v>
      </c>
      <c r="L456" t="s">
        <v>65</v>
      </c>
      <c r="M456">
        <v>4</v>
      </c>
    </row>
    <row r="457" spans="1:13" ht="15.75" x14ac:dyDescent="0.25">
      <c r="A457" t="s">
        <v>1079</v>
      </c>
      <c r="B457" t="s">
        <v>30</v>
      </c>
      <c r="C457">
        <v>1</v>
      </c>
      <c r="D457">
        <v>1</v>
      </c>
      <c r="E457" s="9" t="s">
        <v>35</v>
      </c>
      <c r="F457" t="s">
        <v>114</v>
      </c>
      <c r="G457">
        <v>1</v>
      </c>
      <c r="H457" s="5" t="s">
        <v>1333</v>
      </c>
      <c r="I457" s="5" t="s">
        <v>1334</v>
      </c>
      <c r="J457">
        <v>0</v>
      </c>
      <c r="K457">
        <f>42-23</f>
        <v>19</v>
      </c>
      <c r="L457" t="s">
        <v>65</v>
      </c>
      <c r="M457">
        <v>4</v>
      </c>
    </row>
    <row r="458" spans="1:13" ht="15.75" x14ac:dyDescent="0.25">
      <c r="A458" t="s">
        <v>1079</v>
      </c>
      <c r="B458" t="s">
        <v>30</v>
      </c>
      <c r="C458">
        <v>1</v>
      </c>
      <c r="D458">
        <v>1</v>
      </c>
      <c r="E458" s="9" t="s">
        <v>35</v>
      </c>
      <c r="F458" t="s">
        <v>114</v>
      </c>
      <c r="G458">
        <v>1</v>
      </c>
      <c r="H458" s="5" t="s">
        <v>1337</v>
      </c>
      <c r="I458" s="5" t="s">
        <v>1338</v>
      </c>
      <c r="J458">
        <v>0</v>
      </c>
      <c r="K458">
        <f>39.5-23</f>
        <v>16.5</v>
      </c>
      <c r="L458" t="s">
        <v>65</v>
      </c>
      <c r="M458">
        <v>4</v>
      </c>
    </row>
    <row r="459" spans="1:13" ht="15.75" x14ac:dyDescent="0.25">
      <c r="A459" t="s">
        <v>1079</v>
      </c>
      <c r="B459" t="s">
        <v>30</v>
      </c>
      <c r="C459">
        <v>1</v>
      </c>
      <c r="D459">
        <v>1</v>
      </c>
      <c r="E459" s="9" t="s">
        <v>35</v>
      </c>
      <c r="F459" t="s">
        <v>36</v>
      </c>
      <c r="G459">
        <v>2</v>
      </c>
      <c r="H459" s="5" t="s">
        <v>1339</v>
      </c>
      <c r="I459" s="5" t="s">
        <v>1340</v>
      </c>
      <c r="J459">
        <v>0</v>
      </c>
      <c r="K459">
        <f>39.5-22</f>
        <v>17.5</v>
      </c>
      <c r="L459" t="s">
        <v>81</v>
      </c>
      <c r="M459">
        <v>4</v>
      </c>
    </row>
    <row r="460" spans="1:13" ht="15.75" x14ac:dyDescent="0.25">
      <c r="A460" t="s">
        <v>1079</v>
      </c>
      <c r="B460" t="s">
        <v>30</v>
      </c>
      <c r="C460">
        <v>1</v>
      </c>
      <c r="D460">
        <v>1</v>
      </c>
      <c r="E460" s="9" t="s">
        <v>35</v>
      </c>
      <c r="F460" t="s">
        <v>114</v>
      </c>
      <c r="G460">
        <v>1</v>
      </c>
      <c r="H460" s="5" t="s">
        <v>1394</v>
      </c>
      <c r="I460" s="5" t="s">
        <v>1395</v>
      </c>
      <c r="J460">
        <v>1</v>
      </c>
      <c r="K460">
        <f>40.5-23.5</f>
        <v>17</v>
      </c>
      <c r="L460" t="s">
        <v>65</v>
      </c>
      <c r="M460">
        <v>4</v>
      </c>
    </row>
    <row r="461" spans="1:13" ht="15.75" x14ac:dyDescent="0.25">
      <c r="A461" t="s">
        <v>1079</v>
      </c>
      <c r="B461" t="s">
        <v>30</v>
      </c>
      <c r="C461">
        <v>2</v>
      </c>
      <c r="D461">
        <v>2</v>
      </c>
      <c r="E461" s="9" t="s">
        <v>62</v>
      </c>
      <c r="F461" t="s">
        <v>36</v>
      </c>
      <c r="G461">
        <v>2</v>
      </c>
      <c r="H461" s="5"/>
      <c r="I461" s="5"/>
      <c r="J461">
        <v>1</v>
      </c>
      <c r="L461" t="s">
        <v>38</v>
      </c>
      <c r="M461">
        <v>4</v>
      </c>
    </row>
    <row r="462" spans="1:13" ht="15.75" x14ac:dyDescent="0.25">
      <c r="A462" t="s">
        <v>1079</v>
      </c>
      <c r="B462" t="s">
        <v>30</v>
      </c>
      <c r="C462">
        <v>4</v>
      </c>
      <c r="D462">
        <v>3</v>
      </c>
      <c r="E462" s="9" t="s">
        <v>42</v>
      </c>
      <c r="F462" t="s">
        <v>36</v>
      </c>
      <c r="G462">
        <v>2</v>
      </c>
      <c r="H462" s="5" t="s">
        <v>1100</v>
      </c>
      <c r="I462" s="5"/>
      <c r="J462">
        <v>0</v>
      </c>
      <c r="K462">
        <f>42-23.5</f>
        <v>18.5</v>
      </c>
      <c r="L462" t="s">
        <v>38</v>
      </c>
      <c r="M462">
        <v>4</v>
      </c>
    </row>
    <row r="463" spans="1:13" ht="15.75" x14ac:dyDescent="0.25">
      <c r="A463" t="s">
        <v>1079</v>
      </c>
      <c r="B463" t="s">
        <v>30</v>
      </c>
      <c r="C463">
        <v>4</v>
      </c>
      <c r="D463">
        <v>3</v>
      </c>
      <c r="E463" s="9" t="s">
        <v>42</v>
      </c>
      <c r="F463" t="s">
        <v>36</v>
      </c>
      <c r="G463">
        <v>1</v>
      </c>
      <c r="H463" s="5" t="s">
        <v>1219</v>
      </c>
      <c r="I463" s="5"/>
      <c r="J463">
        <v>0</v>
      </c>
      <c r="K463">
        <f>44-24</f>
        <v>20</v>
      </c>
      <c r="L463" t="s">
        <v>65</v>
      </c>
      <c r="M463">
        <v>4</v>
      </c>
    </row>
    <row r="464" spans="1:13" ht="15.75" x14ac:dyDescent="0.25">
      <c r="A464" t="s">
        <v>1079</v>
      </c>
      <c r="B464" t="s">
        <v>30</v>
      </c>
      <c r="C464">
        <v>4</v>
      </c>
      <c r="D464">
        <v>3</v>
      </c>
      <c r="E464" s="9" t="s">
        <v>35</v>
      </c>
      <c r="F464" t="s">
        <v>36</v>
      </c>
      <c r="G464">
        <v>2</v>
      </c>
      <c r="H464" s="5"/>
      <c r="I464" s="5" t="s">
        <v>1410</v>
      </c>
      <c r="J464">
        <v>0</v>
      </c>
      <c r="K464">
        <f>57.5-23</f>
        <v>34.5</v>
      </c>
      <c r="L464" t="s">
        <v>1041</v>
      </c>
      <c r="M464">
        <v>4</v>
      </c>
    </row>
    <row r="465" spans="1:13" ht="15.75" x14ac:dyDescent="0.25">
      <c r="A465" t="s">
        <v>1099</v>
      </c>
      <c r="B465" t="s">
        <v>30</v>
      </c>
      <c r="C465">
        <v>1</v>
      </c>
      <c r="D465">
        <v>1</v>
      </c>
      <c r="E465" s="9" t="s">
        <v>35</v>
      </c>
      <c r="F465" t="s">
        <v>36</v>
      </c>
      <c r="G465">
        <v>2</v>
      </c>
      <c r="H465" s="5" t="s">
        <v>1097</v>
      </c>
      <c r="I465" s="5" t="s">
        <v>1098</v>
      </c>
      <c r="J465">
        <v>0</v>
      </c>
      <c r="K465">
        <f>32-12.5</f>
        <v>19.5</v>
      </c>
      <c r="L465" t="s">
        <v>83</v>
      </c>
      <c r="M465">
        <v>4</v>
      </c>
    </row>
    <row r="466" spans="1:13" ht="15.75" x14ac:dyDescent="0.25">
      <c r="A466" t="s">
        <v>1099</v>
      </c>
      <c r="B466" t="s">
        <v>30</v>
      </c>
      <c r="C466">
        <v>4</v>
      </c>
      <c r="D466">
        <v>1</v>
      </c>
      <c r="E466" s="9" t="s">
        <v>42</v>
      </c>
      <c r="F466" t="s">
        <v>114</v>
      </c>
      <c r="G466">
        <v>1</v>
      </c>
      <c r="H466" s="5" t="s">
        <v>1159</v>
      </c>
      <c r="I466" s="5" t="s">
        <v>1160</v>
      </c>
      <c r="J466">
        <v>0</v>
      </c>
      <c r="K466">
        <f>38.5-13.5</f>
        <v>25</v>
      </c>
      <c r="L466" t="s">
        <v>65</v>
      </c>
      <c r="M466">
        <v>4</v>
      </c>
    </row>
    <row r="467" spans="1:13" ht="15.75" x14ac:dyDescent="0.25">
      <c r="A467" t="s">
        <v>1099</v>
      </c>
      <c r="B467" t="s">
        <v>30</v>
      </c>
      <c r="C467">
        <v>4</v>
      </c>
      <c r="D467">
        <v>1</v>
      </c>
      <c r="E467" s="9" t="s">
        <v>42</v>
      </c>
      <c r="F467" t="s">
        <v>36</v>
      </c>
      <c r="G467">
        <v>2</v>
      </c>
      <c r="H467" s="5" t="s">
        <v>1161</v>
      </c>
      <c r="I467" s="5" t="s">
        <v>1162</v>
      </c>
      <c r="J467">
        <v>0</v>
      </c>
      <c r="K467">
        <f>33.5-13</f>
        <v>20.5</v>
      </c>
      <c r="L467" t="s">
        <v>83</v>
      </c>
      <c r="M467">
        <v>4</v>
      </c>
    </row>
    <row r="468" spans="1:13" ht="15.75" x14ac:dyDescent="0.25">
      <c r="A468" t="s">
        <v>1099</v>
      </c>
      <c r="B468" t="s">
        <v>30</v>
      </c>
      <c r="C468">
        <v>1</v>
      </c>
      <c r="D468">
        <v>1</v>
      </c>
      <c r="E468" s="9" t="s">
        <v>42</v>
      </c>
      <c r="F468" t="s">
        <v>114</v>
      </c>
      <c r="G468">
        <v>2</v>
      </c>
      <c r="H468" s="5" t="s">
        <v>1163</v>
      </c>
      <c r="I468" s="5" t="s">
        <v>1164</v>
      </c>
      <c r="J468">
        <v>0</v>
      </c>
      <c r="K468">
        <f>28-13.5</f>
        <v>14.5</v>
      </c>
      <c r="L468" t="s">
        <v>38</v>
      </c>
      <c r="M468">
        <v>4</v>
      </c>
    </row>
    <row r="469" spans="1:13" ht="15.75" x14ac:dyDescent="0.25">
      <c r="A469" t="s">
        <v>1099</v>
      </c>
      <c r="B469" t="s">
        <v>30</v>
      </c>
      <c r="C469">
        <v>1</v>
      </c>
      <c r="D469">
        <v>1</v>
      </c>
      <c r="E469" s="9" t="s">
        <v>42</v>
      </c>
      <c r="F469" t="s">
        <v>114</v>
      </c>
      <c r="G469">
        <v>1</v>
      </c>
      <c r="H469" s="5" t="s">
        <v>1165</v>
      </c>
      <c r="I469" s="5" t="s">
        <v>1166</v>
      </c>
      <c r="J469">
        <v>0</v>
      </c>
      <c r="K469">
        <f>37.5-12.5</f>
        <v>25</v>
      </c>
      <c r="L469" t="s">
        <v>65</v>
      </c>
      <c r="M469">
        <v>4</v>
      </c>
    </row>
    <row r="470" spans="1:13" ht="15.75" x14ac:dyDescent="0.25">
      <c r="A470" t="s">
        <v>1099</v>
      </c>
      <c r="B470" t="s">
        <v>30</v>
      </c>
      <c r="C470">
        <v>1</v>
      </c>
      <c r="D470">
        <v>1</v>
      </c>
      <c r="E470" s="9" t="s">
        <v>35</v>
      </c>
      <c r="F470" t="s">
        <v>114</v>
      </c>
      <c r="G470">
        <v>1</v>
      </c>
      <c r="H470" s="5" t="s">
        <v>1282</v>
      </c>
      <c r="I470" s="5" t="s">
        <v>1283</v>
      </c>
      <c r="J470">
        <v>0</v>
      </c>
      <c r="K470">
        <f>29-14</f>
        <v>15</v>
      </c>
      <c r="L470" t="s">
        <v>38</v>
      </c>
      <c r="M470">
        <v>4</v>
      </c>
    </row>
    <row r="471" spans="1:13" ht="15.75" x14ac:dyDescent="0.25">
      <c r="A471" t="s">
        <v>1099</v>
      </c>
      <c r="B471" t="s">
        <v>30</v>
      </c>
      <c r="C471">
        <v>1</v>
      </c>
      <c r="D471">
        <v>1</v>
      </c>
      <c r="E471" s="9" t="s">
        <v>35</v>
      </c>
      <c r="F471" t="s">
        <v>114</v>
      </c>
      <c r="G471">
        <v>2</v>
      </c>
      <c r="H471" s="5" t="s">
        <v>1317</v>
      </c>
      <c r="I471" s="5" t="s">
        <v>1318</v>
      </c>
      <c r="J471">
        <v>0</v>
      </c>
      <c r="K471">
        <f>30-12.5</f>
        <v>17.5</v>
      </c>
      <c r="L471" t="s">
        <v>38</v>
      </c>
      <c r="M471">
        <v>4</v>
      </c>
    </row>
    <row r="472" spans="1:13" ht="15.75" x14ac:dyDescent="0.25">
      <c r="A472" t="s">
        <v>1099</v>
      </c>
      <c r="B472" t="s">
        <v>30</v>
      </c>
      <c r="C472">
        <v>1</v>
      </c>
      <c r="D472">
        <v>1</v>
      </c>
      <c r="E472" s="9" t="s">
        <v>35</v>
      </c>
      <c r="F472" t="s">
        <v>36</v>
      </c>
      <c r="G472">
        <v>2</v>
      </c>
      <c r="H472" s="5" t="s">
        <v>1323</v>
      </c>
      <c r="I472" s="5" t="s">
        <v>1324</v>
      </c>
      <c r="J472">
        <v>0</v>
      </c>
      <c r="K472">
        <f>36-14.5</f>
        <v>21.5</v>
      </c>
      <c r="L472" t="s">
        <v>38</v>
      </c>
      <c r="M472">
        <v>4</v>
      </c>
    </row>
    <row r="473" spans="1:13" ht="15.75" x14ac:dyDescent="0.25">
      <c r="A473" t="s">
        <v>1099</v>
      </c>
      <c r="B473" t="s">
        <v>30</v>
      </c>
      <c r="C473">
        <v>1</v>
      </c>
      <c r="D473">
        <v>1</v>
      </c>
      <c r="E473" s="9" t="s">
        <v>35</v>
      </c>
      <c r="F473" t="s">
        <v>114</v>
      </c>
      <c r="G473">
        <v>1</v>
      </c>
      <c r="H473" s="5" t="s">
        <v>1337</v>
      </c>
      <c r="I473" s="5" t="s">
        <v>1338</v>
      </c>
      <c r="J473">
        <v>0</v>
      </c>
      <c r="K473">
        <f>28-11.5</f>
        <v>16.5</v>
      </c>
      <c r="L473" t="s">
        <v>65</v>
      </c>
      <c r="M473">
        <v>4</v>
      </c>
    </row>
    <row r="474" spans="1:13" ht="15.75" x14ac:dyDescent="0.25">
      <c r="A474" t="s">
        <v>1099</v>
      </c>
      <c r="B474" t="s">
        <v>30</v>
      </c>
      <c r="C474">
        <v>1</v>
      </c>
      <c r="D474">
        <v>1</v>
      </c>
      <c r="E474" s="9" t="s">
        <v>35</v>
      </c>
      <c r="F474" t="s">
        <v>36</v>
      </c>
      <c r="G474">
        <v>2</v>
      </c>
      <c r="H474" s="5" t="s">
        <v>1341</v>
      </c>
      <c r="I474" s="5" t="s">
        <v>1342</v>
      </c>
      <c r="J474">
        <v>0</v>
      </c>
      <c r="K474">
        <f>30.5-13.5</f>
        <v>17</v>
      </c>
      <c r="L474" t="s">
        <v>83</v>
      </c>
      <c r="M474">
        <v>4</v>
      </c>
    </row>
    <row r="475" spans="1:13" ht="15.75" x14ac:dyDescent="0.25">
      <c r="A475" t="s">
        <v>1099</v>
      </c>
      <c r="B475" t="s">
        <v>30</v>
      </c>
      <c r="C475">
        <v>4</v>
      </c>
      <c r="D475">
        <v>1</v>
      </c>
      <c r="E475" s="9" t="s">
        <v>35</v>
      </c>
      <c r="F475" t="s">
        <v>114</v>
      </c>
      <c r="G475">
        <v>1</v>
      </c>
      <c r="H475" s="5" t="s">
        <v>1386</v>
      </c>
      <c r="I475" s="5" t="s">
        <v>1387</v>
      </c>
      <c r="J475">
        <v>0</v>
      </c>
      <c r="K475">
        <f>28.5-12.5</f>
        <v>16</v>
      </c>
      <c r="L475" t="s">
        <v>65</v>
      </c>
      <c r="M475">
        <v>4</v>
      </c>
    </row>
    <row r="476" spans="1:13" ht="15.75" x14ac:dyDescent="0.25">
      <c r="A476" t="s">
        <v>1099</v>
      </c>
      <c r="B476" t="s">
        <v>30</v>
      </c>
      <c r="C476">
        <v>4</v>
      </c>
      <c r="D476">
        <v>1</v>
      </c>
      <c r="E476" s="9" t="s">
        <v>35</v>
      </c>
      <c r="F476" t="s">
        <v>114</v>
      </c>
      <c r="G476">
        <v>2</v>
      </c>
      <c r="H476" s="5" t="s">
        <v>1388</v>
      </c>
      <c r="I476" s="5" t="s">
        <v>1389</v>
      </c>
      <c r="J476">
        <v>0</v>
      </c>
      <c r="K476">
        <f>29-14</f>
        <v>15</v>
      </c>
      <c r="L476" t="s">
        <v>38</v>
      </c>
      <c r="M476">
        <v>4</v>
      </c>
    </row>
    <row r="477" spans="1:13" ht="15.75" x14ac:dyDescent="0.25">
      <c r="A477" t="s">
        <v>1099</v>
      </c>
      <c r="B477" t="s">
        <v>30</v>
      </c>
      <c r="C477">
        <v>4</v>
      </c>
      <c r="D477">
        <v>3</v>
      </c>
      <c r="E477" s="9" t="s">
        <v>35</v>
      </c>
      <c r="F477" t="s">
        <v>36</v>
      </c>
      <c r="G477">
        <v>2</v>
      </c>
      <c r="H477" s="5"/>
      <c r="I477" s="5" t="s">
        <v>1410</v>
      </c>
      <c r="J477">
        <v>0</v>
      </c>
      <c r="K477">
        <f>46.5-13.5</f>
        <v>33</v>
      </c>
      <c r="L477" t="s">
        <v>1041</v>
      </c>
      <c r="M477">
        <v>4</v>
      </c>
    </row>
    <row r="478" spans="1:13" ht="15.75" x14ac:dyDescent="0.25">
      <c r="A478" s="4" t="s">
        <v>1053</v>
      </c>
      <c r="B478" t="s">
        <v>30</v>
      </c>
      <c r="C478">
        <v>7</v>
      </c>
      <c r="D478">
        <v>1</v>
      </c>
      <c r="E478" s="9" t="s">
        <v>35</v>
      </c>
      <c r="F478" t="s">
        <v>114</v>
      </c>
      <c r="G478">
        <v>2</v>
      </c>
      <c r="H478" s="5" t="s">
        <v>1051</v>
      </c>
      <c r="I478" s="5" t="s">
        <v>1052</v>
      </c>
      <c r="J478">
        <v>0</v>
      </c>
      <c r="K478">
        <f>31-13</f>
        <v>18</v>
      </c>
      <c r="L478" t="s">
        <v>38</v>
      </c>
      <c r="M478">
        <v>4</v>
      </c>
    </row>
    <row r="479" spans="1:13" ht="15.75" x14ac:dyDescent="0.25">
      <c r="A479" t="s">
        <v>1053</v>
      </c>
      <c r="B479" t="s">
        <v>30</v>
      </c>
      <c r="C479">
        <v>7</v>
      </c>
      <c r="D479">
        <v>1</v>
      </c>
      <c r="E479" s="9" t="s">
        <v>35</v>
      </c>
      <c r="F479" t="s">
        <v>114</v>
      </c>
      <c r="G479">
        <v>2</v>
      </c>
      <c r="H479" s="5" t="s">
        <v>1055</v>
      </c>
      <c r="I479" s="5" t="s">
        <v>1056</v>
      </c>
      <c r="J479">
        <v>0</v>
      </c>
      <c r="K479">
        <f>31-14.5</f>
        <v>16.5</v>
      </c>
      <c r="L479" t="s">
        <v>38</v>
      </c>
      <c r="M479">
        <v>4</v>
      </c>
    </row>
    <row r="480" spans="1:13" ht="15.75" x14ac:dyDescent="0.25">
      <c r="A480" t="s">
        <v>1053</v>
      </c>
      <c r="B480" t="s">
        <v>30</v>
      </c>
      <c r="C480">
        <v>8</v>
      </c>
      <c r="D480">
        <v>1</v>
      </c>
      <c r="E480" s="9" t="s">
        <v>35</v>
      </c>
      <c r="F480" t="s">
        <v>114</v>
      </c>
      <c r="G480">
        <v>2</v>
      </c>
      <c r="H480" s="5" t="s">
        <v>1064</v>
      </c>
      <c r="I480" s="5" t="s">
        <v>1065</v>
      </c>
      <c r="J480">
        <v>0</v>
      </c>
      <c r="K480">
        <f>31-14</f>
        <v>17</v>
      </c>
      <c r="L480" t="s">
        <v>38</v>
      </c>
      <c r="M480">
        <v>4</v>
      </c>
    </row>
    <row r="481" spans="1:13" ht="15.75" x14ac:dyDescent="0.25">
      <c r="A481" t="s">
        <v>1053</v>
      </c>
      <c r="B481" t="s">
        <v>30</v>
      </c>
      <c r="C481">
        <v>7</v>
      </c>
      <c r="D481">
        <v>1</v>
      </c>
      <c r="E481" s="9" t="s">
        <v>42</v>
      </c>
      <c r="F481" t="s">
        <v>36</v>
      </c>
      <c r="G481">
        <v>1</v>
      </c>
      <c r="H481" s="5" t="s">
        <v>1073</v>
      </c>
      <c r="I481" s="5" t="s">
        <v>1074</v>
      </c>
      <c r="J481">
        <v>0</v>
      </c>
      <c r="K481">
        <f>31.5-12.5</f>
        <v>19</v>
      </c>
      <c r="L481" t="s">
        <v>65</v>
      </c>
      <c r="M481">
        <v>4</v>
      </c>
    </row>
    <row r="482" spans="1:13" ht="15.75" x14ac:dyDescent="0.25">
      <c r="A482" t="s">
        <v>1053</v>
      </c>
      <c r="B482" t="s">
        <v>30</v>
      </c>
      <c r="C482">
        <v>7</v>
      </c>
      <c r="D482">
        <v>1</v>
      </c>
      <c r="E482" s="9" t="s">
        <v>42</v>
      </c>
      <c r="F482" t="s">
        <v>114</v>
      </c>
      <c r="G482">
        <v>1</v>
      </c>
      <c r="H482" s="5" t="s">
        <v>1077</v>
      </c>
      <c r="I482" s="5" t="s">
        <v>1078</v>
      </c>
      <c r="J482">
        <v>0</v>
      </c>
      <c r="K482">
        <f>35.5-15</f>
        <v>20.5</v>
      </c>
      <c r="L482" t="s">
        <v>65</v>
      </c>
      <c r="M482">
        <v>4</v>
      </c>
    </row>
    <row r="483" spans="1:13" ht="15.75" x14ac:dyDescent="0.25">
      <c r="A483" t="s">
        <v>1053</v>
      </c>
      <c r="B483" t="s">
        <v>30</v>
      </c>
      <c r="C483">
        <v>3</v>
      </c>
      <c r="D483">
        <v>1</v>
      </c>
      <c r="E483" s="9" t="s">
        <v>35</v>
      </c>
      <c r="F483" t="s">
        <v>114</v>
      </c>
      <c r="G483">
        <v>1</v>
      </c>
      <c r="H483" s="5" t="s">
        <v>1115</v>
      </c>
      <c r="I483" s="5" t="s">
        <v>1116</v>
      </c>
      <c r="J483">
        <v>0</v>
      </c>
      <c r="K483">
        <f>29-13</f>
        <v>16</v>
      </c>
      <c r="L483" t="s">
        <v>65</v>
      </c>
      <c r="M483">
        <v>4</v>
      </c>
    </row>
    <row r="484" spans="1:13" ht="15.75" x14ac:dyDescent="0.25">
      <c r="A484" t="s">
        <v>1053</v>
      </c>
      <c r="B484" t="s">
        <v>30</v>
      </c>
      <c r="C484">
        <v>5</v>
      </c>
      <c r="D484">
        <v>1</v>
      </c>
      <c r="E484" s="9" t="s">
        <v>35</v>
      </c>
      <c r="F484" t="s">
        <v>114</v>
      </c>
      <c r="G484">
        <v>1</v>
      </c>
      <c r="H484" s="5" t="s">
        <v>1125</v>
      </c>
      <c r="I484" s="5" t="s">
        <v>1126</v>
      </c>
      <c r="J484">
        <v>0</v>
      </c>
      <c r="K484">
        <f>32.5-13</f>
        <v>19.5</v>
      </c>
      <c r="L484" t="s">
        <v>65</v>
      </c>
      <c r="M484">
        <v>4</v>
      </c>
    </row>
    <row r="485" spans="1:13" ht="15.75" x14ac:dyDescent="0.25">
      <c r="A485" t="s">
        <v>1053</v>
      </c>
      <c r="B485" t="s">
        <v>30</v>
      </c>
      <c r="C485">
        <v>5</v>
      </c>
      <c r="D485">
        <v>1</v>
      </c>
      <c r="E485" s="9" t="s">
        <v>35</v>
      </c>
      <c r="F485" t="s">
        <v>114</v>
      </c>
      <c r="G485">
        <v>2</v>
      </c>
      <c r="H485" s="5" t="s">
        <v>1134</v>
      </c>
      <c r="I485" s="5" t="s">
        <v>1135</v>
      </c>
      <c r="J485">
        <v>0</v>
      </c>
      <c r="K485">
        <f>30-12.5</f>
        <v>17.5</v>
      </c>
      <c r="L485" t="s">
        <v>38</v>
      </c>
      <c r="M485">
        <v>4</v>
      </c>
    </row>
    <row r="486" spans="1:13" ht="15.75" x14ac:dyDescent="0.25">
      <c r="A486" t="s">
        <v>1053</v>
      </c>
      <c r="B486" t="s">
        <v>30</v>
      </c>
      <c r="C486">
        <v>5</v>
      </c>
      <c r="D486">
        <v>1</v>
      </c>
      <c r="E486" s="9" t="s">
        <v>42</v>
      </c>
      <c r="F486" t="s">
        <v>114</v>
      </c>
      <c r="G486">
        <v>2</v>
      </c>
      <c r="H486" s="5" t="s">
        <v>1147</v>
      </c>
      <c r="I486" s="5" t="s">
        <v>1148</v>
      </c>
      <c r="J486">
        <v>0</v>
      </c>
      <c r="K486">
        <f>30.5-14.5</f>
        <v>16</v>
      </c>
      <c r="L486" t="s">
        <v>38</v>
      </c>
      <c r="M486">
        <v>4</v>
      </c>
    </row>
    <row r="487" spans="1:13" ht="15.75" x14ac:dyDescent="0.25">
      <c r="A487" t="s">
        <v>1053</v>
      </c>
      <c r="B487" t="s">
        <v>30</v>
      </c>
      <c r="C487">
        <v>5</v>
      </c>
      <c r="D487">
        <v>1</v>
      </c>
      <c r="E487" s="9" t="s">
        <v>42</v>
      </c>
      <c r="F487" t="s">
        <v>114</v>
      </c>
      <c r="G487">
        <v>2</v>
      </c>
      <c r="H487" s="5" t="s">
        <v>1149</v>
      </c>
      <c r="I487" s="5" t="s">
        <v>1150</v>
      </c>
      <c r="J487">
        <v>0</v>
      </c>
      <c r="K487">
        <f>24.5-12.5</f>
        <v>12</v>
      </c>
      <c r="L487" t="s">
        <v>38</v>
      </c>
      <c r="M487">
        <v>4</v>
      </c>
    </row>
    <row r="488" spans="1:13" ht="15.75" x14ac:dyDescent="0.25">
      <c r="A488" t="s">
        <v>1053</v>
      </c>
      <c r="B488" t="s">
        <v>30</v>
      </c>
      <c r="C488">
        <v>5</v>
      </c>
      <c r="D488">
        <v>1</v>
      </c>
      <c r="E488" s="9" t="s">
        <v>42</v>
      </c>
      <c r="F488" t="s">
        <v>114</v>
      </c>
      <c r="G488">
        <v>1</v>
      </c>
      <c r="H488" s="5" t="s">
        <v>1151</v>
      </c>
      <c r="I488" s="5" t="s">
        <v>1152</v>
      </c>
      <c r="J488">
        <v>0</v>
      </c>
      <c r="K488">
        <f>27-12</f>
        <v>15</v>
      </c>
      <c r="L488" t="s">
        <v>47</v>
      </c>
      <c r="M488">
        <v>4</v>
      </c>
    </row>
    <row r="489" spans="1:13" ht="15.75" x14ac:dyDescent="0.25">
      <c r="A489" t="s">
        <v>1053</v>
      </c>
      <c r="B489" t="s">
        <v>30</v>
      </c>
      <c r="C489">
        <v>5</v>
      </c>
      <c r="D489">
        <v>1</v>
      </c>
      <c r="E489" s="9" t="s">
        <v>42</v>
      </c>
      <c r="F489" t="s">
        <v>36</v>
      </c>
      <c r="G489">
        <v>2</v>
      </c>
      <c r="H489" s="5" t="s">
        <v>1153</v>
      </c>
      <c r="I489" s="5" t="s">
        <v>1154</v>
      </c>
      <c r="J489">
        <v>0</v>
      </c>
      <c r="K489">
        <f>33-13</f>
        <v>20</v>
      </c>
      <c r="L489" t="s">
        <v>81</v>
      </c>
      <c r="M489">
        <v>4</v>
      </c>
    </row>
    <row r="490" spans="1:13" ht="15.75" x14ac:dyDescent="0.25">
      <c r="A490" t="s">
        <v>1053</v>
      </c>
      <c r="B490" t="s">
        <v>30</v>
      </c>
      <c r="C490">
        <v>5</v>
      </c>
      <c r="D490">
        <v>1</v>
      </c>
      <c r="E490" s="9" t="s">
        <v>42</v>
      </c>
      <c r="F490" t="s">
        <v>114</v>
      </c>
      <c r="G490">
        <v>2</v>
      </c>
      <c r="H490" s="5" t="s">
        <v>1155</v>
      </c>
      <c r="I490" s="5" t="s">
        <v>1156</v>
      </c>
      <c r="J490">
        <v>0</v>
      </c>
      <c r="K490">
        <f>27.5-12.5</f>
        <v>15</v>
      </c>
      <c r="L490" t="s">
        <v>38</v>
      </c>
      <c r="M490">
        <v>4</v>
      </c>
    </row>
    <row r="491" spans="1:13" ht="15.75" x14ac:dyDescent="0.25">
      <c r="A491" t="s">
        <v>1053</v>
      </c>
      <c r="B491" t="s">
        <v>30</v>
      </c>
      <c r="C491">
        <v>5</v>
      </c>
      <c r="D491">
        <v>1</v>
      </c>
      <c r="E491" s="9" t="s">
        <v>42</v>
      </c>
      <c r="F491" t="s">
        <v>36</v>
      </c>
      <c r="G491">
        <v>2</v>
      </c>
      <c r="H491" s="5" t="s">
        <v>1157</v>
      </c>
      <c r="I491" s="5" t="s">
        <v>1158</v>
      </c>
      <c r="J491">
        <v>0</v>
      </c>
      <c r="K491">
        <f>35-13</f>
        <v>22</v>
      </c>
      <c r="L491" t="s">
        <v>1039</v>
      </c>
      <c r="M491">
        <v>4</v>
      </c>
    </row>
    <row r="492" spans="1:13" ht="15.75" x14ac:dyDescent="0.25">
      <c r="A492" t="s">
        <v>1053</v>
      </c>
      <c r="B492" t="s">
        <v>30</v>
      </c>
      <c r="C492">
        <v>3</v>
      </c>
      <c r="D492">
        <v>1</v>
      </c>
      <c r="E492" s="9" t="s">
        <v>35</v>
      </c>
      <c r="F492" t="s">
        <v>36</v>
      </c>
      <c r="G492">
        <v>1</v>
      </c>
      <c r="H492" s="5" t="s">
        <v>1167</v>
      </c>
      <c r="I492" s="5" t="s">
        <v>1168</v>
      </c>
      <c r="J492">
        <v>0</v>
      </c>
      <c r="K492">
        <f>35-13</f>
        <v>22</v>
      </c>
      <c r="L492" t="s">
        <v>47</v>
      </c>
      <c r="M492">
        <v>4</v>
      </c>
    </row>
    <row r="493" spans="1:13" ht="15.75" x14ac:dyDescent="0.25">
      <c r="A493" t="s">
        <v>1053</v>
      </c>
      <c r="B493" t="s">
        <v>30</v>
      </c>
      <c r="C493">
        <v>3</v>
      </c>
      <c r="D493">
        <v>1</v>
      </c>
      <c r="E493" s="9" t="s">
        <v>35</v>
      </c>
      <c r="F493" t="s">
        <v>114</v>
      </c>
      <c r="G493">
        <v>2</v>
      </c>
      <c r="H493" s="5" t="s">
        <v>1170</v>
      </c>
      <c r="I493" s="5" t="s">
        <v>1171</v>
      </c>
      <c r="J493">
        <v>0</v>
      </c>
      <c r="K493">
        <f>31-12.5</f>
        <v>18.5</v>
      </c>
      <c r="L493" t="s">
        <v>83</v>
      </c>
      <c r="M493">
        <v>4</v>
      </c>
    </row>
    <row r="494" spans="1:13" ht="15.75" x14ac:dyDescent="0.25">
      <c r="A494" t="s">
        <v>1053</v>
      </c>
      <c r="B494" t="s">
        <v>30</v>
      </c>
      <c r="C494">
        <v>4</v>
      </c>
      <c r="D494">
        <v>1</v>
      </c>
      <c r="E494" s="9" t="s">
        <v>42</v>
      </c>
      <c r="F494" t="s">
        <v>114</v>
      </c>
      <c r="G494">
        <v>2</v>
      </c>
      <c r="H494" s="5" t="s">
        <v>1187</v>
      </c>
      <c r="I494" s="5" t="s">
        <v>1188</v>
      </c>
      <c r="J494">
        <v>0</v>
      </c>
      <c r="K494">
        <f>29-13.5</f>
        <v>15.5</v>
      </c>
      <c r="L494" t="s">
        <v>38</v>
      </c>
      <c r="M494">
        <v>4</v>
      </c>
    </row>
    <row r="495" spans="1:13" ht="15.75" x14ac:dyDescent="0.25">
      <c r="A495" t="s">
        <v>1053</v>
      </c>
      <c r="B495" t="s">
        <v>30</v>
      </c>
      <c r="C495">
        <v>3</v>
      </c>
      <c r="D495">
        <v>1</v>
      </c>
      <c r="E495" s="9" t="s">
        <v>42</v>
      </c>
      <c r="F495" t="s">
        <v>114</v>
      </c>
      <c r="G495">
        <v>2</v>
      </c>
      <c r="H495" s="5" t="s">
        <v>1189</v>
      </c>
      <c r="I495" s="5" t="s">
        <v>1190</v>
      </c>
      <c r="J495">
        <v>0</v>
      </c>
      <c r="K495">
        <f>38-13</f>
        <v>25</v>
      </c>
      <c r="L495" t="s">
        <v>38</v>
      </c>
      <c r="M495">
        <v>4</v>
      </c>
    </row>
    <row r="496" spans="1:13" ht="15.75" x14ac:dyDescent="0.25">
      <c r="A496" t="s">
        <v>1053</v>
      </c>
      <c r="B496" t="s">
        <v>30</v>
      </c>
      <c r="C496">
        <v>8</v>
      </c>
      <c r="D496">
        <v>1</v>
      </c>
      <c r="E496" s="9" t="s">
        <v>42</v>
      </c>
      <c r="F496" t="s">
        <v>36</v>
      </c>
      <c r="G496">
        <v>1</v>
      </c>
      <c r="H496" s="5" t="s">
        <v>1212</v>
      </c>
      <c r="I496" s="5" t="s">
        <v>1213</v>
      </c>
      <c r="J496">
        <v>0</v>
      </c>
      <c r="K496">
        <f>34-12.5</f>
        <v>21.5</v>
      </c>
      <c r="L496" t="s">
        <v>65</v>
      </c>
      <c r="M496">
        <v>4</v>
      </c>
    </row>
    <row r="497" spans="1:13" ht="15.75" x14ac:dyDescent="0.25">
      <c r="A497" t="s">
        <v>1053</v>
      </c>
      <c r="B497" t="s">
        <v>30</v>
      </c>
      <c r="C497">
        <v>8</v>
      </c>
      <c r="D497">
        <v>1</v>
      </c>
      <c r="E497" s="9" t="s">
        <v>42</v>
      </c>
      <c r="F497" t="s">
        <v>114</v>
      </c>
      <c r="G497">
        <v>2</v>
      </c>
      <c r="H497" s="5" t="s">
        <v>1214</v>
      </c>
      <c r="I497" s="5" t="s">
        <v>1215</v>
      </c>
      <c r="J497">
        <v>0</v>
      </c>
      <c r="K497">
        <f>29.5-13.5</f>
        <v>16</v>
      </c>
      <c r="L497" t="s">
        <v>38</v>
      </c>
      <c r="M497">
        <v>4</v>
      </c>
    </row>
    <row r="498" spans="1:13" ht="15.75" x14ac:dyDescent="0.25">
      <c r="A498" t="s">
        <v>1053</v>
      </c>
      <c r="B498" t="s">
        <v>30</v>
      </c>
      <c r="C498">
        <v>7</v>
      </c>
      <c r="D498">
        <v>1</v>
      </c>
      <c r="E498" s="9" t="s">
        <v>35</v>
      </c>
      <c r="F498" t="s">
        <v>114</v>
      </c>
      <c r="G498">
        <v>2</v>
      </c>
      <c r="H498" s="5" t="s">
        <v>1232</v>
      </c>
      <c r="I498" s="5" t="s">
        <v>1233</v>
      </c>
      <c r="J498">
        <v>0</v>
      </c>
      <c r="K498">
        <f>33-12</f>
        <v>21</v>
      </c>
      <c r="L498" t="s">
        <v>38</v>
      </c>
      <c r="M498">
        <v>4</v>
      </c>
    </row>
    <row r="499" spans="1:13" ht="15.75" x14ac:dyDescent="0.25">
      <c r="A499" t="s">
        <v>1053</v>
      </c>
      <c r="B499" t="s">
        <v>30</v>
      </c>
      <c r="C499">
        <v>7</v>
      </c>
      <c r="D499">
        <v>1</v>
      </c>
      <c r="E499" s="9" t="s">
        <v>35</v>
      </c>
      <c r="F499" t="s">
        <v>36</v>
      </c>
      <c r="G499">
        <v>2</v>
      </c>
      <c r="H499" s="5" t="s">
        <v>1234</v>
      </c>
      <c r="I499" s="5" t="s">
        <v>1235</v>
      </c>
      <c r="J499">
        <v>0</v>
      </c>
      <c r="K499">
        <f>32-12.5</f>
        <v>19.5</v>
      </c>
      <c r="L499" t="s">
        <v>38</v>
      </c>
      <c r="M499">
        <v>4</v>
      </c>
    </row>
    <row r="500" spans="1:13" ht="15.75" x14ac:dyDescent="0.25">
      <c r="A500" t="s">
        <v>1053</v>
      </c>
      <c r="B500" t="s">
        <v>30</v>
      </c>
      <c r="C500">
        <v>4</v>
      </c>
      <c r="D500">
        <v>1</v>
      </c>
      <c r="E500" s="9" t="s">
        <v>35</v>
      </c>
      <c r="F500" t="s">
        <v>114</v>
      </c>
      <c r="G500">
        <v>1</v>
      </c>
      <c r="H500" s="5" t="s">
        <v>1236</v>
      </c>
      <c r="I500" s="5" t="s">
        <v>1237</v>
      </c>
      <c r="J500">
        <v>0</v>
      </c>
      <c r="K500">
        <f>34-17</f>
        <v>17</v>
      </c>
      <c r="L500" t="s">
        <v>65</v>
      </c>
      <c r="M500">
        <v>4</v>
      </c>
    </row>
    <row r="501" spans="1:13" ht="15.75" x14ac:dyDescent="0.25">
      <c r="A501" t="s">
        <v>1053</v>
      </c>
      <c r="B501" t="s">
        <v>30</v>
      </c>
      <c r="C501">
        <v>7</v>
      </c>
      <c r="D501">
        <v>1</v>
      </c>
      <c r="E501" s="9" t="s">
        <v>35</v>
      </c>
      <c r="F501" t="s">
        <v>114</v>
      </c>
      <c r="G501">
        <v>2</v>
      </c>
      <c r="H501" s="5" t="s">
        <v>1242</v>
      </c>
      <c r="I501" s="5" t="s">
        <v>1243</v>
      </c>
      <c r="J501">
        <v>0</v>
      </c>
      <c r="K501">
        <f>31.5-13.5</f>
        <v>18</v>
      </c>
      <c r="L501" t="s">
        <v>38</v>
      </c>
      <c r="M501">
        <v>4</v>
      </c>
    </row>
    <row r="502" spans="1:13" ht="15.75" x14ac:dyDescent="0.25">
      <c r="A502" t="s">
        <v>1053</v>
      </c>
      <c r="B502" t="s">
        <v>30</v>
      </c>
      <c r="C502">
        <v>7</v>
      </c>
      <c r="D502">
        <v>1</v>
      </c>
      <c r="E502" s="9" t="s">
        <v>35</v>
      </c>
      <c r="F502" t="s">
        <v>114</v>
      </c>
      <c r="G502">
        <v>2</v>
      </c>
      <c r="H502" s="5" t="s">
        <v>1244</v>
      </c>
      <c r="I502" s="5" t="s">
        <v>1245</v>
      </c>
      <c r="J502">
        <v>0</v>
      </c>
      <c r="K502">
        <f>31-14</f>
        <v>17</v>
      </c>
      <c r="L502" t="s">
        <v>38</v>
      </c>
      <c r="M502">
        <v>4</v>
      </c>
    </row>
    <row r="503" spans="1:13" ht="15.75" x14ac:dyDescent="0.25">
      <c r="A503" t="s">
        <v>1053</v>
      </c>
      <c r="B503" t="s">
        <v>30</v>
      </c>
      <c r="C503">
        <v>8</v>
      </c>
      <c r="D503">
        <v>1</v>
      </c>
      <c r="E503" s="9" t="s">
        <v>35</v>
      </c>
      <c r="F503" t="s">
        <v>114</v>
      </c>
      <c r="G503">
        <v>2</v>
      </c>
      <c r="H503" s="5" t="s">
        <v>1250</v>
      </c>
      <c r="I503" s="5" t="s">
        <v>1251</v>
      </c>
      <c r="J503">
        <v>0</v>
      </c>
      <c r="K503">
        <f>29.5-14</f>
        <v>15.5</v>
      </c>
      <c r="L503" t="s">
        <v>38</v>
      </c>
      <c r="M503">
        <v>4</v>
      </c>
    </row>
    <row r="504" spans="1:13" ht="15.75" x14ac:dyDescent="0.25">
      <c r="A504" t="s">
        <v>1053</v>
      </c>
      <c r="B504" t="s">
        <v>30</v>
      </c>
      <c r="C504">
        <v>7</v>
      </c>
      <c r="D504">
        <v>1</v>
      </c>
      <c r="E504" s="9" t="s">
        <v>35</v>
      </c>
      <c r="F504" t="s">
        <v>36</v>
      </c>
      <c r="G504">
        <v>2</v>
      </c>
      <c r="H504" s="5" t="s">
        <v>1252</v>
      </c>
      <c r="I504" s="5" t="s">
        <v>1253</v>
      </c>
      <c r="J504">
        <v>0</v>
      </c>
      <c r="K504">
        <f>34.5-12.5</f>
        <v>22</v>
      </c>
      <c r="L504" t="s">
        <v>38</v>
      </c>
      <c r="M504">
        <v>4</v>
      </c>
    </row>
    <row r="505" spans="1:13" ht="15.75" x14ac:dyDescent="0.25">
      <c r="A505" t="s">
        <v>1053</v>
      </c>
      <c r="B505" t="s">
        <v>30</v>
      </c>
      <c r="C505">
        <v>7</v>
      </c>
      <c r="D505">
        <v>1</v>
      </c>
      <c r="E505" s="9" t="s">
        <v>35</v>
      </c>
      <c r="F505" t="s">
        <v>36</v>
      </c>
      <c r="G505">
        <v>1</v>
      </c>
      <c r="H505" s="5" t="s">
        <v>1254</v>
      </c>
      <c r="I505" s="5" t="s">
        <v>1255</v>
      </c>
      <c r="J505">
        <v>0</v>
      </c>
      <c r="K505">
        <f>31.5-12.5</f>
        <v>19</v>
      </c>
      <c r="L505" t="s">
        <v>65</v>
      </c>
      <c r="M505">
        <v>4</v>
      </c>
    </row>
    <row r="506" spans="1:13" ht="15.75" x14ac:dyDescent="0.25">
      <c r="A506" t="s">
        <v>1053</v>
      </c>
      <c r="B506" t="s">
        <v>30</v>
      </c>
      <c r="C506">
        <v>7</v>
      </c>
      <c r="D506">
        <v>1</v>
      </c>
      <c r="E506" s="9" t="s">
        <v>35</v>
      </c>
      <c r="F506" t="s">
        <v>36</v>
      </c>
      <c r="G506">
        <v>2</v>
      </c>
      <c r="H506" s="5" t="s">
        <v>1256</v>
      </c>
      <c r="I506" s="5" t="s">
        <v>1257</v>
      </c>
      <c r="J506">
        <v>0</v>
      </c>
      <c r="K506">
        <f>30-13</f>
        <v>17</v>
      </c>
      <c r="L506" t="s">
        <v>38</v>
      </c>
      <c r="M506">
        <v>4</v>
      </c>
    </row>
    <row r="507" spans="1:13" ht="15.75" x14ac:dyDescent="0.25">
      <c r="A507" t="s">
        <v>1053</v>
      </c>
      <c r="B507" t="s">
        <v>30</v>
      </c>
      <c r="C507">
        <v>7</v>
      </c>
      <c r="D507">
        <v>1</v>
      </c>
      <c r="E507" s="9" t="s">
        <v>54</v>
      </c>
      <c r="H507" s="5" t="s">
        <v>1256</v>
      </c>
      <c r="I507" s="5" t="s">
        <v>1257</v>
      </c>
      <c r="J507">
        <v>0</v>
      </c>
      <c r="M507">
        <v>4</v>
      </c>
    </row>
    <row r="508" spans="1:13" ht="15.75" x14ac:dyDescent="0.25">
      <c r="A508" t="s">
        <v>1053</v>
      </c>
      <c r="B508" t="s">
        <v>30</v>
      </c>
      <c r="C508">
        <v>7</v>
      </c>
      <c r="D508">
        <v>1</v>
      </c>
      <c r="E508" s="9" t="s">
        <v>35</v>
      </c>
      <c r="F508" t="s">
        <v>114</v>
      </c>
      <c r="G508">
        <v>1</v>
      </c>
      <c r="H508" s="5" t="s">
        <v>1288</v>
      </c>
      <c r="I508" s="5" t="s">
        <v>1289</v>
      </c>
      <c r="J508">
        <v>0</v>
      </c>
      <c r="K508">
        <f>31-12.5</f>
        <v>18.5</v>
      </c>
      <c r="L508" t="s">
        <v>65</v>
      </c>
      <c r="M508">
        <v>4</v>
      </c>
    </row>
    <row r="509" spans="1:13" ht="15.75" x14ac:dyDescent="0.25">
      <c r="A509" t="s">
        <v>1053</v>
      </c>
      <c r="B509" t="s">
        <v>30</v>
      </c>
      <c r="C509">
        <v>7</v>
      </c>
      <c r="D509">
        <v>1</v>
      </c>
      <c r="E509" s="9" t="s">
        <v>35</v>
      </c>
      <c r="F509" t="s">
        <v>114</v>
      </c>
      <c r="G509">
        <v>1</v>
      </c>
      <c r="H509" s="5" t="s">
        <v>1290</v>
      </c>
      <c r="I509" s="5" t="s">
        <v>1291</v>
      </c>
      <c r="J509">
        <v>0</v>
      </c>
      <c r="K509">
        <f>27-12.5</f>
        <v>14.5</v>
      </c>
      <c r="L509" t="s">
        <v>65</v>
      </c>
      <c r="M509">
        <v>4</v>
      </c>
    </row>
    <row r="510" spans="1:13" ht="15.75" x14ac:dyDescent="0.25">
      <c r="A510" t="s">
        <v>1053</v>
      </c>
      <c r="B510" t="s">
        <v>30</v>
      </c>
      <c r="C510">
        <v>8</v>
      </c>
      <c r="D510">
        <v>1</v>
      </c>
      <c r="E510" s="9" t="s">
        <v>35</v>
      </c>
      <c r="F510" t="s">
        <v>114</v>
      </c>
      <c r="G510">
        <v>1</v>
      </c>
      <c r="H510" s="5" t="s">
        <v>1296</v>
      </c>
      <c r="I510" s="5" t="s">
        <v>1297</v>
      </c>
      <c r="J510">
        <v>0</v>
      </c>
      <c r="K510">
        <f>29.5-14.5</f>
        <v>15</v>
      </c>
      <c r="L510" t="s">
        <v>65</v>
      </c>
      <c r="M510">
        <v>4</v>
      </c>
    </row>
    <row r="511" spans="1:13" ht="15.75" x14ac:dyDescent="0.25">
      <c r="A511" t="s">
        <v>1053</v>
      </c>
      <c r="B511" t="s">
        <v>30</v>
      </c>
      <c r="C511">
        <v>7</v>
      </c>
      <c r="D511">
        <v>1</v>
      </c>
      <c r="E511" s="9" t="s">
        <v>35</v>
      </c>
      <c r="F511" t="s">
        <v>114</v>
      </c>
      <c r="G511">
        <v>1</v>
      </c>
      <c r="H511" s="5" t="s">
        <v>1300</v>
      </c>
      <c r="I511" s="5" t="s">
        <v>1301</v>
      </c>
      <c r="J511">
        <v>0</v>
      </c>
      <c r="K511">
        <f>28.5-13</f>
        <v>15.5</v>
      </c>
      <c r="L511" t="s">
        <v>65</v>
      </c>
      <c r="M511">
        <v>4</v>
      </c>
    </row>
    <row r="512" spans="1:13" ht="15.75" x14ac:dyDescent="0.25">
      <c r="A512" t="s">
        <v>1053</v>
      </c>
      <c r="B512" t="s">
        <v>30</v>
      </c>
      <c r="C512">
        <v>3</v>
      </c>
      <c r="D512">
        <v>1</v>
      </c>
      <c r="E512" s="9" t="s">
        <v>35</v>
      </c>
      <c r="F512" t="s">
        <v>114</v>
      </c>
      <c r="G512">
        <v>2</v>
      </c>
      <c r="H512" s="5" t="s">
        <v>1347</v>
      </c>
      <c r="I512" s="5" t="s">
        <v>1348</v>
      </c>
      <c r="J512">
        <v>0</v>
      </c>
      <c r="K512">
        <f>29-13</f>
        <v>16</v>
      </c>
      <c r="L512" t="s">
        <v>83</v>
      </c>
      <c r="M512">
        <v>4</v>
      </c>
    </row>
    <row r="513" spans="1:13" ht="15.75" x14ac:dyDescent="0.25">
      <c r="A513" t="s">
        <v>1053</v>
      </c>
      <c r="B513" t="s">
        <v>30</v>
      </c>
      <c r="C513">
        <v>3</v>
      </c>
      <c r="D513">
        <v>1</v>
      </c>
      <c r="E513" s="9" t="s">
        <v>35</v>
      </c>
      <c r="F513" t="s">
        <v>114</v>
      </c>
      <c r="G513">
        <v>1</v>
      </c>
      <c r="H513" s="5" t="s">
        <v>1349</v>
      </c>
      <c r="I513" s="5" t="s">
        <v>1350</v>
      </c>
      <c r="J513">
        <v>0</v>
      </c>
      <c r="K513">
        <f>30-13</f>
        <v>17</v>
      </c>
      <c r="L513" t="s">
        <v>65</v>
      </c>
      <c r="M513">
        <v>4</v>
      </c>
    </row>
    <row r="514" spans="1:13" ht="15.75" x14ac:dyDescent="0.25">
      <c r="A514" t="s">
        <v>1053</v>
      </c>
      <c r="B514" t="s">
        <v>30</v>
      </c>
      <c r="C514">
        <v>3</v>
      </c>
      <c r="D514">
        <v>1</v>
      </c>
      <c r="E514" s="9" t="s">
        <v>35</v>
      </c>
      <c r="F514" t="s">
        <v>36</v>
      </c>
      <c r="G514">
        <v>2</v>
      </c>
      <c r="H514" s="5" t="s">
        <v>1351</v>
      </c>
      <c r="I514" s="5" t="s">
        <v>1352</v>
      </c>
      <c r="J514">
        <v>0</v>
      </c>
      <c r="K514">
        <f>35.5-13</f>
        <v>22.5</v>
      </c>
      <c r="L514" t="s">
        <v>83</v>
      </c>
      <c r="M514">
        <v>4</v>
      </c>
    </row>
    <row r="515" spans="1:13" ht="15.75" x14ac:dyDescent="0.25">
      <c r="A515" t="s">
        <v>1053</v>
      </c>
      <c r="B515" t="s">
        <v>30</v>
      </c>
      <c r="C515">
        <v>5</v>
      </c>
      <c r="D515">
        <v>1</v>
      </c>
      <c r="E515" s="9" t="s">
        <v>35</v>
      </c>
      <c r="F515" t="s">
        <v>114</v>
      </c>
      <c r="G515">
        <v>2</v>
      </c>
      <c r="H515" s="5" t="s">
        <v>1355</v>
      </c>
      <c r="I515" s="5" t="s">
        <v>1356</v>
      </c>
      <c r="J515">
        <v>0</v>
      </c>
      <c r="K515">
        <f>30-13</f>
        <v>17</v>
      </c>
      <c r="L515" t="s">
        <v>38</v>
      </c>
      <c r="M515">
        <v>4</v>
      </c>
    </row>
    <row r="516" spans="1:13" ht="15.75" x14ac:dyDescent="0.25">
      <c r="A516" t="s">
        <v>1053</v>
      </c>
      <c r="B516" t="s">
        <v>30</v>
      </c>
      <c r="C516">
        <v>5</v>
      </c>
      <c r="D516">
        <v>1</v>
      </c>
      <c r="E516" s="9" t="s">
        <v>35</v>
      </c>
      <c r="F516" t="s">
        <v>114</v>
      </c>
      <c r="G516">
        <v>2</v>
      </c>
      <c r="H516" s="5" t="s">
        <v>1359</v>
      </c>
      <c r="I516" s="5" t="s">
        <v>1360</v>
      </c>
      <c r="J516">
        <v>0</v>
      </c>
      <c r="K516">
        <f>31.5-12.5</f>
        <v>19</v>
      </c>
      <c r="L516" t="s">
        <v>83</v>
      </c>
      <c r="M516">
        <v>4</v>
      </c>
    </row>
    <row r="517" spans="1:13" ht="15.75" x14ac:dyDescent="0.25">
      <c r="A517" t="s">
        <v>1053</v>
      </c>
      <c r="B517" t="s">
        <v>30</v>
      </c>
      <c r="C517">
        <v>4</v>
      </c>
      <c r="D517">
        <v>1</v>
      </c>
      <c r="E517" s="9" t="s">
        <v>35</v>
      </c>
      <c r="F517" t="s">
        <v>114</v>
      </c>
      <c r="G517">
        <v>2</v>
      </c>
      <c r="H517" s="5" t="s">
        <v>1363</v>
      </c>
      <c r="I517" s="5" t="s">
        <v>1364</v>
      </c>
      <c r="J517">
        <v>0</v>
      </c>
      <c r="K517">
        <f>27.5-13.5</f>
        <v>14</v>
      </c>
      <c r="L517" t="s">
        <v>38</v>
      </c>
      <c r="M517">
        <v>4</v>
      </c>
    </row>
    <row r="518" spans="1:13" ht="15.75" x14ac:dyDescent="0.25">
      <c r="A518" t="s">
        <v>1053</v>
      </c>
      <c r="B518" t="s">
        <v>30</v>
      </c>
      <c r="C518">
        <v>3</v>
      </c>
      <c r="D518">
        <v>1</v>
      </c>
      <c r="E518" s="9" t="s">
        <v>35</v>
      </c>
      <c r="F518" t="s">
        <v>36</v>
      </c>
      <c r="G518">
        <v>1</v>
      </c>
      <c r="H518" s="5" t="s">
        <v>1367</v>
      </c>
      <c r="I518" s="5" t="s">
        <v>1368</v>
      </c>
      <c r="J518">
        <v>0</v>
      </c>
      <c r="K518">
        <f>37-14</f>
        <v>23</v>
      </c>
      <c r="L518" t="s">
        <v>47</v>
      </c>
      <c r="M518">
        <v>4</v>
      </c>
    </row>
    <row r="519" spans="1:13" ht="15.75" x14ac:dyDescent="0.25">
      <c r="A519" t="s">
        <v>1053</v>
      </c>
      <c r="B519" t="s">
        <v>30</v>
      </c>
      <c r="C519">
        <v>5</v>
      </c>
      <c r="D519">
        <v>1</v>
      </c>
      <c r="E519" s="9" t="s">
        <v>35</v>
      </c>
      <c r="F519" t="s">
        <v>114</v>
      </c>
      <c r="G519">
        <v>1</v>
      </c>
      <c r="H519" s="5" t="s">
        <v>1369</v>
      </c>
      <c r="I519" s="5" t="s">
        <v>1370</v>
      </c>
      <c r="J519">
        <v>0</v>
      </c>
      <c r="K519">
        <f>30.5-13</f>
        <v>17.5</v>
      </c>
      <c r="L519" t="s">
        <v>65</v>
      </c>
      <c r="M519">
        <v>4</v>
      </c>
    </row>
    <row r="520" spans="1:13" ht="15.75" x14ac:dyDescent="0.25">
      <c r="A520" t="s">
        <v>1053</v>
      </c>
      <c r="B520" t="s">
        <v>30</v>
      </c>
      <c r="C520">
        <v>4</v>
      </c>
      <c r="D520">
        <v>1</v>
      </c>
      <c r="E520" s="9" t="s">
        <v>35</v>
      </c>
      <c r="F520" t="s">
        <v>114</v>
      </c>
      <c r="G520">
        <v>2</v>
      </c>
      <c r="H520" s="5" t="s">
        <v>1373</v>
      </c>
      <c r="I520" s="5" t="s">
        <v>1374</v>
      </c>
      <c r="J520">
        <v>0</v>
      </c>
      <c r="K520">
        <f>28-14</f>
        <v>14</v>
      </c>
      <c r="L520" t="s">
        <v>83</v>
      </c>
      <c r="M520">
        <v>4</v>
      </c>
    </row>
    <row r="521" spans="1:13" ht="15.75" x14ac:dyDescent="0.25">
      <c r="A521" t="s">
        <v>1053</v>
      </c>
      <c r="B521" t="s">
        <v>30</v>
      </c>
      <c r="C521">
        <v>4</v>
      </c>
      <c r="D521">
        <v>1</v>
      </c>
      <c r="E521" s="9" t="s">
        <v>35</v>
      </c>
      <c r="F521" t="s">
        <v>36</v>
      </c>
      <c r="G521">
        <v>1</v>
      </c>
      <c r="H521" s="5" t="s">
        <v>1405</v>
      </c>
      <c r="I521" s="5" t="s">
        <v>1406</v>
      </c>
      <c r="J521">
        <v>0</v>
      </c>
      <c r="K521">
        <f>32-14</f>
        <v>18</v>
      </c>
      <c r="L521" t="s">
        <v>65</v>
      </c>
      <c r="M521">
        <v>4</v>
      </c>
    </row>
    <row r="522" spans="1:13" ht="15.75" x14ac:dyDescent="0.25">
      <c r="A522" t="s">
        <v>1053</v>
      </c>
      <c r="B522" t="s">
        <v>30</v>
      </c>
      <c r="C522">
        <v>7</v>
      </c>
      <c r="D522">
        <v>2</v>
      </c>
      <c r="E522" s="9" t="s">
        <v>35</v>
      </c>
      <c r="F522" t="s">
        <v>36</v>
      </c>
      <c r="G522">
        <v>2</v>
      </c>
      <c r="H522" s="5" t="s">
        <v>1060</v>
      </c>
      <c r="I522" s="5"/>
      <c r="J522">
        <v>0</v>
      </c>
      <c r="K522">
        <f>39-14</f>
        <v>25</v>
      </c>
      <c r="L522" t="s">
        <v>1039</v>
      </c>
      <c r="M522">
        <v>4</v>
      </c>
    </row>
    <row r="523" spans="1:13" ht="15.75" x14ac:dyDescent="0.25">
      <c r="A523" t="s">
        <v>1053</v>
      </c>
      <c r="B523" t="s">
        <v>30</v>
      </c>
      <c r="C523">
        <v>4</v>
      </c>
      <c r="D523">
        <v>2</v>
      </c>
      <c r="E523" s="9" t="s">
        <v>42</v>
      </c>
      <c r="F523" t="s">
        <v>36</v>
      </c>
      <c r="G523">
        <v>2</v>
      </c>
      <c r="H523" s="5" t="s">
        <v>1146</v>
      </c>
      <c r="I523" s="5"/>
      <c r="J523">
        <v>1</v>
      </c>
      <c r="K523">
        <f>42-13</f>
        <v>29</v>
      </c>
      <c r="L523" t="s">
        <v>38</v>
      </c>
      <c r="M523">
        <v>4</v>
      </c>
    </row>
    <row r="524" spans="1:13" ht="15.75" x14ac:dyDescent="0.25">
      <c r="A524" t="s">
        <v>1053</v>
      </c>
      <c r="B524" t="s">
        <v>30</v>
      </c>
      <c r="C524">
        <v>5</v>
      </c>
      <c r="D524">
        <v>2</v>
      </c>
      <c r="E524" s="9" t="s">
        <v>42</v>
      </c>
      <c r="F524" t="s">
        <v>36</v>
      </c>
      <c r="G524">
        <v>2</v>
      </c>
      <c r="H524" s="5" t="s">
        <v>1169</v>
      </c>
      <c r="I524" s="5"/>
      <c r="J524">
        <v>0</v>
      </c>
      <c r="K524">
        <f>34-12.5</f>
        <v>21.5</v>
      </c>
      <c r="L524" t="s">
        <v>38</v>
      </c>
      <c r="M524">
        <v>4</v>
      </c>
    </row>
    <row r="525" spans="1:13" ht="15.75" x14ac:dyDescent="0.25">
      <c r="A525" t="s">
        <v>1053</v>
      </c>
      <c r="B525" t="s">
        <v>30</v>
      </c>
      <c r="C525">
        <v>7</v>
      </c>
      <c r="D525">
        <v>2</v>
      </c>
      <c r="E525" s="9" t="s">
        <v>42</v>
      </c>
      <c r="F525" t="s">
        <v>36</v>
      </c>
      <c r="G525">
        <v>2</v>
      </c>
      <c r="H525" s="5" t="s">
        <v>1216</v>
      </c>
      <c r="I525" s="5"/>
      <c r="J525">
        <v>1</v>
      </c>
      <c r="K525">
        <f>39-14.5</f>
        <v>24.5</v>
      </c>
      <c r="L525" t="s">
        <v>1039</v>
      </c>
      <c r="M525">
        <v>4</v>
      </c>
    </row>
    <row r="526" spans="1:13" ht="15.75" x14ac:dyDescent="0.25">
      <c r="A526" t="s">
        <v>1053</v>
      </c>
      <c r="B526" t="s">
        <v>30</v>
      </c>
      <c r="C526">
        <v>7</v>
      </c>
      <c r="D526">
        <v>2</v>
      </c>
      <c r="E526" s="9" t="s">
        <v>35</v>
      </c>
      <c r="F526" t="s">
        <v>36</v>
      </c>
      <c r="G526">
        <v>2</v>
      </c>
      <c r="H526" s="5" t="s">
        <v>1383</v>
      </c>
      <c r="I526" s="5"/>
      <c r="J526">
        <v>1</v>
      </c>
      <c r="K526">
        <f>37.5-14</f>
        <v>23.5</v>
      </c>
      <c r="L526" t="s">
        <v>38</v>
      </c>
      <c r="M526">
        <v>4</v>
      </c>
    </row>
    <row r="527" spans="1:13" ht="15.75" x14ac:dyDescent="0.25">
      <c r="A527" t="s">
        <v>1053</v>
      </c>
      <c r="B527" t="s">
        <v>30</v>
      </c>
      <c r="C527">
        <v>7</v>
      </c>
      <c r="D527">
        <v>3</v>
      </c>
      <c r="E527" s="9" t="s">
        <v>42</v>
      </c>
      <c r="F527" t="s">
        <v>36</v>
      </c>
      <c r="G527">
        <v>2</v>
      </c>
      <c r="H527" s="5" t="s">
        <v>1075</v>
      </c>
      <c r="I527" s="5"/>
      <c r="J527">
        <v>0</v>
      </c>
      <c r="K527">
        <f>32-13</f>
        <v>19</v>
      </c>
      <c r="L527" t="s">
        <v>38</v>
      </c>
      <c r="M527">
        <v>4</v>
      </c>
    </row>
    <row r="528" spans="1:13" ht="15.75" x14ac:dyDescent="0.25">
      <c r="A528" t="s">
        <v>1053</v>
      </c>
      <c r="B528" t="s">
        <v>30</v>
      </c>
      <c r="C528">
        <v>7</v>
      </c>
      <c r="D528">
        <v>3</v>
      </c>
      <c r="E528" s="9" t="s">
        <v>42</v>
      </c>
      <c r="F528" t="s">
        <v>36</v>
      </c>
      <c r="G528">
        <v>1</v>
      </c>
      <c r="H528" s="5" t="s">
        <v>1076</v>
      </c>
      <c r="I528" s="5"/>
      <c r="J528">
        <v>0</v>
      </c>
      <c r="K528">
        <f>31-13</f>
        <v>18</v>
      </c>
      <c r="L528" t="s">
        <v>65</v>
      </c>
      <c r="M528">
        <v>4</v>
      </c>
    </row>
    <row r="529" spans="1:13" ht="15.75" x14ac:dyDescent="0.25">
      <c r="A529" t="s">
        <v>1053</v>
      </c>
      <c r="B529" t="s">
        <v>30</v>
      </c>
      <c r="C529">
        <v>8</v>
      </c>
      <c r="D529">
        <v>3</v>
      </c>
      <c r="E529" s="9" t="s">
        <v>35</v>
      </c>
      <c r="F529" t="s">
        <v>36</v>
      </c>
      <c r="G529">
        <v>2</v>
      </c>
      <c r="H529" s="5" t="s">
        <v>1096</v>
      </c>
      <c r="I529" s="5"/>
      <c r="J529">
        <v>0</v>
      </c>
      <c r="K529">
        <f>40.5-13</f>
        <v>27.5</v>
      </c>
      <c r="L529" t="s">
        <v>1039</v>
      </c>
      <c r="M529">
        <v>4</v>
      </c>
    </row>
    <row r="530" spans="1:13" ht="15.75" x14ac:dyDescent="0.25">
      <c r="A530" t="s">
        <v>1053</v>
      </c>
      <c r="B530" t="s">
        <v>30</v>
      </c>
      <c r="C530">
        <v>7</v>
      </c>
      <c r="D530">
        <v>3</v>
      </c>
      <c r="E530" s="9" t="s">
        <v>35</v>
      </c>
      <c r="F530" t="s">
        <v>36</v>
      </c>
      <c r="G530">
        <v>2</v>
      </c>
      <c r="H530" s="5" t="s">
        <v>1228</v>
      </c>
      <c r="I530" s="5"/>
      <c r="J530">
        <v>0</v>
      </c>
      <c r="K530">
        <f>43-13.5</f>
        <v>29.5</v>
      </c>
      <c r="L530" t="s">
        <v>81</v>
      </c>
      <c r="M530">
        <v>4</v>
      </c>
    </row>
    <row r="531" spans="1:13" ht="15.75" x14ac:dyDescent="0.25">
      <c r="A531" t="s">
        <v>1053</v>
      </c>
      <c r="B531" t="s">
        <v>30</v>
      </c>
      <c r="C531">
        <v>7</v>
      </c>
      <c r="D531">
        <v>3</v>
      </c>
      <c r="E531" s="9" t="s">
        <v>42</v>
      </c>
      <c r="F531" t="s">
        <v>36</v>
      </c>
      <c r="G531">
        <v>2</v>
      </c>
      <c r="H531" s="5" t="s">
        <v>1239</v>
      </c>
      <c r="I531" s="5"/>
      <c r="J531">
        <v>0</v>
      </c>
      <c r="K531">
        <f>30-12</f>
        <v>18</v>
      </c>
      <c r="L531" t="s">
        <v>38</v>
      </c>
      <c r="M531">
        <v>4</v>
      </c>
    </row>
    <row r="532" spans="1:13" ht="15.75" x14ac:dyDescent="0.25">
      <c r="A532" t="s">
        <v>1053</v>
      </c>
      <c r="B532" t="s">
        <v>30</v>
      </c>
      <c r="C532">
        <v>7</v>
      </c>
      <c r="D532">
        <v>3</v>
      </c>
      <c r="E532" s="9" t="s">
        <v>42</v>
      </c>
      <c r="F532" t="s">
        <v>36</v>
      </c>
      <c r="G532">
        <v>2</v>
      </c>
      <c r="H532" s="5" t="s">
        <v>1240</v>
      </c>
      <c r="I532" s="5"/>
      <c r="J532">
        <v>0</v>
      </c>
      <c r="K532">
        <f>34-13</f>
        <v>21</v>
      </c>
      <c r="L532" t="s">
        <v>38</v>
      </c>
      <c r="M532">
        <v>4</v>
      </c>
    </row>
    <row r="533" spans="1:13" ht="15.75" x14ac:dyDescent="0.25">
      <c r="A533" t="s">
        <v>1053</v>
      </c>
      <c r="B533" t="s">
        <v>30</v>
      </c>
      <c r="C533">
        <v>7</v>
      </c>
      <c r="D533">
        <v>3</v>
      </c>
      <c r="E533" s="9" t="s">
        <v>35</v>
      </c>
      <c r="F533" t="s">
        <v>89</v>
      </c>
      <c r="G533">
        <v>2</v>
      </c>
      <c r="H533" s="5" t="s">
        <v>1382</v>
      </c>
      <c r="I533" s="5"/>
      <c r="J533">
        <v>0</v>
      </c>
      <c r="K533">
        <f>33.5-12.5</f>
        <v>21</v>
      </c>
      <c r="L533" t="s">
        <v>38</v>
      </c>
      <c r="M533">
        <v>4</v>
      </c>
    </row>
    <row r="534" spans="1:13" ht="15.75" x14ac:dyDescent="0.25">
      <c r="A534" s="4" t="s">
        <v>1054</v>
      </c>
      <c r="B534" t="s">
        <v>30</v>
      </c>
      <c r="C534">
        <v>7</v>
      </c>
      <c r="D534">
        <v>1</v>
      </c>
      <c r="E534" s="9" t="s">
        <v>35</v>
      </c>
      <c r="F534" t="s">
        <v>114</v>
      </c>
      <c r="G534">
        <v>2</v>
      </c>
      <c r="H534" s="5" t="s">
        <v>1051</v>
      </c>
      <c r="I534" s="5" t="s">
        <v>1052</v>
      </c>
      <c r="J534">
        <v>0</v>
      </c>
      <c r="K534">
        <f>29-13.5</f>
        <v>15.5</v>
      </c>
      <c r="L534" t="s">
        <v>38</v>
      </c>
      <c r="M534">
        <v>4</v>
      </c>
    </row>
    <row r="535" spans="1:13" ht="15.75" x14ac:dyDescent="0.25">
      <c r="A535" t="s">
        <v>1054</v>
      </c>
      <c r="B535" t="s">
        <v>30</v>
      </c>
      <c r="C535">
        <v>7</v>
      </c>
      <c r="D535">
        <v>1</v>
      </c>
      <c r="E535" s="9" t="s">
        <v>35</v>
      </c>
      <c r="F535" t="s">
        <v>114</v>
      </c>
      <c r="G535">
        <v>2</v>
      </c>
      <c r="H535" s="5" t="s">
        <v>1055</v>
      </c>
      <c r="I535" s="5" t="s">
        <v>1056</v>
      </c>
      <c r="J535">
        <v>0</v>
      </c>
      <c r="K535">
        <f>28.5-13.5</f>
        <v>15</v>
      </c>
      <c r="L535" t="s">
        <v>38</v>
      </c>
      <c r="M535">
        <v>4</v>
      </c>
    </row>
    <row r="536" spans="1:13" ht="15.75" x14ac:dyDescent="0.25">
      <c r="A536" t="s">
        <v>1054</v>
      </c>
      <c r="B536" t="s">
        <v>30</v>
      </c>
      <c r="C536">
        <v>8</v>
      </c>
      <c r="D536">
        <v>1</v>
      </c>
      <c r="E536" s="9" t="s">
        <v>35</v>
      </c>
      <c r="F536" t="s">
        <v>114</v>
      </c>
      <c r="G536">
        <v>2</v>
      </c>
      <c r="H536" s="5" t="s">
        <v>1064</v>
      </c>
      <c r="I536" s="5" t="s">
        <v>1065</v>
      </c>
      <c r="J536">
        <v>0</v>
      </c>
      <c r="K536">
        <f>28.5-13</f>
        <v>15.5</v>
      </c>
      <c r="L536" t="s">
        <v>38</v>
      </c>
      <c r="M536">
        <v>4</v>
      </c>
    </row>
    <row r="537" spans="1:13" ht="15.75" x14ac:dyDescent="0.25">
      <c r="A537" t="s">
        <v>1054</v>
      </c>
      <c r="B537" t="s">
        <v>30</v>
      </c>
      <c r="C537">
        <v>7</v>
      </c>
      <c r="D537">
        <v>1</v>
      </c>
      <c r="E537" s="9" t="s">
        <v>35</v>
      </c>
      <c r="F537" t="s">
        <v>36</v>
      </c>
      <c r="G537">
        <v>2</v>
      </c>
      <c r="H537" s="5" t="s">
        <v>1066</v>
      </c>
      <c r="I537" s="5" t="s">
        <v>1067</v>
      </c>
      <c r="J537">
        <v>0</v>
      </c>
      <c r="K537">
        <f>32-12.5</f>
        <v>19.5</v>
      </c>
      <c r="L537" t="s">
        <v>38</v>
      </c>
      <c r="M537">
        <v>4</v>
      </c>
    </row>
    <row r="538" spans="1:13" ht="15.75" x14ac:dyDescent="0.25">
      <c r="A538" t="s">
        <v>1054</v>
      </c>
      <c r="B538" t="s">
        <v>30</v>
      </c>
      <c r="C538">
        <v>7</v>
      </c>
      <c r="D538">
        <v>1</v>
      </c>
      <c r="E538" s="9" t="s">
        <v>35</v>
      </c>
      <c r="F538" t="s">
        <v>36</v>
      </c>
      <c r="G538">
        <v>2</v>
      </c>
      <c r="H538" s="5" t="s">
        <v>1069</v>
      </c>
      <c r="I538" s="5" t="s">
        <v>1070</v>
      </c>
      <c r="J538">
        <v>0</v>
      </c>
      <c r="K538">
        <f>32.5-13</f>
        <v>19.5</v>
      </c>
      <c r="L538" t="s">
        <v>38</v>
      </c>
      <c r="M538">
        <v>4</v>
      </c>
    </row>
    <row r="539" spans="1:13" ht="15.75" x14ac:dyDescent="0.25">
      <c r="A539" t="s">
        <v>1054</v>
      </c>
      <c r="B539" t="s">
        <v>30</v>
      </c>
      <c r="C539">
        <v>7</v>
      </c>
      <c r="D539">
        <v>1</v>
      </c>
      <c r="E539" s="9" t="s">
        <v>35</v>
      </c>
      <c r="F539" t="s">
        <v>36</v>
      </c>
      <c r="G539">
        <v>1</v>
      </c>
      <c r="H539" s="5" t="s">
        <v>1071</v>
      </c>
      <c r="I539" s="5" t="s">
        <v>1072</v>
      </c>
      <c r="J539">
        <v>0</v>
      </c>
      <c r="K539">
        <f>29.5-12.5</f>
        <v>17</v>
      </c>
      <c r="L539" t="s">
        <v>47</v>
      </c>
      <c r="M539">
        <v>4</v>
      </c>
    </row>
    <row r="540" spans="1:13" ht="15.75" x14ac:dyDescent="0.25">
      <c r="A540" t="s">
        <v>1054</v>
      </c>
      <c r="B540" t="s">
        <v>30</v>
      </c>
      <c r="C540">
        <v>4</v>
      </c>
      <c r="D540">
        <v>1</v>
      </c>
      <c r="E540" s="9" t="s">
        <v>35</v>
      </c>
      <c r="F540" t="s">
        <v>114</v>
      </c>
      <c r="G540">
        <v>2</v>
      </c>
      <c r="H540" s="5" t="s">
        <v>1111</v>
      </c>
      <c r="I540" s="5" t="s">
        <v>1112</v>
      </c>
      <c r="J540">
        <v>0</v>
      </c>
      <c r="K540">
        <f>34-14.5</f>
        <v>19.5</v>
      </c>
      <c r="L540" t="s">
        <v>38</v>
      </c>
      <c r="M540">
        <v>4</v>
      </c>
    </row>
    <row r="541" spans="1:13" ht="15.75" x14ac:dyDescent="0.25">
      <c r="A541" t="s">
        <v>1054</v>
      </c>
      <c r="B541" t="s">
        <v>30</v>
      </c>
      <c r="C541">
        <v>5</v>
      </c>
      <c r="D541">
        <v>1</v>
      </c>
      <c r="E541" s="9" t="s">
        <v>35</v>
      </c>
      <c r="F541" t="s">
        <v>36</v>
      </c>
      <c r="G541">
        <v>2</v>
      </c>
      <c r="H541" s="5" t="s">
        <v>1117</v>
      </c>
      <c r="I541" s="5" t="s">
        <v>1118</v>
      </c>
      <c r="J541">
        <v>0</v>
      </c>
      <c r="K541">
        <f>29-12</f>
        <v>17</v>
      </c>
      <c r="L541" t="s">
        <v>38</v>
      </c>
      <c r="M541">
        <v>4</v>
      </c>
    </row>
    <row r="542" spans="1:13" ht="15.75" x14ac:dyDescent="0.25">
      <c r="A542" t="s">
        <v>1054</v>
      </c>
      <c r="B542" t="s">
        <v>30</v>
      </c>
      <c r="C542">
        <v>5</v>
      </c>
      <c r="D542">
        <v>1</v>
      </c>
      <c r="E542" s="9" t="s">
        <v>35</v>
      </c>
      <c r="F542" t="s">
        <v>114</v>
      </c>
      <c r="G542">
        <v>1</v>
      </c>
      <c r="H542" s="5" t="s">
        <v>1125</v>
      </c>
      <c r="I542" s="5" t="s">
        <v>1126</v>
      </c>
      <c r="J542">
        <v>0</v>
      </c>
      <c r="K542">
        <f>31-12.5</f>
        <v>18.5</v>
      </c>
      <c r="L542" t="s">
        <v>65</v>
      </c>
      <c r="M542">
        <v>4</v>
      </c>
    </row>
    <row r="543" spans="1:13" ht="15.75" x14ac:dyDescent="0.25">
      <c r="A543" t="s">
        <v>1054</v>
      </c>
      <c r="B543" t="s">
        <v>30</v>
      </c>
      <c r="C543">
        <v>5</v>
      </c>
      <c r="D543">
        <v>1</v>
      </c>
      <c r="E543" s="9" t="s">
        <v>35</v>
      </c>
      <c r="F543" t="s">
        <v>114</v>
      </c>
      <c r="G543">
        <v>2</v>
      </c>
      <c r="H543" s="5" t="s">
        <v>1134</v>
      </c>
      <c r="I543" s="5" t="s">
        <v>1135</v>
      </c>
      <c r="J543">
        <v>0</v>
      </c>
      <c r="K543">
        <f>28-13</f>
        <v>15</v>
      </c>
      <c r="L543" t="s">
        <v>38</v>
      </c>
      <c r="M543">
        <v>4</v>
      </c>
    </row>
    <row r="544" spans="1:13" ht="15.75" x14ac:dyDescent="0.25">
      <c r="A544" t="s">
        <v>1054</v>
      </c>
      <c r="B544" t="s">
        <v>30</v>
      </c>
      <c r="C544">
        <v>5</v>
      </c>
      <c r="D544">
        <v>1</v>
      </c>
      <c r="E544" s="9" t="s">
        <v>35</v>
      </c>
      <c r="F544" t="s">
        <v>114</v>
      </c>
      <c r="G544">
        <v>2</v>
      </c>
      <c r="H544" s="5" t="s">
        <v>1147</v>
      </c>
      <c r="I544" s="5" t="s">
        <v>1148</v>
      </c>
      <c r="J544">
        <v>0</v>
      </c>
      <c r="K544">
        <f>27-11.5</f>
        <v>15.5</v>
      </c>
      <c r="L544" t="s">
        <v>38</v>
      </c>
      <c r="M544">
        <v>4</v>
      </c>
    </row>
    <row r="545" spans="1:13" ht="15.75" x14ac:dyDescent="0.25">
      <c r="A545" t="s">
        <v>1054</v>
      </c>
      <c r="B545" t="s">
        <v>30</v>
      </c>
      <c r="C545">
        <v>5</v>
      </c>
      <c r="D545">
        <v>1</v>
      </c>
      <c r="E545" s="9" t="s">
        <v>35</v>
      </c>
      <c r="F545" t="s">
        <v>114</v>
      </c>
      <c r="G545">
        <v>2</v>
      </c>
      <c r="H545" s="5" t="s">
        <v>1149</v>
      </c>
      <c r="I545" s="5" t="s">
        <v>1150</v>
      </c>
      <c r="J545">
        <v>0</v>
      </c>
      <c r="K545">
        <f>26.5-12.5</f>
        <v>14</v>
      </c>
      <c r="L545" t="s">
        <v>38</v>
      </c>
      <c r="M545">
        <v>4</v>
      </c>
    </row>
    <row r="546" spans="1:13" ht="15.75" x14ac:dyDescent="0.25">
      <c r="A546" t="s">
        <v>1054</v>
      </c>
      <c r="B546" t="s">
        <v>30</v>
      </c>
      <c r="C546">
        <v>5</v>
      </c>
      <c r="D546">
        <v>1</v>
      </c>
      <c r="E546" s="9" t="s">
        <v>35</v>
      </c>
      <c r="F546" t="s">
        <v>36</v>
      </c>
      <c r="G546">
        <v>1</v>
      </c>
      <c r="H546" s="5" t="s">
        <v>1151</v>
      </c>
      <c r="I546" s="5" t="s">
        <v>1152</v>
      </c>
      <c r="J546">
        <v>0</v>
      </c>
      <c r="K546">
        <f>33-16</f>
        <v>17</v>
      </c>
      <c r="L546" t="s">
        <v>65</v>
      </c>
      <c r="M546">
        <v>4</v>
      </c>
    </row>
    <row r="547" spans="1:13" ht="15.75" x14ac:dyDescent="0.25">
      <c r="A547" t="s">
        <v>1054</v>
      </c>
      <c r="B547" t="s">
        <v>30</v>
      </c>
      <c r="C547">
        <v>5</v>
      </c>
      <c r="D547">
        <v>1</v>
      </c>
      <c r="E547" s="9" t="s">
        <v>35</v>
      </c>
      <c r="F547" t="s">
        <v>36</v>
      </c>
      <c r="G547">
        <v>2</v>
      </c>
      <c r="H547" s="5" t="s">
        <v>1153</v>
      </c>
      <c r="I547" s="5" t="s">
        <v>1154</v>
      </c>
      <c r="J547">
        <v>0</v>
      </c>
      <c r="K547">
        <f>32-13</f>
        <v>19</v>
      </c>
      <c r="L547" t="s">
        <v>81</v>
      </c>
      <c r="M547">
        <v>4</v>
      </c>
    </row>
    <row r="548" spans="1:13" ht="15.75" x14ac:dyDescent="0.25">
      <c r="A548" t="s">
        <v>1054</v>
      </c>
      <c r="B548" t="s">
        <v>30</v>
      </c>
      <c r="C548">
        <v>5</v>
      </c>
      <c r="D548">
        <v>1</v>
      </c>
      <c r="E548" s="9" t="s">
        <v>35</v>
      </c>
      <c r="F548" t="s">
        <v>114</v>
      </c>
      <c r="G548">
        <v>2</v>
      </c>
      <c r="H548" s="5" t="s">
        <v>1155</v>
      </c>
      <c r="I548" s="5" t="s">
        <v>1156</v>
      </c>
      <c r="J548">
        <v>0</v>
      </c>
      <c r="K548">
        <f>33-13.5</f>
        <v>19.5</v>
      </c>
      <c r="L548" t="s">
        <v>38</v>
      </c>
      <c r="M548">
        <v>4</v>
      </c>
    </row>
    <row r="549" spans="1:13" ht="15.75" x14ac:dyDescent="0.25">
      <c r="A549" t="s">
        <v>1054</v>
      </c>
      <c r="B549" t="s">
        <v>30</v>
      </c>
      <c r="C549">
        <v>3</v>
      </c>
      <c r="D549">
        <v>1</v>
      </c>
      <c r="E549" s="9" t="s">
        <v>35</v>
      </c>
      <c r="F549" t="s">
        <v>36</v>
      </c>
      <c r="G549">
        <v>1</v>
      </c>
      <c r="H549" s="5" t="s">
        <v>1167</v>
      </c>
      <c r="I549" s="5" t="s">
        <v>1168</v>
      </c>
      <c r="J549">
        <v>0</v>
      </c>
      <c r="K549">
        <f>39-16.5</f>
        <v>22.5</v>
      </c>
      <c r="L549" t="s">
        <v>47</v>
      </c>
      <c r="M549">
        <v>4</v>
      </c>
    </row>
    <row r="550" spans="1:13" ht="15.75" x14ac:dyDescent="0.25">
      <c r="A550" t="s">
        <v>1054</v>
      </c>
      <c r="B550" t="s">
        <v>30</v>
      </c>
      <c r="C550">
        <v>4</v>
      </c>
      <c r="D550">
        <v>1</v>
      </c>
      <c r="E550" s="9" t="s">
        <v>42</v>
      </c>
      <c r="F550" t="s">
        <v>114</v>
      </c>
      <c r="G550">
        <v>2</v>
      </c>
      <c r="H550" s="5" t="s">
        <v>1172</v>
      </c>
      <c r="I550" s="5" t="s">
        <v>1173</v>
      </c>
      <c r="J550">
        <v>0</v>
      </c>
      <c r="K550">
        <f>34-17.5</f>
        <v>16.5</v>
      </c>
      <c r="L550" t="s">
        <v>38</v>
      </c>
      <c r="M550">
        <v>4</v>
      </c>
    </row>
    <row r="551" spans="1:13" ht="15.75" x14ac:dyDescent="0.25">
      <c r="A551" t="s">
        <v>1054</v>
      </c>
      <c r="B551" t="s">
        <v>30</v>
      </c>
      <c r="C551">
        <v>4</v>
      </c>
      <c r="D551">
        <v>1</v>
      </c>
      <c r="E551" s="9" t="s">
        <v>42</v>
      </c>
      <c r="F551" t="s">
        <v>114</v>
      </c>
      <c r="G551">
        <v>1</v>
      </c>
      <c r="H551" s="5" t="s">
        <v>1174</v>
      </c>
      <c r="I551" s="5" t="s">
        <v>1175</v>
      </c>
      <c r="J551">
        <v>0</v>
      </c>
      <c r="K551">
        <f>32.5-16</f>
        <v>16.5</v>
      </c>
      <c r="L551" t="s">
        <v>65</v>
      </c>
      <c r="M551">
        <v>4</v>
      </c>
    </row>
    <row r="552" spans="1:13" ht="15.75" x14ac:dyDescent="0.25">
      <c r="A552" t="s">
        <v>1054</v>
      </c>
      <c r="B552" t="s">
        <v>30</v>
      </c>
      <c r="C552">
        <v>3</v>
      </c>
      <c r="D552">
        <v>1</v>
      </c>
      <c r="E552" s="9" t="s">
        <v>42</v>
      </c>
      <c r="F552" t="s">
        <v>114</v>
      </c>
      <c r="G552">
        <v>1</v>
      </c>
      <c r="H552" s="5" t="s">
        <v>1176</v>
      </c>
      <c r="I552" s="5" t="s">
        <v>1177</v>
      </c>
      <c r="J552">
        <v>0</v>
      </c>
      <c r="K552">
        <f>34-13.5</f>
        <v>20.5</v>
      </c>
      <c r="L552" t="s">
        <v>47</v>
      </c>
      <c r="M552">
        <v>4</v>
      </c>
    </row>
    <row r="553" spans="1:13" ht="15.75" x14ac:dyDescent="0.25">
      <c r="A553" t="s">
        <v>1054</v>
      </c>
      <c r="B553" t="s">
        <v>30</v>
      </c>
      <c r="C553">
        <v>5</v>
      </c>
      <c r="D553">
        <v>1</v>
      </c>
      <c r="E553" s="9" t="s">
        <v>42</v>
      </c>
      <c r="F553" t="s">
        <v>114</v>
      </c>
      <c r="G553">
        <v>1</v>
      </c>
      <c r="H553" s="5" t="s">
        <v>1179</v>
      </c>
      <c r="I553" s="5" t="s">
        <v>1180</v>
      </c>
      <c r="J553">
        <v>0</v>
      </c>
      <c r="K553">
        <f>30.5-16</f>
        <v>14.5</v>
      </c>
      <c r="L553" t="s">
        <v>65</v>
      </c>
      <c r="M553">
        <v>4</v>
      </c>
    </row>
    <row r="554" spans="1:13" ht="15.75" x14ac:dyDescent="0.25">
      <c r="A554" t="s">
        <v>1054</v>
      </c>
      <c r="B554" t="s">
        <v>30</v>
      </c>
      <c r="C554">
        <v>5</v>
      </c>
      <c r="D554">
        <v>1</v>
      </c>
      <c r="E554" s="9" t="s">
        <v>42</v>
      </c>
      <c r="F554" t="s">
        <v>36</v>
      </c>
      <c r="G554">
        <v>1</v>
      </c>
      <c r="H554" s="5" t="s">
        <v>1181</v>
      </c>
      <c r="I554" s="5" t="s">
        <v>1182</v>
      </c>
      <c r="J554">
        <v>0</v>
      </c>
      <c r="K554">
        <f>30-12.5</f>
        <v>17.5</v>
      </c>
      <c r="L554" t="s">
        <v>47</v>
      </c>
      <c r="M554">
        <v>4</v>
      </c>
    </row>
    <row r="555" spans="1:13" ht="15.75" x14ac:dyDescent="0.25">
      <c r="A555" t="s">
        <v>1054</v>
      </c>
      <c r="B555" t="s">
        <v>30</v>
      </c>
      <c r="C555">
        <v>5</v>
      </c>
      <c r="D555">
        <v>1</v>
      </c>
      <c r="E555" s="9" t="s">
        <v>42</v>
      </c>
      <c r="F555" t="s">
        <v>36</v>
      </c>
      <c r="G555">
        <v>2</v>
      </c>
      <c r="H555" s="5" t="s">
        <v>1183</v>
      </c>
      <c r="I555" s="5" t="s">
        <v>1184</v>
      </c>
      <c r="J555">
        <v>0</v>
      </c>
      <c r="K555">
        <f>33-12.5</f>
        <v>20.5</v>
      </c>
      <c r="L555" t="s">
        <v>38</v>
      </c>
      <c r="M555">
        <v>4</v>
      </c>
    </row>
    <row r="556" spans="1:13" ht="15.75" x14ac:dyDescent="0.25">
      <c r="A556" t="s">
        <v>1054</v>
      </c>
      <c r="B556" t="s">
        <v>30</v>
      </c>
      <c r="C556">
        <v>5</v>
      </c>
      <c r="D556">
        <v>1</v>
      </c>
      <c r="E556" s="9" t="s">
        <v>42</v>
      </c>
      <c r="F556" t="s">
        <v>114</v>
      </c>
      <c r="G556">
        <v>1</v>
      </c>
      <c r="H556" s="5" t="s">
        <v>1185</v>
      </c>
      <c r="I556" s="5" t="s">
        <v>1186</v>
      </c>
      <c r="J556">
        <v>0</v>
      </c>
      <c r="K556">
        <f>28-12.5</f>
        <v>15.5</v>
      </c>
      <c r="L556" t="s">
        <v>65</v>
      </c>
      <c r="M556">
        <v>4</v>
      </c>
    </row>
    <row r="557" spans="1:13" ht="15.75" x14ac:dyDescent="0.25">
      <c r="A557" t="s">
        <v>1054</v>
      </c>
      <c r="B557" t="s">
        <v>30</v>
      </c>
      <c r="C557">
        <v>8</v>
      </c>
      <c r="D557">
        <v>1</v>
      </c>
      <c r="E557" s="9" t="s">
        <v>35</v>
      </c>
      <c r="F557" t="s">
        <v>89</v>
      </c>
      <c r="G557">
        <v>1</v>
      </c>
      <c r="H557" s="5" t="s">
        <v>1204</v>
      </c>
      <c r="I557" s="5" t="s">
        <v>1205</v>
      </c>
      <c r="J557">
        <v>0</v>
      </c>
      <c r="K557">
        <f>28.5-13</f>
        <v>15.5</v>
      </c>
      <c r="L557" t="s">
        <v>65</v>
      </c>
      <c r="M557">
        <v>4</v>
      </c>
    </row>
    <row r="558" spans="1:13" ht="15.75" x14ac:dyDescent="0.25">
      <c r="A558" t="s">
        <v>1054</v>
      </c>
      <c r="B558" t="s">
        <v>30</v>
      </c>
      <c r="C558">
        <v>7</v>
      </c>
      <c r="D558">
        <v>1</v>
      </c>
      <c r="E558" s="9" t="s">
        <v>42</v>
      </c>
      <c r="F558" t="s">
        <v>114</v>
      </c>
      <c r="G558">
        <v>1</v>
      </c>
      <c r="H558" s="5" t="s">
        <v>1206</v>
      </c>
      <c r="I558" s="5" t="s">
        <v>1207</v>
      </c>
      <c r="J558">
        <v>0</v>
      </c>
      <c r="K558">
        <f>29.5-13.5</f>
        <v>16</v>
      </c>
      <c r="L558" t="s">
        <v>65</v>
      </c>
      <c r="M558">
        <v>4</v>
      </c>
    </row>
    <row r="559" spans="1:13" ht="15.75" x14ac:dyDescent="0.25">
      <c r="A559" t="s">
        <v>1054</v>
      </c>
      <c r="B559" t="s">
        <v>30</v>
      </c>
      <c r="C559">
        <v>7</v>
      </c>
      <c r="D559">
        <v>1</v>
      </c>
      <c r="E559" s="9" t="s">
        <v>42</v>
      </c>
      <c r="F559" t="s">
        <v>114</v>
      </c>
      <c r="G559">
        <v>1</v>
      </c>
      <c r="H559" s="5" t="s">
        <v>1208</v>
      </c>
      <c r="I559" s="5" t="s">
        <v>1209</v>
      </c>
      <c r="J559">
        <v>0</v>
      </c>
      <c r="K559">
        <f>29-12</f>
        <v>17</v>
      </c>
      <c r="L559" t="s">
        <v>65</v>
      </c>
      <c r="M559">
        <v>4</v>
      </c>
    </row>
    <row r="560" spans="1:13" ht="15.75" x14ac:dyDescent="0.25">
      <c r="A560" t="s">
        <v>1054</v>
      </c>
      <c r="B560" t="s">
        <v>30</v>
      </c>
      <c r="C560">
        <v>7</v>
      </c>
      <c r="D560">
        <v>1</v>
      </c>
      <c r="E560" s="9" t="s">
        <v>42</v>
      </c>
      <c r="F560" t="s">
        <v>89</v>
      </c>
      <c r="G560">
        <v>1</v>
      </c>
      <c r="H560" s="5" t="s">
        <v>1210</v>
      </c>
      <c r="I560" s="5" t="s">
        <v>1211</v>
      </c>
      <c r="J560">
        <v>0</v>
      </c>
      <c r="K560">
        <f>25.5-12</f>
        <v>13.5</v>
      </c>
      <c r="L560" t="s">
        <v>65</v>
      </c>
      <c r="M560">
        <v>4</v>
      </c>
    </row>
    <row r="561" spans="1:13" ht="15.75" x14ac:dyDescent="0.25">
      <c r="A561" t="s">
        <v>1054</v>
      </c>
      <c r="B561" t="s">
        <v>30</v>
      </c>
      <c r="C561">
        <v>8</v>
      </c>
      <c r="D561">
        <v>1</v>
      </c>
      <c r="E561" s="9" t="s">
        <v>35</v>
      </c>
      <c r="F561" t="s">
        <v>36</v>
      </c>
      <c r="G561">
        <v>1</v>
      </c>
      <c r="H561" s="5" t="s">
        <v>1212</v>
      </c>
      <c r="I561" s="5" t="s">
        <v>1213</v>
      </c>
      <c r="J561">
        <v>0</v>
      </c>
      <c r="K561">
        <f>34-13.5</f>
        <v>20.5</v>
      </c>
      <c r="L561" t="s">
        <v>65</v>
      </c>
      <c r="M561">
        <v>4</v>
      </c>
    </row>
    <row r="562" spans="1:13" ht="15.75" x14ac:dyDescent="0.25">
      <c r="A562" t="s">
        <v>1054</v>
      </c>
      <c r="B562" t="s">
        <v>30</v>
      </c>
      <c r="C562">
        <v>8</v>
      </c>
      <c r="D562">
        <v>1</v>
      </c>
      <c r="E562" s="9" t="s">
        <v>35</v>
      </c>
      <c r="F562" t="s">
        <v>114</v>
      </c>
      <c r="G562">
        <v>2</v>
      </c>
      <c r="H562" s="5" t="s">
        <v>1214</v>
      </c>
      <c r="I562" s="5" t="s">
        <v>1215</v>
      </c>
      <c r="J562">
        <v>0</v>
      </c>
      <c r="K562">
        <f>30-14</f>
        <v>16</v>
      </c>
      <c r="L562" t="s">
        <v>38</v>
      </c>
      <c r="M562">
        <v>4</v>
      </c>
    </row>
    <row r="563" spans="1:13" ht="15.75" x14ac:dyDescent="0.25">
      <c r="A563" t="s">
        <v>1054</v>
      </c>
      <c r="B563" t="s">
        <v>30</v>
      </c>
      <c r="C563">
        <v>4</v>
      </c>
      <c r="D563">
        <v>1</v>
      </c>
      <c r="E563" s="9" t="s">
        <v>35</v>
      </c>
      <c r="F563" t="s">
        <v>114</v>
      </c>
      <c r="G563">
        <v>1</v>
      </c>
      <c r="H563" s="5" t="s">
        <v>1236</v>
      </c>
      <c r="I563" s="5" t="s">
        <v>1237</v>
      </c>
      <c r="J563">
        <v>0</v>
      </c>
      <c r="K563">
        <f>31-13</f>
        <v>18</v>
      </c>
      <c r="L563" t="s">
        <v>65</v>
      </c>
      <c r="M563">
        <v>4</v>
      </c>
    </row>
    <row r="564" spans="1:13" ht="15.75" x14ac:dyDescent="0.25">
      <c r="A564" t="s">
        <v>1054</v>
      </c>
      <c r="B564" t="s">
        <v>30</v>
      </c>
      <c r="C564">
        <v>7</v>
      </c>
      <c r="D564">
        <v>1</v>
      </c>
      <c r="E564" s="9" t="s">
        <v>35</v>
      </c>
      <c r="F564" t="s">
        <v>114</v>
      </c>
      <c r="G564">
        <v>2</v>
      </c>
      <c r="H564" s="5" t="s">
        <v>1242</v>
      </c>
      <c r="I564" s="5" t="s">
        <v>1243</v>
      </c>
      <c r="J564">
        <v>0</v>
      </c>
      <c r="K564">
        <f>30.5-13.5</f>
        <v>17</v>
      </c>
      <c r="L564" t="s">
        <v>38</v>
      </c>
      <c r="M564">
        <v>4</v>
      </c>
    </row>
    <row r="565" spans="1:13" ht="15.75" x14ac:dyDescent="0.25">
      <c r="A565" t="s">
        <v>1054</v>
      </c>
      <c r="B565" t="s">
        <v>30</v>
      </c>
      <c r="C565">
        <v>7</v>
      </c>
      <c r="D565">
        <v>1</v>
      </c>
      <c r="E565" s="9" t="s">
        <v>35</v>
      </c>
      <c r="F565" t="s">
        <v>114</v>
      </c>
      <c r="G565">
        <v>2</v>
      </c>
      <c r="H565" s="5" t="s">
        <v>1244</v>
      </c>
      <c r="I565" s="5" t="s">
        <v>1245</v>
      </c>
      <c r="J565">
        <v>0</v>
      </c>
      <c r="K565">
        <f>29.5-13</f>
        <v>16.5</v>
      </c>
      <c r="L565" t="s">
        <v>38</v>
      </c>
      <c r="M565">
        <v>4</v>
      </c>
    </row>
    <row r="566" spans="1:13" ht="15.75" x14ac:dyDescent="0.25">
      <c r="A566" t="s">
        <v>1054</v>
      </c>
      <c r="B566" t="s">
        <v>30</v>
      </c>
      <c r="C566">
        <v>8</v>
      </c>
      <c r="D566">
        <v>1</v>
      </c>
      <c r="E566" s="9" t="s">
        <v>35</v>
      </c>
      <c r="F566" t="s">
        <v>114</v>
      </c>
      <c r="G566">
        <v>2</v>
      </c>
      <c r="H566" s="5" t="s">
        <v>1250</v>
      </c>
      <c r="I566" s="5" t="s">
        <v>1251</v>
      </c>
      <c r="J566">
        <v>0</v>
      </c>
      <c r="K566">
        <f>29-13.5</f>
        <v>15.5</v>
      </c>
      <c r="L566" t="s">
        <v>38</v>
      </c>
      <c r="M566">
        <v>4</v>
      </c>
    </row>
    <row r="567" spans="1:13" ht="15.75" x14ac:dyDescent="0.25">
      <c r="A567" t="s">
        <v>1054</v>
      </c>
      <c r="B567" t="s">
        <v>30</v>
      </c>
      <c r="C567">
        <v>7</v>
      </c>
      <c r="D567">
        <v>1</v>
      </c>
      <c r="E567" s="9" t="s">
        <v>35</v>
      </c>
      <c r="F567" t="s">
        <v>36</v>
      </c>
      <c r="G567">
        <v>2</v>
      </c>
      <c r="H567" s="5" t="s">
        <v>1252</v>
      </c>
      <c r="I567" s="5" t="s">
        <v>1253</v>
      </c>
      <c r="J567">
        <v>0</v>
      </c>
      <c r="K567">
        <f>33.5-13</f>
        <v>20.5</v>
      </c>
      <c r="L567" t="s">
        <v>38</v>
      </c>
      <c r="M567">
        <v>4</v>
      </c>
    </row>
    <row r="568" spans="1:13" ht="15.75" x14ac:dyDescent="0.25">
      <c r="A568" t="s">
        <v>1054</v>
      </c>
      <c r="B568" t="s">
        <v>30</v>
      </c>
      <c r="C568">
        <v>7</v>
      </c>
      <c r="D568">
        <v>1</v>
      </c>
      <c r="E568" s="9" t="s">
        <v>35</v>
      </c>
      <c r="F568" t="s">
        <v>36</v>
      </c>
      <c r="G568">
        <v>1</v>
      </c>
      <c r="H568" s="5" t="s">
        <v>1254</v>
      </c>
      <c r="I568" s="5" t="s">
        <v>1255</v>
      </c>
      <c r="J568">
        <v>0</v>
      </c>
      <c r="K568">
        <f>32.5-12.5</f>
        <v>20</v>
      </c>
      <c r="L568" t="s">
        <v>65</v>
      </c>
      <c r="M568">
        <v>4</v>
      </c>
    </row>
    <row r="569" spans="1:13" ht="15.75" x14ac:dyDescent="0.25">
      <c r="A569" t="s">
        <v>1054</v>
      </c>
      <c r="B569" t="s">
        <v>30</v>
      </c>
      <c r="C569">
        <v>7</v>
      </c>
      <c r="D569">
        <v>1</v>
      </c>
      <c r="E569" s="9" t="s">
        <v>35</v>
      </c>
      <c r="F569" t="s">
        <v>114</v>
      </c>
      <c r="G569">
        <v>2</v>
      </c>
      <c r="H569" s="5" t="s">
        <v>1256</v>
      </c>
      <c r="I569" s="5" t="s">
        <v>1257</v>
      </c>
      <c r="J569">
        <v>0</v>
      </c>
      <c r="K569">
        <f>30-13.5</f>
        <v>16.5</v>
      </c>
      <c r="L569" t="s">
        <v>38</v>
      </c>
      <c r="M569">
        <v>4</v>
      </c>
    </row>
    <row r="570" spans="1:13" ht="15.75" x14ac:dyDescent="0.25">
      <c r="A570" t="s">
        <v>1054</v>
      </c>
      <c r="B570" t="s">
        <v>30</v>
      </c>
      <c r="C570">
        <v>7</v>
      </c>
      <c r="D570">
        <v>1</v>
      </c>
      <c r="E570" s="9" t="s">
        <v>35</v>
      </c>
      <c r="F570" t="s">
        <v>114</v>
      </c>
      <c r="G570">
        <v>1</v>
      </c>
      <c r="H570" s="5" t="s">
        <v>1288</v>
      </c>
      <c r="I570" s="5" t="s">
        <v>1289</v>
      </c>
      <c r="J570">
        <v>0</v>
      </c>
      <c r="K570">
        <f>31-13.5</f>
        <v>17.5</v>
      </c>
      <c r="L570" t="s">
        <v>65</v>
      </c>
      <c r="M570">
        <v>4</v>
      </c>
    </row>
    <row r="571" spans="1:13" ht="15.75" x14ac:dyDescent="0.25">
      <c r="A571" t="s">
        <v>1054</v>
      </c>
      <c r="B571" t="s">
        <v>30</v>
      </c>
      <c r="C571">
        <v>7</v>
      </c>
      <c r="D571">
        <v>1</v>
      </c>
      <c r="E571" s="9" t="s">
        <v>35</v>
      </c>
      <c r="F571" t="s">
        <v>114</v>
      </c>
      <c r="G571">
        <v>1</v>
      </c>
      <c r="H571" s="5" t="s">
        <v>1290</v>
      </c>
      <c r="I571" s="5" t="s">
        <v>1291</v>
      </c>
      <c r="J571">
        <v>0</v>
      </c>
      <c r="K571">
        <f>28-13</f>
        <v>15</v>
      </c>
      <c r="L571" t="s">
        <v>65</v>
      </c>
      <c r="M571">
        <v>4</v>
      </c>
    </row>
    <row r="572" spans="1:13" ht="15.75" x14ac:dyDescent="0.25">
      <c r="A572" t="s">
        <v>1054</v>
      </c>
      <c r="B572" t="s">
        <v>30</v>
      </c>
      <c r="C572">
        <v>7</v>
      </c>
      <c r="D572">
        <v>1</v>
      </c>
      <c r="E572" s="9" t="s">
        <v>35</v>
      </c>
      <c r="F572" t="s">
        <v>36</v>
      </c>
      <c r="G572">
        <v>2</v>
      </c>
      <c r="H572" s="5" t="s">
        <v>1292</v>
      </c>
      <c r="I572" s="5" t="s">
        <v>1293</v>
      </c>
      <c r="J572">
        <v>0</v>
      </c>
      <c r="K572">
        <f>33-13.5</f>
        <v>19.5</v>
      </c>
      <c r="L572" t="s">
        <v>38</v>
      </c>
      <c r="M572">
        <v>4</v>
      </c>
    </row>
    <row r="573" spans="1:13" ht="15.75" x14ac:dyDescent="0.25">
      <c r="A573" t="s">
        <v>1054</v>
      </c>
      <c r="B573" t="s">
        <v>30</v>
      </c>
      <c r="C573">
        <v>8</v>
      </c>
      <c r="D573">
        <v>1</v>
      </c>
      <c r="E573" s="9" t="s">
        <v>35</v>
      </c>
      <c r="F573" t="s">
        <v>114</v>
      </c>
      <c r="G573">
        <v>1</v>
      </c>
      <c r="H573" s="5" t="s">
        <v>1296</v>
      </c>
      <c r="I573" s="5" t="s">
        <v>1297</v>
      </c>
      <c r="J573">
        <v>0</v>
      </c>
      <c r="K573">
        <f>31-13</f>
        <v>18</v>
      </c>
      <c r="L573" t="s">
        <v>65</v>
      </c>
      <c r="M573">
        <v>4</v>
      </c>
    </row>
    <row r="574" spans="1:13" ht="15.75" x14ac:dyDescent="0.25">
      <c r="A574" t="s">
        <v>1054</v>
      </c>
      <c r="B574" t="s">
        <v>30</v>
      </c>
      <c r="C574">
        <v>7</v>
      </c>
      <c r="D574">
        <v>1</v>
      </c>
      <c r="E574" s="9" t="s">
        <v>35</v>
      </c>
      <c r="F574" t="s">
        <v>36</v>
      </c>
      <c r="G574">
        <v>2</v>
      </c>
      <c r="H574" s="5" t="s">
        <v>1302</v>
      </c>
      <c r="I574" s="5" t="s">
        <v>1303</v>
      </c>
      <c r="J574">
        <v>0</v>
      </c>
      <c r="K574">
        <f>35-13</f>
        <v>22</v>
      </c>
      <c r="L574" t="s">
        <v>38</v>
      </c>
      <c r="M574">
        <v>4</v>
      </c>
    </row>
    <row r="575" spans="1:13" ht="15.75" x14ac:dyDescent="0.25">
      <c r="A575" t="s">
        <v>1054</v>
      </c>
      <c r="B575" t="s">
        <v>30</v>
      </c>
      <c r="C575">
        <v>3</v>
      </c>
      <c r="D575">
        <v>1</v>
      </c>
      <c r="E575" s="9" t="s">
        <v>35</v>
      </c>
      <c r="F575" t="s">
        <v>114</v>
      </c>
      <c r="G575">
        <v>2</v>
      </c>
      <c r="H575" s="5" t="s">
        <v>1347</v>
      </c>
      <c r="I575" s="5" t="s">
        <v>1348</v>
      </c>
      <c r="J575">
        <v>0</v>
      </c>
      <c r="K575">
        <f>29.5-14</f>
        <v>15.5</v>
      </c>
      <c r="L575" t="s">
        <v>83</v>
      </c>
      <c r="M575">
        <v>4</v>
      </c>
    </row>
    <row r="576" spans="1:13" ht="15.75" x14ac:dyDescent="0.25">
      <c r="A576" t="s">
        <v>1054</v>
      </c>
      <c r="B576" t="s">
        <v>30</v>
      </c>
      <c r="C576">
        <v>3</v>
      </c>
      <c r="D576">
        <v>1</v>
      </c>
      <c r="E576" s="9" t="s">
        <v>35</v>
      </c>
      <c r="F576" t="s">
        <v>114</v>
      </c>
      <c r="G576">
        <v>1</v>
      </c>
      <c r="H576" s="5" t="s">
        <v>1349</v>
      </c>
      <c r="I576" s="5" t="s">
        <v>1350</v>
      </c>
      <c r="J576">
        <v>0</v>
      </c>
      <c r="K576">
        <f>29-13</f>
        <v>16</v>
      </c>
      <c r="L576" t="s">
        <v>65</v>
      </c>
      <c r="M576">
        <v>4</v>
      </c>
    </row>
    <row r="577" spans="1:13" ht="15.75" x14ac:dyDescent="0.25">
      <c r="A577" t="s">
        <v>1054</v>
      </c>
      <c r="B577" t="s">
        <v>30</v>
      </c>
      <c r="C577">
        <v>3</v>
      </c>
      <c r="D577">
        <v>1</v>
      </c>
      <c r="E577" s="9" t="s">
        <v>35</v>
      </c>
      <c r="F577" t="s">
        <v>36</v>
      </c>
      <c r="G577">
        <v>2</v>
      </c>
      <c r="H577" s="5" t="s">
        <v>1351</v>
      </c>
      <c r="I577" s="5" t="s">
        <v>1352</v>
      </c>
      <c r="J577">
        <v>0</v>
      </c>
      <c r="K577">
        <f>36-15</f>
        <v>21</v>
      </c>
      <c r="L577" t="s">
        <v>83</v>
      </c>
      <c r="M577">
        <v>4</v>
      </c>
    </row>
    <row r="578" spans="1:13" ht="15.75" x14ac:dyDescent="0.25">
      <c r="A578" t="s">
        <v>1054</v>
      </c>
      <c r="B578" t="s">
        <v>30</v>
      </c>
      <c r="C578">
        <v>5</v>
      </c>
      <c r="D578">
        <v>1</v>
      </c>
      <c r="E578" s="9" t="s">
        <v>35</v>
      </c>
      <c r="F578" t="s">
        <v>114</v>
      </c>
      <c r="G578">
        <v>2</v>
      </c>
      <c r="H578" s="5" t="s">
        <v>1353</v>
      </c>
      <c r="I578" s="5" t="s">
        <v>1354</v>
      </c>
      <c r="J578">
        <v>0</v>
      </c>
      <c r="K578">
        <f>28-13</f>
        <v>15</v>
      </c>
      <c r="L578" t="s">
        <v>38</v>
      </c>
      <c r="M578">
        <v>4</v>
      </c>
    </row>
    <row r="579" spans="1:13" ht="15.75" x14ac:dyDescent="0.25">
      <c r="A579" t="s">
        <v>1054</v>
      </c>
      <c r="B579" t="s">
        <v>30</v>
      </c>
      <c r="C579">
        <v>5</v>
      </c>
      <c r="D579">
        <v>1</v>
      </c>
      <c r="E579" s="9" t="s">
        <v>35</v>
      </c>
      <c r="F579" t="s">
        <v>36</v>
      </c>
      <c r="G579">
        <v>2</v>
      </c>
      <c r="H579" s="5" t="s">
        <v>1355</v>
      </c>
      <c r="I579" s="5" t="s">
        <v>1356</v>
      </c>
      <c r="J579">
        <v>0</v>
      </c>
      <c r="K579">
        <f>30-13</f>
        <v>17</v>
      </c>
      <c r="L579" t="s">
        <v>83</v>
      </c>
      <c r="M579">
        <v>4</v>
      </c>
    </row>
    <row r="580" spans="1:13" ht="15.75" x14ac:dyDescent="0.25">
      <c r="A580" t="s">
        <v>1054</v>
      </c>
      <c r="B580" t="s">
        <v>30</v>
      </c>
      <c r="C580">
        <v>4</v>
      </c>
      <c r="D580">
        <v>1</v>
      </c>
      <c r="E580" s="9" t="s">
        <v>35</v>
      </c>
      <c r="F580" t="s">
        <v>114</v>
      </c>
      <c r="G580">
        <v>2</v>
      </c>
      <c r="H580" s="5" t="s">
        <v>1363</v>
      </c>
      <c r="I580" s="5" t="s">
        <v>1364</v>
      </c>
      <c r="J580">
        <v>0</v>
      </c>
      <c r="K580">
        <f>29.5-16</f>
        <v>13.5</v>
      </c>
      <c r="L580" t="s">
        <v>38</v>
      </c>
      <c r="M580">
        <v>4</v>
      </c>
    </row>
    <row r="581" spans="1:13" ht="15.75" x14ac:dyDescent="0.25">
      <c r="A581" t="s">
        <v>1054</v>
      </c>
      <c r="B581" t="s">
        <v>30</v>
      </c>
      <c r="C581">
        <v>5</v>
      </c>
      <c r="D581">
        <v>1</v>
      </c>
      <c r="E581" s="9" t="s">
        <v>35</v>
      </c>
      <c r="F581" t="s">
        <v>114</v>
      </c>
      <c r="G581">
        <v>1</v>
      </c>
      <c r="H581" s="5" t="s">
        <v>1369</v>
      </c>
      <c r="I581" s="5" t="s">
        <v>1370</v>
      </c>
      <c r="J581">
        <v>0</v>
      </c>
      <c r="K581">
        <f>29.5-12.5</f>
        <v>17</v>
      </c>
      <c r="L581" t="s">
        <v>65</v>
      </c>
      <c r="M581">
        <v>4</v>
      </c>
    </row>
    <row r="582" spans="1:13" ht="15.75" x14ac:dyDescent="0.25">
      <c r="A582" t="s">
        <v>1054</v>
      </c>
      <c r="B582" t="s">
        <v>30</v>
      </c>
      <c r="C582">
        <v>4</v>
      </c>
      <c r="D582">
        <v>1</v>
      </c>
      <c r="E582" s="9" t="s">
        <v>35</v>
      </c>
      <c r="F582" t="s">
        <v>114</v>
      </c>
      <c r="G582">
        <v>2</v>
      </c>
      <c r="H582" s="5" t="s">
        <v>1373</v>
      </c>
      <c r="I582" s="5" t="s">
        <v>1374</v>
      </c>
      <c r="J582">
        <v>0</v>
      </c>
      <c r="K582">
        <f>30-16</f>
        <v>14</v>
      </c>
      <c r="L582" t="s">
        <v>38</v>
      </c>
      <c r="M582">
        <v>4</v>
      </c>
    </row>
    <row r="583" spans="1:13" ht="15.75" x14ac:dyDescent="0.25">
      <c r="A583" t="s">
        <v>1054</v>
      </c>
      <c r="B583" t="s">
        <v>30</v>
      </c>
      <c r="C583">
        <v>4</v>
      </c>
      <c r="D583">
        <v>1</v>
      </c>
      <c r="E583" s="9" t="s">
        <v>35</v>
      </c>
      <c r="F583" t="s">
        <v>36</v>
      </c>
      <c r="G583">
        <v>1</v>
      </c>
      <c r="H583" s="5" t="s">
        <v>1405</v>
      </c>
      <c r="I583" s="5" t="s">
        <v>1406</v>
      </c>
      <c r="J583">
        <v>0</v>
      </c>
      <c r="K583">
        <f>32-14.5</f>
        <v>17.5</v>
      </c>
      <c r="L583" t="s">
        <v>65</v>
      </c>
      <c r="M583">
        <v>4</v>
      </c>
    </row>
    <row r="584" spans="1:13" ht="15.75" x14ac:dyDescent="0.25">
      <c r="A584" t="s">
        <v>1054</v>
      </c>
      <c r="B584" t="s">
        <v>30</v>
      </c>
      <c r="C584">
        <v>3</v>
      </c>
      <c r="D584">
        <v>1</v>
      </c>
      <c r="E584" s="9" t="s">
        <v>35</v>
      </c>
      <c r="F584" t="s">
        <v>36</v>
      </c>
      <c r="G584">
        <v>1</v>
      </c>
      <c r="H584" s="5" t="s">
        <v>1407</v>
      </c>
      <c r="I584" s="5" t="s">
        <v>1408</v>
      </c>
      <c r="J584">
        <v>0</v>
      </c>
      <c r="K584">
        <f>32-13</f>
        <v>19</v>
      </c>
      <c r="L584" t="s">
        <v>47</v>
      </c>
      <c r="M584">
        <v>4</v>
      </c>
    </row>
    <row r="585" spans="1:13" ht="15.75" x14ac:dyDescent="0.25">
      <c r="A585" t="s">
        <v>1054</v>
      </c>
      <c r="B585" t="s">
        <v>30</v>
      </c>
      <c r="C585">
        <v>7</v>
      </c>
      <c r="D585">
        <v>2</v>
      </c>
      <c r="E585" s="9" t="s">
        <v>35</v>
      </c>
      <c r="F585" t="s">
        <v>36</v>
      </c>
      <c r="G585">
        <v>2</v>
      </c>
      <c r="H585" s="5" t="s">
        <v>1060</v>
      </c>
      <c r="I585" s="5"/>
      <c r="J585">
        <v>0</v>
      </c>
      <c r="K585">
        <f>39-13</f>
        <v>26</v>
      </c>
      <c r="L585" t="s">
        <v>1039</v>
      </c>
      <c r="M585">
        <v>4</v>
      </c>
    </row>
    <row r="586" spans="1:13" ht="15.75" x14ac:dyDescent="0.25">
      <c r="A586" t="s">
        <v>1054</v>
      </c>
      <c r="B586" t="s">
        <v>30</v>
      </c>
      <c r="C586">
        <v>4</v>
      </c>
      <c r="D586">
        <v>2</v>
      </c>
      <c r="E586" s="9" t="s">
        <v>35</v>
      </c>
      <c r="F586" t="s">
        <v>36</v>
      </c>
      <c r="G586">
        <v>2</v>
      </c>
      <c r="H586" s="5" t="s">
        <v>1146</v>
      </c>
      <c r="I586" s="5"/>
      <c r="J586">
        <v>1</v>
      </c>
      <c r="K586">
        <f>38-13</f>
        <v>25</v>
      </c>
      <c r="L586" t="s">
        <v>38</v>
      </c>
      <c r="M586">
        <v>4</v>
      </c>
    </row>
    <row r="587" spans="1:13" ht="15.75" x14ac:dyDescent="0.25">
      <c r="A587" t="s">
        <v>1054</v>
      </c>
      <c r="B587" t="s">
        <v>30</v>
      </c>
      <c r="C587">
        <v>7</v>
      </c>
      <c r="D587">
        <v>2</v>
      </c>
      <c r="E587" s="9" t="s">
        <v>35</v>
      </c>
      <c r="F587" t="s">
        <v>36</v>
      </c>
      <c r="G587">
        <v>2</v>
      </c>
      <c r="H587" s="5" t="s">
        <v>1238</v>
      </c>
      <c r="I587" s="5"/>
      <c r="J587">
        <v>1</v>
      </c>
      <c r="K587">
        <f>37-13</f>
        <v>24</v>
      </c>
      <c r="L587" t="s">
        <v>1039</v>
      </c>
      <c r="M587">
        <v>4</v>
      </c>
    </row>
    <row r="588" spans="1:13" ht="15.75" x14ac:dyDescent="0.25">
      <c r="A588" t="s">
        <v>1054</v>
      </c>
      <c r="B588" t="s">
        <v>30</v>
      </c>
      <c r="C588">
        <v>7</v>
      </c>
      <c r="D588">
        <v>3</v>
      </c>
      <c r="E588" s="9" t="s">
        <v>35</v>
      </c>
      <c r="F588" t="s">
        <v>36</v>
      </c>
      <c r="G588">
        <v>2</v>
      </c>
      <c r="H588" s="5" t="s">
        <v>1075</v>
      </c>
      <c r="I588" s="5"/>
      <c r="J588">
        <v>0</v>
      </c>
      <c r="K588">
        <f>39.5-13</f>
        <v>26.5</v>
      </c>
      <c r="L588" t="s">
        <v>38</v>
      </c>
      <c r="M588">
        <v>4</v>
      </c>
    </row>
    <row r="589" spans="1:13" ht="15.75" x14ac:dyDescent="0.25">
      <c r="A589" t="s">
        <v>1054</v>
      </c>
      <c r="B589" t="s">
        <v>30</v>
      </c>
      <c r="C589">
        <v>8</v>
      </c>
      <c r="D589">
        <v>3</v>
      </c>
      <c r="E589" s="9" t="s">
        <v>35</v>
      </c>
      <c r="F589" t="s">
        <v>36</v>
      </c>
      <c r="G589">
        <v>2</v>
      </c>
      <c r="H589" s="5" t="s">
        <v>1096</v>
      </c>
      <c r="I589" s="5"/>
      <c r="J589">
        <v>0</v>
      </c>
      <c r="K589">
        <f>38-13</f>
        <v>25</v>
      </c>
      <c r="L589" t="s">
        <v>1039</v>
      </c>
      <c r="M589">
        <v>4</v>
      </c>
    </row>
    <row r="590" spans="1:13" ht="15.75" x14ac:dyDescent="0.25">
      <c r="A590" t="s">
        <v>1054</v>
      </c>
      <c r="B590" t="s">
        <v>30</v>
      </c>
      <c r="C590">
        <v>5</v>
      </c>
      <c r="D590">
        <v>3</v>
      </c>
      <c r="E590" s="9" t="s">
        <v>42</v>
      </c>
      <c r="F590" t="s">
        <v>114</v>
      </c>
      <c r="G590">
        <v>1</v>
      </c>
      <c r="H590" s="5" t="s">
        <v>1178</v>
      </c>
      <c r="I590" s="5"/>
      <c r="J590">
        <v>0</v>
      </c>
      <c r="K590">
        <f>29-12.5</f>
        <v>16.5</v>
      </c>
      <c r="L590" t="s">
        <v>65</v>
      </c>
      <c r="M590">
        <v>4</v>
      </c>
    </row>
    <row r="591" spans="1:13" ht="15.75" x14ac:dyDescent="0.25">
      <c r="A591" t="s">
        <v>1054</v>
      </c>
      <c r="B591" t="s">
        <v>30</v>
      </c>
      <c r="C591">
        <v>8</v>
      </c>
      <c r="D591">
        <v>3</v>
      </c>
      <c r="E591" s="9" t="s">
        <v>42</v>
      </c>
      <c r="F591" t="s">
        <v>36</v>
      </c>
      <c r="G591">
        <v>2</v>
      </c>
      <c r="H591" s="5" t="s">
        <v>1203</v>
      </c>
      <c r="I591" s="5"/>
      <c r="J591">
        <v>0</v>
      </c>
      <c r="K591">
        <f>36-14</f>
        <v>22</v>
      </c>
      <c r="L591" t="s">
        <v>38</v>
      </c>
      <c r="M591">
        <v>4</v>
      </c>
    </row>
    <row r="592" spans="1:13" ht="15.75" x14ac:dyDescent="0.25">
      <c r="A592" t="s">
        <v>1054</v>
      </c>
      <c r="B592" t="s">
        <v>30</v>
      </c>
      <c r="C592">
        <v>7</v>
      </c>
      <c r="D592">
        <v>3</v>
      </c>
      <c r="E592" s="9" t="s">
        <v>35</v>
      </c>
      <c r="F592" t="s">
        <v>36</v>
      </c>
      <c r="G592">
        <v>2</v>
      </c>
      <c r="H592" s="5" t="s">
        <v>1217</v>
      </c>
      <c r="I592" s="5"/>
      <c r="J592">
        <v>0</v>
      </c>
      <c r="K592">
        <f>30.5-13</f>
        <v>17.5</v>
      </c>
      <c r="L592" t="s">
        <v>38</v>
      </c>
      <c r="M592">
        <v>4</v>
      </c>
    </row>
    <row r="593" spans="1:13" ht="15.75" x14ac:dyDescent="0.25">
      <c r="A593" t="s">
        <v>1054</v>
      </c>
      <c r="B593" t="s">
        <v>30</v>
      </c>
      <c r="C593">
        <v>7</v>
      </c>
      <c r="D593">
        <v>3</v>
      </c>
      <c r="E593" s="9" t="s">
        <v>35</v>
      </c>
      <c r="F593" t="s">
        <v>36</v>
      </c>
      <c r="G593">
        <v>2</v>
      </c>
      <c r="H593" s="5" t="s">
        <v>1228</v>
      </c>
      <c r="I593" s="5"/>
      <c r="J593">
        <v>0</v>
      </c>
      <c r="K593">
        <f>40-12.5</f>
        <v>27.5</v>
      </c>
      <c r="L593" t="s">
        <v>81</v>
      </c>
      <c r="M593">
        <v>4</v>
      </c>
    </row>
    <row r="594" spans="1:13" ht="15.75" x14ac:dyDescent="0.25">
      <c r="A594" t="s">
        <v>1054</v>
      </c>
      <c r="B594" t="s">
        <v>30</v>
      </c>
      <c r="C594">
        <v>8</v>
      </c>
      <c r="D594">
        <v>3</v>
      </c>
      <c r="E594" s="9" t="s">
        <v>35</v>
      </c>
      <c r="F594" t="s">
        <v>36</v>
      </c>
      <c r="G594">
        <v>2</v>
      </c>
      <c r="H594" s="5" t="s">
        <v>1241</v>
      </c>
      <c r="I594" s="5"/>
      <c r="J594">
        <v>0</v>
      </c>
      <c r="K594">
        <f>35-12</f>
        <v>23</v>
      </c>
      <c r="L594" t="s">
        <v>1039</v>
      </c>
      <c r="M594">
        <v>4</v>
      </c>
    </row>
    <row r="595" spans="1:13" ht="15.75" x14ac:dyDescent="0.25">
      <c r="A595" t="s">
        <v>1054</v>
      </c>
      <c r="B595" t="s">
        <v>30</v>
      </c>
      <c r="C595">
        <v>7</v>
      </c>
      <c r="D595">
        <v>3</v>
      </c>
      <c r="E595" s="9" t="s">
        <v>35</v>
      </c>
      <c r="F595" t="s">
        <v>89</v>
      </c>
      <c r="G595">
        <v>2</v>
      </c>
      <c r="H595" s="5" t="s">
        <v>1382</v>
      </c>
      <c r="I595" s="5"/>
      <c r="J595">
        <v>0</v>
      </c>
      <c r="K595">
        <f>30-12.5</f>
        <v>17.5</v>
      </c>
      <c r="L595" t="s">
        <v>38</v>
      </c>
      <c r="M595">
        <v>4</v>
      </c>
    </row>
    <row r="596" spans="1:13" ht="15.75" x14ac:dyDescent="0.25">
      <c r="A596" t="s">
        <v>1057</v>
      </c>
      <c r="B596" t="s">
        <v>30</v>
      </c>
      <c r="C596">
        <v>7</v>
      </c>
      <c r="D596">
        <v>1</v>
      </c>
      <c r="E596" s="9" t="s">
        <v>35</v>
      </c>
      <c r="F596" t="s">
        <v>114</v>
      </c>
      <c r="G596">
        <v>2</v>
      </c>
      <c r="H596" s="5" t="s">
        <v>1055</v>
      </c>
      <c r="I596" s="5" t="s">
        <v>1056</v>
      </c>
      <c r="J596">
        <v>0</v>
      </c>
      <c r="K596">
        <f>30-13.5</f>
        <v>16.5</v>
      </c>
      <c r="L596" t="s">
        <v>38</v>
      </c>
      <c r="M596">
        <v>4</v>
      </c>
    </row>
    <row r="597" spans="1:13" ht="15.75" x14ac:dyDescent="0.25">
      <c r="A597" t="s">
        <v>1057</v>
      </c>
      <c r="B597" t="s">
        <v>30</v>
      </c>
      <c r="C597">
        <v>8</v>
      </c>
      <c r="D597">
        <v>1</v>
      </c>
      <c r="E597" s="9" t="s">
        <v>35</v>
      </c>
      <c r="F597" t="s">
        <v>114</v>
      </c>
      <c r="G597">
        <v>2</v>
      </c>
      <c r="H597" s="5" t="s">
        <v>1064</v>
      </c>
      <c r="I597" s="5" t="s">
        <v>1065</v>
      </c>
      <c r="J597">
        <v>0</v>
      </c>
      <c r="K597">
        <f>28.5-13</f>
        <v>15.5</v>
      </c>
      <c r="L597" t="s">
        <v>38</v>
      </c>
      <c r="M597">
        <v>4</v>
      </c>
    </row>
    <row r="598" spans="1:13" ht="15.75" x14ac:dyDescent="0.25">
      <c r="A598" t="s">
        <v>1057</v>
      </c>
      <c r="B598" t="s">
        <v>30</v>
      </c>
      <c r="C598">
        <v>7</v>
      </c>
      <c r="D598">
        <v>1</v>
      </c>
      <c r="E598" s="9" t="s">
        <v>35</v>
      </c>
      <c r="F598" t="s">
        <v>36</v>
      </c>
      <c r="G598">
        <v>2</v>
      </c>
      <c r="H598" s="5" t="s">
        <v>1066</v>
      </c>
      <c r="I598" s="5" t="s">
        <v>1067</v>
      </c>
      <c r="J598">
        <v>0</v>
      </c>
      <c r="K598">
        <f>34.5-15</f>
        <v>19.5</v>
      </c>
      <c r="L598" t="s">
        <v>38</v>
      </c>
      <c r="M598">
        <v>4</v>
      </c>
    </row>
    <row r="599" spans="1:13" ht="15.75" x14ac:dyDescent="0.25">
      <c r="A599" t="s">
        <v>1057</v>
      </c>
      <c r="B599" t="s">
        <v>30</v>
      </c>
      <c r="C599">
        <v>7</v>
      </c>
      <c r="D599">
        <v>1</v>
      </c>
      <c r="E599" s="9" t="s">
        <v>35</v>
      </c>
      <c r="F599" t="s">
        <v>36</v>
      </c>
      <c r="G599">
        <v>2</v>
      </c>
      <c r="H599" s="5" t="s">
        <v>1069</v>
      </c>
      <c r="I599" s="5" t="s">
        <v>1070</v>
      </c>
      <c r="J599">
        <v>0</v>
      </c>
      <c r="K599">
        <f>30.5-12.5</f>
        <v>18</v>
      </c>
      <c r="L599" t="s">
        <v>38</v>
      </c>
      <c r="M599">
        <v>4</v>
      </c>
    </row>
    <row r="600" spans="1:13" ht="15.75" x14ac:dyDescent="0.25">
      <c r="A600" t="s">
        <v>1057</v>
      </c>
      <c r="B600" t="s">
        <v>30</v>
      </c>
      <c r="C600">
        <v>7</v>
      </c>
      <c r="D600">
        <v>1</v>
      </c>
      <c r="E600" s="9" t="s">
        <v>35</v>
      </c>
      <c r="F600" t="s">
        <v>36</v>
      </c>
      <c r="G600">
        <v>1</v>
      </c>
      <c r="H600" s="5" t="s">
        <v>1073</v>
      </c>
      <c r="I600" s="5" t="s">
        <v>1074</v>
      </c>
      <c r="J600">
        <v>0</v>
      </c>
      <c r="K600">
        <f>32-12.5</f>
        <v>19.5</v>
      </c>
      <c r="L600" t="s">
        <v>65</v>
      </c>
      <c r="M600">
        <v>4</v>
      </c>
    </row>
    <row r="601" spans="1:13" ht="15.75" x14ac:dyDescent="0.25">
      <c r="A601" t="s">
        <v>1057</v>
      </c>
      <c r="B601" t="s">
        <v>30</v>
      </c>
      <c r="C601">
        <v>4</v>
      </c>
      <c r="D601">
        <v>1</v>
      </c>
      <c r="E601" s="9" t="s">
        <v>35</v>
      </c>
      <c r="F601" t="s">
        <v>36</v>
      </c>
      <c r="G601">
        <v>2</v>
      </c>
      <c r="H601" s="5" t="s">
        <v>1111</v>
      </c>
      <c r="I601" s="5" t="s">
        <v>1112</v>
      </c>
      <c r="J601">
        <v>0</v>
      </c>
      <c r="K601">
        <f>33-14</f>
        <v>19</v>
      </c>
      <c r="L601" t="s">
        <v>83</v>
      </c>
      <c r="M601">
        <v>4</v>
      </c>
    </row>
    <row r="602" spans="1:13" ht="15.75" x14ac:dyDescent="0.25">
      <c r="A602" t="s">
        <v>1057</v>
      </c>
      <c r="B602" t="s">
        <v>30</v>
      </c>
      <c r="C602">
        <v>4</v>
      </c>
      <c r="D602">
        <v>1</v>
      </c>
      <c r="E602" s="9" t="s">
        <v>35</v>
      </c>
      <c r="F602" t="s">
        <v>114</v>
      </c>
      <c r="G602">
        <v>2</v>
      </c>
      <c r="H602" s="5" t="s">
        <v>1113</v>
      </c>
      <c r="I602" s="5" t="s">
        <v>1114</v>
      </c>
      <c r="J602">
        <v>0</v>
      </c>
      <c r="K602">
        <f>29.5-14</f>
        <v>15.5</v>
      </c>
      <c r="L602" t="s">
        <v>38</v>
      </c>
      <c r="M602">
        <v>4</v>
      </c>
    </row>
    <row r="603" spans="1:13" ht="15.75" x14ac:dyDescent="0.25">
      <c r="A603" t="s">
        <v>1057</v>
      </c>
      <c r="B603" t="s">
        <v>30</v>
      </c>
      <c r="C603">
        <v>5</v>
      </c>
      <c r="D603">
        <v>1</v>
      </c>
      <c r="E603" s="9" t="s">
        <v>35</v>
      </c>
      <c r="F603" t="s">
        <v>114</v>
      </c>
      <c r="G603">
        <v>2</v>
      </c>
      <c r="H603" s="5" t="s">
        <v>1119</v>
      </c>
      <c r="I603" s="5" t="s">
        <v>1120</v>
      </c>
      <c r="J603">
        <v>0</v>
      </c>
      <c r="K603">
        <f>31-13</f>
        <v>18</v>
      </c>
      <c r="L603" t="s">
        <v>38</v>
      </c>
      <c r="M603">
        <v>4</v>
      </c>
    </row>
    <row r="604" spans="1:13" ht="15.75" x14ac:dyDescent="0.25">
      <c r="A604" t="s">
        <v>1057</v>
      </c>
      <c r="B604" t="s">
        <v>30</v>
      </c>
      <c r="C604">
        <v>5</v>
      </c>
      <c r="D604">
        <v>1</v>
      </c>
      <c r="E604" s="9" t="s">
        <v>35</v>
      </c>
      <c r="F604" t="s">
        <v>114</v>
      </c>
      <c r="G604">
        <v>2</v>
      </c>
      <c r="H604" s="5" t="s">
        <v>1147</v>
      </c>
      <c r="I604" s="5" t="s">
        <v>1148</v>
      </c>
      <c r="J604">
        <v>0</v>
      </c>
      <c r="K604">
        <f>31-15</f>
        <v>16</v>
      </c>
      <c r="L604" t="s">
        <v>38</v>
      </c>
      <c r="M604">
        <v>4</v>
      </c>
    </row>
    <row r="605" spans="1:13" ht="15.75" x14ac:dyDescent="0.25">
      <c r="A605" t="s">
        <v>1057</v>
      </c>
      <c r="B605" t="s">
        <v>30</v>
      </c>
      <c r="C605">
        <v>5</v>
      </c>
      <c r="D605">
        <v>1</v>
      </c>
      <c r="E605" s="9" t="s">
        <v>35</v>
      </c>
      <c r="F605" t="s">
        <v>114</v>
      </c>
      <c r="G605">
        <v>2</v>
      </c>
      <c r="H605" s="5" t="s">
        <v>1149</v>
      </c>
      <c r="I605" s="5" t="s">
        <v>1150</v>
      </c>
      <c r="J605">
        <v>0</v>
      </c>
      <c r="K605">
        <f>28-13</f>
        <v>15</v>
      </c>
      <c r="L605" t="s">
        <v>38</v>
      </c>
      <c r="M605">
        <v>4</v>
      </c>
    </row>
    <row r="606" spans="1:13" ht="15.75" x14ac:dyDescent="0.25">
      <c r="A606" t="s">
        <v>1057</v>
      </c>
      <c r="B606" t="s">
        <v>30</v>
      </c>
      <c r="C606">
        <v>5</v>
      </c>
      <c r="D606">
        <v>1</v>
      </c>
      <c r="E606" s="9" t="s">
        <v>35</v>
      </c>
      <c r="F606" t="s">
        <v>114</v>
      </c>
      <c r="G606">
        <v>2</v>
      </c>
      <c r="H606" s="5" t="s">
        <v>1155</v>
      </c>
      <c r="I606" s="5" t="s">
        <v>1156</v>
      </c>
      <c r="J606">
        <v>0</v>
      </c>
      <c r="K606">
        <f>28.5-12.5</f>
        <v>16</v>
      </c>
      <c r="L606" t="s">
        <v>38</v>
      </c>
      <c r="M606">
        <v>4</v>
      </c>
    </row>
    <row r="607" spans="1:13" ht="15.75" x14ac:dyDescent="0.25">
      <c r="A607" t="s">
        <v>1057</v>
      </c>
      <c r="B607" t="s">
        <v>30</v>
      </c>
      <c r="C607">
        <v>3</v>
      </c>
      <c r="D607">
        <v>1</v>
      </c>
      <c r="E607" s="9" t="s">
        <v>35</v>
      </c>
      <c r="F607" t="s">
        <v>36</v>
      </c>
      <c r="G607">
        <v>1</v>
      </c>
      <c r="H607" s="5" t="s">
        <v>1167</v>
      </c>
      <c r="I607" s="5" t="s">
        <v>1168</v>
      </c>
      <c r="J607">
        <v>0</v>
      </c>
      <c r="K607">
        <f>37.5-15</f>
        <v>22.5</v>
      </c>
      <c r="L607" t="s">
        <v>47</v>
      </c>
      <c r="M607">
        <v>4</v>
      </c>
    </row>
    <row r="608" spans="1:13" ht="15.75" x14ac:dyDescent="0.25">
      <c r="A608" t="s">
        <v>1057</v>
      </c>
      <c r="B608" t="s">
        <v>30</v>
      </c>
      <c r="C608">
        <v>4</v>
      </c>
      <c r="D608">
        <v>1</v>
      </c>
      <c r="E608" s="9" t="s">
        <v>35</v>
      </c>
      <c r="F608" t="s">
        <v>114</v>
      </c>
      <c r="G608">
        <v>2</v>
      </c>
      <c r="H608" s="5" t="s">
        <v>1172</v>
      </c>
      <c r="I608" s="5" t="s">
        <v>1173</v>
      </c>
      <c r="J608">
        <v>0</v>
      </c>
      <c r="K608">
        <f>28-13</f>
        <v>15</v>
      </c>
      <c r="L608" t="s">
        <v>38</v>
      </c>
      <c r="M608">
        <v>4</v>
      </c>
    </row>
    <row r="609" spans="1:13" ht="15.75" x14ac:dyDescent="0.25">
      <c r="A609" t="s">
        <v>1057</v>
      </c>
      <c r="B609" t="s">
        <v>30</v>
      </c>
      <c r="C609">
        <v>5</v>
      </c>
      <c r="D609">
        <v>1</v>
      </c>
      <c r="E609" s="9" t="s">
        <v>35</v>
      </c>
      <c r="F609" t="s">
        <v>36</v>
      </c>
      <c r="G609">
        <v>2</v>
      </c>
      <c r="H609" s="5" t="s">
        <v>1183</v>
      </c>
      <c r="I609" s="5" t="s">
        <v>1184</v>
      </c>
      <c r="J609">
        <v>0</v>
      </c>
      <c r="K609">
        <f>35-13</f>
        <v>22</v>
      </c>
      <c r="L609" t="s">
        <v>81</v>
      </c>
      <c r="M609">
        <v>4</v>
      </c>
    </row>
    <row r="610" spans="1:13" ht="15.75" x14ac:dyDescent="0.25">
      <c r="A610" t="s">
        <v>1057</v>
      </c>
      <c r="B610" t="s">
        <v>30</v>
      </c>
      <c r="C610">
        <v>4</v>
      </c>
      <c r="D610">
        <v>1</v>
      </c>
      <c r="E610" s="9" t="s">
        <v>35</v>
      </c>
      <c r="F610" t="s">
        <v>114</v>
      </c>
      <c r="G610">
        <v>2</v>
      </c>
      <c r="H610" s="5" t="s">
        <v>1187</v>
      </c>
      <c r="I610" s="5" t="s">
        <v>1188</v>
      </c>
      <c r="J610">
        <v>0</v>
      </c>
      <c r="K610">
        <f>27-13</f>
        <v>14</v>
      </c>
      <c r="L610" t="s">
        <v>38</v>
      </c>
      <c r="M610">
        <v>4</v>
      </c>
    </row>
    <row r="611" spans="1:13" ht="15.75" x14ac:dyDescent="0.25">
      <c r="A611" t="s">
        <v>1057</v>
      </c>
      <c r="B611" t="s">
        <v>30</v>
      </c>
      <c r="C611">
        <v>9</v>
      </c>
      <c r="D611">
        <v>1</v>
      </c>
      <c r="E611" s="9" t="s">
        <v>42</v>
      </c>
      <c r="F611" t="s">
        <v>36</v>
      </c>
      <c r="G611">
        <v>1</v>
      </c>
      <c r="H611" s="5" t="s">
        <v>1191</v>
      </c>
      <c r="I611" s="5" t="s">
        <v>1192</v>
      </c>
      <c r="J611">
        <v>0</v>
      </c>
      <c r="K611">
        <f>33.5-15</f>
        <v>18.5</v>
      </c>
      <c r="L611" t="s">
        <v>65</v>
      </c>
      <c r="M611">
        <v>4</v>
      </c>
    </row>
    <row r="612" spans="1:13" ht="15.75" x14ac:dyDescent="0.25">
      <c r="A612" t="s">
        <v>1057</v>
      </c>
      <c r="B612" t="s">
        <v>30</v>
      </c>
      <c r="C612">
        <v>8</v>
      </c>
      <c r="D612">
        <v>1</v>
      </c>
      <c r="E612" s="9" t="s">
        <v>42</v>
      </c>
      <c r="F612" t="s">
        <v>114</v>
      </c>
      <c r="G612">
        <v>2</v>
      </c>
      <c r="H612" s="5" t="s">
        <v>1194</v>
      </c>
      <c r="I612" s="5" t="s">
        <v>1195</v>
      </c>
      <c r="J612">
        <v>0</v>
      </c>
      <c r="K612">
        <f>31.5-15.5</f>
        <v>16</v>
      </c>
      <c r="L612" t="s">
        <v>38</v>
      </c>
      <c r="M612">
        <v>4</v>
      </c>
    </row>
    <row r="613" spans="1:13" ht="15.75" x14ac:dyDescent="0.25">
      <c r="A613" t="s">
        <v>1057</v>
      </c>
      <c r="B613" t="s">
        <v>30</v>
      </c>
      <c r="C613">
        <v>8</v>
      </c>
      <c r="D613">
        <v>1</v>
      </c>
      <c r="E613" s="9" t="s">
        <v>42</v>
      </c>
      <c r="F613" t="s">
        <v>89</v>
      </c>
      <c r="G613">
        <v>2</v>
      </c>
      <c r="H613" s="5" t="s">
        <v>1196</v>
      </c>
      <c r="I613" s="5" t="s">
        <v>1197</v>
      </c>
      <c r="J613">
        <v>0</v>
      </c>
      <c r="K613">
        <f>28-13.5</f>
        <v>14.5</v>
      </c>
      <c r="L613" t="s">
        <v>38</v>
      </c>
      <c r="M613">
        <v>4</v>
      </c>
    </row>
    <row r="614" spans="1:13" ht="15.75" x14ac:dyDescent="0.25">
      <c r="A614" t="s">
        <v>1057</v>
      </c>
      <c r="B614" t="s">
        <v>30</v>
      </c>
      <c r="C614">
        <v>7</v>
      </c>
      <c r="D614">
        <v>1</v>
      </c>
      <c r="E614" s="9" t="s">
        <v>42</v>
      </c>
      <c r="F614" t="s">
        <v>114</v>
      </c>
      <c r="G614">
        <v>1</v>
      </c>
      <c r="H614" s="5" t="s">
        <v>1198</v>
      </c>
      <c r="I614" s="5" t="s">
        <v>1199</v>
      </c>
      <c r="J614">
        <v>0</v>
      </c>
      <c r="K614">
        <f>30-13</f>
        <v>17</v>
      </c>
      <c r="L614" t="s">
        <v>65</v>
      </c>
      <c r="M614">
        <v>4</v>
      </c>
    </row>
    <row r="615" spans="1:13" ht="15.75" x14ac:dyDescent="0.25">
      <c r="A615" t="s">
        <v>1057</v>
      </c>
      <c r="B615" t="s">
        <v>30</v>
      </c>
      <c r="C615">
        <v>7</v>
      </c>
      <c r="D615">
        <v>1</v>
      </c>
      <c r="E615" s="9" t="s">
        <v>42</v>
      </c>
      <c r="F615" t="s">
        <v>114</v>
      </c>
      <c r="G615">
        <v>2</v>
      </c>
      <c r="H615" s="5" t="s">
        <v>1200</v>
      </c>
      <c r="I615" s="5" t="s">
        <v>1201</v>
      </c>
      <c r="J615">
        <v>0</v>
      </c>
      <c r="K615">
        <f>28.5-13</f>
        <v>15.5</v>
      </c>
      <c r="L615" t="s">
        <v>38</v>
      </c>
      <c r="M615">
        <v>4</v>
      </c>
    </row>
    <row r="616" spans="1:13" ht="15.75" x14ac:dyDescent="0.25">
      <c r="A616" t="s">
        <v>1057</v>
      </c>
      <c r="B616" t="s">
        <v>30</v>
      </c>
      <c r="C616">
        <v>8</v>
      </c>
      <c r="D616">
        <v>1</v>
      </c>
      <c r="E616" s="9" t="s">
        <v>35</v>
      </c>
      <c r="F616" t="s">
        <v>89</v>
      </c>
      <c r="G616">
        <v>1</v>
      </c>
      <c r="H616" s="5" t="s">
        <v>1204</v>
      </c>
      <c r="I616" s="5" t="s">
        <v>1205</v>
      </c>
      <c r="J616">
        <v>0</v>
      </c>
      <c r="K616">
        <f>28.5-12.5</f>
        <v>16</v>
      </c>
      <c r="L616" t="s">
        <v>65</v>
      </c>
      <c r="M616">
        <v>4</v>
      </c>
    </row>
    <row r="617" spans="1:13" ht="15.75" x14ac:dyDescent="0.25">
      <c r="A617" t="s">
        <v>1057</v>
      </c>
      <c r="B617" t="s">
        <v>30</v>
      </c>
      <c r="C617">
        <v>7</v>
      </c>
      <c r="D617">
        <v>1</v>
      </c>
      <c r="E617" s="9" t="s">
        <v>35</v>
      </c>
      <c r="F617" t="s">
        <v>36</v>
      </c>
      <c r="G617">
        <v>1</v>
      </c>
      <c r="H617" s="5" t="s">
        <v>1208</v>
      </c>
      <c r="I617" s="5" t="s">
        <v>1209</v>
      </c>
      <c r="J617">
        <v>0</v>
      </c>
      <c r="K617">
        <f>32-13</f>
        <v>19</v>
      </c>
      <c r="L617" t="s">
        <v>65</v>
      </c>
      <c r="M617">
        <v>4</v>
      </c>
    </row>
    <row r="618" spans="1:13" ht="15.75" x14ac:dyDescent="0.25">
      <c r="A618" t="s">
        <v>1057</v>
      </c>
      <c r="B618" t="s">
        <v>30</v>
      </c>
      <c r="C618">
        <v>8</v>
      </c>
      <c r="D618">
        <v>1</v>
      </c>
      <c r="E618" s="9" t="s">
        <v>35</v>
      </c>
      <c r="F618" t="s">
        <v>36</v>
      </c>
      <c r="G618">
        <v>1</v>
      </c>
      <c r="H618" s="5" t="s">
        <v>1212</v>
      </c>
      <c r="I618" s="5" t="s">
        <v>1213</v>
      </c>
      <c r="J618">
        <v>0</v>
      </c>
      <c r="K618">
        <f>35-14</f>
        <v>21</v>
      </c>
      <c r="L618" t="s">
        <v>65</v>
      </c>
      <c r="M618">
        <v>4</v>
      </c>
    </row>
    <row r="619" spans="1:13" ht="15.75" x14ac:dyDescent="0.25">
      <c r="A619" t="s">
        <v>1057</v>
      </c>
      <c r="B619" t="s">
        <v>30</v>
      </c>
      <c r="C619">
        <v>8</v>
      </c>
      <c r="D619">
        <v>1</v>
      </c>
      <c r="E619" s="9" t="s">
        <v>35</v>
      </c>
      <c r="F619" t="s">
        <v>114</v>
      </c>
      <c r="G619">
        <v>2</v>
      </c>
      <c r="H619" s="5" t="s">
        <v>1214</v>
      </c>
      <c r="I619" s="5" t="s">
        <v>1215</v>
      </c>
      <c r="J619">
        <v>0</v>
      </c>
      <c r="K619">
        <f>30-14</f>
        <v>16</v>
      </c>
      <c r="L619" t="s">
        <v>38</v>
      </c>
      <c r="M619">
        <v>4</v>
      </c>
    </row>
    <row r="620" spans="1:13" ht="15.75" x14ac:dyDescent="0.25">
      <c r="A620" t="s">
        <v>1057</v>
      </c>
      <c r="B620" t="s">
        <v>30</v>
      </c>
      <c r="C620">
        <v>4</v>
      </c>
      <c r="D620">
        <v>1</v>
      </c>
      <c r="E620" s="9" t="s">
        <v>42</v>
      </c>
      <c r="F620" t="s">
        <v>114</v>
      </c>
      <c r="G620">
        <v>2</v>
      </c>
      <c r="H620" s="5" t="s">
        <v>1220</v>
      </c>
      <c r="I620" s="5" t="s">
        <v>1221</v>
      </c>
      <c r="J620">
        <v>0</v>
      </c>
      <c r="K620">
        <f>30-14</f>
        <v>16</v>
      </c>
      <c r="L620" t="s">
        <v>38</v>
      </c>
      <c r="M620">
        <v>4</v>
      </c>
    </row>
    <row r="621" spans="1:13" ht="15.75" x14ac:dyDescent="0.25">
      <c r="A621" t="s">
        <v>1057</v>
      </c>
      <c r="B621" t="s">
        <v>30</v>
      </c>
      <c r="C621">
        <v>3</v>
      </c>
      <c r="D621">
        <v>1</v>
      </c>
      <c r="E621" s="9" t="s">
        <v>42</v>
      </c>
      <c r="F621" t="s">
        <v>36</v>
      </c>
      <c r="G621">
        <v>1</v>
      </c>
      <c r="H621" s="5" t="s">
        <v>1222</v>
      </c>
      <c r="I621" s="5" t="s">
        <v>1223</v>
      </c>
      <c r="J621">
        <v>0</v>
      </c>
      <c r="K621">
        <f>30.5-13</f>
        <v>17.5</v>
      </c>
      <c r="L621" t="s">
        <v>65</v>
      </c>
      <c r="M621">
        <v>4</v>
      </c>
    </row>
    <row r="622" spans="1:13" ht="15.75" x14ac:dyDescent="0.25">
      <c r="A622" t="s">
        <v>1057</v>
      </c>
      <c r="B622" t="s">
        <v>30</v>
      </c>
      <c r="C622">
        <v>5</v>
      </c>
      <c r="D622">
        <v>1</v>
      </c>
      <c r="E622" s="9" t="s">
        <v>42</v>
      </c>
      <c r="F622" t="s">
        <v>114</v>
      </c>
      <c r="G622">
        <v>1</v>
      </c>
      <c r="H622" s="5" t="s">
        <v>1224</v>
      </c>
      <c r="I622" s="5" t="s">
        <v>1225</v>
      </c>
      <c r="J622">
        <v>0</v>
      </c>
      <c r="K622">
        <f>32.5-14</f>
        <v>18.5</v>
      </c>
      <c r="L622" t="s">
        <v>65</v>
      </c>
      <c r="M622">
        <v>4</v>
      </c>
    </row>
    <row r="623" spans="1:13" ht="15.75" x14ac:dyDescent="0.25">
      <c r="A623" t="s">
        <v>1057</v>
      </c>
      <c r="B623" t="s">
        <v>30</v>
      </c>
      <c r="C623">
        <v>5</v>
      </c>
      <c r="D623">
        <v>1</v>
      </c>
      <c r="E623" s="9" t="s">
        <v>42</v>
      </c>
      <c r="F623" t="s">
        <v>89</v>
      </c>
      <c r="G623">
        <v>2</v>
      </c>
      <c r="H623" s="5" t="s">
        <v>1226</v>
      </c>
      <c r="I623" s="5" t="s">
        <v>1227</v>
      </c>
      <c r="J623">
        <v>0</v>
      </c>
      <c r="K623">
        <f>27-13</f>
        <v>14</v>
      </c>
      <c r="L623" t="s">
        <v>38</v>
      </c>
      <c r="M623">
        <v>4</v>
      </c>
    </row>
    <row r="624" spans="1:13" ht="15.75" x14ac:dyDescent="0.25">
      <c r="A624" t="s">
        <v>1057</v>
      </c>
      <c r="B624" t="s">
        <v>30</v>
      </c>
      <c r="C624">
        <v>7</v>
      </c>
      <c r="D624">
        <v>1</v>
      </c>
      <c r="E624" s="9" t="s">
        <v>35</v>
      </c>
      <c r="F624" t="s">
        <v>114</v>
      </c>
      <c r="G624">
        <v>2</v>
      </c>
      <c r="H624" s="5" t="s">
        <v>1242</v>
      </c>
      <c r="I624" s="5" t="s">
        <v>1243</v>
      </c>
      <c r="J624">
        <v>0</v>
      </c>
      <c r="K624">
        <f>29-12.5</f>
        <v>16.5</v>
      </c>
      <c r="L624" t="s">
        <v>38</v>
      </c>
      <c r="M624">
        <v>4</v>
      </c>
    </row>
    <row r="625" spans="1:13" ht="15.75" x14ac:dyDescent="0.25">
      <c r="A625" t="s">
        <v>1057</v>
      </c>
      <c r="B625" t="s">
        <v>30</v>
      </c>
      <c r="C625">
        <v>7</v>
      </c>
      <c r="D625">
        <v>1</v>
      </c>
      <c r="E625" s="9" t="s">
        <v>35</v>
      </c>
      <c r="F625" t="s">
        <v>114</v>
      </c>
      <c r="G625">
        <v>2</v>
      </c>
      <c r="H625" s="5" t="s">
        <v>1244</v>
      </c>
      <c r="I625" s="5" t="s">
        <v>1245</v>
      </c>
      <c r="J625">
        <v>0</v>
      </c>
      <c r="K625">
        <f>31.5-14</f>
        <v>17.5</v>
      </c>
      <c r="L625" t="s">
        <v>38</v>
      </c>
      <c r="M625">
        <v>4</v>
      </c>
    </row>
    <row r="626" spans="1:13" ht="15.75" x14ac:dyDescent="0.25">
      <c r="A626" t="s">
        <v>1057</v>
      </c>
      <c r="B626" t="s">
        <v>30</v>
      </c>
      <c r="C626">
        <v>8</v>
      </c>
      <c r="D626">
        <v>1</v>
      </c>
      <c r="E626" s="9" t="s">
        <v>35</v>
      </c>
      <c r="F626" t="s">
        <v>114</v>
      </c>
      <c r="G626">
        <v>2</v>
      </c>
      <c r="H626" s="5" t="s">
        <v>1250</v>
      </c>
      <c r="I626" s="5" t="s">
        <v>1251</v>
      </c>
      <c r="J626">
        <v>0</v>
      </c>
      <c r="K626">
        <f>30-14.5</f>
        <v>15.5</v>
      </c>
      <c r="L626" t="s">
        <v>38</v>
      </c>
      <c r="M626">
        <v>4</v>
      </c>
    </row>
    <row r="627" spans="1:13" ht="15.75" x14ac:dyDescent="0.25">
      <c r="A627" t="s">
        <v>1057</v>
      </c>
      <c r="B627" t="s">
        <v>30</v>
      </c>
      <c r="C627">
        <v>7</v>
      </c>
      <c r="D627">
        <v>1</v>
      </c>
      <c r="E627" s="9" t="s">
        <v>35</v>
      </c>
      <c r="F627" t="s">
        <v>36</v>
      </c>
      <c r="G627">
        <v>2</v>
      </c>
      <c r="H627" s="5" t="s">
        <v>1252</v>
      </c>
      <c r="I627" s="5" t="s">
        <v>1253</v>
      </c>
      <c r="J627">
        <v>0</v>
      </c>
      <c r="K627">
        <f>34.5-13.5</f>
        <v>21</v>
      </c>
      <c r="L627" t="s">
        <v>38</v>
      </c>
      <c r="M627">
        <v>4</v>
      </c>
    </row>
    <row r="628" spans="1:13" ht="15.75" x14ac:dyDescent="0.25">
      <c r="A628" t="s">
        <v>1057</v>
      </c>
      <c r="B628" t="s">
        <v>30</v>
      </c>
      <c r="C628">
        <v>7</v>
      </c>
      <c r="D628">
        <v>1</v>
      </c>
      <c r="E628" s="9" t="s">
        <v>35</v>
      </c>
      <c r="F628" t="s">
        <v>36</v>
      </c>
      <c r="G628">
        <v>1</v>
      </c>
      <c r="H628" s="5" t="s">
        <v>1254</v>
      </c>
      <c r="I628" s="5" t="s">
        <v>1255</v>
      </c>
      <c r="J628">
        <v>0</v>
      </c>
      <c r="K628">
        <f>33-13.5</f>
        <v>19.5</v>
      </c>
      <c r="L628" t="s">
        <v>65</v>
      </c>
      <c r="M628">
        <v>4</v>
      </c>
    </row>
    <row r="629" spans="1:13" ht="15.75" x14ac:dyDescent="0.25">
      <c r="A629" t="s">
        <v>1057</v>
      </c>
      <c r="B629" t="s">
        <v>30</v>
      </c>
      <c r="C629">
        <v>7</v>
      </c>
      <c r="D629">
        <v>1</v>
      </c>
      <c r="E629" s="9" t="s">
        <v>35</v>
      </c>
      <c r="F629" t="s">
        <v>36</v>
      </c>
      <c r="G629">
        <v>2</v>
      </c>
      <c r="H629" s="5" t="s">
        <v>1256</v>
      </c>
      <c r="I629" s="5" t="s">
        <v>1257</v>
      </c>
      <c r="J629">
        <v>0</v>
      </c>
      <c r="K629">
        <f>30-12.5</f>
        <v>17.5</v>
      </c>
      <c r="L629" t="s">
        <v>38</v>
      </c>
      <c r="M629">
        <v>4</v>
      </c>
    </row>
    <row r="630" spans="1:13" ht="15.75" x14ac:dyDescent="0.25">
      <c r="A630" t="s">
        <v>1057</v>
      </c>
      <c r="B630" t="s">
        <v>30</v>
      </c>
      <c r="C630">
        <v>7</v>
      </c>
      <c r="D630">
        <v>1</v>
      </c>
      <c r="E630" s="9" t="s">
        <v>35</v>
      </c>
      <c r="F630" t="s">
        <v>114</v>
      </c>
      <c r="G630">
        <v>1</v>
      </c>
      <c r="H630" s="5" t="s">
        <v>1288</v>
      </c>
      <c r="I630" s="5" t="s">
        <v>1289</v>
      </c>
      <c r="J630">
        <v>0</v>
      </c>
      <c r="K630">
        <f>30.5-13</f>
        <v>17.5</v>
      </c>
      <c r="L630" t="s">
        <v>65</v>
      </c>
      <c r="M630">
        <v>4</v>
      </c>
    </row>
    <row r="631" spans="1:13" ht="15.75" x14ac:dyDescent="0.25">
      <c r="A631" t="s">
        <v>1057</v>
      </c>
      <c r="B631" t="s">
        <v>30</v>
      </c>
      <c r="C631">
        <v>7</v>
      </c>
      <c r="D631">
        <v>1</v>
      </c>
      <c r="E631" s="9" t="s">
        <v>35</v>
      </c>
      <c r="F631" t="s">
        <v>114</v>
      </c>
      <c r="G631">
        <v>1</v>
      </c>
      <c r="H631" s="5" t="s">
        <v>1290</v>
      </c>
      <c r="I631" s="5" t="s">
        <v>1291</v>
      </c>
      <c r="J631">
        <v>0</v>
      </c>
      <c r="K631">
        <f>28-12.5</f>
        <v>15.5</v>
      </c>
      <c r="L631" t="s">
        <v>65</v>
      </c>
      <c r="M631">
        <v>4</v>
      </c>
    </row>
    <row r="632" spans="1:13" ht="15.75" x14ac:dyDescent="0.25">
      <c r="A632" t="s">
        <v>1057</v>
      </c>
      <c r="B632" t="s">
        <v>30</v>
      </c>
      <c r="C632">
        <v>8</v>
      </c>
      <c r="D632">
        <v>1</v>
      </c>
      <c r="E632" s="9" t="s">
        <v>35</v>
      </c>
      <c r="F632" t="s">
        <v>114</v>
      </c>
      <c r="G632">
        <v>2</v>
      </c>
      <c r="H632" s="5" t="s">
        <v>1294</v>
      </c>
      <c r="I632" s="5" t="s">
        <v>1295</v>
      </c>
      <c r="J632">
        <v>0</v>
      </c>
      <c r="K632">
        <f>32-15</f>
        <v>17</v>
      </c>
      <c r="L632" t="s">
        <v>38</v>
      </c>
      <c r="M632">
        <v>4</v>
      </c>
    </row>
    <row r="633" spans="1:13" ht="15.75" x14ac:dyDescent="0.25">
      <c r="A633" t="s">
        <v>1057</v>
      </c>
      <c r="B633" t="s">
        <v>30</v>
      </c>
      <c r="C633">
        <v>8</v>
      </c>
      <c r="D633">
        <v>1</v>
      </c>
      <c r="E633" s="9" t="s">
        <v>35</v>
      </c>
      <c r="F633" t="s">
        <v>114</v>
      </c>
      <c r="G633">
        <v>1</v>
      </c>
      <c r="H633" s="5" t="s">
        <v>1296</v>
      </c>
      <c r="I633" s="5" t="s">
        <v>1297</v>
      </c>
      <c r="J633">
        <v>0</v>
      </c>
      <c r="K633">
        <f>30.5-13.5</f>
        <v>17</v>
      </c>
      <c r="L633" t="s">
        <v>65</v>
      </c>
      <c r="M633">
        <v>4</v>
      </c>
    </row>
    <row r="634" spans="1:13" ht="15.75" x14ac:dyDescent="0.25">
      <c r="A634" t="s">
        <v>1057</v>
      </c>
      <c r="B634" t="s">
        <v>30</v>
      </c>
      <c r="C634">
        <v>7</v>
      </c>
      <c r="D634">
        <v>1</v>
      </c>
      <c r="E634" s="9" t="s">
        <v>35</v>
      </c>
      <c r="F634" t="s">
        <v>36</v>
      </c>
      <c r="G634">
        <v>1</v>
      </c>
      <c r="H634" s="5" t="s">
        <v>1298</v>
      </c>
      <c r="I634" s="5" t="s">
        <v>1299</v>
      </c>
      <c r="J634">
        <v>0</v>
      </c>
      <c r="K634">
        <f>33-13.5</f>
        <v>19.5</v>
      </c>
      <c r="L634" t="s">
        <v>65</v>
      </c>
      <c r="M634">
        <v>4</v>
      </c>
    </row>
    <row r="635" spans="1:13" ht="15.75" x14ac:dyDescent="0.25">
      <c r="A635" t="s">
        <v>1057</v>
      </c>
      <c r="B635" t="s">
        <v>30</v>
      </c>
      <c r="C635">
        <v>7</v>
      </c>
      <c r="D635">
        <v>1</v>
      </c>
      <c r="E635" s="9" t="s">
        <v>35</v>
      </c>
      <c r="F635" t="s">
        <v>114</v>
      </c>
      <c r="G635">
        <v>1</v>
      </c>
      <c r="H635" s="5" t="s">
        <v>1300</v>
      </c>
      <c r="I635" s="5" t="s">
        <v>1301</v>
      </c>
      <c r="J635">
        <v>0</v>
      </c>
      <c r="K635">
        <f>28-13</f>
        <v>15</v>
      </c>
      <c r="L635" t="s">
        <v>65</v>
      </c>
      <c r="M635">
        <v>4</v>
      </c>
    </row>
    <row r="636" spans="1:13" ht="15.75" x14ac:dyDescent="0.25">
      <c r="A636" t="s">
        <v>1057</v>
      </c>
      <c r="B636" t="s">
        <v>30</v>
      </c>
      <c r="C636">
        <v>3</v>
      </c>
      <c r="D636">
        <v>1</v>
      </c>
      <c r="E636" s="9" t="s">
        <v>35</v>
      </c>
      <c r="F636" t="s">
        <v>114</v>
      </c>
      <c r="G636">
        <v>1</v>
      </c>
      <c r="H636" s="5" t="s">
        <v>1349</v>
      </c>
      <c r="I636" s="5" t="s">
        <v>1350</v>
      </c>
      <c r="J636">
        <v>0</v>
      </c>
      <c r="K636">
        <f>32-14.5</f>
        <v>17.5</v>
      </c>
      <c r="L636" t="s">
        <v>65</v>
      </c>
      <c r="M636">
        <v>4</v>
      </c>
    </row>
    <row r="637" spans="1:13" ht="15.75" x14ac:dyDescent="0.25">
      <c r="A637" t="s">
        <v>1057</v>
      </c>
      <c r="B637" t="s">
        <v>30</v>
      </c>
      <c r="C637">
        <v>3</v>
      </c>
      <c r="D637">
        <v>1</v>
      </c>
      <c r="E637" s="9" t="s">
        <v>35</v>
      </c>
      <c r="F637" t="s">
        <v>36</v>
      </c>
      <c r="G637">
        <v>2</v>
      </c>
      <c r="H637" s="5" t="s">
        <v>1351</v>
      </c>
      <c r="I637" s="5" t="s">
        <v>1352</v>
      </c>
      <c r="J637">
        <v>0</v>
      </c>
      <c r="K637">
        <f>34-13</f>
        <v>21</v>
      </c>
      <c r="L637" t="s">
        <v>83</v>
      </c>
      <c r="M637">
        <v>4</v>
      </c>
    </row>
    <row r="638" spans="1:13" ht="15.75" x14ac:dyDescent="0.25">
      <c r="A638" t="s">
        <v>1057</v>
      </c>
      <c r="B638" t="s">
        <v>30</v>
      </c>
      <c r="C638">
        <v>5</v>
      </c>
      <c r="D638">
        <v>1</v>
      </c>
      <c r="E638" s="9" t="s">
        <v>35</v>
      </c>
      <c r="F638" t="s">
        <v>36</v>
      </c>
      <c r="G638">
        <v>2</v>
      </c>
      <c r="H638" s="5" t="s">
        <v>1361</v>
      </c>
      <c r="I638" s="5" t="s">
        <v>1362</v>
      </c>
      <c r="J638">
        <v>0</v>
      </c>
      <c r="K638">
        <f>38.5-13</f>
        <v>25.5</v>
      </c>
      <c r="L638" t="s">
        <v>1041</v>
      </c>
      <c r="M638">
        <v>4</v>
      </c>
    </row>
    <row r="639" spans="1:13" ht="15.75" x14ac:dyDescent="0.25">
      <c r="A639" t="s">
        <v>1057</v>
      </c>
      <c r="B639" t="s">
        <v>30</v>
      </c>
      <c r="C639">
        <v>4</v>
      </c>
      <c r="D639">
        <v>1</v>
      </c>
      <c r="E639" s="9" t="s">
        <v>35</v>
      </c>
      <c r="F639" t="s">
        <v>114</v>
      </c>
      <c r="G639">
        <v>2</v>
      </c>
      <c r="H639" s="5" t="s">
        <v>1363</v>
      </c>
      <c r="I639" s="5" t="s">
        <v>1364</v>
      </c>
      <c r="J639">
        <v>0</v>
      </c>
      <c r="K639">
        <f>28.5-13.5</f>
        <v>15</v>
      </c>
      <c r="L639" t="s">
        <v>83</v>
      </c>
      <c r="M639">
        <v>4</v>
      </c>
    </row>
    <row r="640" spans="1:13" ht="15.75" x14ac:dyDescent="0.25">
      <c r="A640" t="s">
        <v>1057</v>
      </c>
      <c r="B640" t="s">
        <v>30</v>
      </c>
      <c r="C640">
        <v>4</v>
      </c>
      <c r="D640">
        <v>1</v>
      </c>
      <c r="E640" s="9" t="s">
        <v>35</v>
      </c>
      <c r="F640" t="s">
        <v>114</v>
      </c>
      <c r="G640">
        <v>2</v>
      </c>
      <c r="H640" s="5" t="s">
        <v>1373</v>
      </c>
      <c r="I640" s="5" t="s">
        <v>1374</v>
      </c>
      <c r="J640">
        <v>0</v>
      </c>
      <c r="K640">
        <f>28.5-13</f>
        <v>15.5</v>
      </c>
      <c r="L640" t="s">
        <v>83</v>
      </c>
      <c r="M640">
        <v>4</v>
      </c>
    </row>
    <row r="641" spans="1:13" ht="15.75" x14ac:dyDescent="0.25">
      <c r="A641" t="s">
        <v>1057</v>
      </c>
      <c r="B641" t="s">
        <v>30</v>
      </c>
      <c r="C641">
        <v>4</v>
      </c>
      <c r="D641">
        <v>1</v>
      </c>
      <c r="E641" s="9" t="s">
        <v>35</v>
      </c>
      <c r="F641" t="s">
        <v>36</v>
      </c>
      <c r="G641">
        <v>1</v>
      </c>
      <c r="H641" s="5" t="s">
        <v>1405</v>
      </c>
      <c r="I641" s="5" t="s">
        <v>1406</v>
      </c>
      <c r="J641">
        <v>0</v>
      </c>
      <c r="K641">
        <f>30-12.5</f>
        <v>17.5</v>
      </c>
      <c r="L641" t="s">
        <v>65</v>
      </c>
      <c r="M641">
        <v>4</v>
      </c>
    </row>
    <row r="642" spans="1:13" ht="15.75" x14ac:dyDescent="0.25">
      <c r="A642" t="s">
        <v>1057</v>
      </c>
      <c r="B642" t="s">
        <v>30</v>
      </c>
      <c r="C642">
        <v>5</v>
      </c>
      <c r="D642">
        <v>2</v>
      </c>
      <c r="E642" s="9" t="s">
        <v>35</v>
      </c>
      <c r="F642" t="s">
        <v>36</v>
      </c>
      <c r="G642">
        <v>2</v>
      </c>
      <c r="H642" s="5" t="s">
        <v>1169</v>
      </c>
      <c r="I642" s="5"/>
      <c r="J642">
        <v>0</v>
      </c>
      <c r="K642">
        <f>40.5-15</f>
        <v>25.5</v>
      </c>
      <c r="L642" t="s">
        <v>83</v>
      </c>
      <c r="M642">
        <v>4</v>
      </c>
    </row>
    <row r="643" spans="1:13" ht="15.75" x14ac:dyDescent="0.25">
      <c r="A643" t="s">
        <v>1057</v>
      </c>
      <c r="B643" t="s">
        <v>30</v>
      </c>
      <c r="C643">
        <v>7</v>
      </c>
      <c r="D643">
        <v>2</v>
      </c>
      <c r="E643" s="9" t="s">
        <v>42</v>
      </c>
      <c r="F643" t="s">
        <v>36</v>
      </c>
      <c r="G643">
        <v>1</v>
      </c>
      <c r="H643" s="5" t="s">
        <v>1202</v>
      </c>
      <c r="I643" s="5"/>
      <c r="J643">
        <v>1</v>
      </c>
      <c r="K643">
        <f>39.5-13.5</f>
        <v>26</v>
      </c>
      <c r="L643" t="s">
        <v>47</v>
      </c>
      <c r="M643">
        <v>4</v>
      </c>
    </row>
    <row r="644" spans="1:13" ht="15.75" x14ac:dyDescent="0.25">
      <c r="A644" t="s">
        <v>1057</v>
      </c>
      <c r="B644" t="s">
        <v>30</v>
      </c>
      <c r="C644">
        <v>7</v>
      </c>
      <c r="D644">
        <v>2</v>
      </c>
      <c r="E644" s="9" t="s">
        <v>35</v>
      </c>
      <c r="F644" t="s">
        <v>36</v>
      </c>
      <c r="G644">
        <v>2</v>
      </c>
      <c r="H644" s="5" t="s">
        <v>1216</v>
      </c>
      <c r="I644" s="5"/>
      <c r="J644">
        <v>1</v>
      </c>
      <c r="K644">
        <f>36-12.5</f>
        <v>23.5</v>
      </c>
      <c r="L644" t="s">
        <v>1039</v>
      </c>
      <c r="M644">
        <v>4</v>
      </c>
    </row>
    <row r="645" spans="1:13" ht="15.75" x14ac:dyDescent="0.25">
      <c r="A645" t="s">
        <v>1057</v>
      </c>
      <c r="B645" t="s">
        <v>30</v>
      </c>
      <c r="C645">
        <v>7</v>
      </c>
      <c r="D645">
        <v>2</v>
      </c>
      <c r="E645" s="9" t="s">
        <v>35</v>
      </c>
      <c r="F645" t="s">
        <v>36</v>
      </c>
      <c r="G645">
        <v>2</v>
      </c>
      <c r="H645" s="5" t="s">
        <v>1383</v>
      </c>
      <c r="I645" s="5"/>
      <c r="J645">
        <v>1</v>
      </c>
      <c r="K645">
        <f>36.5-13.5</f>
        <v>23</v>
      </c>
      <c r="L645" t="s">
        <v>38</v>
      </c>
      <c r="M645">
        <v>4</v>
      </c>
    </row>
    <row r="646" spans="1:13" ht="15.75" x14ac:dyDescent="0.25">
      <c r="A646" t="s">
        <v>1057</v>
      </c>
      <c r="B646" t="s">
        <v>30</v>
      </c>
      <c r="C646">
        <v>7</v>
      </c>
      <c r="D646">
        <v>3</v>
      </c>
      <c r="E646" s="9" t="s">
        <v>35</v>
      </c>
      <c r="F646" t="s">
        <v>36</v>
      </c>
      <c r="G646">
        <v>2</v>
      </c>
      <c r="H646" s="5" t="s">
        <v>1075</v>
      </c>
      <c r="I646" s="5"/>
      <c r="J646">
        <v>0</v>
      </c>
      <c r="K646">
        <f>34-12.5</f>
        <v>21.5</v>
      </c>
      <c r="L646" t="s">
        <v>38</v>
      </c>
      <c r="M646">
        <v>4</v>
      </c>
    </row>
    <row r="647" spans="1:13" ht="15.75" x14ac:dyDescent="0.25">
      <c r="A647" t="s">
        <v>1057</v>
      </c>
      <c r="B647" t="s">
        <v>30</v>
      </c>
      <c r="C647">
        <v>8</v>
      </c>
      <c r="D647">
        <v>3</v>
      </c>
      <c r="E647" s="9" t="s">
        <v>35</v>
      </c>
      <c r="F647" t="s">
        <v>36</v>
      </c>
      <c r="G647">
        <v>2</v>
      </c>
      <c r="H647" s="5" t="s">
        <v>1095</v>
      </c>
      <c r="I647" s="5"/>
      <c r="J647">
        <v>0</v>
      </c>
      <c r="K647">
        <f>35.5-13</f>
        <v>22.5</v>
      </c>
      <c r="L647" t="s">
        <v>38</v>
      </c>
      <c r="M647">
        <v>4</v>
      </c>
    </row>
    <row r="648" spans="1:13" ht="15.75" x14ac:dyDescent="0.25">
      <c r="A648" t="s">
        <v>1057</v>
      </c>
      <c r="B648" t="s">
        <v>30</v>
      </c>
      <c r="C648">
        <v>8</v>
      </c>
      <c r="D648">
        <v>3</v>
      </c>
      <c r="E648" s="9" t="s">
        <v>35</v>
      </c>
      <c r="F648" t="s">
        <v>36</v>
      </c>
      <c r="G648">
        <v>2</v>
      </c>
      <c r="H648" s="5" t="s">
        <v>1096</v>
      </c>
      <c r="I648" s="5"/>
      <c r="J648">
        <v>0</v>
      </c>
      <c r="K648">
        <f>42-13.5</f>
        <v>28.5</v>
      </c>
      <c r="L648" t="s">
        <v>1039</v>
      </c>
      <c r="M648">
        <v>4</v>
      </c>
    </row>
    <row r="649" spans="1:13" ht="15.75" x14ac:dyDescent="0.25">
      <c r="A649" t="s">
        <v>1057</v>
      </c>
      <c r="B649" t="s">
        <v>30</v>
      </c>
      <c r="C649">
        <v>8</v>
      </c>
      <c r="D649">
        <v>3</v>
      </c>
      <c r="E649" s="9" t="s">
        <v>42</v>
      </c>
      <c r="F649" t="s">
        <v>36</v>
      </c>
      <c r="G649">
        <v>1</v>
      </c>
      <c r="H649" s="5" t="s">
        <v>1193</v>
      </c>
      <c r="I649" s="5"/>
      <c r="J649">
        <v>0</v>
      </c>
      <c r="K649">
        <f>38-13.5</f>
        <v>24.5</v>
      </c>
      <c r="L649" t="s">
        <v>47</v>
      </c>
      <c r="M649">
        <v>4</v>
      </c>
    </row>
    <row r="650" spans="1:13" ht="15.75" x14ac:dyDescent="0.25">
      <c r="A650" t="s">
        <v>1057</v>
      </c>
      <c r="B650" t="s">
        <v>30</v>
      </c>
      <c r="C650">
        <v>8</v>
      </c>
      <c r="D650">
        <v>3</v>
      </c>
      <c r="E650" s="9" t="s">
        <v>35</v>
      </c>
      <c r="F650" t="s">
        <v>36</v>
      </c>
      <c r="G650">
        <v>2</v>
      </c>
      <c r="H650" s="5" t="s">
        <v>1203</v>
      </c>
      <c r="I650" s="5"/>
      <c r="J650">
        <v>0</v>
      </c>
      <c r="K650">
        <f>35.5-13</f>
        <v>22.5</v>
      </c>
      <c r="L650" t="s">
        <v>38</v>
      </c>
      <c r="M650">
        <v>4</v>
      </c>
    </row>
    <row r="651" spans="1:13" ht="15.75" x14ac:dyDescent="0.25">
      <c r="A651" t="s">
        <v>1057</v>
      </c>
      <c r="B651" t="s">
        <v>30</v>
      </c>
      <c r="C651">
        <v>7</v>
      </c>
      <c r="D651">
        <v>3</v>
      </c>
      <c r="E651" s="9" t="s">
        <v>35</v>
      </c>
      <c r="F651" t="s">
        <v>36</v>
      </c>
      <c r="G651">
        <v>1</v>
      </c>
      <c r="H651" s="5" t="s">
        <v>1218</v>
      </c>
      <c r="I651" s="5"/>
      <c r="J651">
        <v>0</v>
      </c>
      <c r="K651">
        <f>33.5-13</f>
        <v>20.5</v>
      </c>
      <c r="L651" t="s">
        <v>65</v>
      </c>
      <c r="M651">
        <v>4</v>
      </c>
    </row>
    <row r="652" spans="1:13" ht="15.75" x14ac:dyDescent="0.25">
      <c r="A652" t="s">
        <v>1057</v>
      </c>
      <c r="B652" t="s">
        <v>30</v>
      </c>
      <c r="C652">
        <v>8</v>
      </c>
      <c r="D652">
        <v>3</v>
      </c>
      <c r="E652" s="9" t="s">
        <v>35</v>
      </c>
      <c r="F652" t="s">
        <v>36</v>
      </c>
      <c r="G652">
        <v>2</v>
      </c>
      <c r="H652" s="5" t="s">
        <v>1241</v>
      </c>
      <c r="I652" s="5"/>
      <c r="J652">
        <v>0</v>
      </c>
      <c r="K652">
        <f>39.5-13</f>
        <v>26.5</v>
      </c>
      <c r="L652" t="s">
        <v>1039</v>
      </c>
      <c r="M652">
        <v>4</v>
      </c>
    </row>
    <row r="653" spans="1:13" ht="15.75" x14ac:dyDescent="0.25">
      <c r="A653" t="s">
        <v>1057</v>
      </c>
      <c r="B653" t="s">
        <v>30</v>
      </c>
      <c r="C653">
        <v>7</v>
      </c>
      <c r="D653">
        <v>3</v>
      </c>
      <c r="E653" s="9" t="s">
        <v>35</v>
      </c>
      <c r="F653" t="s">
        <v>89</v>
      </c>
      <c r="G653">
        <v>2</v>
      </c>
      <c r="H653" s="5" t="s">
        <v>1382</v>
      </c>
      <c r="I653" s="5"/>
      <c r="J653">
        <v>0</v>
      </c>
      <c r="K653">
        <f>29.5-13.5</f>
        <v>16</v>
      </c>
      <c r="L653" t="s">
        <v>38</v>
      </c>
      <c r="M653">
        <v>4</v>
      </c>
    </row>
  </sheetData>
  <sortState xmlns:xlrd2="http://schemas.microsoft.com/office/spreadsheetml/2017/richdata2" ref="A2:M653">
    <sortCondition ref="A2:A653"/>
    <sortCondition ref="D2:D653"/>
    <sortCondition ref="H2:H6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Schmidt</dc:creator>
  <cp:lastModifiedBy>Elliott Schmidt</cp:lastModifiedBy>
  <dcterms:created xsi:type="dcterms:W3CDTF">2016-09-15T15:56:46Z</dcterms:created>
  <dcterms:modified xsi:type="dcterms:W3CDTF">2025-03-12T08:07:10Z</dcterms:modified>
</cp:coreProperties>
</file>