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n\GSEM Master\Semester 2\Presciptive Analytics\Final Project\"/>
    </mc:Choice>
  </mc:AlternateContent>
  <xr:revisionPtr revIDLastSave="0" documentId="13_ncr:1_{3981C5FF-E783-4183-A1A3-846170A83062}" xr6:coauthVersionLast="47" xr6:coauthVersionMax="47" xr10:uidLastSave="{00000000-0000-0000-0000-000000000000}"/>
  <bookViews>
    <workbookView xWindow="-98" yWindow="-98" windowWidth="21795" windowHeight="13875" xr2:uid="{D470A412-0F03-4484-85B4-DC8AFB483E06}"/>
  </bookViews>
  <sheets>
    <sheet name="Data" sheetId="6" r:id="rId1"/>
    <sheet name="Minimize CO2e" sheetId="2" r:id="rId2"/>
    <sheet name="Minimize LCOE Cost" sheetId="3" r:id="rId3"/>
    <sheet name="Compromise" sheetId="8" r:id="rId4"/>
  </sheets>
  <definedNames>
    <definedName name="solver_adj" localSheetId="3" hidden="1">Compromise!$N$12:$N$23</definedName>
    <definedName name="solver_adj" localSheetId="1" hidden="1">'Minimize CO2e'!$N$12:$N$23</definedName>
    <definedName name="solver_adj" localSheetId="2" hidden="1">'Minimize LCOE Cost'!$N$12:$N$23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2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3" hidden="1">Compromise!$H$4</definedName>
    <definedName name="solver_lhs1" localSheetId="1" hidden="1">'Minimize CO2e'!$N$12:$N$23</definedName>
    <definedName name="solver_lhs1" localSheetId="2" hidden="1">'Minimize LCOE Cost'!$H$4</definedName>
    <definedName name="solver_lhs10" localSheetId="3" hidden="1">Compromise!$N$18</definedName>
    <definedName name="solver_lhs10" localSheetId="1" hidden="1">'Minimize CO2e'!$N$19</definedName>
    <definedName name="solver_lhs10" localSheetId="2" hidden="1">'Minimize LCOE Cost'!$N$19</definedName>
    <definedName name="solver_lhs11" localSheetId="3" hidden="1">Compromise!$N$19</definedName>
    <definedName name="solver_lhs11" localSheetId="1" hidden="1">'Minimize CO2e'!$N$20</definedName>
    <definedName name="solver_lhs11" localSheetId="2" hidden="1">'Minimize LCOE Cost'!$N$20</definedName>
    <definedName name="solver_lhs12" localSheetId="3" hidden="1">Compromise!$N$20</definedName>
    <definedName name="solver_lhs12" localSheetId="1" hidden="1">'Minimize CO2e'!$N$21</definedName>
    <definedName name="solver_lhs12" localSheetId="2" hidden="1">'Minimize LCOE Cost'!$N$21</definedName>
    <definedName name="solver_lhs13" localSheetId="3" hidden="1">Compromise!$N$21</definedName>
    <definedName name="solver_lhs13" localSheetId="1" hidden="1">'Minimize CO2e'!$N$22</definedName>
    <definedName name="solver_lhs13" localSheetId="2" hidden="1">'Minimize LCOE Cost'!$N$22</definedName>
    <definedName name="solver_lhs14" localSheetId="3" hidden="1">Compromise!$N$22</definedName>
    <definedName name="solver_lhs14" localSheetId="1" hidden="1">'Minimize CO2e'!$N$23</definedName>
    <definedName name="solver_lhs14" localSheetId="2" hidden="1">'Minimize LCOE Cost'!$N$23</definedName>
    <definedName name="solver_lhs15" localSheetId="3" hidden="1">Compromise!$N$23</definedName>
    <definedName name="solver_lhs15" localSheetId="1" hidden="1">'Minimize CO2e'!$O$12</definedName>
    <definedName name="solver_lhs15" localSheetId="2" hidden="1">'Minimize LCOE Cost'!$O$12</definedName>
    <definedName name="solver_lhs16" localSheetId="3" hidden="1">Compromise!$N$4</definedName>
    <definedName name="solver_lhs16" localSheetId="1" hidden="1">'Minimize CO2e'!$O$13</definedName>
    <definedName name="solver_lhs16" localSheetId="2" hidden="1">'Minimize LCOE Cost'!$O$13</definedName>
    <definedName name="solver_lhs17" localSheetId="3" hidden="1">Compromise!$N$4</definedName>
    <definedName name="solver_lhs17" localSheetId="1" hidden="1">'Minimize CO2e'!$O$14</definedName>
    <definedName name="solver_lhs17" localSheetId="2" hidden="1">'Minimize LCOE Cost'!$O$14</definedName>
    <definedName name="solver_lhs18" localSheetId="3" hidden="1">Compromise!$O$12</definedName>
    <definedName name="solver_lhs18" localSheetId="1" hidden="1">'Minimize CO2e'!$O$15</definedName>
    <definedName name="solver_lhs18" localSheetId="2" hidden="1">'Minimize LCOE Cost'!$O$15</definedName>
    <definedName name="solver_lhs19" localSheetId="3" hidden="1">Compromise!$O$13</definedName>
    <definedName name="solver_lhs19" localSheetId="1" hidden="1">'Minimize CO2e'!$O$16</definedName>
    <definedName name="solver_lhs19" localSheetId="2" hidden="1">'Minimize LCOE Cost'!$O$16</definedName>
    <definedName name="solver_lhs2" localSheetId="3" hidden="1">Compromise!$H$4</definedName>
    <definedName name="solver_lhs2" localSheetId="1" hidden="1">'Minimize CO2e'!$H$4</definedName>
    <definedName name="solver_lhs2" localSheetId="2" hidden="1">'Minimize LCOE Cost'!$H$4</definedName>
    <definedName name="solver_lhs20" localSheetId="3" hidden="1">Compromise!$O$14</definedName>
    <definedName name="solver_lhs20" localSheetId="1" hidden="1">'Minimize CO2e'!$O$17</definedName>
    <definedName name="solver_lhs20" localSheetId="2" hidden="1">'Minimize LCOE Cost'!$O$17</definedName>
    <definedName name="solver_lhs21" localSheetId="3" hidden="1">Compromise!$O$15</definedName>
    <definedName name="solver_lhs21" localSheetId="1" hidden="1">'Minimize CO2e'!$R$20</definedName>
    <definedName name="solver_lhs21" localSheetId="2" hidden="1">'Minimize LCOE Cost'!$O$17</definedName>
    <definedName name="solver_lhs22" localSheetId="3" hidden="1">Compromise!$O$16</definedName>
    <definedName name="solver_lhs22" localSheetId="1" hidden="1">'Minimize CO2e'!$R$20</definedName>
    <definedName name="solver_lhs23" localSheetId="3" hidden="1">Compromise!$O$17</definedName>
    <definedName name="solver_lhs23" localSheetId="1" hidden="1">'Minimize CO2e'!$N$22</definedName>
    <definedName name="solver_lhs24" localSheetId="1" hidden="1">'Minimize CO2e'!$N$23</definedName>
    <definedName name="solver_lhs25" localSheetId="1" hidden="1">'Minimize CO2e'!$N$23</definedName>
    <definedName name="solver_lhs26" localSheetId="1" hidden="1">'Minimize CO2e'!$N$23</definedName>
    <definedName name="solver_lhs3" localSheetId="3" hidden="1">Compromise!$H$5</definedName>
    <definedName name="solver_lhs3" localSheetId="1" hidden="1">'Minimize CO2e'!$H$4</definedName>
    <definedName name="solver_lhs3" localSheetId="2" hidden="1">'Minimize LCOE Cost'!$H$5</definedName>
    <definedName name="solver_lhs4" localSheetId="3" hidden="1">Compromise!$H$5</definedName>
    <definedName name="solver_lhs4" localSheetId="1" hidden="1">'Minimize CO2e'!$H$5</definedName>
    <definedName name="solver_lhs4" localSheetId="2" hidden="1">'Minimize LCOE Cost'!$H$5</definedName>
    <definedName name="solver_lhs5" localSheetId="3" hidden="1">Compromise!$H$6</definedName>
    <definedName name="solver_lhs5" localSheetId="1" hidden="1">'Minimize CO2e'!$H$5</definedName>
    <definedName name="solver_lhs5" localSheetId="2" hidden="1">'Minimize LCOE Cost'!$H$6</definedName>
    <definedName name="solver_lhs6" localSheetId="3" hidden="1">Compromise!$H$6</definedName>
    <definedName name="solver_lhs6" localSheetId="1" hidden="1">'Minimize CO2e'!$H$6</definedName>
    <definedName name="solver_lhs6" localSheetId="2" hidden="1">'Minimize LCOE Cost'!$H$6</definedName>
    <definedName name="solver_lhs7" localSheetId="3" hidden="1">Compromise!$N$12:$N$23</definedName>
    <definedName name="solver_lhs7" localSheetId="1" hidden="1">'Minimize CO2e'!$H$6</definedName>
    <definedName name="solver_lhs7" localSheetId="2" hidden="1">'Minimize LCOE Cost'!$N$12:$N$23</definedName>
    <definedName name="solver_lhs8" localSheetId="3" hidden="1">Compromise!$N$12:$N$23</definedName>
    <definedName name="solver_lhs8" localSheetId="1" hidden="1">'Minimize CO2e'!$N$12:$N$23</definedName>
    <definedName name="solver_lhs8" localSheetId="2" hidden="1">'Minimize LCOE Cost'!$N$14</definedName>
    <definedName name="solver_lhs9" localSheetId="3" hidden="1">Compromise!$N$14</definedName>
    <definedName name="solver_lhs9" localSheetId="1" hidden="1">'Minimize CO2e'!$N$18</definedName>
    <definedName name="solver_lhs9" localSheetId="2" hidden="1">'Minimize LCOE Cost'!$N$18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23</definedName>
    <definedName name="solver_num" localSheetId="1" hidden="1">20</definedName>
    <definedName name="solver_num" localSheetId="2" hidden="1">20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Compromise!$D$9</definedName>
    <definedName name="solver_opt" localSheetId="1" hidden="1">'Minimize CO2e'!$D$9</definedName>
    <definedName name="solver_opt" localSheetId="2" hidden="1">'Minimize LCOE Cost'!$D$9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2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1" hidden="1">4</definedName>
    <definedName name="solver_rel1" localSheetId="2" hidden="1">1</definedName>
    <definedName name="solver_rel10" localSheetId="3" hidden="1">1</definedName>
    <definedName name="solver_rel10" localSheetId="1" hidden="1">1</definedName>
    <definedName name="solver_rel10" localSheetId="2" hidden="1">1</definedName>
    <definedName name="solver_rel11" localSheetId="3" hidden="1">1</definedName>
    <definedName name="solver_rel11" localSheetId="1" hidden="1">1</definedName>
    <definedName name="solver_rel11" localSheetId="2" hidden="1">1</definedName>
    <definedName name="solver_rel12" localSheetId="3" hidden="1">1</definedName>
    <definedName name="solver_rel12" localSheetId="1" hidden="1">1</definedName>
    <definedName name="solver_rel12" localSheetId="2" hidden="1">1</definedName>
    <definedName name="solver_rel13" localSheetId="3" hidden="1">1</definedName>
    <definedName name="solver_rel13" localSheetId="1" hidden="1">1</definedName>
    <definedName name="solver_rel13" localSheetId="2" hidden="1">1</definedName>
    <definedName name="solver_rel14" localSheetId="3" hidden="1">1</definedName>
    <definedName name="solver_rel14" localSheetId="1" hidden="1">1</definedName>
    <definedName name="solver_rel14" localSheetId="2" hidden="1">1</definedName>
    <definedName name="solver_rel15" localSheetId="3" hidden="1">1</definedName>
    <definedName name="solver_rel15" localSheetId="1" hidden="1">2</definedName>
    <definedName name="solver_rel15" localSheetId="2" hidden="1">2</definedName>
    <definedName name="solver_rel16" localSheetId="3" hidden="1">1</definedName>
    <definedName name="solver_rel16" localSheetId="1" hidden="1">2</definedName>
    <definedName name="solver_rel16" localSheetId="2" hidden="1">2</definedName>
    <definedName name="solver_rel17" localSheetId="3" hidden="1">3</definedName>
    <definedName name="solver_rel17" localSheetId="1" hidden="1">2</definedName>
    <definedName name="solver_rel17" localSheetId="2" hidden="1">2</definedName>
    <definedName name="solver_rel18" localSheetId="3" hidden="1">2</definedName>
    <definedName name="solver_rel18" localSheetId="1" hidden="1">2</definedName>
    <definedName name="solver_rel18" localSheetId="2" hidden="1">2</definedName>
    <definedName name="solver_rel19" localSheetId="3" hidden="1">2</definedName>
    <definedName name="solver_rel19" localSheetId="1" hidden="1">2</definedName>
    <definedName name="solver_rel19" localSheetId="2" hidden="1">2</definedName>
    <definedName name="solver_rel2" localSheetId="3" hidden="1">3</definedName>
    <definedName name="solver_rel2" localSheetId="1" hidden="1">1</definedName>
    <definedName name="solver_rel2" localSheetId="2" hidden="1">3</definedName>
    <definedName name="solver_rel20" localSheetId="3" hidden="1">2</definedName>
    <definedName name="solver_rel20" localSheetId="1" hidden="1">2</definedName>
    <definedName name="solver_rel20" localSheetId="2" hidden="1">2</definedName>
    <definedName name="solver_rel21" localSheetId="3" hidden="1">2</definedName>
    <definedName name="solver_rel21" localSheetId="1" hidden="1">1</definedName>
    <definedName name="solver_rel21" localSheetId="2" hidden="1">2</definedName>
    <definedName name="solver_rel22" localSheetId="3" hidden="1">2</definedName>
    <definedName name="solver_rel22" localSheetId="1" hidden="1">1</definedName>
    <definedName name="solver_rel23" localSheetId="3" hidden="1">2</definedName>
    <definedName name="solver_rel23" localSheetId="1" hidden="1">4</definedName>
    <definedName name="solver_rel24" localSheetId="1" hidden="1">1</definedName>
    <definedName name="solver_rel25" localSheetId="1" hidden="1">4</definedName>
    <definedName name="solver_rel26" localSheetId="1" hidden="1">4</definedName>
    <definedName name="solver_rel3" localSheetId="3" hidden="1">1</definedName>
    <definedName name="solver_rel3" localSheetId="1" hidden="1">3</definedName>
    <definedName name="solver_rel3" localSheetId="2" hidden="1">1</definedName>
    <definedName name="solver_rel4" localSheetId="3" hidden="1">3</definedName>
    <definedName name="solver_rel4" localSheetId="1" hidden="1">1</definedName>
    <definedName name="solver_rel4" localSheetId="2" hidden="1">3</definedName>
    <definedName name="solver_rel5" localSheetId="3" hidden="1">1</definedName>
    <definedName name="solver_rel5" localSheetId="1" hidden="1">3</definedName>
    <definedName name="solver_rel5" localSheetId="2" hidden="1">1</definedName>
    <definedName name="solver_rel6" localSheetId="3" hidden="1">3</definedName>
    <definedName name="solver_rel6" localSheetId="1" hidden="1">1</definedName>
    <definedName name="solver_rel6" localSheetId="2" hidden="1">3</definedName>
    <definedName name="solver_rel7" localSheetId="3" hidden="1">4</definedName>
    <definedName name="solver_rel7" localSheetId="1" hidden="1">3</definedName>
    <definedName name="solver_rel7" localSheetId="2" hidden="1">4</definedName>
    <definedName name="solver_rel8" localSheetId="3" hidden="1">3</definedName>
    <definedName name="solver_rel8" localSheetId="1" hidden="1">3</definedName>
    <definedName name="solver_rel8" localSheetId="2" hidden="1">1</definedName>
    <definedName name="solver_rel9" localSheetId="3" hidden="1">1</definedName>
    <definedName name="solver_rel9" localSheetId="1" hidden="1">1</definedName>
    <definedName name="solver_rel9" localSheetId="2" hidden="1">1</definedName>
    <definedName name="solver_rhs1" localSheetId="3" hidden="1">Compromise!$J$4</definedName>
    <definedName name="solver_rhs1" localSheetId="1" hidden="1">"integer"</definedName>
    <definedName name="solver_rhs1" localSheetId="2" hidden="1">'Minimize LCOE Cost'!$J$4</definedName>
    <definedName name="solver_rhs10" localSheetId="3" hidden="1">Compromise!$L$18</definedName>
    <definedName name="solver_rhs10" localSheetId="1" hidden="1">'Minimize CO2e'!$L$19</definedName>
    <definedName name="solver_rhs10" localSheetId="2" hidden="1">'Minimize LCOE Cost'!$L$19</definedName>
    <definedName name="solver_rhs11" localSheetId="3" hidden="1">Compromise!$L$19</definedName>
    <definedName name="solver_rhs11" localSheetId="1" hidden="1">'Minimize CO2e'!$L$20</definedName>
    <definedName name="solver_rhs11" localSheetId="2" hidden="1">'Minimize LCOE Cost'!$L$20</definedName>
    <definedName name="solver_rhs12" localSheetId="3" hidden="1">Compromise!$L$20</definedName>
    <definedName name="solver_rhs12" localSheetId="1" hidden="1">'Minimize CO2e'!$L$21</definedName>
    <definedName name="solver_rhs12" localSheetId="2" hidden="1">'Minimize LCOE Cost'!$L$21</definedName>
    <definedName name="solver_rhs13" localSheetId="3" hidden="1">Compromise!$L$21</definedName>
    <definedName name="solver_rhs13" localSheetId="1" hidden="1">'Minimize CO2e'!$L$22</definedName>
    <definedName name="solver_rhs13" localSheetId="2" hidden="1">'Minimize LCOE Cost'!$L$22</definedName>
    <definedName name="solver_rhs14" localSheetId="3" hidden="1">Compromise!$L$22</definedName>
    <definedName name="solver_rhs14" localSheetId="1" hidden="1">'Minimize CO2e'!$L$23</definedName>
    <definedName name="solver_rhs14" localSheetId="2" hidden="1">'Minimize LCOE Cost'!$L$23</definedName>
    <definedName name="solver_rhs15" localSheetId="3" hidden="1">Compromise!$L$23</definedName>
    <definedName name="solver_rhs15" localSheetId="1" hidden="1">0</definedName>
    <definedName name="solver_rhs15" localSheetId="2" hidden="1">0</definedName>
    <definedName name="solver_rhs16" localSheetId="3" hidden="1">Compromise!$P$4</definedName>
    <definedName name="solver_rhs16" localSheetId="1" hidden="1">0</definedName>
    <definedName name="solver_rhs16" localSheetId="2" hidden="1">0</definedName>
    <definedName name="solver_rhs17" localSheetId="3" hidden="1">Compromise!$O$4</definedName>
    <definedName name="solver_rhs17" localSheetId="1" hidden="1">0</definedName>
    <definedName name="solver_rhs17" localSheetId="2" hidden="1">0</definedName>
    <definedName name="solver_rhs18" localSheetId="3" hidden="1">0</definedName>
    <definedName name="solver_rhs18" localSheetId="1" hidden="1">0</definedName>
    <definedName name="solver_rhs18" localSheetId="2" hidden="1">0</definedName>
    <definedName name="solver_rhs19" localSheetId="3" hidden="1">0</definedName>
    <definedName name="solver_rhs19" localSheetId="1" hidden="1">0</definedName>
    <definedName name="solver_rhs19" localSheetId="2" hidden="1">0</definedName>
    <definedName name="solver_rhs2" localSheetId="3" hidden="1">Compromise!$I$4</definedName>
    <definedName name="solver_rhs2" localSheetId="1" hidden="1">'Minimize CO2e'!$J$4</definedName>
    <definedName name="solver_rhs2" localSheetId="2" hidden="1">'Minimize LCOE Cost'!$I$4</definedName>
    <definedName name="solver_rhs20" localSheetId="3" hidden="1">0</definedName>
    <definedName name="solver_rhs20" localSheetId="1" hidden="1">0</definedName>
    <definedName name="solver_rhs20" localSheetId="2" hidden="1">0</definedName>
    <definedName name="solver_rhs21" localSheetId="3" hidden="1">0</definedName>
    <definedName name="solver_rhs21" localSheetId="1" hidden="1">'Minimize CO2e'!$S$20</definedName>
    <definedName name="solver_rhs21" localSheetId="2" hidden="1">0</definedName>
    <definedName name="solver_rhs22" localSheetId="3" hidden="1">0</definedName>
    <definedName name="solver_rhs22" localSheetId="1" hidden="1">'Minimize CO2e'!$S$20</definedName>
    <definedName name="solver_rhs23" localSheetId="3" hidden="1">0</definedName>
    <definedName name="solver_rhs23" localSheetId="1" hidden="1">"integer"</definedName>
    <definedName name="solver_rhs24" localSheetId="1" hidden="1">0</definedName>
    <definedName name="solver_rhs25" localSheetId="1" hidden="1">"integer"</definedName>
    <definedName name="solver_rhs26" localSheetId="1" hidden="1">"integer"</definedName>
    <definedName name="solver_rhs3" localSheetId="3" hidden="1">Compromise!$J$5</definedName>
    <definedName name="solver_rhs3" localSheetId="1" hidden="1">'Minimize CO2e'!$I$4</definedName>
    <definedName name="solver_rhs3" localSheetId="2" hidden="1">'Minimize LCOE Cost'!$J$5</definedName>
    <definedName name="solver_rhs4" localSheetId="3" hidden="1">Compromise!$I$5</definedName>
    <definedName name="solver_rhs4" localSheetId="1" hidden="1">'Minimize CO2e'!$J$5</definedName>
    <definedName name="solver_rhs4" localSheetId="2" hidden="1">'Minimize LCOE Cost'!$I$5</definedName>
    <definedName name="solver_rhs5" localSheetId="3" hidden="1">Compromise!$J$6</definedName>
    <definedName name="solver_rhs5" localSheetId="1" hidden="1">'Minimize CO2e'!$I$5</definedName>
    <definedName name="solver_rhs5" localSheetId="2" hidden="1">'Minimize LCOE Cost'!$J$6</definedName>
    <definedName name="solver_rhs6" localSheetId="3" hidden="1">Compromise!$I$6</definedName>
    <definedName name="solver_rhs6" localSheetId="1" hidden="1">'Minimize CO2e'!$J$6</definedName>
    <definedName name="solver_rhs6" localSheetId="2" hidden="1">'Minimize LCOE Cost'!$I$6</definedName>
    <definedName name="solver_rhs7" localSheetId="3" hidden="1">"integer"</definedName>
    <definedName name="solver_rhs7" localSheetId="1" hidden="1">'Minimize CO2e'!$I$6</definedName>
    <definedName name="solver_rhs7" localSheetId="2" hidden="1">"integer"</definedName>
    <definedName name="solver_rhs8" localSheetId="3" hidden="1">0</definedName>
    <definedName name="solver_rhs8" localSheetId="1" hidden="1">0</definedName>
    <definedName name="solver_rhs8" localSheetId="2" hidden="1">13</definedName>
    <definedName name="solver_rhs9" localSheetId="3" hidden="1">13</definedName>
    <definedName name="solver_rhs9" localSheetId="1" hidden="1">'Minimize CO2e'!$L$18</definedName>
    <definedName name="solver_rhs9" localSheetId="2" hidden="1">'Minimize LCOE Cost'!$L$18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8" l="1"/>
  <c r="L23" i="8"/>
  <c r="L22" i="8"/>
  <c r="L21" i="8"/>
  <c r="L19" i="8"/>
  <c r="L18" i="8"/>
  <c r="O17" i="8"/>
  <c r="O16" i="8"/>
  <c r="O15" i="8"/>
  <c r="O14" i="8"/>
  <c r="O13" i="8"/>
  <c r="O12" i="8"/>
  <c r="O12" i="3"/>
  <c r="L19" i="3"/>
  <c r="L20" i="3"/>
  <c r="L21" i="3"/>
  <c r="L22" i="3"/>
  <c r="L23" i="3"/>
  <c r="L18" i="3"/>
  <c r="L19" i="2"/>
  <c r="L20" i="2"/>
  <c r="L21" i="2"/>
  <c r="L22" i="2"/>
  <c r="L23" i="2"/>
  <c r="L18" i="2"/>
  <c r="M19" i="3"/>
  <c r="M20" i="3"/>
  <c r="M21" i="3"/>
  <c r="M22" i="3"/>
  <c r="M23" i="3"/>
  <c r="M18" i="3"/>
  <c r="M13" i="3"/>
  <c r="M14" i="3"/>
  <c r="M15" i="3"/>
  <c r="M16" i="3"/>
  <c r="M17" i="3"/>
  <c r="M12" i="3"/>
  <c r="M19" i="2"/>
  <c r="M20" i="2"/>
  <c r="M21" i="2"/>
  <c r="M22" i="2"/>
  <c r="M23" i="2"/>
  <c r="M18" i="2"/>
  <c r="M13" i="2"/>
  <c r="M14" i="2"/>
  <c r="M15" i="2"/>
  <c r="M16" i="2"/>
  <c r="M17" i="2"/>
  <c r="M12" i="2"/>
  <c r="O17" i="2" l="1"/>
  <c r="O16" i="2"/>
  <c r="O15" i="2"/>
  <c r="O14" i="2"/>
  <c r="O13" i="2"/>
  <c r="O12" i="2"/>
  <c r="O13" i="3"/>
  <c r="O14" i="3"/>
  <c r="O15" i="3"/>
  <c r="O16" i="3"/>
  <c r="O17" i="3"/>
  <c r="L5" i="6"/>
  <c r="H14" i="8" s="1"/>
  <c r="L4" i="6"/>
  <c r="H13" i="8" s="1"/>
  <c r="L6" i="6"/>
  <c r="H15" i="8" s="1"/>
  <c r="L7" i="6"/>
  <c r="H16" i="8" s="1"/>
  <c r="L8" i="6"/>
  <c r="H17" i="8" s="1"/>
  <c r="L3" i="6"/>
  <c r="H12" i="8" s="1"/>
  <c r="H12" i="3" l="1"/>
  <c r="H15" i="3"/>
  <c r="H16" i="3"/>
  <c r="H13" i="2"/>
  <c r="H15" i="2"/>
  <c r="H16" i="2"/>
  <c r="H12" i="2"/>
  <c r="M17" i="6"/>
  <c r="I17" i="6"/>
  <c r="E17" i="6"/>
  <c r="O16" i="6"/>
  <c r="P16" i="6" s="1"/>
  <c r="Q16" i="6" s="1"/>
  <c r="I23" i="8" s="1"/>
  <c r="F16" i="6"/>
  <c r="O15" i="6"/>
  <c r="P15" i="6" s="1"/>
  <c r="Q15" i="6" s="1"/>
  <c r="I22" i="8" s="1"/>
  <c r="F15" i="6"/>
  <c r="O14" i="6"/>
  <c r="P14" i="6" s="1"/>
  <c r="Q14" i="6" s="1"/>
  <c r="I21" i="8" s="1"/>
  <c r="F14" i="6"/>
  <c r="J21" i="2" s="1"/>
  <c r="O13" i="6"/>
  <c r="P13" i="6" s="1"/>
  <c r="Q13" i="6" s="1"/>
  <c r="I20" i="8" s="1"/>
  <c r="F13" i="6"/>
  <c r="O12" i="6"/>
  <c r="P12" i="6" s="1"/>
  <c r="Q12" i="6" s="1"/>
  <c r="I19" i="8" s="1"/>
  <c r="F12" i="6"/>
  <c r="O11" i="6"/>
  <c r="P11" i="6" s="1"/>
  <c r="Q11" i="6" s="1"/>
  <c r="I18" i="8" s="1"/>
  <c r="F11" i="6"/>
  <c r="O3" i="6"/>
  <c r="P3" i="6" s="1"/>
  <c r="Q3" i="6" s="1"/>
  <c r="O4" i="6"/>
  <c r="P4" i="6" s="1"/>
  <c r="I13" i="8" s="1"/>
  <c r="O5" i="6"/>
  <c r="P5" i="6" s="1"/>
  <c r="I14" i="8" s="1"/>
  <c r="O6" i="6"/>
  <c r="P6" i="6" s="1"/>
  <c r="I15" i="8" s="1"/>
  <c r="O7" i="6"/>
  <c r="P7" i="6" s="1"/>
  <c r="I16" i="8" s="1"/>
  <c r="O8" i="6"/>
  <c r="P8" i="6" s="1"/>
  <c r="I17" i="8" s="1"/>
  <c r="M9" i="6"/>
  <c r="I9" i="6"/>
  <c r="L15" i="6"/>
  <c r="H22" i="8" s="1"/>
  <c r="L14" i="6"/>
  <c r="H21" i="8" s="1"/>
  <c r="L11" i="6"/>
  <c r="H18" i="8" s="1"/>
  <c r="E28" i="6"/>
  <c r="E27" i="6"/>
  <c r="E26" i="6"/>
  <c r="E23" i="6"/>
  <c r="K4" i="6" s="1"/>
  <c r="G13" i="8" s="1"/>
  <c r="E24" i="6"/>
  <c r="K5" i="6" s="1"/>
  <c r="G14" i="8" s="1"/>
  <c r="E25" i="6"/>
  <c r="K6" i="6" s="1"/>
  <c r="G15" i="8" s="1"/>
  <c r="E29" i="6"/>
  <c r="K8" i="6" s="1"/>
  <c r="G17" i="8" s="1"/>
  <c r="E22" i="6"/>
  <c r="K3" i="6" s="1"/>
  <c r="G12" i="8" s="1"/>
  <c r="E9" i="6"/>
  <c r="F4" i="6"/>
  <c r="F5" i="6"/>
  <c r="F6" i="6"/>
  <c r="F7" i="6"/>
  <c r="F8" i="6"/>
  <c r="F3" i="6"/>
  <c r="K15" i="8" l="1"/>
  <c r="P15" i="8" s="1"/>
  <c r="R15" i="8" s="1"/>
  <c r="J15" i="8"/>
  <c r="K14" i="8"/>
  <c r="P14" i="8" s="1"/>
  <c r="R14" i="8" s="1"/>
  <c r="J14" i="8"/>
  <c r="S14" i="8" s="1"/>
  <c r="K19" i="8"/>
  <c r="P19" i="8" s="1"/>
  <c r="J19" i="8"/>
  <c r="K23" i="8"/>
  <c r="P23" i="8" s="1"/>
  <c r="J23" i="8"/>
  <c r="J13" i="8"/>
  <c r="S13" i="8" s="1"/>
  <c r="K13" i="8"/>
  <c r="P13" i="8" s="1"/>
  <c r="R13" i="8" s="1"/>
  <c r="K16" i="8"/>
  <c r="P16" i="8" s="1"/>
  <c r="J16" i="8"/>
  <c r="K20" i="8"/>
  <c r="P20" i="8" s="1"/>
  <c r="J20" i="8"/>
  <c r="K12" i="8"/>
  <c r="J12" i="8"/>
  <c r="K21" i="8"/>
  <c r="P21" i="8" s="1"/>
  <c r="J21" i="8"/>
  <c r="K17" i="8"/>
  <c r="P17" i="8" s="1"/>
  <c r="R17" i="8" s="1"/>
  <c r="J17" i="8"/>
  <c r="S17" i="8" s="1"/>
  <c r="S15" i="8"/>
  <c r="K18" i="8"/>
  <c r="P18" i="8" s="1"/>
  <c r="J18" i="8"/>
  <c r="J22" i="8"/>
  <c r="K22" i="8"/>
  <c r="P22" i="8" s="1"/>
  <c r="J16" i="2"/>
  <c r="I22" i="3"/>
  <c r="J14" i="2"/>
  <c r="I17" i="2"/>
  <c r="K23" i="2"/>
  <c r="J13" i="2"/>
  <c r="S13" i="2" s="1"/>
  <c r="I16" i="2"/>
  <c r="I23" i="3"/>
  <c r="K20" i="2"/>
  <c r="J20" i="2"/>
  <c r="H18" i="3"/>
  <c r="I20" i="3"/>
  <c r="H21" i="3"/>
  <c r="I13" i="2"/>
  <c r="K21" i="2"/>
  <c r="K22" i="2"/>
  <c r="K15" i="2"/>
  <c r="I18" i="3"/>
  <c r="K19" i="2"/>
  <c r="I19" i="3"/>
  <c r="K17" i="2"/>
  <c r="H22" i="3"/>
  <c r="I21" i="3"/>
  <c r="J19" i="2"/>
  <c r="J17" i="2"/>
  <c r="J15" i="2"/>
  <c r="S15" i="2" s="1"/>
  <c r="H3" i="6"/>
  <c r="J12" i="3"/>
  <c r="K12" i="3"/>
  <c r="P12" i="3" s="1"/>
  <c r="K12" i="2"/>
  <c r="H7" i="6"/>
  <c r="J7" i="6" s="1"/>
  <c r="J16" i="3"/>
  <c r="K16" i="3"/>
  <c r="P16" i="3" s="1"/>
  <c r="K13" i="6"/>
  <c r="G20" i="8" s="1"/>
  <c r="G14" i="3"/>
  <c r="J18" i="3"/>
  <c r="K18" i="3"/>
  <c r="P18" i="3" s="1"/>
  <c r="K18" i="2"/>
  <c r="K22" i="3"/>
  <c r="P22" i="3" s="1"/>
  <c r="J22" i="3"/>
  <c r="H14" i="6"/>
  <c r="J14" i="6" s="1"/>
  <c r="J21" i="3"/>
  <c r="K21" i="3"/>
  <c r="P21" i="3" s="1"/>
  <c r="K12" i="6"/>
  <c r="G19" i="8" s="1"/>
  <c r="G13" i="3"/>
  <c r="K16" i="2"/>
  <c r="K11" i="6"/>
  <c r="G18" i="8" s="1"/>
  <c r="G12" i="3"/>
  <c r="K14" i="6"/>
  <c r="G21" i="8" s="1"/>
  <c r="G15" i="3"/>
  <c r="H5" i="6"/>
  <c r="J5" i="6" s="1"/>
  <c r="J14" i="3"/>
  <c r="K14" i="3"/>
  <c r="P14" i="3" s="1"/>
  <c r="K19" i="3"/>
  <c r="P19" i="3" s="1"/>
  <c r="J19" i="3"/>
  <c r="H16" i="6"/>
  <c r="J16" i="6" s="1"/>
  <c r="K23" i="3"/>
  <c r="P23" i="3" s="1"/>
  <c r="J23" i="3"/>
  <c r="J18" i="2"/>
  <c r="H6" i="6"/>
  <c r="J6" i="6" s="1"/>
  <c r="J15" i="3"/>
  <c r="K15" i="3"/>
  <c r="P15" i="3" s="1"/>
  <c r="H4" i="6"/>
  <c r="J4" i="6" s="1"/>
  <c r="J13" i="3"/>
  <c r="K13" i="3"/>
  <c r="P13" i="3" s="1"/>
  <c r="J23" i="2"/>
  <c r="K14" i="2"/>
  <c r="P14" i="2" s="1"/>
  <c r="K16" i="6"/>
  <c r="G23" i="8" s="1"/>
  <c r="G17" i="3"/>
  <c r="H8" i="6"/>
  <c r="J8" i="6" s="1"/>
  <c r="K17" i="3"/>
  <c r="P17" i="3" s="1"/>
  <c r="J17" i="3"/>
  <c r="H13" i="6"/>
  <c r="J13" i="6" s="1"/>
  <c r="K20" i="3"/>
  <c r="P20" i="3" s="1"/>
  <c r="J20" i="3"/>
  <c r="J12" i="2"/>
  <c r="S12" i="2" s="1"/>
  <c r="J22" i="2"/>
  <c r="K13" i="2"/>
  <c r="P13" i="2" s="1"/>
  <c r="R13" i="2" s="1"/>
  <c r="T13" i="2" s="1"/>
  <c r="S16" i="2"/>
  <c r="H18" i="2"/>
  <c r="L13" i="6"/>
  <c r="H20" i="8" s="1"/>
  <c r="H14" i="3"/>
  <c r="L16" i="6"/>
  <c r="H23" i="8" s="1"/>
  <c r="H17" i="3"/>
  <c r="H17" i="2"/>
  <c r="L12" i="6"/>
  <c r="H19" i="8" s="1"/>
  <c r="H13" i="3"/>
  <c r="H14" i="2"/>
  <c r="H22" i="2"/>
  <c r="H21" i="2"/>
  <c r="I21" i="2"/>
  <c r="I22" i="2"/>
  <c r="I23" i="2"/>
  <c r="I20" i="2"/>
  <c r="I19" i="2"/>
  <c r="I18" i="2"/>
  <c r="Q8" i="6"/>
  <c r="I17" i="3"/>
  <c r="I12" i="8"/>
  <c r="H6" i="8" s="1"/>
  <c r="Q4" i="6"/>
  <c r="I13" i="3"/>
  <c r="Q5" i="6"/>
  <c r="I14" i="3"/>
  <c r="I14" i="2"/>
  <c r="Q7" i="6"/>
  <c r="I16" i="3"/>
  <c r="Q6" i="6"/>
  <c r="I15" i="3"/>
  <c r="I15" i="2"/>
  <c r="F17" i="6"/>
  <c r="H11" i="6"/>
  <c r="H12" i="6"/>
  <c r="J12" i="6" s="1"/>
  <c r="H15" i="6"/>
  <c r="J15" i="6" s="1"/>
  <c r="K7" i="6"/>
  <c r="G16" i="8" s="1"/>
  <c r="S16" i="8" s="1"/>
  <c r="J3" i="6"/>
  <c r="F9" i="6"/>
  <c r="G4" i="6" s="1"/>
  <c r="R18" i="8" l="1"/>
  <c r="P12" i="8"/>
  <c r="H4" i="8"/>
  <c r="D9" i="8"/>
  <c r="R7" i="8" s="1"/>
  <c r="R23" i="8"/>
  <c r="R20" i="8"/>
  <c r="R19" i="8"/>
  <c r="R16" i="8"/>
  <c r="R21" i="8"/>
  <c r="R14" i="3"/>
  <c r="S12" i="8"/>
  <c r="S24" i="8" s="1"/>
  <c r="J4" i="8"/>
  <c r="J5" i="8"/>
  <c r="I5" i="8"/>
  <c r="D9" i="2"/>
  <c r="R7" i="2" s="1"/>
  <c r="J4" i="3"/>
  <c r="S17" i="2"/>
  <c r="J4" i="2"/>
  <c r="H4" i="2"/>
  <c r="R12" i="3"/>
  <c r="G23" i="3"/>
  <c r="R23" i="3" s="1"/>
  <c r="S14" i="2"/>
  <c r="G19" i="3"/>
  <c r="R19" i="3" s="1"/>
  <c r="P12" i="2"/>
  <c r="R12" i="2" s="1"/>
  <c r="T12" i="2" s="1"/>
  <c r="I5" i="2"/>
  <c r="J5" i="2"/>
  <c r="R13" i="3"/>
  <c r="G21" i="3"/>
  <c r="R21" i="3" s="1"/>
  <c r="G20" i="3"/>
  <c r="R20" i="3" s="1"/>
  <c r="G18" i="3"/>
  <c r="R18" i="3" s="1"/>
  <c r="H4" i="3"/>
  <c r="S14" i="3"/>
  <c r="S17" i="3"/>
  <c r="S13" i="3"/>
  <c r="R17" i="3"/>
  <c r="H9" i="6"/>
  <c r="R15" i="3"/>
  <c r="K15" i="6"/>
  <c r="G22" i="8" s="1"/>
  <c r="R22" i="8" s="1"/>
  <c r="G16" i="3"/>
  <c r="S16" i="3" s="1"/>
  <c r="S15" i="3"/>
  <c r="R14" i="2"/>
  <c r="J5" i="3"/>
  <c r="S12" i="3"/>
  <c r="I5" i="3"/>
  <c r="H5" i="3"/>
  <c r="H19" i="3"/>
  <c r="H19" i="2"/>
  <c r="H23" i="3"/>
  <c r="H23" i="2"/>
  <c r="H20" i="3"/>
  <c r="H20" i="2"/>
  <c r="I12" i="3"/>
  <c r="H6" i="3" s="1"/>
  <c r="I12" i="2"/>
  <c r="H6" i="2" s="1"/>
  <c r="G11" i="6"/>
  <c r="H17" i="6"/>
  <c r="J11" i="6"/>
  <c r="G3" i="6"/>
  <c r="G16" i="6"/>
  <c r="G14" i="6"/>
  <c r="G12" i="6"/>
  <c r="G13" i="6"/>
  <c r="G15" i="6"/>
  <c r="G6" i="6"/>
  <c r="G7" i="6"/>
  <c r="G5" i="6"/>
  <c r="G8" i="6"/>
  <c r="P23" i="2"/>
  <c r="P22" i="2"/>
  <c r="R22" i="2" s="1"/>
  <c r="P21" i="2"/>
  <c r="R21" i="2" s="1"/>
  <c r="P20" i="2"/>
  <c r="P19" i="2"/>
  <c r="P18" i="2"/>
  <c r="R18" i="2" s="1"/>
  <c r="P4" i="8" l="1"/>
  <c r="O4" i="8"/>
  <c r="N4" i="8"/>
  <c r="R12" i="8"/>
  <c r="R24" i="8" s="1"/>
  <c r="T24" i="8" s="1"/>
  <c r="H5" i="8"/>
  <c r="T14" i="2"/>
  <c r="R20" i="2"/>
  <c r="S24" i="2"/>
  <c r="R16" i="3"/>
  <c r="G22" i="3"/>
  <c r="R22" i="3" s="1"/>
  <c r="E9" i="2"/>
  <c r="R19" i="2"/>
  <c r="S24" i="3"/>
  <c r="S7" i="2" s="1"/>
  <c r="T7" i="2" s="1"/>
  <c r="D9" i="3"/>
  <c r="R7" i="3" s="1"/>
  <c r="R23" i="2"/>
  <c r="G17" i="6"/>
  <c r="G9" i="6"/>
  <c r="S7" i="3" l="1"/>
  <c r="T7" i="3" s="1"/>
  <c r="S7" i="8"/>
  <c r="T7" i="8" s="1"/>
  <c r="R24" i="3"/>
  <c r="T24" i="3" s="1"/>
  <c r="P17" i="2"/>
  <c r="R17" i="2" s="1"/>
  <c r="T17" i="2" s="1"/>
  <c r="P16" i="2"/>
  <c r="R16" i="2" s="1"/>
  <c r="T16" i="2" s="1"/>
  <c r="P15" i="2"/>
  <c r="R15" i="2" s="1"/>
  <c r="T15" i="2" s="1"/>
  <c r="R24" i="2" l="1"/>
  <c r="T24" i="2" s="1"/>
  <c r="H5" i="2"/>
</calcChain>
</file>

<file path=xl/sharedStrings.xml><?xml version="1.0" encoding="utf-8"?>
<sst xmlns="http://schemas.openxmlformats.org/spreadsheetml/2006/main" count="334" uniqueCount="129">
  <si>
    <t>Decision Variables</t>
  </si>
  <si>
    <t>Constraints</t>
  </si>
  <si>
    <t>Number of Plants</t>
  </si>
  <si>
    <t>Plant Cost</t>
  </si>
  <si>
    <t>Solar</t>
  </si>
  <si>
    <t>Wind</t>
  </si>
  <si>
    <t>Nulear</t>
  </si>
  <si>
    <t>Coal</t>
  </si>
  <si>
    <t xml:space="preserve">XA </t>
  </si>
  <si>
    <t xml:space="preserve">XB </t>
  </si>
  <si>
    <t xml:space="preserve">XC </t>
  </si>
  <si>
    <t xml:space="preserve">XD </t>
  </si>
  <si>
    <t xml:space="preserve">XE </t>
  </si>
  <si>
    <t xml:space="preserve">XF </t>
  </si>
  <si>
    <t xml:space="preserve">YA </t>
  </si>
  <si>
    <t xml:space="preserve">YB </t>
  </si>
  <si>
    <t xml:space="preserve">YC </t>
  </si>
  <si>
    <t xml:space="preserve">YD </t>
  </si>
  <si>
    <t xml:space="preserve">YE </t>
  </si>
  <si>
    <t xml:space="preserve">YF </t>
  </si>
  <si>
    <t>Minimize</t>
  </si>
  <si>
    <t>Baseload</t>
  </si>
  <si>
    <t>Nuclear</t>
  </si>
  <si>
    <t>Type</t>
  </si>
  <si>
    <t>Electicity Generated / Plant (MWh)</t>
  </si>
  <si>
    <t>Total Electricity Generated (MWh)</t>
  </si>
  <si>
    <t>Capital Cost Budget</t>
  </si>
  <si>
    <t>Lower Bound</t>
  </si>
  <si>
    <t>Upper Bound</t>
  </si>
  <si>
    <t>tons</t>
  </si>
  <si>
    <t>% of Electicity Generated</t>
  </si>
  <si>
    <t>Total Plant Cost</t>
  </si>
  <si>
    <t>Plant Closing Cost (11% constant)</t>
  </si>
  <si>
    <t>Hydo-electric</t>
  </si>
  <si>
    <t>Natural gas</t>
  </si>
  <si>
    <t>Natural Gas</t>
  </si>
  <si>
    <t>Electicity Generated (MWh (thousands))</t>
  </si>
  <si>
    <t>Resources</t>
  </si>
  <si>
    <t>Lifecycle GFG emissions, in g CO2 eq. per kWh</t>
  </si>
  <si>
    <t>Minimum</t>
  </si>
  <si>
    <t>Maximum</t>
  </si>
  <si>
    <t>Average</t>
  </si>
  <si>
    <t>Solar: poly-Si, ground-mounded</t>
  </si>
  <si>
    <t>Wind: onshore</t>
  </si>
  <si>
    <t>Table 1</t>
  </si>
  <si>
    <t>Hydro-electric: 360 MW</t>
  </si>
  <si>
    <t>Nuclear: Average</t>
  </si>
  <si>
    <t>Natural Gas: NGCC, without CCS</t>
  </si>
  <si>
    <t>Coal: PC, without CCS</t>
  </si>
  <si>
    <t>Coal: SC, without CCS</t>
  </si>
  <si>
    <t>Coal: IGCC, without CCS</t>
  </si>
  <si>
    <t>Table 2</t>
  </si>
  <si>
    <t>Energy Type</t>
  </si>
  <si>
    <t>Lazard (2021)</t>
  </si>
  <si>
    <t>Solar: PV (utility, fixed-axis</t>
  </si>
  <si>
    <t>= E3*1000</t>
  </si>
  <si>
    <t>= F3/$F$9</t>
  </si>
  <si>
    <t>If at 100% capacity</t>
  </si>
  <si>
    <t>% of Capacity Used</t>
  </si>
  <si>
    <t>= F3/(365*24)</t>
  </si>
  <si>
    <t>= G3/H3</t>
  </si>
  <si>
    <t>Approximation</t>
  </si>
  <si>
    <t>Notes</t>
  </si>
  <si>
    <t>For number of Duke's plants, did not consider the total capcacity (MW)</t>
  </si>
  <si>
    <t xml:space="preserve"> = N3*1000</t>
  </si>
  <si>
    <t>= (O3*H3)/M3</t>
  </si>
  <si>
    <t>Not all energy types are included: Oil and fuel cells</t>
  </si>
  <si>
    <t>Solar: Use only Poly-Si because it is the majority of solar plants</t>
  </si>
  <si>
    <t>LCOE: Lifecycle cost (capital, operating, etc.), combined cost</t>
  </si>
  <si>
    <t>Without CCS (carbon dioxide capture and storage)</t>
  </si>
  <si>
    <t>Opening Plant Xi</t>
  </si>
  <si>
    <t>Closing Plant Yi</t>
  </si>
  <si>
    <t>Xi, Yi</t>
  </si>
  <si>
    <t>X, Y</t>
  </si>
  <si>
    <t>Current Electicity Generated (MWh)</t>
  </si>
  <si>
    <t>Formulas</t>
  </si>
  <si>
    <t>MAIN CONSTAINTS</t>
  </si>
  <si>
    <t>Integer</t>
  </si>
  <si>
    <t>Comments</t>
  </si>
  <si>
    <t>Delta has a thresold of +/- 0.01</t>
  </si>
  <si>
    <t>Meet min and max requirements</t>
  </si>
  <si>
    <t>Fossil Fuel</t>
  </si>
  <si>
    <t>Energy Source</t>
  </si>
  <si>
    <t>CO2 Emissions (kg/MWh)</t>
  </si>
  <si>
    <t>Plant Opening Cost (US$/MW)</t>
  </si>
  <si>
    <t>Generation Capacity (MW)</t>
  </si>
  <si>
    <t>Capital Cost (US$/kW)</t>
  </si>
  <si>
    <t>LCOE (US$/MWh)</t>
  </si>
  <si>
    <t>Final Scenario</t>
  </si>
  <si>
    <t>Multiplicity Factor</t>
  </si>
  <si>
    <t>Current Number of Plants</t>
  </si>
  <si>
    <t>LCOE</t>
  </si>
  <si>
    <t>Exsisting LCOE</t>
  </si>
  <si>
    <t>Change in LCOE</t>
  </si>
  <si>
    <t>Change in CO2 Emissions</t>
  </si>
  <si>
    <t>CO2 Emissions (kg)</t>
  </si>
  <si>
    <t>Exsisting CO2 Emissions (kg)</t>
  </si>
  <si>
    <t>NEA (2020)</t>
  </si>
  <si>
    <t>Hyrdo: 360 MW instead of 660 MW because of Duke's actual plants</t>
  </si>
  <si>
    <t>Objective Function (CO2e)</t>
  </si>
  <si>
    <t>CO2e Emissions (kg/MWh)</t>
  </si>
  <si>
    <t>All 'Number of Plants' (N12:N23) need to be an integer</t>
  </si>
  <si>
    <t>Delta has a thresold of 0 to 0.01 (fixed)</t>
  </si>
  <si>
    <t>Clean Renewable</t>
  </si>
  <si>
    <t>Reduced emissions by 74.97%</t>
  </si>
  <si>
    <t>Increased LCOE cost by 4.82%</t>
  </si>
  <si>
    <t>Increased emissions by 41.34%</t>
  </si>
  <si>
    <t>Decreased LCOE cost by 3.23%</t>
  </si>
  <si>
    <t>Decreased emissions by 64.18%</t>
  </si>
  <si>
    <t>Increased LCOE cost by 3.19%</t>
  </si>
  <si>
    <t>Objective Function (LCOE)</t>
  </si>
  <si>
    <t>[19] Table 2, Page 3</t>
  </si>
  <si>
    <r>
      <t xml:space="preserve">[19] (February 2020) U.S. Energy Information Administration, </t>
    </r>
    <r>
      <rPr>
        <i/>
        <sz val="11"/>
        <rFont val="Calibri"/>
        <family val="2"/>
        <scheme val="minor"/>
      </rPr>
      <t>Capital Cost and Performance Characteristic Estimates for Utility Scale Electric Power Generating Technologies</t>
    </r>
  </si>
  <si>
    <t>[21] https://www.duke-energy.com/community/lakes/hydroelectric-relicensing/catawba</t>
  </si>
  <si>
    <t>[8] chrome-extension://efaidnbmnnnibpcajpcglclefindmkaj/https://s201.q4cdn.com/583395453/files/doc_downloads/esg-key-documents/sustainable-financing-framework.pdf</t>
  </si>
  <si>
    <t>[10] (2021) Duke Energy Corporation, 2021 ESG Report (Advancing our Clean Energy Transformation)</t>
  </si>
  <si>
    <t>[10] Page 35</t>
  </si>
  <si>
    <t>[23] https://investors.duke-energy.com/financials/annual-reports/default.aspx</t>
  </si>
  <si>
    <t>[17] https://www.nrel.gov/docs/fy17osti/67645.pdf</t>
  </si>
  <si>
    <t>[17] Approximated</t>
  </si>
  <si>
    <t>[22] https://www.duke-energy.com/our-company/about-us/new-generation/renewable-energy</t>
  </si>
  <si>
    <t>[20] https://nuclear.duke-energy.com/about</t>
  </si>
  <si>
    <t>[8, 20, 21, 22, 23]</t>
  </si>
  <si>
    <t>[11] United Nations Economic Comission for Europe, Life Cycle Assessment of Electricity Generation Options</t>
  </si>
  <si>
    <t>Table 1: [11] Figure 37, page 49</t>
  </si>
  <si>
    <r>
      <t xml:space="preserve">Table 2: [13] Levelized Cost of Energy Comparison - Sensitivty to Cost of Capital ; [14] </t>
    </r>
    <r>
      <rPr>
        <sz val="11"/>
        <color rgb="FFFF0000"/>
        <rFont val="Calibri"/>
        <family val="2"/>
        <scheme val="minor"/>
      </rPr>
      <t>Projected Costs of Generating Electricity</t>
    </r>
  </si>
  <si>
    <r>
      <t xml:space="preserve">[13] (2021) </t>
    </r>
    <r>
      <rPr>
        <i/>
        <sz val="11"/>
        <rFont val="Calibri"/>
        <family val="2"/>
        <scheme val="minor"/>
      </rPr>
      <t>Lazard's Levelized Cost of Energy Analysis (PDF)</t>
    </r>
  </si>
  <si>
    <r>
      <t xml:space="preserve">[12 ](2020) Nuclear Energy Agency, </t>
    </r>
    <r>
      <rPr>
        <i/>
        <sz val="11"/>
        <rFont val="Calibri"/>
        <family val="2"/>
        <scheme val="minor"/>
      </rPr>
      <t>Projected Costs of Generating Electricity</t>
    </r>
  </si>
  <si>
    <t>ADDITIONAL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</si>
</sst>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10" xfId="0" applyBorder="1"/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quotePrefix="1"/>
    <xf numFmtId="43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0" xfId="0" applyFont="1"/>
    <xf numFmtId="10" fontId="0" fillId="0" borderId="0" xfId="2" applyNumberFormat="1" applyFont="1"/>
    <xf numFmtId="10" fontId="0" fillId="0" borderId="0" xfId="0" applyNumberFormat="1"/>
    <xf numFmtId="0" fontId="0" fillId="0" borderId="27" xfId="0" applyBorder="1"/>
    <xf numFmtId="0" fontId="6" fillId="0" borderId="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6" xfId="0" applyFill="1" applyBorder="1"/>
    <xf numFmtId="0" fontId="0" fillId="5" borderId="29" xfId="0" applyFill="1" applyBorder="1"/>
    <xf numFmtId="0" fontId="0" fillId="5" borderId="8" xfId="0" applyFill="1" applyBorder="1"/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43" fontId="0" fillId="0" borderId="6" xfId="0" applyNumberForma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/>
    </xf>
    <xf numFmtId="43" fontId="0" fillId="0" borderId="18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25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0" fontId="0" fillId="0" borderId="29" xfId="0" applyBorder="1"/>
    <xf numFmtId="164" fontId="0" fillId="0" borderId="29" xfId="0" applyNumberFormat="1" applyBorder="1" applyAlignment="1">
      <alignment horizontal="center" vertical="center"/>
    </xf>
    <xf numFmtId="165" fontId="0" fillId="0" borderId="29" xfId="1" applyNumberFormat="1" applyFont="1" applyFill="1" applyBorder="1" applyAlignment="1">
      <alignment horizontal="center"/>
    </xf>
    <xf numFmtId="165" fontId="0" fillId="0" borderId="8" xfId="1" applyNumberFormat="1" applyFont="1" applyFill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43" fontId="1" fillId="6" borderId="0" xfId="0" applyNumberFormat="1" applyFont="1" applyFill="1"/>
    <xf numFmtId="0" fontId="0" fillId="0" borderId="12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29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/>
    <xf numFmtId="10" fontId="7" fillId="0" borderId="0" xfId="2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3" fontId="0" fillId="0" borderId="32" xfId="0" applyNumberFormat="1" applyBorder="1" applyAlignment="1">
      <alignment horizontal="center" vertical="center"/>
    </xf>
    <xf numFmtId="43" fontId="0" fillId="0" borderId="33" xfId="0" applyNumberFormat="1" applyBorder="1" applyAlignment="1">
      <alignment horizontal="center" vertical="center"/>
    </xf>
    <xf numFmtId="43" fontId="0" fillId="0" borderId="34" xfId="0" applyNumberFormat="1" applyBorder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43" fontId="2" fillId="0" borderId="0" xfId="0" quotePrefix="1" applyNumberFormat="1" applyFont="1" applyAlignment="1">
      <alignment horizontal="center" vertical="center" wrapText="1"/>
    </xf>
    <xf numFmtId="0" fontId="7" fillId="0" borderId="0" xfId="0" applyFont="1"/>
    <xf numFmtId="10" fontId="1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5" fillId="0" borderId="0" xfId="0" applyFont="1"/>
    <xf numFmtId="166" fontId="5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777522</xdr:colOff>
      <xdr:row>10</xdr:row>
      <xdr:rowOff>345368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444025-0F52-BD73-A369-D4EEE5C74EC9}"/>
            </a:ext>
          </a:extLst>
        </xdr:cNvPr>
        <xdr:cNvSpPr txBox="1"/>
      </xdr:nvSpPr>
      <xdr:spPr>
        <a:xfrm>
          <a:off x="7768402" y="30088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160162</xdr:colOff>
      <xdr:row>4</xdr:row>
      <xdr:rowOff>151339</xdr:rowOff>
    </xdr:from>
    <xdr:ext cx="647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00AEFB-AE14-3EBB-54F7-D7A5AAC68F7E}"/>
                </a:ext>
              </a:extLst>
            </xdr:cNvPr>
            <xdr:cNvSpPr txBox="1"/>
          </xdr:nvSpPr>
          <xdr:spPr>
            <a:xfrm>
              <a:off x="3670302" y="1168516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Baseload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00AEFB-AE14-3EBB-54F7-D7A5AAC68F7E}"/>
                </a:ext>
              </a:extLst>
            </xdr:cNvPr>
            <xdr:cNvSpPr txBox="1"/>
          </xdr:nvSpPr>
          <xdr:spPr>
            <a:xfrm>
              <a:off x="3670302" y="1168516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Baseload</a:t>
              </a:r>
            </a:p>
          </xdr:txBody>
        </xdr:sp>
      </mc:Fallback>
    </mc:AlternateContent>
    <xdr:clientData/>
  </xdr:oneCellAnchor>
  <xdr:oneCellAnchor>
    <xdr:from>
      <xdr:col>6</xdr:col>
      <xdr:colOff>135230</xdr:colOff>
      <xdr:row>3</xdr:row>
      <xdr:rowOff>64676</xdr:rowOff>
    </xdr:from>
    <xdr:ext cx="67550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2BBC6E-3F94-4C9B-B4BC-29471D49275A}"/>
                </a:ext>
              </a:extLst>
            </xdr:cNvPr>
            <xdr:cNvSpPr txBox="1"/>
          </xdr:nvSpPr>
          <xdr:spPr>
            <a:xfrm>
              <a:off x="3645370" y="629120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2BBC6E-3F94-4C9B-B4BC-29471D49275A}"/>
                </a:ext>
              </a:extLst>
            </xdr:cNvPr>
            <xdr:cNvSpPr txBox="1"/>
          </xdr:nvSpPr>
          <xdr:spPr>
            <a:xfrm>
              <a:off x="3645370" y="629120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305604</xdr:rowOff>
    </xdr:to>
    <xdr:sp macro="" textlink="">
      <xdr:nvSpPr>
        <xdr:cNvPr id="2049" name="AutoShape 1" descr="emannschmidt7@gmail.com">
          <a:extLst>
            <a:ext uri="{FF2B5EF4-FFF2-40B4-BE49-F238E27FC236}">
              <a16:creationId xmlns:a16="http://schemas.microsoft.com/office/drawing/2014/main" id="{358DEDE5-5127-91BC-F8C8-61B4A0E5B865}"/>
            </a:ext>
          </a:extLst>
        </xdr:cNvPr>
        <xdr:cNvSpPr>
          <a:spLocks noChangeAspect="1" noChangeArrowheads="1"/>
        </xdr:cNvSpPr>
      </xdr:nvSpPr>
      <xdr:spPr bwMode="auto">
        <a:xfrm>
          <a:off x="2819400" y="7872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246731</xdr:colOff>
      <xdr:row>3</xdr:row>
      <xdr:rowOff>63118</xdr:rowOff>
    </xdr:from>
    <xdr:ext cx="67550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577CC1-268E-490C-980A-F763ED2C6AF9}"/>
                </a:ext>
              </a:extLst>
            </xdr:cNvPr>
            <xdr:cNvSpPr txBox="1"/>
          </xdr:nvSpPr>
          <xdr:spPr>
            <a:xfrm>
              <a:off x="5674833" y="61396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577CC1-268E-490C-980A-F763ED2C6AF9}"/>
                </a:ext>
              </a:extLst>
            </xdr:cNvPr>
            <xdr:cNvSpPr txBox="1"/>
          </xdr:nvSpPr>
          <xdr:spPr>
            <a:xfrm>
              <a:off x="5674833" y="61396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Fallback>
    </mc:AlternateContent>
    <xdr:clientData/>
  </xdr:oneCellAnchor>
  <xdr:oneCellAnchor>
    <xdr:from>
      <xdr:col>6</xdr:col>
      <xdr:colOff>281160</xdr:colOff>
      <xdr:row>4</xdr:row>
      <xdr:rowOff>160663</xdr:rowOff>
    </xdr:from>
    <xdr:ext cx="647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435BD13-7C4F-4301-8AF8-346637212945}"/>
                </a:ext>
              </a:extLst>
            </xdr:cNvPr>
            <xdr:cNvSpPr txBox="1"/>
          </xdr:nvSpPr>
          <xdr:spPr>
            <a:xfrm>
              <a:off x="5709262" y="1164805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Baseload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435BD13-7C4F-4301-8AF8-346637212945}"/>
                </a:ext>
              </a:extLst>
            </xdr:cNvPr>
            <xdr:cNvSpPr txBox="1"/>
          </xdr:nvSpPr>
          <xdr:spPr>
            <a:xfrm>
              <a:off x="5709262" y="1164805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Baseload</a:t>
              </a:r>
            </a:p>
          </xdr:txBody>
        </xdr:sp>
      </mc:Fallback>
    </mc:AlternateContent>
    <xdr:clientData/>
  </xdr:oneCellAnchor>
  <xdr:oneCellAnchor>
    <xdr:from>
      <xdr:col>7</xdr:col>
      <xdr:colOff>777522</xdr:colOff>
      <xdr:row>10</xdr:row>
      <xdr:rowOff>345368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46CD0D-836B-416F-99A3-32B7FE2078B1}"/>
            </a:ext>
          </a:extLst>
        </xdr:cNvPr>
        <xdr:cNvSpPr txBox="1"/>
      </xdr:nvSpPr>
      <xdr:spPr>
        <a:xfrm>
          <a:off x="7764110" y="3255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11</xdr:row>
      <xdr:rowOff>345368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91FFE7-372B-4925-BCC9-B823ED2E7FED}"/>
            </a:ext>
          </a:extLst>
        </xdr:cNvPr>
        <xdr:cNvSpPr txBox="1"/>
      </xdr:nvSpPr>
      <xdr:spPr>
        <a:xfrm>
          <a:off x="7628636" y="32602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12</xdr:row>
      <xdr:rowOff>345368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E5885F0-97C7-4AE3-8765-E91AA1FD44CE}"/>
            </a:ext>
          </a:extLst>
        </xdr:cNvPr>
        <xdr:cNvSpPr txBox="1"/>
      </xdr:nvSpPr>
      <xdr:spPr>
        <a:xfrm>
          <a:off x="7628636" y="32602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B8EBA2-0A5D-4178-A21C-72AAFFE03C0F}"/>
            </a:ext>
          </a:extLst>
        </xdr:cNvPr>
        <xdr:cNvSpPr txBox="1"/>
      </xdr:nvSpPr>
      <xdr:spPr>
        <a:xfrm>
          <a:off x="7628636" y="362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D6CF32-9907-4934-B6B8-411327EDDEA4}"/>
            </a:ext>
          </a:extLst>
        </xdr:cNvPr>
        <xdr:cNvSpPr txBox="1"/>
      </xdr:nvSpPr>
      <xdr:spPr>
        <a:xfrm>
          <a:off x="7628636" y="32602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A25779-F0D6-4694-A272-2C865F950A87}"/>
            </a:ext>
          </a:extLst>
        </xdr:cNvPr>
        <xdr:cNvSpPr txBox="1"/>
      </xdr:nvSpPr>
      <xdr:spPr>
        <a:xfrm>
          <a:off x="7628636" y="362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D8B738-7299-49D5-8B6B-9B35092AF1F8}"/>
            </a:ext>
          </a:extLst>
        </xdr:cNvPr>
        <xdr:cNvSpPr txBox="1"/>
      </xdr:nvSpPr>
      <xdr:spPr>
        <a:xfrm>
          <a:off x="7628636" y="32602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A19D05C-9B66-433E-938D-B149D0619B7E}"/>
            </a:ext>
          </a:extLst>
        </xdr:cNvPr>
        <xdr:cNvSpPr txBox="1"/>
      </xdr:nvSpPr>
      <xdr:spPr>
        <a:xfrm>
          <a:off x="7628636" y="362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7F753CD-833F-440A-B810-D6C0D2459025}"/>
            </a:ext>
          </a:extLst>
        </xdr:cNvPr>
        <xdr:cNvSpPr txBox="1"/>
      </xdr:nvSpPr>
      <xdr:spPr>
        <a:xfrm>
          <a:off x="7628636" y="32602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16</xdr:row>
      <xdr:rowOff>345368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F09A54A-CA04-4723-9FCD-3246E98F994B}"/>
            </a:ext>
          </a:extLst>
        </xdr:cNvPr>
        <xdr:cNvSpPr txBox="1"/>
      </xdr:nvSpPr>
      <xdr:spPr>
        <a:xfrm>
          <a:off x="7628636" y="362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17</xdr:row>
      <xdr:rowOff>345368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E21A2B-C29A-45D2-8574-585AD944B43D}"/>
            </a:ext>
          </a:extLst>
        </xdr:cNvPr>
        <xdr:cNvSpPr txBox="1"/>
      </xdr:nvSpPr>
      <xdr:spPr>
        <a:xfrm>
          <a:off x="7628636" y="46331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18</xdr:row>
      <xdr:rowOff>345368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CD5594A-D754-453B-AB13-652BD14FFE9E}"/>
            </a:ext>
          </a:extLst>
        </xdr:cNvPr>
        <xdr:cNvSpPr txBox="1"/>
      </xdr:nvSpPr>
      <xdr:spPr>
        <a:xfrm>
          <a:off x="7628636" y="46331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565B902-E4BE-46E6-A5FB-38F7228F78DF}"/>
            </a:ext>
          </a:extLst>
        </xdr:cNvPr>
        <xdr:cNvSpPr txBox="1"/>
      </xdr:nvSpPr>
      <xdr:spPr>
        <a:xfrm>
          <a:off x="7628636" y="483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6DBE452-6273-4BAD-AD69-00016CB855E9}"/>
            </a:ext>
          </a:extLst>
        </xdr:cNvPr>
        <xdr:cNvSpPr txBox="1"/>
      </xdr:nvSpPr>
      <xdr:spPr>
        <a:xfrm>
          <a:off x="7628636" y="46331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71C9CD5-F71F-40ED-928E-2F805A72D698}"/>
            </a:ext>
          </a:extLst>
        </xdr:cNvPr>
        <xdr:cNvSpPr txBox="1"/>
      </xdr:nvSpPr>
      <xdr:spPr>
        <a:xfrm>
          <a:off x="7628636" y="483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5E65FE0-67FF-45E0-82FA-982F1E83C3D6}"/>
            </a:ext>
          </a:extLst>
        </xdr:cNvPr>
        <xdr:cNvSpPr txBox="1"/>
      </xdr:nvSpPr>
      <xdr:spPr>
        <a:xfrm>
          <a:off x="7628636" y="46331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873B7D1-2A86-4313-B5DB-329ACBA3A071}"/>
            </a:ext>
          </a:extLst>
        </xdr:cNvPr>
        <xdr:cNvSpPr txBox="1"/>
      </xdr:nvSpPr>
      <xdr:spPr>
        <a:xfrm>
          <a:off x="7628636" y="483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2EAFAA-99F9-451E-9071-81BAD323DDBB}"/>
            </a:ext>
          </a:extLst>
        </xdr:cNvPr>
        <xdr:cNvSpPr txBox="1"/>
      </xdr:nvSpPr>
      <xdr:spPr>
        <a:xfrm>
          <a:off x="7628636" y="46331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22</xdr:row>
      <xdr:rowOff>345368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A6D38A3-14F8-404A-9435-29162A39F86B}"/>
            </a:ext>
          </a:extLst>
        </xdr:cNvPr>
        <xdr:cNvSpPr txBox="1"/>
      </xdr:nvSpPr>
      <xdr:spPr>
        <a:xfrm>
          <a:off x="7628636" y="483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472658</xdr:rowOff>
    </xdr:to>
    <xdr:sp macro="" textlink="">
      <xdr:nvSpPr>
        <xdr:cNvPr id="2" name="AutoShape 1" descr="emannschmidt7@gmail.com">
          <a:extLst>
            <a:ext uri="{FF2B5EF4-FFF2-40B4-BE49-F238E27FC236}">
              <a16:creationId xmlns:a16="http://schemas.microsoft.com/office/drawing/2014/main" id="{8CAE1E13-93B5-47FD-8A1C-39EADA0580FB}"/>
            </a:ext>
          </a:extLst>
        </xdr:cNvPr>
        <xdr:cNvSpPr>
          <a:spLocks noChangeAspect="1" noChangeArrowheads="1"/>
        </xdr:cNvSpPr>
      </xdr:nvSpPr>
      <xdr:spPr bwMode="auto">
        <a:xfrm>
          <a:off x="4391025" y="5653088"/>
          <a:ext cx="304800" cy="30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246731</xdr:colOff>
      <xdr:row>3</xdr:row>
      <xdr:rowOff>63118</xdr:rowOff>
    </xdr:from>
    <xdr:ext cx="67550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046910-124B-43FE-AE1F-A8BE5BAFC0B3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046910-124B-43FE-AE1F-A8BE5BAFC0B3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Fallback>
    </mc:AlternateContent>
    <xdr:clientData/>
  </xdr:oneCellAnchor>
  <xdr:oneCellAnchor>
    <xdr:from>
      <xdr:col>6</xdr:col>
      <xdr:colOff>281160</xdr:colOff>
      <xdr:row>4</xdr:row>
      <xdr:rowOff>160663</xdr:rowOff>
    </xdr:from>
    <xdr:ext cx="647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2CDD68-507E-4970-9DCE-72F5445572D5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Baseload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2CDD68-507E-4970-9DCE-72F5445572D5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Baseload</a:t>
              </a:r>
            </a:p>
          </xdr:txBody>
        </xdr:sp>
      </mc:Fallback>
    </mc:AlternateContent>
    <xdr:clientData/>
  </xdr:oneCellAnchor>
  <xdr:oneCellAnchor>
    <xdr:from>
      <xdr:col>7</xdr:col>
      <xdr:colOff>777522</xdr:colOff>
      <xdr:row>10</xdr:row>
      <xdr:rowOff>345368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3CD6C1-2478-4CE9-949F-30F454587BC7}"/>
            </a:ext>
          </a:extLst>
        </xdr:cNvPr>
        <xdr:cNvSpPr txBox="1"/>
      </xdr:nvSpPr>
      <xdr:spPr>
        <a:xfrm>
          <a:off x="7645047" y="32695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11</xdr:row>
      <xdr:rowOff>345368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BF23ED-F430-4C46-A00B-71B87116E003}"/>
            </a:ext>
          </a:extLst>
        </xdr:cNvPr>
        <xdr:cNvSpPr txBox="1"/>
      </xdr:nvSpPr>
      <xdr:spPr>
        <a:xfrm>
          <a:off x="7645047" y="36362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12</xdr:row>
      <xdr:rowOff>345368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559CC-EB97-4CCF-B147-B4A82BEB8E2B}"/>
            </a:ext>
          </a:extLst>
        </xdr:cNvPr>
        <xdr:cNvSpPr txBox="1"/>
      </xdr:nvSpPr>
      <xdr:spPr>
        <a:xfrm>
          <a:off x="7645047" y="3817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E992556-BA8E-4C6B-A6D6-458887478252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7980554-D3F8-406F-B25B-070AA808D9E7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AF1F34-CB18-421B-A9FA-7F8EF9251B13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2C7F9BB-A88C-44AB-B08F-6BFDFD947BEE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620D188-FADB-4622-8F84-79153594EEA7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5DD105-4E3A-492C-BE1C-017BED327ECF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16</xdr:row>
      <xdr:rowOff>345368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206C3E-A425-415C-9EF1-8E5A6711783B}"/>
            </a:ext>
          </a:extLst>
        </xdr:cNvPr>
        <xdr:cNvSpPr txBox="1"/>
      </xdr:nvSpPr>
      <xdr:spPr>
        <a:xfrm>
          <a:off x="7645047" y="4541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17</xdr:row>
      <xdr:rowOff>345368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164DD9-B3FC-4D6D-BF75-94CBBAD603CA}"/>
            </a:ext>
          </a:extLst>
        </xdr:cNvPr>
        <xdr:cNvSpPr txBox="1"/>
      </xdr:nvSpPr>
      <xdr:spPr>
        <a:xfrm>
          <a:off x="7645047" y="4741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18</xdr:row>
      <xdr:rowOff>345368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04751B-E801-4568-B2B6-8B6D1B546616}"/>
            </a:ext>
          </a:extLst>
        </xdr:cNvPr>
        <xdr:cNvSpPr txBox="1"/>
      </xdr:nvSpPr>
      <xdr:spPr>
        <a:xfrm>
          <a:off x="7645047" y="4922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4DC6DE-C726-4190-B4BB-7197F4AAB062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7B3A0F7-7B82-4650-AB23-55613AF14024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F9E4FE2-26DE-4234-808D-4DFCB987AB65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ACA0840-E547-4FE5-821A-6B38D66A5232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98948A2-8BBB-4E47-B126-21861436958A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59F26F-7A33-4582-A872-AB0E6FFE76A8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22</xdr:row>
      <xdr:rowOff>345368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FA46C06-E1BA-43A6-BE7F-71E518AA7998}"/>
            </a:ext>
          </a:extLst>
        </xdr:cNvPr>
        <xdr:cNvSpPr txBox="1"/>
      </xdr:nvSpPr>
      <xdr:spPr>
        <a:xfrm>
          <a:off x="7645047" y="565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491708</xdr:rowOff>
    </xdr:to>
    <xdr:sp macro="" textlink="">
      <xdr:nvSpPr>
        <xdr:cNvPr id="24" name="AutoShape 1" descr="emannschmidt7@gmail.com">
          <a:extLst>
            <a:ext uri="{FF2B5EF4-FFF2-40B4-BE49-F238E27FC236}">
              <a16:creationId xmlns:a16="http://schemas.microsoft.com/office/drawing/2014/main" id="{2F6506A8-2348-4CCA-8D81-8DB752D0E065}"/>
            </a:ext>
          </a:extLst>
        </xdr:cNvPr>
        <xdr:cNvSpPr>
          <a:spLocks noChangeAspect="1" noChangeArrowheads="1"/>
        </xdr:cNvSpPr>
      </xdr:nvSpPr>
      <xdr:spPr bwMode="auto">
        <a:xfrm>
          <a:off x="4391025" y="5653088"/>
          <a:ext cx="304800" cy="30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246731</xdr:colOff>
      <xdr:row>3</xdr:row>
      <xdr:rowOff>63118</xdr:rowOff>
    </xdr:from>
    <xdr:ext cx="67550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91174CC-2A6C-4CA9-88E2-51DC07F8C722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91174CC-2A6C-4CA9-88E2-51DC07F8C722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Fallback>
    </mc:AlternateContent>
    <xdr:clientData/>
  </xdr:oneCellAnchor>
  <xdr:oneCellAnchor>
    <xdr:from>
      <xdr:col>6</xdr:col>
      <xdr:colOff>281160</xdr:colOff>
      <xdr:row>4</xdr:row>
      <xdr:rowOff>160663</xdr:rowOff>
    </xdr:from>
    <xdr:ext cx="647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153FE46-88DE-4691-B063-A3B45B00CDBC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Baseload</a:t>
              </a: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153FE46-88DE-4691-B063-A3B45B00CDBC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Baseload</a:t>
              </a:r>
            </a:p>
          </xdr:txBody>
        </xdr:sp>
      </mc:Fallback>
    </mc:AlternateContent>
    <xdr:clientData/>
  </xdr:oneCellAnchor>
  <xdr:oneCellAnchor>
    <xdr:from>
      <xdr:col>7</xdr:col>
      <xdr:colOff>777522</xdr:colOff>
      <xdr:row>10</xdr:row>
      <xdr:rowOff>345368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729F91-FBDF-4C79-A722-1B90DD65D98B}"/>
            </a:ext>
          </a:extLst>
        </xdr:cNvPr>
        <xdr:cNvSpPr txBox="1"/>
      </xdr:nvSpPr>
      <xdr:spPr>
        <a:xfrm>
          <a:off x="7645047" y="32695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11</xdr:row>
      <xdr:rowOff>345368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D0ABEE2-0296-4F39-BBA8-C6FAA5FC4E1B}"/>
            </a:ext>
          </a:extLst>
        </xdr:cNvPr>
        <xdr:cNvSpPr txBox="1"/>
      </xdr:nvSpPr>
      <xdr:spPr>
        <a:xfrm>
          <a:off x="7645047" y="36362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12</xdr:row>
      <xdr:rowOff>345368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8992FC-9DFF-4725-AEA6-B098EB5663AE}"/>
            </a:ext>
          </a:extLst>
        </xdr:cNvPr>
        <xdr:cNvSpPr txBox="1"/>
      </xdr:nvSpPr>
      <xdr:spPr>
        <a:xfrm>
          <a:off x="7645047" y="3817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6C9A987-4954-462C-B992-BEF68D9EFC37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C51EC21-EBC3-4297-AA5C-5F847F046D11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BAD702C-01DF-43D2-845C-9397F3CF555B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FC2F278-0818-4BCA-BE63-60E732FCD38C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3E70B5F-56EE-4FB5-B384-8F0399E9AC0F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72B4DE-F91C-4113-8D84-D257C8DF834D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16</xdr:row>
      <xdr:rowOff>345368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9422A34-39C1-494B-AD9D-E1B841861313}"/>
            </a:ext>
          </a:extLst>
        </xdr:cNvPr>
        <xdr:cNvSpPr txBox="1"/>
      </xdr:nvSpPr>
      <xdr:spPr>
        <a:xfrm>
          <a:off x="7645047" y="4541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17</xdr:row>
      <xdr:rowOff>345368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B1C6065-47F5-4D07-BA42-818A73D49996}"/>
            </a:ext>
          </a:extLst>
        </xdr:cNvPr>
        <xdr:cNvSpPr txBox="1"/>
      </xdr:nvSpPr>
      <xdr:spPr>
        <a:xfrm>
          <a:off x="7645047" y="4741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18</xdr:row>
      <xdr:rowOff>345368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70B5716-F552-4FCB-8E7D-2821681513D5}"/>
            </a:ext>
          </a:extLst>
        </xdr:cNvPr>
        <xdr:cNvSpPr txBox="1"/>
      </xdr:nvSpPr>
      <xdr:spPr>
        <a:xfrm>
          <a:off x="7645047" y="4922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B722A61-7E14-4946-BD4D-381D9206A88B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75ED5C1-FE70-4FA1-8FAD-C4D3E73CD4DD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BA6F01D-AB19-46AD-8777-33C3A1ADF4FF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D25B033-150E-4B4A-B6D5-E1554151CABF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617BB7A-C2F5-4575-8C8A-42A189FDA9E0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EA9EB41-CB3F-4C9E-A4AD-A103F60ACB1F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22</xdr:row>
      <xdr:rowOff>345368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08A934B-563B-4722-992C-501399ABD17D}"/>
            </a:ext>
          </a:extLst>
        </xdr:cNvPr>
        <xdr:cNvSpPr txBox="1"/>
      </xdr:nvSpPr>
      <xdr:spPr>
        <a:xfrm>
          <a:off x="7645047" y="565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494348</xdr:rowOff>
    </xdr:to>
    <xdr:sp macro="" textlink="">
      <xdr:nvSpPr>
        <xdr:cNvPr id="49" name="AutoShape 1" descr="emannschmidt7@gmail.com">
          <a:extLst>
            <a:ext uri="{FF2B5EF4-FFF2-40B4-BE49-F238E27FC236}">
              <a16:creationId xmlns:a16="http://schemas.microsoft.com/office/drawing/2014/main" id="{EE97BBC9-DCAC-4FCB-92C4-E735EFC61116}"/>
            </a:ext>
          </a:extLst>
        </xdr:cNvPr>
        <xdr:cNvSpPr>
          <a:spLocks noChangeAspect="1" noChangeArrowheads="1"/>
        </xdr:cNvSpPr>
      </xdr:nvSpPr>
      <xdr:spPr bwMode="auto">
        <a:xfrm>
          <a:off x="4391025" y="5653088"/>
          <a:ext cx="304800" cy="305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246731</xdr:colOff>
      <xdr:row>3</xdr:row>
      <xdr:rowOff>63118</xdr:rowOff>
    </xdr:from>
    <xdr:ext cx="67550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0442EA7-1B06-4A3C-A42E-A64A2DB86D2D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0442EA7-1B06-4A3C-A42E-A64A2DB86D2D}"/>
                </a:ext>
              </a:extLst>
            </xdr:cNvPr>
            <xdr:cNvSpPr txBox="1"/>
          </xdr:nvSpPr>
          <xdr:spPr>
            <a:xfrm>
              <a:off x="5876006" y="620331"/>
              <a:ext cx="67550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Electriciy</a:t>
              </a:r>
            </a:p>
            <a:p>
              <a:pPr algn="ctr"/>
              <a:r>
                <a:rPr lang="en-US" sz="1100" b="1"/>
                <a:t>Generated</a:t>
              </a:r>
            </a:p>
          </xdr:txBody>
        </xdr:sp>
      </mc:Fallback>
    </mc:AlternateContent>
    <xdr:clientData/>
  </xdr:oneCellAnchor>
  <xdr:oneCellAnchor>
    <xdr:from>
      <xdr:col>6</xdr:col>
      <xdr:colOff>281160</xdr:colOff>
      <xdr:row>4</xdr:row>
      <xdr:rowOff>160663</xdr:rowOff>
    </xdr:from>
    <xdr:ext cx="647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3D4571E5-8FE8-4F63-8242-3F53CF94C644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Baseload</a:t>
              </a: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3D4571E5-8FE8-4F63-8242-3F53CF94C644}"/>
                </a:ext>
              </a:extLst>
            </xdr:cNvPr>
            <xdr:cNvSpPr txBox="1"/>
          </xdr:nvSpPr>
          <xdr:spPr>
            <a:xfrm>
              <a:off x="5910435" y="1170313"/>
              <a:ext cx="647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Baseload</a:t>
              </a:r>
            </a:p>
          </xdr:txBody>
        </xdr:sp>
      </mc:Fallback>
    </mc:AlternateContent>
    <xdr:clientData/>
  </xdr:oneCellAnchor>
  <xdr:oneCellAnchor>
    <xdr:from>
      <xdr:col>7</xdr:col>
      <xdr:colOff>777522</xdr:colOff>
      <xdr:row>10</xdr:row>
      <xdr:rowOff>345368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39C898A-DCC9-44F2-9510-0AA0472C13FB}"/>
            </a:ext>
          </a:extLst>
        </xdr:cNvPr>
        <xdr:cNvSpPr txBox="1"/>
      </xdr:nvSpPr>
      <xdr:spPr>
        <a:xfrm>
          <a:off x="7645047" y="32695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11</xdr:row>
      <xdr:rowOff>345368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0C500E9-F13D-4E37-B215-D5B72325396B}"/>
            </a:ext>
          </a:extLst>
        </xdr:cNvPr>
        <xdr:cNvSpPr txBox="1"/>
      </xdr:nvSpPr>
      <xdr:spPr>
        <a:xfrm>
          <a:off x="7645047" y="36362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12</xdr:row>
      <xdr:rowOff>345368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67B0D7B-0600-41C3-AD06-F4093322CBCE}"/>
            </a:ext>
          </a:extLst>
        </xdr:cNvPr>
        <xdr:cNvSpPr txBox="1"/>
      </xdr:nvSpPr>
      <xdr:spPr>
        <a:xfrm>
          <a:off x="7645047" y="3817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3EE1884-9606-464C-B5FA-3CA21C753FBE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13</xdr:row>
      <xdr:rowOff>345368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97B7E2A-705C-4D7B-ADC4-83E49D27BDA4}"/>
            </a:ext>
          </a:extLst>
        </xdr:cNvPr>
        <xdr:cNvSpPr txBox="1"/>
      </xdr:nvSpPr>
      <xdr:spPr>
        <a:xfrm>
          <a:off x="7645047" y="39982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5FAADDF-9865-42D9-9B50-60923D730DB7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14</xdr:row>
      <xdr:rowOff>345368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C6EC118-8F01-4040-A400-4A54281BA4F9}"/>
            </a:ext>
          </a:extLst>
        </xdr:cNvPr>
        <xdr:cNvSpPr txBox="1"/>
      </xdr:nvSpPr>
      <xdr:spPr>
        <a:xfrm>
          <a:off x="7645047" y="4179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0C91DFE-9553-4162-9B69-47E713DD797F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15</xdr:row>
      <xdr:rowOff>345368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8486BBD-7744-4B8B-A8D1-CD5FFB5E2744}"/>
            </a:ext>
          </a:extLst>
        </xdr:cNvPr>
        <xdr:cNvSpPr txBox="1"/>
      </xdr:nvSpPr>
      <xdr:spPr>
        <a:xfrm>
          <a:off x="7645047" y="4360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16</xdr:row>
      <xdr:rowOff>345368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DFE56C1-8006-46FE-BB17-0CD80411EDFA}"/>
            </a:ext>
          </a:extLst>
        </xdr:cNvPr>
        <xdr:cNvSpPr txBox="1"/>
      </xdr:nvSpPr>
      <xdr:spPr>
        <a:xfrm>
          <a:off x="7645047" y="4541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17</xdr:row>
      <xdr:rowOff>345368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F221D7C-749E-4DAD-A7E6-05C4D29CAC16}"/>
            </a:ext>
          </a:extLst>
        </xdr:cNvPr>
        <xdr:cNvSpPr txBox="1"/>
      </xdr:nvSpPr>
      <xdr:spPr>
        <a:xfrm>
          <a:off x="7645047" y="4741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18</xdr:row>
      <xdr:rowOff>345368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75D8FEA2-7027-4254-8BE2-CF06E3A9B43A}"/>
            </a:ext>
          </a:extLst>
        </xdr:cNvPr>
        <xdr:cNvSpPr txBox="1"/>
      </xdr:nvSpPr>
      <xdr:spPr>
        <a:xfrm>
          <a:off x="7645047" y="4922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23BDF055-AEC0-4B8C-B117-D051DDB57A02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19</xdr:row>
      <xdr:rowOff>345368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681000F-06E5-4ACF-91B2-14BDC2CC3471}"/>
            </a:ext>
          </a:extLst>
        </xdr:cNvPr>
        <xdr:cNvSpPr txBox="1"/>
      </xdr:nvSpPr>
      <xdr:spPr>
        <a:xfrm>
          <a:off x="7645047" y="51031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A4895EF-EA95-4291-9571-2198EAA7D0B3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20</xdr:row>
      <xdr:rowOff>345368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19B86B2-2B34-42AE-AF2C-B2CF8FBF0DCC}"/>
            </a:ext>
          </a:extLst>
        </xdr:cNvPr>
        <xdr:cNvSpPr txBox="1"/>
      </xdr:nvSpPr>
      <xdr:spPr>
        <a:xfrm>
          <a:off x="7645047" y="5284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8DE2294-B2AC-4E52-A01D-F7DFC60B94D9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21</xdr:row>
      <xdr:rowOff>345368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79EA7E3-A79D-412A-B2F0-8BA0B7C31700}"/>
            </a:ext>
          </a:extLst>
        </xdr:cNvPr>
        <xdr:cNvSpPr txBox="1"/>
      </xdr:nvSpPr>
      <xdr:spPr>
        <a:xfrm>
          <a:off x="7645047" y="54650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777522</xdr:colOff>
      <xdr:row>22</xdr:row>
      <xdr:rowOff>345368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DD01B90-2BE5-4C2C-B0E2-F7BD3B8F11D7}"/>
            </a:ext>
          </a:extLst>
        </xdr:cNvPr>
        <xdr:cNvSpPr txBox="1"/>
      </xdr:nvSpPr>
      <xdr:spPr>
        <a:xfrm>
          <a:off x="7645047" y="565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375986</xdr:colOff>
      <xdr:row>3</xdr:row>
      <xdr:rowOff>148778</xdr:rowOff>
    </xdr:from>
    <xdr:ext cx="4603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8B5C9398-8D1E-4B87-B099-32054B0B1875}"/>
                </a:ext>
              </a:extLst>
            </xdr:cNvPr>
            <xdr:cNvSpPr txBox="1"/>
          </xdr:nvSpPr>
          <xdr:spPr>
            <a:xfrm>
              <a:off x="13497927" y="712758"/>
              <a:ext cx="460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 b="1"/>
                <a:t>  CO2e</a:t>
              </a:r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8B5C9398-8D1E-4B87-B099-32054B0B1875}"/>
                </a:ext>
              </a:extLst>
            </xdr:cNvPr>
            <xdr:cNvSpPr txBox="1"/>
          </xdr:nvSpPr>
          <xdr:spPr>
            <a:xfrm>
              <a:off x="13497927" y="712758"/>
              <a:ext cx="460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1"/>
                <a:t>  CO2e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4C53-1577-4112-A9FF-A334EA53B6BD}">
  <dimension ref="B1:R70"/>
  <sheetViews>
    <sheetView tabSelected="1" zoomScale="90" zoomScaleNormal="90" workbookViewId="0">
      <selection activeCell="B1" sqref="B1"/>
    </sheetView>
  </sheetViews>
  <sheetFormatPr defaultRowHeight="14.25" x14ac:dyDescent="0.45"/>
  <cols>
    <col min="1" max="1" width="2.59765625" customWidth="1"/>
    <col min="2" max="2" width="37.19921875" bestFit="1" customWidth="1"/>
    <col min="3" max="3" width="9.86328125" customWidth="1"/>
    <col min="4" max="4" width="11.1328125" bestFit="1" customWidth="1"/>
    <col min="5" max="13" width="12.86328125" customWidth="1"/>
    <col min="14" max="14" width="14.19921875" customWidth="1"/>
    <col min="15" max="15" width="12.86328125" customWidth="1"/>
    <col min="16" max="17" width="14.19921875" bestFit="1" customWidth="1"/>
    <col min="18" max="18" width="14.19921875" customWidth="1"/>
  </cols>
  <sheetData>
    <row r="1" spans="2:18" s="1" customFormat="1" ht="28.9" thickBot="1" x14ac:dyDescent="0.5">
      <c r="B1" s="38" t="s">
        <v>37</v>
      </c>
      <c r="D1" s="38" t="s">
        <v>116</v>
      </c>
      <c r="E1" s="38" t="s">
        <v>116</v>
      </c>
      <c r="F1" s="121" t="s">
        <v>55</v>
      </c>
      <c r="G1" s="121" t="s">
        <v>56</v>
      </c>
      <c r="H1" s="122" t="s">
        <v>59</v>
      </c>
      <c r="I1" s="38" t="s">
        <v>116</v>
      </c>
      <c r="J1" s="121" t="s">
        <v>60</v>
      </c>
      <c r="K1" s="38" t="s">
        <v>44</v>
      </c>
      <c r="L1" s="38" t="s">
        <v>51</v>
      </c>
      <c r="M1" s="38" t="s">
        <v>122</v>
      </c>
      <c r="N1" s="38" t="s">
        <v>111</v>
      </c>
      <c r="O1" s="38" t="s">
        <v>64</v>
      </c>
      <c r="P1" s="38" t="s">
        <v>65</v>
      </c>
      <c r="Q1" s="38" t="s">
        <v>61</v>
      </c>
      <c r="R1" s="38" t="s">
        <v>119</v>
      </c>
    </row>
    <row r="2" spans="2:18" ht="57.4" thickBot="1" x14ac:dyDescent="0.5">
      <c r="B2" s="35" t="s">
        <v>0</v>
      </c>
      <c r="C2" s="36" t="s">
        <v>73</v>
      </c>
      <c r="D2" s="36" t="s">
        <v>72</v>
      </c>
      <c r="E2" s="36" t="s">
        <v>36</v>
      </c>
      <c r="F2" s="36" t="s">
        <v>74</v>
      </c>
      <c r="G2" s="29" t="s">
        <v>30</v>
      </c>
      <c r="H2" s="36" t="s">
        <v>57</v>
      </c>
      <c r="I2" s="36" t="s">
        <v>85</v>
      </c>
      <c r="J2" s="36" t="s">
        <v>58</v>
      </c>
      <c r="K2" s="29" t="s">
        <v>83</v>
      </c>
      <c r="L2" s="29" t="s">
        <v>87</v>
      </c>
      <c r="M2" s="29" t="s">
        <v>2</v>
      </c>
      <c r="N2" s="29" t="s">
        <v>86</v>
      </c>
      <c r="O2" s="29" t="s">
        <v>84</v>
      </c>
      <c r="P2" s="29" t="s">
        <v>31</v>
      </c>
      <c r="Q2" s="29" t="s">
        <v>32</v>
      </c>
      <c r="R2" s="30" t="s">
        <v>21</v>
      </c>
    </row>
    <row r="3" spans="2:18" x14ac:dyDescent="0.45">
      <c r="B3" s="131" t="s">
        <v>70</v>
      </c>
      <c r="C3" s="4" t="s">
        <v>8</v>
      </c>
      <c r="D3" t="s">
        <v>4</v>
      </c>
      <c r="E3" s="101">
        <v>4325</v>
      </c>
      <c r="F3" s="102">
        <f>E3*1000</f>
        <v>4325000</v>
      </c>
      <c r="G3" s="103">
        <f t="shared" ref="G3:G8" si="0">F3/$F$9</f>
        <v>2.0044491819993512E-2</v>
      </c>
      <c r="H3" s="102">
        <f t="shared" ref="H3:H8" si="1">F3/(365*24)</f>
        <v>493.72146118721463</v>
      </c>
      <c r="I3" s="97">
        <v>1973</v>
      </c>
      <c r="J3" s="103">
        <f>H3/I3</f>
        <v>0.25023895650644429</v>
      </c>
      <c r="K3" s="5">
        <f>E22</f>
        <v>53</v>
      </c>
      <c r="L3" s="5">
        <f>C33</f>
        <v>36</v>
      </c>
      <c r="M3" s="5">
        <v>23</v>
      </c>
      <c r="N3" s="98">
        <v>1313</v>
      </c>
      <c r="O3" s="104">
        <f>N3*1000</f>
        <v>1313000</v>
      </c>
      <c r="P3" s="104">
        <f>(O3*I3)/M3</f>
        <v>112632565.2173913</v>
      </c>
      <c r="Q3" s="104">
        <f>P3*0.11</f>
        <v>12389582.173913043</v>
      </c>
      <c r="R3" s="5">
        <v>0</v>
      </c>
    </row>
    <row r="4" spans="2:18" x14ac:dyDescent="0.45">
      <c r="B4" s="131"/>
      <c r="C4" s="4" t="s">
        <v>9</v>
      </c>
      <c r="D4" t="s">
        <v>5</v>
      </c>
      <c r="E4" s="101">
        <v>7387</v>
      </c>
      <c r="F4" s="97">
        <f t="shared" ref="F4:F8" si="2">E4*1000</f>
        <v>7387000</v>
      </c>
      <c r="G4" s="105">
        <f t="shared" si="0"/>
        <v>3.4235528572090654E-2</v>
      </c>
      <c r="H4" s="97">
        <f t="shared" si="1"/>
        <v>843.26484018264841</v>
      </c>
      <c r="I4" s="97">
        <v>2987</v>
      </c>
      <c r="J4" s="105">
        <f t="shared" ref="J4:J8" si="3">H4/I4</f>
        <v>0.28231163045954083</v>
      </c>
      <c r="K4" s="5">
        <f>E23</f>
        <v>12</v>
      </c>
      <c r="L4" s="5">
        <f t="shared" ref="L4:L8" si="4">C34</f>
        <v>38</v>
      </c>
      <c r="M4" s="5">
        <v>21</v>
      </c>
      <c r="N4" s="98">
        <v>1471</v>
      </c>
      <c r="O4" s="98">
        <f t="shared" ref="O4:O8" si="5">N4*1000</f>
        <v>1471000</v>
      </c>
      <c r="P4" s="98">
        <f t="shared" ref="P4:P8" si="6">(O4*I4)/M4</f>
        <v>209232238.09523809</v>
      </c>
      <c r="Q4" s="98">
        <f t="shared" ref="Q4:Q8" si="7">P4*0.11</f>
        <v>23015546.19047619</v>
      </c>
      <c r="R4" s="5">
        <v>0</v>
      </c>
    </row>
    <row r="5" spans="2:18" x14ac:dyDescent="0.45">
      <c r="B5" s="131"/>
      <c r="C5" s="4" t="s">
        <v>10</v>
      </c>
      <c r="D5" t="s">
        <v>33</v>
      </c>
      <c r="E5" s="101">
        <v>2870</v>
      </c>
      <c r="F5" s="97">
        <f t="shared" si="2"/>
        <v>2870000</v>
      </c>
      <c r="G5" s="105">
        <f t="shared" si="0"/>
        <v>1.3301200352226908E-2</v>
      </c>
      <c r="H5" s="97">
        <f t="shared" si="1"/>
        <v>327.6255707762557</v>
      </c>
      <c r="I5" s="97">
        <v>1339</v>
      </c>
      <c r="J5" s="105">
        <f t="shared" si="3"/>
        <v>0.24467929109503786</v>
      </c>
      <c r="K5" s="5">
        <f>E24</f>
        <v>9</v>
      </c>
      <c r="L5" s="5">
        <f>D35</f>
        <v>93</v>
      </c>
      <c r="M5" s="5">
        <v>13</v>
      </c>
      <c r="N5" s="98">
        <v>5316</v>
      </c>
      <c r="O5" s="98">
        <f t="shared" si="5"/>
        <v>5316000</v>
      </c>
      <c r="P5" s="98">
        <f t="shared" si="6"/>
        <v>547548000</v>
      </c>
      <c r="Q5" s="98">
        <f t="shared" si="7"/>
        <v>60230280</v>
      </c>
      <c r="R5" s="5">
        <v>0.75</v>
      </c>
    </row>
    <row r="6" spans="2:18" x14ac:dyDescent="0.45">
      <c r="B6" s="131"/>
      <c r="C6" s="4" t="s">
        <v>11</v>
      </c>
      <c r="D6" t="s">
        <v>22</v>
      </c>
      <c r="E6" s="101">
        <v>75328</v>
      </c>
      <c r="F6" s="97">
        <f t="shared" si="2"/>
        <v>75328000</v>
      </c>
      <c r="G6" s="105">
        <f t="shared" si="0"/>
        <v>0.34911248088242108</v>
      </c>
      <c r="H6" s="97">
        <f t="shared" si="1"/>
        <v>8599.0867579908681</v>
      </c>
      <c r="I6" s="97">
        <v>8907</v>
      </c>
      <c r="J6" s="105">
        <f t="shared" si="3"/>
        <v>0.96543019624911508</v>
      </c>
      <c r="K6" s="5">
        <f>E25</f>
        <v>6</v>
      </c>
      <c r="L6" s="5">
        <f t="shared" si="4"/>
        <v>167</v>
      </c>
      <c r="M6" s="5">
        <v>11</v>
      </c>
      <c r="N6" s="98">
        <v>6041</v>
      </c>
      <c r="O6" s="98">
        <f t="shared" si="5"/>
        <v>6041000</v>
      </c>
      <c r="P6" s="98">
        <f t="shared" si="6"/>
        <v>4891562454.545455</v>
      </c>
      <c r="Q6" s="98">
        <f t="shared" si="7"/>
        <v>538071870</v>
      </c>
      <c r="R6" s="5">
        <v>1</v>
      </c>
    </row>
    <row r="7" spans="2:18" x14ac:dyDescent="0.45">
      <c r="B7" s="131"/>
      <c r="C7" s="4" t="s">
        <v>12</v>
      </c>
      <c r="D7" t="s">
        <v>7</v>
      </c>
      <c r="E7" s="101">
        <v>48181</v>
      </c>
      <c r="F7" s="97">
        <f t="shared" si="2"/>
        <v>48181000</v>
      </c>
      <c r="G7" s="105">
        <f t="shared" si="0"/>
        <v>0.22329795615701906</v>
      </c>
      <c r="H7" s="97">
        <f t="shared" si="1"/>
        <v>5500.1141552511417</v>
      </c>
      <c r="I7" s="97">
        <v>15652</v>
      </c>
      <c r="J7" s="105">
        <f t="shared" si="3"/>
        <v>0.35140008658645167</v>
      </c>
      <c r="K7" s="5">
        <f>ROUND(AVERAGE(E26:E28),0)</f>
        <v>924</v>
      </c>
      <c r="L7" s="5">
        <f t="shared" si="4"/>
        <v>108</v>
      </c>
      <c r="M7" s="5">
        <v>11</v>
      </c>
      <c r="N7" s="98">
        <v>3676</v>
      </c>
      <c r="O7" s="98">
        <f t="shared" si="5"/>
        <v>3676000</v>
      </c>
      <c r="P7" s="98">
        <f t="shared" si="6"/>
        <v>5230613818.181818</v>
      </c>
      <c r="Q7" s="98">
        <f t="shared" si="7"/>
        <v>575367520</v>
      </c>
      <c r="R7" s="5">
        <v>0.65</v>
      </c>
    </row>
    <row r="8" spans="2:18" x14ac:dyDescent="0.45">
      <c r="B8" s="131"/>
      <c r="C8" s="4" t="s">
        <v>13</v>
      </c>
      <c r="D8" t="s">
        <v>34</v>
      </c>
      <c r="E8" s="101">
        <v>77679</v>
      </c>
      <c r="F8" s="97">
        <f t="shared" si="2"/>
        <v>77679000</v>
      </c>
      <c r="G8" s="105">
        <f t="shared" si="0"/>
        <v>0.36000834221624878</v>
      </c>
      <c r="H8" s="97">
        <f t="shared" si="1"/>
        <v>8867.465753424658</v>
      </c>
      <c r="I8" s="97">
        <v>19788</v>
      </c>
      <c r="J8" s="105">
        <f t="shared" si="3"/>
        <v>0.44812339566528492</v>
      </c>
      <c r="K8" s="5">
        <f>E29</f>
        <v>458</v>
      </c>
      <c r="L8" s="5">
        <f t="shared" si="4"/>
        <v>60</v>
      </c>
      <c r="M8" s="5">
        <v>40</v>
      </c>
      <c r="N8" s="98">
        <v>1084</v>
      </c>
      <c r="O8" s="98">
        <f t="shared" si="5"/>
        <v>1084000</v>
      </c>
      <c r="P8" s="98">
        <f t="shared" si="6"/>
        <v>536254800</v>
      </c>
      <c r="Q8" s="98">
        <f t="shared" si="7"/>
        <v>58988028</v>
      </c>
      <c r="R8" s="5">
        <v>0.25</v>
      </c>
    </row>
    <row r="9" spans="2:18" x14ac:dyDescent="0.45">
      <c r="B9" s="34"/>
      <c r="C9" s="34"/>
      <c r="D9" s="34"/>
      <c r="E9" s="99">
        <f>SUM(E3:E8)</f>
        <v>215770</v>
      </c>
      <c r="F9" s="99">
        <f>SUM(F3:F8)</f>
        <v>215770000</v>
      </c>
      <c r="G9" s="106">
        <f>SUM(G3:G8)</f>
        <v>1</v>
      </c>
      <c r="H9" s="99">
        <f>SUM(H3:H8)</f>
        <v>24631.278538812789</v>
      </c>
      <c r="I9" s="99">
        <f>SUM(I3:I8)</f>
        <v>50646</v>
      </c>
      <c r="J9" s="99"/>
      <c r="K9" s="100"/>
      <c r="L9" s="100"/>
      <c r="M9" s="100">
        <f>SUM(M3:M8)</f>
        <v>119</v>
      </c>
      <c r="N9" s="100"/>
      <c r="O9" s="100"/>
      <c r="P9" s="100"/>
      <c r="Q9" s="100"/>
      <c r="R9" s="100"/>
    </row>
    <row r="10" spans="2:18" ht="14.65" thickBot="1" x14ac:dyDescent="0.5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45">
      <c r="B11" s="132" t="s">
        <v>71</v>
      </c>
      <c r="C11" s="4" t="s">
        <v>14</v>
      </c>
      <c r="D11" t="s">
        <v>4</v>
      </c>
      <c r="E11" s="101">
        <v>4325</v>
      </c>
      <c r="F11" s="102">
        <f>E11*1000</f>
        <v>4325000</v>
      </c>
      <c r="G11" s="103">
        <f t="shared" ref="G11:G16" si="8">F11/$F$9</f>
        <v>2.0044491819993512E-2</v>
      </c>
      <c r="H11" s="102">
        <f t="shared" ref="H11:H16" si="9">F11/(365*24)</f>
        <v>493.72146118721463</v>
      </c>
      <c r="I11" s="97">
        <v>1973</v>
      </c>
      <c r="J11" s="103">
        <f>H11/I11</f>
        <v>0.25023895650644429</v>
      </c>
      <c r="K11" s="5">
        <f>K3</f>
        <v>53</v>
      </c>
      <c r="L11" s="5">
        <f>L3</f>
        <v>36</v>
      </c>
      <c r="M11" s="5">
        <v>23</v>
      </c>
      <c r="N11" s="98">
        <v>1313</v>
      </c>
      <c r="O11" s="104">
        <f>N11*1000</f>
        <v>1313000</v>
      </c>
      <c r="P11" s="104">
        <f t="shared" ref="P11:P16" si="10">(O11*I11)/M11</f>
        <v>112632565.2173913</v>
      </c>
      <c r="Q11" s="104">
        <f>P11*0.11</f>
        <v>12389582.173913043</v>
      </c>
      <c r="R11" s="5">
        <v>0</v>
      </c>
    </row>
    <row r="12" spans="2:18" x14ac:dyDescent="0.45">
      <c r="B12" s="133"/>
      <c r="C12" s="4" t="s">
        <v>15</v>
      </c>
      <c r="D12" t="s">
        <v>5</v>
      </c>
      <c r="E12" s="101">
        <v>7387</v>
      </c>
      <c r="F12" s="97">
        <f t="shared" ref="F12:F16" si="11">E12*1000</f>
        <v>7387000</v>
      </c>
      <c r="G12" s="105">
        <f t="shared" si="8"/>
        <v>3.4235528572090654E-2</v>
      </c>
      <c r="H12" s="97">
        <f t="shared" si="9"/>
        <v>843.26484018264841</v>
      </c>
      <c r="I12" s="97">
        <v>2987</v>
      </c>
      <c r="J12" s="105">
        <f t="shared" ref="J12:J16" si="12">H12/I12</f>
        <v>0.28231163045954083</v>
      </c>
      <c r="K12" s="5">
        <f t="shared" ref="K12:L16" si="13">K4</f>
        <v>12</v>
      </c>
      <c r="L12" s="5">
        <f t="shared" si="13"/>
        <v>38</v>
      </c>
      <c r="M12" s="5">
        <v>21</v>
      </c>
      <c r="N12" s="98">
        <v>1471</v>
      </c>
      <c r="O12" s="98">
        <f t="shared" ref="O12:O16" si="14">N12*1000</f>
        <v>1471000</v>
      </c>
      <c r="P12" s="98">
        <f t="shared" si="10"/>
        <v>209232238.09523809</v>
      </c>
      <c r="Q12" s="98">
        <f t="shared" ref="Q12:Q16" si="15">P12*0.11</f>
        <v>23015546.19047619</v>
      </c>
      <c r="R12" s="5">
        <v>0</v>
      </c>
    </row>
    <row r="13" spans="2:18" x14ac:dyDescent="0.45">
      <c r="B13" s="133"/>
      <c r="C13" s="4" t="s">
        <v>16</v>
      </c>
      <c r="D13" t="s">
        <v>33</v>
      </c>
      <c r="E13" s="101">
        <v>2870</v>
      </c>
      <c r="F13" s="97">
        <f t="shared" si="11"/>
        <v>2870000</v>
      </c>
      <c r="G13" s="105">
        <f t="shared" si="8"/>
        <v>1.3301200352226908E-2</v>
      </c>
      <c r="H13" s="97">
        <f t="shared" si="9"/>
        <v>327.6255707762557</v>
      </c>
      <c r="I13" s="97">
        <v>1339</v>
      </c>
      <c r="J13" s="105">
        <f t="shared" si="12"/>
        <v>0.24467929109503786</v>
      </c>
      <c r="K13" s="5">
        <f t="shared" si="13"/>
        <v>9</v>
      </c>
      <c r="L13" s="5">
        <f t="shared" si="13"/>
        <v>93</v>
      </c>
      <c r="M13" s="5">
        <v>13</v>
      </c>
      <c r="N13" s="98">
        <v>5316</v>
      </c>
      <c r="O13" s="98">
        <f t="shared" si="14"/>
        <v>5316000</v>
      </c>
      <c r="P13" s="98">
        <f t="shared" si="10"/>
        <v>547548000</v>
      </c>
      <c r="Q13" s="98">
        <f t="shared" si="15"/>
        <v>60230280</v>
      </c>
      <c r="R13" s="5">
        <v>0.75</v>
      </c>
    </row>
    <row r="14" spans="2:18" x14ac:dyDescent="0.45">
      <c r="B14" s="133"/>
      <c r="C14" s="4" t="s">
        <v>17</v>
      </c>
      <c r="D14" t="s">
        <v>22</v>
      </c>
      <c r="E14" s="101">
        <v>75328</v>
      </c>
      <c r="F14" s="97">
        <f t="shared" si="11"/>
        <v>75328000</v>
      </c>
      <c r="G14" s="105">
        <f t="shared" si="8"/>
        <v>0.34911248088242108</v>
      </c>
      <c r="H14" s="97">
        <f t="shared" si="9"/>
        <v>8599.0867579908681</v>
      </c>
      <c r="I14" s="97">
        <v>8907</v>
      </c>
      <c r="J14" s="105">
        <f t="shared" si="12"/>
        <v>0.96543019624911508</v>
      </c>
      <c r="K14" s="5">
        <f t="shared" si="13"/>
        <v>6</v>
      </c>
      <c r="L14" s="5">
        <f t="shared" si="13"/>
        <v>167</v>
      </c>
      <c r="M14" s="5">
        <v>11</v>
      </c>
      <c r="N14" s="98">
        <v>6041</v>
      </c>
      <c r="O14" s="98">
        <f t="shared" si="14"/>
        <v>6041000</v>
      </c>
      <c r="P14" s="98">
        <f t="shared" si="10"/>
        <v>4891562454.545455</v>
      </c>
      <c r="Q14" s="98">
        <f t="shared" si="15"/>
        <v>538071870</v>
      </c>
      <c r="R14" s="5">
        <v>1</v>
      </c>
    </row>
    <row r="15" spans="2:18" x14ac:dyDescent="0.45">
      <c r="B15" s="133"/>
      <c r="C15" s="4" t="s">
        <v>18</v>
      </c>
      <c r="D15" t="s">
        <v>7</v>
      </c>
      <c r="E15" s="101">
        <v>48181</v>
      </c>
      <c r="F15" s="97">
        <f t="shared" si="11"/>
        <v>48181000</v>
      </c>
      <c r="G15" s="105">
        <f t="shared" si="8"/>
        <v>0.22329795615701906</v>
      </c>
      <c r="H15" s="97">
        <f t="shared" si="9"/>
        <v>5500.1141552511417</v>
      </c>
      <c r="I15" s="97">
        <v>15652</v>
      </c>
      <c r="J15" s="105">
        <f t="shared" si="12"/>
        <v>0.35140008658645167</v>
      </c>
      <c r="K15" s="5">
        <f t="shared" si="13"/>
        <v>924</v>
      </c>
      <c r="L15" s="5">
        <f t="shared" si="13"/>
        <v>108</v>
      </c>
      <c r="M15" s="5">
        <v>11</v>
      </c>
      <c r="N15" s="98">
        <v>3676</v>
      </c>
      <c r="O15" s="98">
        <f t="shared" si="14"/>
        <v>3676000</v>
      </c>
      <c r="P15" s="98">
        <f t="shared" si="10"/>
        <v>5230613818.181818</v>
      </c>
      <c r="Q15" s="98">
        <f t="shared" si="15"/>
        <v>575367520</v>
      </c>
      <c r="R15" s="5">
        <v>0.65</v>
      </c>
    </row>
    <row r="16" spans="2:18" x14ac:dyDescent="0.45">
      <c r="B16" s="133"/>
      <c r="C16" s="4" t="s">
        <v>19</v>
      </c>
      <c r="D16" t="s">
        <v>34</v>
      </c>
      <c r="E16" s="101">
        <v>77679</v>
      </c>
      <c r="F16" s="97">
        <f t="shared" si="11"/>
        <v>77679000</v>
      </c>
      <c r="G16" s="105">
        <f t="shared" si="8"/>
        <v>0.36000834221624878</v>
      </c>
      <c r="H16" s="97">
        <f t="shared" si="9"/>
        <v>8867.465753424658</v>
      </c>
      <c r="I16" s="97">
        <v>19788</v>
      </c>
      <c r="J16" s="105">
        <f t="shared" si="12"/>
        <v>0.44812339566528492</v>
      </c>
      <c r="K16" s="5">
        <f t="shared" si="13"/>
        <v>458</v>
      </c>
      <c r="L16" s="5">
        <f t="shared" si="13"/>
        <v>60</v>
      </c>
      <c r="M16" s="5">
        <v>40</v>
      </c>
      <c r="N16" s="98">
        <v>1084</v>
      </c>
      <c r="O16" s="98">
        <f t="shared" si="14"/>
        <v>1084000</v>
      </c>
      <c r="P16" s="98">
        <f t="shared" si="10"/>
        <v>536254800</v>
      </c>
      <c r="Q16" s="98">
        <f t="shared" si="15"/>
        <v>58988028</v>
      </c>
      <c r="R16" s="5">
        <v>0.25</v>
      </c>
    </row>
    <row r="17" spans="2:18" x14ac:dyDescent="0.45">
      <c r="B17" s="34"/>
      <c r="C17" s="34"/>
      <c r="D17" s="34"/>
      <c r="E17" s="99">
        <f>SUM(E11:E16)</f>
        <v>215770</v>
      </c>
      <c r="F17" s="99">
        <f>SUM(F11:F16)</f>
        <v>215770000</v>
      </c>
      <c r="G17" s="106">
        <f>SUM(G11:G16)</f>
        <v>1</v>
      </c>
      <c r="H17" s="99">
        <f>SUM(H11:H16)</f>
        <v>24631.278538812789</v>
      </c>
      <c r="I17" s="99">
        <f>SUM(I11:I16)</f>
        <v>50646</v>
      </c>
      <c r="J17" s="99"/>
      <c r="K17" s="100"/>
      <c r="L17" s="100"/>
      <c r="M17" s="100">
        <f>SUM(M11:M16)</f>
        <v>119</v>
      </c>
      <c r="N17" s="100"/>
      <c r="O17" s="100"/>
      <c r="P17" s="100"/>
      <c r="Q17" s="100"/>
      <c r="R17" s="100"/>
    </row>
    <row r="18" spans="2:18" x14ac:dyDescent="0.45">
      <c r="E18" s="27"/>
      <c r="F18" s="27"/>
      <c r="G18" s="33"/>
      <c r="H18" s="27"/>
      <c r="I18" s="27"/>
      <c r="J18" s="27"/>
    </row>
    <row r="19" spans="2:18" s="127" customFormat="1" ht="14.65" thickBot="1" x14ac:dyDescent="0.5">
      <c r="B19" s="31" t="s">
        <v>124</v>
      </c>
      <c r="R19" s="128"/>
    </row>
    <row r="20" spans="2:18" ht="14.65" thickBot="1" x14ac:dyDescent="0.5">
      <c r="B20" s="54" t="s">
        <v>38</v>
      </c>
      <c r="C20" s="55"/>
      <c r="D20" s="55"/>
      <c r="E20" s="56"/>
    </row>
    <row r="21" spans="2:18" ht="14.65" thickBot="1" x14ac:dyDescent="0.5">
      <c r="B21" s="50" t="s">
        <v>52</v>
      </c>
      <c r="C21" s="47" t="s">
        <v>39</v>
      </c>
      <c r="D21" s="43" t="s">
        <v>40</v>
      </c>
      <c r="E21" s="44" t="s">
        <v>41</v>
      </c>
    </row>
    <row r="22" spans="2:18" x14ac:dyDescent="0.45">
      <c r="B22" s="51" t="s">
        <v>42</v>
      </c>
      <c r="C22" s="16">
        <v>23</v>
      </c>
      <c r="D22" s="15">
        <v>82</v>
      </c>
      <c r="E22" s="42">
        <f>ROUND(AVERAGE(C22,D22),0)</f>
        <v>53</v>
      </c>
    </row>
    <row r="23" spans="2:18" x14ac:dyDescent="0.45">
      <c r="B23" s="52" t="s">
        <v>43</v>
      </c>
      <c r="C23" s="17">
        <v>7.8</v>
      </c>
      <c r="D23" s="14">
        <v>16</v>
      </c>
      <c r="E23" s="39">
        <f t="shared" ref="E23:E28" si="16">ROUND(AVERAGE(C23,D23),0)</f>
        <v>12</v>
      </c>
    </row>
    <row r="24" spans="2:18" x14ac:dyDescent="0.45">
      <c r="B24" s="52" t="s">
        <v>45</v>
      </c>
      <c r="C24" s="17">
        <v>6.1</v>
      </c>
      <c r="D24" s="14">
        <v>11</v>
      </c>
      <c r="E24" s="39">
        <f t="shared" si="16"/>
        <v>9</v>
      </c>
    </row>
    <row r="25" spans="2:18" x14ac:dyDescent="0.45">
      <c r="B25" s="52" t="s">
        <v>46</v>
      </c>
      <c r="C25" s="17">
        <v>4.9000000000000004</v>
      </c>
      <c r="D25" s="14">
        <v>6.3</v>
      </c>
      <c r="E25" s="39">
        <f t="shared" si="16"/>
        <v>6</v>
      </c>
    </row>
    <row r="26" spans="2:18" x14ac:dyDescent="0.45">
      <c r="B26" s="52" t="s">
        <v>48</v>
      </c>
      <c r="C26" s="17">
        <v>912</v>
      </c>
      <c r="D26" s="14">
        <v>1095</v>
      </c>
      <c r="E26" s="39">
        <f t="shared" si="16"/>
        <v>1004</v>
      </c>
    </row>
    <row r="27" spans="2:18" x14ac:dyDescent="0.45">
      <c r="B27" s="52" t="s">
        <v>50</v>
      </c>
      <c r="C27" s="17">
        <v>753</v>
      </c>
      <c r="D27" s="14">
        <v>912</v>
      </c>
      <c r="E27" s="39">
        <f t="shared" si="16"/>
        <v>833</v>
      </c>
    </row>
    <row r="28" spans="2:18" x14ac:dyDescent="0.45">
      <c r="B28" s="52" t="s">
        <v>49</v>
      </c>
      <c r="C28" s="17">
        <v>850</v>
      </c>
      <c r="D28" s="14">
        <v>1021</v>
      </c>
      <c r="E28" s="39">
        <f t="shared" si="16"/>
        <v>936</v>
      </c>
    </row>
    <row r="29" spans="2:18" ht="14.65" thickBot="1" x14ac:dyDescent="0.5">
      <c r="B29" s="53" t="s">
        <v>47</v>
      </c>
      <c r="C29" s="48">
        <v>403</v>
      </c>
      <c r="D29" s="40">
        <v>513</v>
      </c>
      <c r="E29" s="41">
        <f>ROUND(AVERAGE(C29,D29),0)</f>
        <v>458</v>
      </c>
    </row>
    <row r="31" spans="2:18" s="127" customFormat="1" ht="14.65" thickBot="1" x14ac:dyDescent="0.5">
      <c r="B31" s="31" t="s">
        <v>125</v>
      </c>
    </row>
    <row r="32" spans="2:18" ht="42.4" customHeight="1" thickBot="1" x14ac:dyDescent="0.5">
      <c r="B32" s="50" t="s">
        <v>52</v>
      </c>
      <c r="C32" s="49" t="s">
        <v>53</v>
      </c>
      <c r="D32" s="46" t="s">
        <v>97</v>
      </c>
      <c r="H32" s="1"/>
      <c r="I32" s="1"/>
      <c r="J32" s="1"/>
    </row>
    <row r="33" spans="2:4" x14ac:dyDescent="0.45">
      <c r="B33" s="51" t="s">
        <v>54</v>
      </c>
      <c r="C33" s="16">
        <v>36</v>
      </c>
      <c r="D33" s="42"/>
    </row>
    <row r="34" spans="2:4" x14ac:dyDescent="0.45">
      <c r="B34" s="52" t="s">
        <v>5</v>
      </c>
      <c r="C34" s="17">
        <v>38</v>
      </c>
      <c r="D34" s="39"/>
    </row>
    <row r="35" spans="2:4" x14ac:dyDescent="0.45">
      <c r="B35" s="52" t="s">
        <v>33</v>
      </c>
      <c r="C35" s="17"/>
      <c r="D35" s="39">
        <v>93</v>
      </c>
    </row>
    <row r="36" spans="2:4" x14ac:dyDescent="0.45">
      <c r="B36" s="52" t="s">
        <v>22</v>
      </c>
      <c r="C36" s="17">
        <v>167</v>
      </c>
      <c r="D36" s="39"/>
    </row>
    <row r="37" spans="2:4" x14ac:dyDescent="0.45">
      <c r="B37" s="52" t="s">
        <v>7</v>
      </c>
      <c r="C37" s="17">
        <v>108</v>
      </c>
      <c r="D37" s="39"/>
    </row>
    <row r="38" spans="2:4" ht="14.65" thickBot="1" x14ac:dyDescent="0.5">
      <c r="B38" s="53" t="s">
        <v>34</v>
      </c>
      <c r="C38" s="48">
        <v>60</v>
      </c>
      <c r="D38" s="41"/>
    </row>
    <row r="40" spans="2:4" x14ac:dyDescent="0.45">
      <c r="B40" s="31" t="s">
        <v>62</v>
      </c>
    </row>
    <row r="41" spans="2:4" x14ac:dyDescent="0.45">
      <c r="B41" t="s">
        <v>63</v>
      </c>
    </row>
    <row r="42" spans="2:4" x14ac:dyDescent="0.45">
      <c r="B42" t="s">
        <v>66</v>
      </c>
    </row>
    <row r="43" spans="2:4" x14ac:dyDescent="0.45">
      <c r="B43" t="s">
        <v>67</v>
      </c>
    </row>
    <row r="44" spans="2:4" x14ac:dyDescent="0.45">
      <c r="B44" t="s">
        <v>98</v>
      </c>
    </row>
    <row r="45" spans="2:4" x14ac:dyDescent="0.45">
      <c r="B45" t="s">
        <v>68</v>
      </c>
    </row>
    <row r="46" spans="2:4" x14ac:dyDescent="0.45">
      <c r="B46" t="s">
        <v>69</v>
      </c>
    </row>
    <row r="48" spans="2:4" x14ac:dyDescent="0.45">
      <c r="B48" s="31" t="s">
        <v>37</v>
      </c>
    </row>
    <row r="49" spans="2:2" s="123" customFormat="1" x14ac:dyDescent="0.45">
      <c r="B49" s="123" t="s">
        <v>114</v>
      </c>
    </row>
    <row r="50" spans="2:2" s="123" customFormat="1" x14ac:dyDescent="0.45">
      <c r="B50" s="129" t="s">
        <v>115</v>
      </c>
    </row>
    <row r="51" spans="2:2" s="123" customFormat="1" x14ac:dyDescent="0.45">
      <c r="B51" s="130" t="s">
        <v>123</v>
      </c>
    </row>
    <row r="52" spans="2:2" s="123" customFormat="1" x14ac:dyDescent="0.45">
      <c r="B52" s="123" t="s">
        <v>127</v>
      </c>
    </row>
    <row r="53" spans="2:2" s="123" customFormat="1" x14ac:dyDescent="0.45">
      <c r="B53" s="123" t="s">
        <v>126</v>
      </c>
    </row>
    <row r="54" spans="2:2" s="123" customFormat="1" x14ac:dyDescent="0.45">
      <c r="B54" s="123" t="s">
        <v>118</v>
      </c>
    </row>
    <row r="55" spans="2:2" s="123" customFormat="1" x14ac:dyDescent="0.45">
      <c r="B55" s="123" t="s">
        <v>112</v>
      </c>
    </row>
    <row r="56" spans="2:2" s="123" customFormat="1" x14ac:dyDescent="0.45">
      <c r="B56" s="123" t="s">
        <v>121</v>
      </c>
    </row>
    <row r="57" spans="2:2" s="123" customFormat="1" x14ac:dyDescent="0.45">
      <c r="B57" s="123" t="s">
        <v>113</v>
      </c>
    </row>
    <row r="58" spans="2:2" s="123" customFormat="1" x14ac:dyDescent="0.45">
      <c r="B58" s="123" t="s">
        <v>120</v>
      </c>
    </row>
    <row r="59" spans="2:2" s="123" customFormat="1" x14ac:dyDescent="0.45">
      <c r="B59" s="123" t="s">
        <v>117</v>
      </c>
    </row>
    <row r="60" spans="2:2" s="123" customFormat="1" x14ac:dyDescent="0.45"/>
    <row r="61" spans="2:2" s="123" customFormat="1" x14ac:dyDescent="0.45">
      <c r="B61" s="129"/>
    </row>
    <row r="62" spans="2:2" s="123" customFormat="1" x14ac:dyDescent="0.45">
      <c r="B62" s="130"/>
    </row>
    <row r="63" spans="2:2" s="123" customFormat="1" x14ac:dyDescent="0.45"/>
    <row r="64" spans="2:2" s="123" customFormat="1" x14ac:dyDescent="0.45"/>
    <row r="65" s="123" customFormat="1" x14ac:dyDescent="0.45"/>
    <row r="66" s="123" customFormat="1" x14ac:dyDescent="0.45"/>
    <row r="67" s="123" customFormat="1" x14ac:dyDescent="0.45"/>
    <row r="68" s="123" customFormat="1" x14ac:dyDescent="0.45"/>
    <row r="69" s="123" customFormat="1" x14ac:dyDescent="0.45"/>
    <row r="70" s="123" customFormat="1" x14ac:dyDescent="0.45"/>
  </sheetData>
  <mergeCells count="2">
    <mergeCell ref="B3:B8"/>
    <mergeCell ref="B11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E3EB-1F05-4713-9C6E-3C0D2CB742F4}">
  <dimension ref="B1:U25"/>
  <sheetViews>
    <sheetView zoomScale="90" zoomScaleNormal="90" workbookViewId="0">
      <selection activeCell="B9" sqref="B9"/>
    </sheetView>
  </sheetViews>
  <sheetFormatPr defaultRowHeight="14.25" x14ac:dyDescent="0.45"/>
  <cols>
    <col min="1" max="1" width="2.6640625" customWidth="1"/>
    <col min="2" max="2" width="28.1328125" customWidth="1"/>
    <col min="3" max="3" width="0.796875" customWidth="1"/>
    <col min="4" max="4" width="17.53125" bestFit="1" customWidth="1"/>
    <col min="5" max="5" width="14" bestFit="1" customWidth="1"/>
    <col min="6" max="16" width="17.33203125" customWidth="1"/>
    <col min="17" max="17" width="17.3984375" customWidth="1"/>
    <col min="18" max="18" width="23.1328125" bestFit="1" customWidth="1"/>
    <col min="19" max="19" width="17.3984375" customWidth="1"/>
    <col min="20" max="20" width="20" bestFit="1" customWidth="1"/>
    <col min="21" max="21" width="17.3984375" customWidth="1"/>
  </cols>
  <sheetData>
    <row r="1" spans="2:21" ht="14.65" thickBot="1" x14ac:dyDescent="0.5"/>
    <row r="2" spans="2:21" ht="14.65" thickBot="1" x14ac:dyDescent="0.5">
      <c r="G2" s="134" t="s">
        <v>76</v>
      </c>
      <c r="H2" s="135"/>
      <c r="I2" s="135"/>
      <c r="J2" s="135"/>
      <c r="K2" s="136"/>
    </row>
    <row r="3" spans="2:21" ht="14.65" thickBot="1" x14ac:dyDescent="0.5">
      <c r="B3" s="11"/>
      <c r="G3" s="65" t="s">
        <v>23</v>
      </c>
      <c r="H3" s="49" t="s">
        <v>75</v>
      </c>
      <c r="I3" s="45" t="s">
        <v>27</v>
      </c>
      <c r="J3" s="45" t="s">
        <v>28</v>
      </c>
      <c r="K3" s="46" t="s">
        <v>78</v>
      </c>
    </row>
    <row r="4" spans="2:21" ht="35.75" customHeight="1" x14ac:dyDescent="0.45">
      <c r="B4" s="1"/>
      <c r="G4" s="18"/>
      <c r="H4" s="63">
        <f>((K12*N12)+(K13*N13)+(K14*N14)+(K15*N15)+(K16*N16)+(K17*N17))-((K18*N18)+(K19*N19)+(K20*N20)+(K21*N21)+(K22*N22)+(K23*N23))</f>
        <v>4038.1469979286194</v>
      </c>
      <c r="I4" s="62">
        <v>0</v>
      </c>
      <c r="J4" s="62">
        <f>SUM(J12:J17)*0.01</f>
        <v>2157700</v>
      </c>
      <c r="K4" s="86" t="s">
        <v>102</v>
      </c>
    </row>
    <row r="5" spans="2:21" ht="35.75" customHeight="1" thickBot="1" x14ac:dyDescent="0.5">
      <c r="B5" s="1"/>
      <c r="G5" s="19"/>
      <c r="H5" s="64">
        <f>(M12*P12+M13*P13+M14*P14+M15*P15+M16*P16+M17*P17)-(M18*P18+M19*P19+M20*P20+M21*P21+M22*P22+M23*P23)</f>
        <v>545968.75</v>
      </c>
      <c r="I5" s="60">
        <f>-((J12*M12)+(J13*M13)+(J14*M14)+(J15*M15)+(J16*M16)+(J17*M17))*0.01</f>
        <v>-1282179</v>
      </c>
      <c r="J5" s="59">
        <f>((J12*M12)+(J13*M13)+(J14*M14)+(J15*M15)+(J16*M16)+(J17*M17))*0.01</f>
        <v>1282179</v>
      </c>
      <c r="K5" s="83" t="s">
        <v>79</v>
      </c>
    </row>
    <row r="6" spans="2:21" ht="35.75" customHeight="1" thickBot="1" x14ac:dyDescent="0.5">
      <c r="B6" s="1"/>
      <c r="G6" s="19" t="s">
        <v>26</v>
      </c>
      <c r="H6" s="84">
        <f>(I12*N12)+(I13*N13)+(I14*N14)+(I15*N15)+(I16*N16)+(I17*N17)+(I18*N18)+(I19*N19)+(I20*N20)+(I21*N21)+(I22*N22)+(I23*N23)</f>
        <v>62969252633.517036</v>
      </c>
      <c r="I6" s="61">
        <v>50000000000</v>
      </c>
      <c r="J6" s="61">
        <v>63000000000</v>
      </c>
      <c r="K6" s="83" t="s">
        <v>80</v>
      </c>
      <c r="R6" s="112" t="s">
        <v>95</v>
      </c>
      <c r="S6" s="113" t="s">
        <v>96</v>
      </c>
      <c r="T6" s="114" t="s">
        <v>94</v>
      </c>
    </row>
    <row r="7" spans="2:21" ht="35.65" customHeight="1" thickBot="1" x14ac:dyDescent="0.5">
      <c r="B7" s="1"/>
      <c r="G7" s="85" t="s">
        <v>77</v>
      </c>
      <c r="H7" s="137" t="s">
        <v>101</v>
      </c>
      <c r="I7" s="138"/>
      <c r="J7" s="138"/>
      <c r="K7" s="139"/>
      <c r="R7" s="28">
        <f>D9</f>
        <v>-60641222448.115944</v>
      </c>
      <c r="S7" s="95">
        <f>'Minimize LCOE Cost'!S24</f>
        <v>80891893000</v>
      </c>
      <c r="T7" s="32">
        <f>R7/S7</f>
        <v>-0.7496576010171494</v>
      </c>
      <c r="U7" s="65" t="s">
        <v>104</v>
      </c>
    </row>
    <row r="8" spans="2:21" ht="14.65" thickBot="1" x14ac:dyDescent="0.5"/>
    <row r="9" spans="2:21" ht="14.65" thickBot="1" x14ac:dyDescent="0.5">
      <c r="B9" s="58" t="s">
        <v>99</v>
      </c>
      <c r="D9" s="80">
        <f>((N12*G12*K12)+(N13*K13*G13)+(N14*K14*G14)+(N15*K15*G15)+(N16*K16*G16)+(N17*K17*G17))-((N18*K18*G18)+(N19*K19*G19)+(N20*K20*G20)+(N21*K21*G21)+(N22*K22*G22)+(N23*K23*G23))</f>
        <v>-60641222448.115944</v>
      </c>
      <c r="E9" s="82">
        <f>ROUND(D9/1000,2)</f>
        <v>-60641222.450000003</v>
      </c>
      <c r="F9" s="82" t="s">
        <v>29</v>
      </c>
      <c r="K9" s="4"/>
      <c r="T9" s="1"/>
    </row>
    <row r="10" spans="2:21" ht="14.65" thickBot="1" x14ac:dyDescent="0.5">
      <c r="G10" s="81" t="s">
        <v>20</v>
      </c>
      <c r="H10" s="6"/>
      <c r="I10" s="7"/>
      <c r="J10" s="7"/>
      <c r="K10" s="6"/>
      <c r="L10" s="6"/>
      <c r="M10" s="6"/>
    </row>
    <row r="11" spans="2:21" s="2" customFormat="1" ht="28.9" thickBot="1" x14ac:dyDescent="0.5">
      <c r="B11" s="13" t="s">
        <v>82</v>
      </c>
      <c r="D11" s="57" t="s">
        <v>0</v>
      </c>
      <c r="E11" s="35" t="s">
        <v>73</v>
      </c>
      <c r="F11" s="36" t="s">
        <v>72</v>
      </c>
      <c r="G11" s="29" t="s">
        <v>100</v>
      </c>
      <c r="H11" s="29" t="s">
        <v>87</v>
      </c>
      <c r="I11" s="29" t="s">
        <v>3</v>
      </c>
      <c r="J11" s="36" t="s">
        <v>74</v>
      </c>
      <c r="K11" s="29" t="s">
        <v>24</v>
      </c>
      <c r="L11" s="29" t="s">
        <v>90</v>
      </c>
      <c r="M11" s="29" t="s">
        <v>21</v>
      </c>
      <c r="N11" s="29" t="s">
        <v>2</v>
      </c>
      <c r="O11" s="29" t="s">
        <v>89</v>
      </c>
      <c r="P11" s="36" t="s">
        <v>25</v>
      </c>
      <c r="Q11" s="115" t="s">
        <v>88</v>
      </c>
      <c r="R11" s="116" t="s">
        <v>91</v>
      </c>
      <c r="S11" s="113" t="s">
        <v>92</v>
      </c>
      <c r="T11" s="114" t="s">
        <v>93</v>
      </c>
    </row>
    <row r="12" spans="2:21" ht="14.25" customHeight="1" x14ac:dyDescent="0.45">
      <c r="B12" s="9" t="s">
        <v>103</v>
      </c>
      <c r="D12" s="140" t="s">
        <v>70</v>
      </c>
      <c r="E12" s="109" t="s">
        <v>8</v>
      </c>
      <c r="F12" s="74" t="s">
        <v>4</v>
      </c>
      <c r="G12" s="91">
        <v>52.5</v>
      </c>
      <c r="H12" s="75">
        <f>Data!L3</f>
        <v>36</v>
      </c>
      <c r="I12" s="75">
        <f>Data!P3</f>
        <v>112632565.2173913</v>
      </c>
      <c r="J12" s="76">
        <f>Data!F3</f>
        <v>4325000</v>
      </c>
      <c r="K12" s="76">
        <f>Data!F3/Data!M3</f>
        <v>188043.47826086957</v>
      </c>
      <c r="M12" s="4">
        <f>Data!R3</f>
        <v>0</v>
      </c>
      <c r="N12" s="87">
        <v>2</v>
      </c>
      <c r="O12" s="107">
        <f t="shared" ref="O12:O17" si="0">N12*N18</f>
        <v>0</v>
      </c>
      <c r="P12" s="77">
        <f>N12*K12</f>
        <v>376086.95652173914</v>
      </c>
      <c r="Q12" s="71">
        <v>2</v>
      </c>
      <c r="R12" s="22">
        <f>P12*H12</f>
        <v>13539130.434782609</v>
      </c>
      <c r="S12" s="22">
        <f>H12*J12</f>
        <v>155700000</v>
      </c>
      <c r="T12" s="33">
        <f t="shared" ref="T12:T17" si="1">R12/S12</f>
        <v>8.6956521739130432E-2</v>
      </c>
    </row>
    <row r="13" spans="2:21" x14ac:dyDescent="0.45">
      <c r="B13" s="9" t="s">
        <v>103</v>
      </c>
      <c r="D13" s="131"/>
      <c r="E13" s="110" t="s">
        <v>9</v>
      </c>
      <c r="F13" t="s">
        <v>5</v>
      </c>
      <c r="G13" s="108">
        <v>11.9</v>
      </c>
      <c r="H13" s="8">
        <f>Data!L4</f>
        <v>38</v>
      </c>
      <c r="I13" s="8">
        <f>Data!P4</f>
        <v>209232238.09523809</v>
      </c>
      <c r="J13" s="72">
        <f>Data!F4</f>
        <v>7387000</v>
      </c>
      <c r="K13" s="72">
        <f>Data!F4/Data!M4</f>
        <v>351761.90476190473</v>
      </c>
      <c r="M13" s="4">
        <f>Data!R4</f>
        <v>0</v>
      </c>
      <c r="N13" s="88">
        <v>124</v>
      </c>
      <c r="O13" s="107">
        <f t="shared" si="0"/>
        <v>0</v>
      </c>
      <c r="P13" s="78">
        <f t="shared" ref="P13:P23" si="2">N13*K13</f>
        <v>43618476.190476187</v>
      </c>
      <c r="Q13" s="71">
        <v>124</v>
      </c>
      <c r="R13" s="22">
        <f t="shared" ref="R13:R23" si="3">P13*H13</f>
        <v>1657502095.238095</v>
      </c>
      <c r="S13" s="22">
        <f t="shared" ref="S13:S17" si="4">H13*J13</f>
        <v>280706000</v>
      </c>
      <c r="T13" s="33">
        <f t="shared" si="1"/>
        <v>5.9047619047619042</v>
      </c>
    </row>
    <row r="14" spans="2:21" x14ac:dyDescent="0.45">
      <c r="B14" s="9" t="s">
        <v>103</v>
      </c>
      <c r="D14" s="131"/>
      <c r="E14" s="110" t="s">
        <v>10</v>
      </c>
      <c r="F14" t="s">
        <v>33</v>
      </c>
      <c r="G14" s="108">
        <v>8.5500000000000007</v>
      </c>
      <c r="H14" s="8">
        <f>Data!L5</f>
        <v>93</v>
      </c>
      <c r="I14" s="8">
        <f>Data!P5</f>
        <v>547548000</v>
      </c>
      <c r="J14" s="72">
        <f>Data!F5</f>
        <v>2870000</v>
      </c>
      <c r="K14" s="72">
        <f>Data!F5/Data!M5</f>
        <v>220769.23076923078</v>
      </c>
      <c r="M14" s="4">
        <f>Data!R5</f>
        <v>0.75</v>
      </c>
      <c r="N14" s="88">
        <v>0</v>
      </c>
      <c r="O14" s="107">
        <f t="shared" si="0"/>
        <v>0</v>
      </c>
      <c r="P14" s="78">
        <f>N14*K14</f>
        <v>0</v>
      </c>
      <c r="Q14" s="71">
        <v>0</v>
      </c>
      <c r="R14" s="22">
        <f t="shared" si="3"/>
        <v>0</v>
      </c>
      <c r="S14" s="22">
        <f t="shared" si="4"/>
        <v>266910000</v>
      </c>
      <c r="T14" s="33">
        <f t="shared" si="1"/>
        <v>0</v>
      </c>
    </row>
    <row r="15" spans="2:21" x14ac:dyDescent="0.45">
      <c r="B15" s="9" t="s">
        <v>103</v>
      </c>
      <c r="D15" s="131"/>
      <c r="E15" s="110" t="s">
        <v>11</v>
      </c>
      <c r="F15" t="s">
        <v>6</v>
      </c>
      <c r="G15" s="108">
        <v>5.6</v>
      </c>
      <c r="H15" s="8">
        <f>Data!L6</f>
        <v>167</v>
      </c>
      <c r="I15" s="8">
        <f>Data!P6</f>
        <v>4891562454.545455</v>
      </c>
      <c r="J15" s="72">
        <f>Data!F6</f>
        <v>75328000</v>
      </c>
      <c r="K15" s="72">
        <f>Data!F6/Data!M6</f>
        <v>6848000</v>
      </c>
      <c r="M15" s="4">
        <f>Data!R6</f>
        <v>1</v>
      </c>
      <c r="N15" s="88">
        <v>6</v>
      </c>
      <c r="O15" s="107">
        <f t="shared" si="0"/>
        <v>0</v>
      </c>
      <c r="P15" s="78">
        <f t="shared" si="2"/>
        <v>41088000</v>
      </c>
      <c r="Q15" s="71">
        <v>6</v>
      </c>
      <c r="R15" s="22">
        <f t="shared" si="3"/>
        <v>6861696000</v>
      </c>
      <c r="S15" s="22">
        <f t="shared" si="4"/>
        <v>12579776000</v>
      </c>
      <c r="T15" s="33">
        <f t="shared" si="1"/>
        <v>0.54545454545454541</v>
      </c>
      <c r="U15" s="24"/>
    </row>
    <row r="16" spans="2:21" x14ac:dyDescent="0.45">
      <c r="B16" s="9" t="s">
        <v>81</v>
      </c>
      <c r="D16" s="131"/>
      <c r="E16" s="110" t="s">
        <v>12</v>
      </c>
      <c r="F16" t="s">
        <v>7</v>
      </c>
      <c r="G16" s="108">
        <v>923.83</v>
      </c>
      <c r="H16" s="8">
        <f>Data!L7</f>
        <v>108</v>
      </c>
      <c r="I16" s="8">
        <f>Data!P7</f>
        <v>5230613818.181818</v>
      </c>
      <c r="J16" s="72">
        <f>Data!F7</f>
        <v>48181000</v>
      </c>
      <c r="K16" s="72">
        <f>Data!F7/Data!M7</f>
        <v>4380090.9090909092</v>
      </c>
      <c r="M16" s="4">
        <f>Data!R7</f>
        <v>0.65</v>
      </c>
      <c r="N16" s="88">
        <v>0</v>
      </c>
      <c r="O16" s="107">
        <f t="shared" si="0"/>
        <v>0</v>
      </c>
      <c r="P16" s="78">
        <f t="shared" si="2"/>
        <v>0</v>
      </c>
      <c r="Q16" s="71">
        <v>0</v>
      </c>
      <c r="R16" s="22">
        <f t="shared" si="3"/>
        <v>0</v>
      </c>
      <c r="S16" s="22">
        <f t="shared" si="4"/>
        <v>5203548000</v>
      </c>
      <c r="T16" s="33">
        <f t="shared" si="1"/>
        <v>0</v>
      </c>
    </row>
    <row r="17" spans="2:21" x14ac:dyDescent="0.45">
      <c r="B17" s="9" t="s">
        <v>81</v>
      </c>
      <c r="D17" s="131"/>
      <c r="E17" s="110" t="s">
        <v>13</v>
      </c>
      <c r="F17" t="s">
        <v>35</v>
      </c>
      <c r="G17" s="108">
        <v>458</v>
      </c>
      <c r="H17" s="8">
        <f>Data!L8</f>
        <v>60</v>
      </c>
      <c r="I17" s="8">
        <f>Data!P8</f>
        <v>536254800</v>
      </c>
      <c r="J17" s="72">
        <f>Data!F8</f>
        <v>77679000</v>
      </c>
      <c r="K17" s="72">
        <f>Data!F8/Data!M8</f>
        <v>1941975</v>
      </c>
      <c r="M17" s="4">
        <f>Data!R8</f>
        <v>0.25</v>
      </c>
      <c r="N17" s="88">
        <v>0</v>
      </c>
      <c r="O17" s="107">
        <f t="shared" si="0"/>
        <v>0</v>
      </c>
      <c r="P17" s="78">
        <f t="shared" si="2"/>
        <v>0</v>
      </c>
      <c r="Q17" s="71">
        <v>0</v>
      </c>
      <c r="R17" s="22">
        <f t="shared" si="3"/>
        <v>0</v>
      </c>
      <c r="S17" s="22">
        <f t="shared" si="4"/>
        <v>4660740000</v>
      </c>
      <c r="T17" s="33">
        <f t="shared" si="1"/>
        <v>0</v>
      </c>
    </row>
    <row r="18" spans="2:21" ht="14.25" customHeight="1" x14ac:dyDescent="0.45">
      <c r="B18" s="9" t="s">
        <v>103</v>
      </c>
      <c r="D18" s="133" t="s">
        <v>71</v>
      </c>
      <c r="E18" s="110" t="s">
        <v>14</v>
      </c>
      <c r="F18" t="s">
        <v>4</v>
      </c>
      <c r="G18" s="108">
        <v>52.5</v>
      </c>
      <c r="H18" s="8">
        <f>Data!L11</f>
        <v>36</v>
      </c>
      <c r="I18" s="8">
        <f>Data!Q11</f>
        <v>12389582.173913043</v>
      </c>
      <c r="J18" s="72">
        <f>Data!F11</f>
        <v>4325000</v>
      </c>
      <c r="K18" s="72">
        <f>Data!F11/Data!M11</f>
        <v>188043.47826086957</v>
      </c>
      <c r="L18" s="4">
        <f>Data!M11</f>
        <v>23</v>
      </c>
      <c r="M18" s="4">
        <f>Data!R11</f>
        <v>0</v>
      </c>
      <c r="N18" s="89">
        <v>0</v>
      </c>
      <c r="O18" s="107"/>
      <c r="P18" s="78">
        <f t="shared" si="2"/>
        <v>0</v>
      </c>
      <c r="Q18" s="71">
        <v>0</v>
      </c>
      <c r="R18" s="22">
        <f t="shared" si="3"/>
        <v>0</v>
      </c>
      <c r="S18" s="22">
        <v>0</v>
      </c>
      <c r="T18" s="33"/>
    </row>
    <row r="19" spans="2:21" x14ac:dyDescent="0.45">
      <c r="B19" s="9" t="s">
        <v>103</v>
      </c>
      <c r="D19" s="133"/>
      <c r="E19" s="110" t="s">
        <v>15</v>
      </c>
      <c r="F19" t="s">
        <v>5</v>
      </c>
      <c r="G19" s="108">
        <v>11.9</v>
      </c>
      <c r="H19" s="8">
        <f>Data!L12</f>
        <v>38</v>
      </c>
      <c r="I19" s="8">
        <f>Data!Q12</f>
        <v>23015546.19047619</v>
      </c>
      <c r="J19" s="72">
        <f>Data!F12</f>
        <v>7387000</v>
      </c>
      <c r="K19" s="72">
        <f>Data!F12/Data!M12</f>
        <v>351761.90476190473</v>
      </c>
      <c r="L19" s="4">
        <f>Data!M12</f>
        <v>21</v>
      </c>
      <c r="M19" s="4">
        <f>Data!R12</f>
        <v>0</v>
      </c>
      <c r="N19" s="89">
        <v>0</v>
      </c>
      <c r="O19" s="107"/>
      <c r="P19" s="78">
        <f t="shared" si="2"/>
        <v>0</v>
      </c>
      <c r="Q19" s="71">
        <v>0</v>
      </c>
      <c r="R19" s="22">
        <f t="shared" si="3"/>
        <v>0</v>
      </c>
      <c r="S19" s="22">
        <v>0</v>
      </c>
      <c r="T19" s="33"/>
    </row>
    <row r="20" spans="2:21" x14ac:dyDescent="0.45">
      <c r="B20" s="9" t="s">
        <v>103</v>
      </c>
      <c r="D20" s="133"/>
      <c r="E20" s="110" t="s">
        <v>16</v>
      </c>
      <c r="F20" t="s">
        <v>33</v>
      </c>
      <c r="G20" s="108">
        <v>8.5500000000000007</v>
      </c>
      <c r="H20" s="8">
        <f>Data!L13</f>
        <v>93</v>
      </c>
      <c r="I20" s="8">
        <f>Data!Q13</f>
        <v>60230280</v>
      </c>
      <c r="J20" s="72">
        <f>Data!F13</f>
        <v>2870000</v>
      </c>
      <c r="K20" s="72">
        <f>Data!F13/Data!M13</f>
        <v>220769.23076923078</v>
      </c>
      <c r="L20" s="4">
        <f>Data!M13</f>
        <v>13</v>
      </c>
      <c r="M20" s="4">
        <f>Data!R13</f>
        <v>0.75</v>
      </c>
      <c r="N20" s="89">
        <v>0</v>
      </c>
      <c r="O20" s="107"/>
      <c r="P20" s="78">
        <f t="shared" si="2"/>
        <v>0</v>
      </c>
      <c r="Q20" s="71">
        <v>0</v>
      </c>
      <c r="R20" s="22">
        <f t="shared" si="3"/>
        <v>0</v>
      </c>
      <c r="S20" s="22">
        <v>0</v>
      </c>
      <c r="T20" s="33"/>
    </row>
    <row r="21" spans="2:21" x14ac:dyDescent="0.45">
      <c r="B21" s="9" t="s">
        <v>103</v>
      </c>
      <c r="D21" s="133"/>
      <c r="E21" s="110" t="s">
        <v>17</v>
      </c>
      <c r="F21" t="s">
        <v>6</v>
      </c>
      <c r="G21" s="108">
        <v>5.6</v>
      </c>
      <c r="H21" s="8">
        <f>Data!L14</f>
        <v>167</v>
      </c>
      <c r="I21" s="8">
        <f>Data!Q14</f>
        <v>538071870</v>
      </c>
      <c r="J21" s="72">
        <f>Data!F14</f>
        <v>75328000</v>
      </c>
      <c r="K21" s="72">
        <f>Data!F14/Data!M14</f>
        <v>6848000</v>
      </c>
      <c r="L21" s="4">
        <f>Data!M14</f>
        <v>11</v>
      </c>
      <c r="M21" s="4">
        <f>Data!R14</f>
        <v>1</v>
      </c>
      <c r="N21" s="89">
        <v>0</v>
      </c>
      <c r="O21" s="107"/>
      <c r="P21" s="78">
        <f t="shared" si="2"/>
        <v>0</v>
      </c>
      <c r="Q21" s="71">
        <v>0</v>
      </c>
      <c r="R21" s="22">
        <f t="shared" si="3"/>
        <v>0</v>
      </c>
      <c r="S21" s="22">
        <v>0</v>
      </c>
      <c r="T21" s="33"/>
    </row>
    <row r="22" spans="2:21" x14ac:dyDescent="0.45">
      <c r="B22" s="9" t="s">
        <v>81</v>
      </c>
      <c r="D22" s="133"/>
      <c r="E22" s="110" t="s">
        <v>18</v>
      </c>
      <c r="F22" t="s">
        <v>7</v>
      </c>
      <c r="G22" s="108">
        <v>923.83</v>
      </c>
      <c r="H22" s="8">
        <f>Data!L15</f>
        <v>108</v>
      </c>
      <c r="I22" s="8">
        <f>Data!Q15</f>
        <v>575367520</v>
      </c>
      <c r="J22" s="72">
        <f>Data!F15</f>
        <v>48181000</v>
      </c>
      <c r="K22" s="72">
        <f>Data!F15/Data!M15</f>
        <v>4380090.9090909092</v>
      </c>
      <c r="L22" s="4">
        <f>Data!M15</f>
        <v>11</v>
      </c>
      <c r="M22" s="4">
        <f>Data!R15</f>
        <v>0.65</v>
      </c>
      <c r="N22" s="89">
        <v>11</v>
      </c>
      <c r="O22" s="107"/>
      <c r="P22" s="78">
        <f t="shared" si="2"/>
        <v>48181000</v>
      </c>
      <c r="Q22" s="71">
        <v>11</v>
      </c>
      <c r="R22" s="22">
        <f t="shared" si="3"/>
        <v>5203548000</v>
      </c>
      <c r="S22" s="22">
        <v>0</v>
      </c>
      <c r="T22" s="33"/>
    </row>
    <row r="23" spans="2:21" ht="14.65" thickBot="1" x14ac:dyDescent="0.5">
      <c r="B23" s="10" t="s">
        <v>81</v>
      </c>
      <c r="D23" s="141"/>
      <c r="E23" s="111" t="s">
        <v>19</v>
      </c>
      <c r="F23" s="21" t="s">
        <v>35</v>
      </c>
      <c r="G23" s="69">
        <v>458</v>
      </c>
      <c r="H23" s="68">
        <f>Data!L16</f>
        <v>60</v>
      </c>
      <c r="I23" s="68">
        <f>Data!Q16</f>
        <v>58988028</v>
      </c>
      <c r="J23" s="73">
        <f>Data!F16</f>
        <v>77679000</v>
      </c>
      <c r="K23" s="73">
        <f>Data!F16/Data!M16</f>
        <v>1941975</v>
      </c>
      <c r="L23" s="66">
        <f>Data!M16</f>
        <v>40</v>
      </c>
      <c r="M23" s="66">
        <f>Data!R16</f>
        <v>0.25</v>
      </c>
      <c r="N23" s="90">
        <v>19</v>
      </c>
      <c r="O23" s="70"/>
      <c r="P23" s="79">
        <f t="shared" si="2"/>
        <v>36897525</v>
      </c>
      <c r="Q23" s="71">
        <v>19</v>
      </c>
      <c r="R23" s="22">
        <f t="shared" si="3"/>
        <v>2213851500</v>
      </c>
      <c r="S23" s="22">
        <v>0</v>
      </c>
      <c r="T23" s="33"/>
    </row>
    <row r="24" spans="2:21" ht="28.9" thickBot="1" x14ac:dyDescent="0.5">
      <c r="K24" s="23"/>
      <c r="R24" s="22">
        <f>SUM(R12:R17)-SUM(R18:R23)</f>
        <v>1115337725.6728773</v>
      </c>
      <c r="S24" s="22">
        <f>SUM(S12:S17)</f>
        <v>23147380000</v>
      </c>
      <c r="T24" s="33">
        <f>R24/S24</f>
        <v>4.8184188693185893E-2</v>
      </c>
      <c r="U24" s="65" t="s">
        <v>105</v>
      </c>
    </row>
    <row r="25" spans="2:21" x14ac:dyDescent="0.45">
      <c r="T25" s="37"/>
    </row>
  </sheetData>
  <scenarios current="0">
    <scenario name="Scenario 1" count="12" user="Emily Schmidt" comment="Created by Emily Schmidt on 4/1/2023">
      <inputCells r="N12" val="0"/>
      <inputCells r="N13" val="6.84832043517098"/>
      <inputCells r="N14" val="36"/>
      <inputCells r="N15" val="4"/>
      <inputCells r="N16" val="0"/>
      <inputCells r="N17" val="36"/>
      <inputCells r="N18" val="16"/>
      <inputCells r="N19" val="1"/>
      <inputCells r="N20" val="133.358413790039"/>
      <inputCells r="N21" val="0"/>
      <inputCells r="N22" val="34"/>
      <inputCells r="N23" val="3"/>
    </scenario>
  </scenarios>
  <mergeCells count="4">
    <mergeCell ref="G2:K2"/>
    <mergeCell ref="H7:K7"/>
    <mergeCell ref="D12:D17"/>
    <mergeCell ref="D18:D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96FA-3ED7-4792-AAA4-915EC1FE4FCB}">
  <dimension ref="B1:AA33"/>
  <sheetViews>
    <sheetView zoomScale="90" zoomScaleNormal="90" workbookViewId="0">
      <selection activeCell="B9" sqref="B9"/>
    </sheetView>
  </sheetViews>
  <sheetFormatPr defaultRowHeight="14.25" x14ac:dyDescent="0.45"/>
  <cols>
    <col min="1" max="1" width="2.53125" customWidth="1"/>
    <col min="2" max="2" width="30.3984375" bestFit="1" customWidth="1"/>
    <col min="3" max="3" width="0.796875" customWidth="1"/>
    <col min="4" max="4" width="16.53125" bestFit="1" customWidth="1"/>
    <col min="5" max="5" width="11.19921875" bestFit="1" customWidth="1"/>
    <col min="6" max="9" width="17.33203125" customWidth="1"/>
    <col min="10" max="10" width="18" customWidth="1"/>
    <col min="11" max="13" width="17.33203125" customWidth="1"/>
    <col min="14" max="15" width="18.1328125" customWidth="1"/>
    <col min="16" max="21" width="17.33203125" customWidth="1"/>
    <col min="23" max="27" width="14.3984375" customWidth="1"/>
  </cols>
  <sheetData>
    <row r="1" spans="2:27" ht="14.65" thickBot="1" x14ac:dyDescent="0.5"/>
    <row r="2" spans="2:27" ht="14.65" thickBot="1" x14ac:dyDescent="0.5">
      <c r="B2" s="11"/>
      <c r="G2" s="134" t="s">
        <v>76</v>
      </c>
      <c r="H2" s="135"/>
      <c r="I2" s="135"/>
      <c r="J2" s="135"/>
      <c r="K2" s="136"/>
      <c r="L2" s="92"/>
    </row>
    <row r="3" spans="2:27" ht="14.65" thickBot="1" x14ac:dyDescent="0.5">
      <c r="B3" s="1"/>
      <c r="G3" s="65" t="s">
        <v>23</v>
      </c>
      <c r="H3" s="49" t="s">
        <v>1</v>
      </c>
      <c r="I3" s="45" t="s">
        <v>27</v>
      </c>
      <c r="J3" s="45" t="s">
        <v>28</v>
      </c>
      <c r="K3" s="46" t="s">
        <v>78</v>
      </c>
      <c r="L3" s="3"/>
    </row>
    <row r="4" spans="2:27" ht="35.75" customHeight="1" x14ac:dyDescent="0.45">
      <c r="B4" s="1"/>
      <c r="G4" s="18"/>
      <c r="H4" s="63">
        <f>((K12*N12)+(K13*N13)+(K14*N14)+(K15*N15)+(K16*N16)+(K17*N17))-((K18*N18)+(K19*N19)+(K20*N20)+(K21*N21)+(K22*N22)+(K23*N23))</f>
        <v>124494.55146303028</v>
      </c>
      <c r="I4" s="62">
        <v>0</v>
      </c>
      <c r="J4" s="62">
        <f>SUM(J12:J17)*0.01</f>
        <v>2157700</v>
      </c>
      <c r="K4" s="86" t="s">
        <v>102</v>
      </c>
      <c r="L4" s="1"/>
      <c r="O4" s="5"/>
    </row>
    <row r="5" spans="2:27" ht="35.75" customHeight="1" thickBot="1" x14ac:dyDescent="0.5">
      <c r="B5" s="1"/>
      <c r="G5" s="19"/>
      <c r="H5" s="64">
        <f>(M12*P12+M13*P13+M14*P14+M15*P15+M16*P16+M17*P17)-(M18*P18+M19*P19+M20*P20+M21*P21+M22*P22+M23*P23)</f>
        <v>-1238026.3548951074</v>
      </c>
      <c r="I5" s="60">
        <f>-((J12*M12)+(J13*M13)+(J14*M14)+(J15*M15)+(J16*M16)+(J17*M17))*0.01</f>
        <v>-1282179</v>
      </c>
      <c r="J5" s="59">
        <f>((J12*M12)+(J13*M13)+(J14*M14)+(J15*M15)+(J16*M16)+(J17*M17))*0.01</f>
        <v>1282179</v>
      </c>
      <c r="K5" s="83" t="s">
        <v>79</v>
      </c>
      <c r="L5" s="1"/>
      <c r="O5" s="5"/>
    </row>
    <row r="6" spans="2:27" ht="35.75" customHeight="1" thickBot="1" x14ac:dyDescent="0.5">
      <c r="B6" s="1"/>
      <c r="G6" s="19" t="s">
        <v>26</v>
      </c>
      <c r="H6" s="84">
        <f>(I12*N12)+(I13*N13)+(I14*N14)+(I15*N15)+(I16*N16)+(I17*N17)+(I18*N18)+(I19*N19)+(I20*N20)+(I21*N21)+(I22*N22)+(I23*N23)</f>
        <v>56547169091.011101</v>
      </c>
      <c r="I6" s="61">
        <v>50000000000</v>
      </c>
      <c r="J6" s="61">
        <v>63000000000</v>
      </c>
      <c r="K6" s="83" t="s">
        <v>80</v>
      </c>
      <c r="L6" s="1"/>
      <c r="R6" s="112" t="s">
        <v>91</v>
      </c>
      <c r="S6" s="113" t="s">
        <v>92</v>
      </c>
      <c r="T6" s="114" t="s">
        <v>93</v>
      </c>
    </row>
    <row r="7" spans="2:27" ht="35.75" customHeight="1" thickBot="1" x14ac:dyDescent="0.5">
      <c r="B7" s="1"/>
      <c r="G7" s="20" t="s">
        <v>77</v>
      </c>
      <c r="H7" s="137" t="s">
        <v>101</v>
      </c>
      <c r="I7" s="138"/>
      <c r="J7" s="138"/>
      <c r="K7" s="139"/>
      <c r="L7" s="5"/>
      <c r="R7" s="22">
        <f>D9</f>
        <v>-748457809.40074444</v>
      </c>
      <c r="S7" s="22">
        <f>'Minimize CO2e'!S24</f>
        <v>23147380000</v>
      </c>
      <c r="T7" s="32">
        <f>R7/S7</f>
        <v>-3.2334450352512659E-2</v>
      </c>
      <c r="U7" s="65" t="s">
        <v>107</v>
      </c>
    </row>
    <row r="8" spans="2:27" ht="14.65" thickBot="1" x14ac:dyDescent="0.5">
      <c r="H8" s="5"/>
      <c r="I8" s="26"/>
      <c r="J8" s="25"/>
      <c r="T8" s="37"/>
    </row>
    <row r="9" spans="2:27" ht="14.65" thickBot="1" x14ac:dyDescent="0.5">
      <c r="B9" s="58" t="s">
        <v>110</v>
      </c>
      <c r="D9" s="82">
        <f>((H12*K12*N12)+(H13*K13*N13)+(H14*K14*N14)+(H15*K15*N15)+(H16*K16*N16)+(H17*K17*N17))-((H18*K18*N18)+(H19*K19*N19)+(H20*K20*N20)+(H21*K21*N21)+(H22*K22*N22)+(H23*K23*N23))</f>
        <v>-748457809.40074444</v>
      </c>
      <c r="G9" s="1"/>
      <c r="H9" s="8"/>
      <c r="I9" s="8"/>
      <c r="J9" s="8"/>
    </row>
    <row r="10" spans="2:27" ht="14.65" thickBot="1" x14ac:dyDescent="0.5">
      <c r="G10" s="6"/>
      <c r="H10" s="81" t="s">
        <v>20</v>
      </c>
      <c r="I10" s="7"/>
      <c r="K10" s="6"/>
      <c r="L10" s="6"/>
      <c r="M10" s="12"/>
      <c r="O10" s="12"/>
      <c r="P10" s="12"/>
      <c r="Q10" s="12"/>
      <c r="R10" s="12"/>
      <c r="S10" s="12"/>
      <c r="T10" s="12"/>
      <c r="U10" s="96"/>
      <c r="Y10" s="12"/>
      <c r="AA10" s="12"/>
    </row>
    <row r="11" spans="2:27" s="2" customFormat="1" ht="40.5" customHeight="1" thickBot="1" x14ac:dyDescent="0.5">
      <c r="B11" s="13" t="s">
        <v>82</v>
      </c>
      <c r="D11" s="57" t="s">
        <v>0</v>
      </c>
      <c r="E11" s="35" t="s">
        <v>73</v>
      </c>
      <c r="F11" s="36" t="s">
        <v>72</v>
      </c>
      <c r="G11" s="29" t="s">
        <v>100</v>
      </c>
      <c r="H11" s="29" t="s">
        <v>87</v>
      </c>
      <c r="I11" s="29" t="s">
        <v>3</v>
      </c>
      <c r="J11" s="36" t="s">
        <v>74</v>
      </c>
      <c r="K11" s="29" t="s">
        <v>24</v>
      </c>
      <c r="L11" s="29" t="s">
        <v>90</v>
      </c>
      <c r="M11" s="29" t="s">
        <v>21</v>
      </c>
      <c r="N11" s="29" t="s">
        <v>2</v>
      </c>
      <c r="O11" s="29" t="s">
        <v>89</v>
      </c>
      <c r="P11" s="67" t="s">
        <v>25</v>
      </c>
      <c r="Q11" s="115" t="s">
        <v>88</v>
      </c>
      <c r="R11" s="116" t="s">
        <v>95</v>
      </c>
      <c r="S11" s="113" t="s">
        <v>96</v>
      </c>
      <c r="T11" s="114" t="s">
        <v>94</v>
      </c>
      <c r="U11" s="124"/>
    </row>
    <row r="12" spans="2:27" ht="15.75" customHeight="1" x14ac:dyDescent="0.45">
      <c r="B12" s="9" t="s">
        <v>103</v>
      </c>
      <c r="D12" s="140" t="s">
        <v>70</v>
      </c>
      <c r="E12" s="110" t="s">
        <v>8</v>
      </c>
      <c r="F12" t="s">
        <v>4</v>
      </c>
      <c r="G12" s="108">
        <f>Data!K3</f>
        <v>53</v>
      </c>
      <c r="H12" s="8">
        <f>Data!L3</f>
        <v>36</v>
      </c>
      <c r="I12" s="8">
        <f>Data!P3</f>
        <v>112632565.2173913</v>
      </c>
      <c r="J12" s="72">
        <f>Data!F3</f>
        <v>4325000</v>
      </c>
      <c r="K12" s="72">
        <f>Data!F3/Data!M3</f>
        <v>188043.47826086957</v>
      </c>
      <c r="M12" s="107">
        <f>Data!R3</f>
        <v>0</v>
      </c>
      <c r="N12" s="87">
        <v>0</v>
      </c>
      <c r="O12" s="107">
        <f>N12*N18</f>
        <v>0</v>
      </c>
      <c r="P12" s="78">
        <f>N12*K12</f>
        <v>0</v>
      </c>
      <c r="Q12" s="71">
        <v>0</v>
      </c>
      <c r="R12" s="93">
        <f>P12*G12</f>
        <v>0</v>
      </c>
      <c r="S12" s="93">
        <f>J12*G12</f>
        <v>229225000</v>
      </c>
      <c r="T12" s="94"/>
      <c r="U12" s="5"/>
    </row>
    <row r="13" spans="2:27" x14ac:dyDescent="0.45">
      <c r="B13" s="9" t="s">
        <v>103</v>
      </c>
      <c r="D13" s="131"/>
      <c r="E13" s="110" t="s">
        <v>9</v>
      </c>
      <c r="F13" t="s">
        <v>5</v>
      </c>
      <c r="G13" s="108">
        <f>Data!K4</f>
        <v>12</v>
      </c>
      <c r="H13" s="8">
        <f>Data!L4</f>
        <v>38</v>
      </c>
      <c r="I13" s="8">
        <f>Data!P4</f>
        <v>209232238.09523809</v>
      </c>
      <c r="J13" s="72">
        <f>Data!F4</f>
        <v>7387000</v>
      </c>
      <c r="K13" s="72">
        <f>Data!F4/Data!M4</f>
        <v>351761.90476190473</v>
      </c>
      <c r="M13" s="107">
        <f>Data!R4</f>
        <v>0</v>
      </c>
      <c r="N13" s="88">
        <v>0</v>
      </c>
      <c r="O13" s="107">
        <f t="shared" ref="O13:O17" si="0">N13*N19</f>
        <v>0</v>
      </c>
      <c r="P13" s="78">
        <f>N13*K13</f>
        <v>0</v>
      </c>
      <c r="Q13" s="71">
        <v>0</v>
      </c>
      <c r="R13" s="93">
        <f t="shared" ref="R13:R23" si="1">P13*G13</f>
        <v>0</v>
      </c>
      <c r="S13" s="93">
        <f t="shared" ref="S13:S17" si="2">J13*G13</f>
        <v>88644000</v>
      </c>
      <c r="T13" s="94"/>
      <c r="U13" s="5"/>
    </row>
    <row r="14" spans="2:27" x14ac:dyDescent="0.45">
      <c r="B14" s="9" t="s">
        <v>103</v>
      </c>
      <c r="D14" s="131"/>
      <c r="E14" s="110" t="s">
        <v>10</v>
      </c>
      <c r="F14" t="s">
        <v>33</v>
      </c>
      <c r="G14" s="108">
        <f>Data!K5</f>
        <v>9</v>
      </c>
      <c r="H14" s="8">
        <f>Data!L5</f>
        <v>93</v>
      </c>
      <c r="I14" s="8">
        <f>Data!P5</f>
        <v>547548000</v>
      </c>
      <c r="J14" s="72">
        <f>Data!F5</f>
        <v>2870000</v>
      </c>
      <c r="K14" s="72">
        <f>Data!F5/Data!M5</f>
        <v>220769.23076923078</v>
      </c>
      <c r="M14" s="107">
        <f>Data!R5</f>
        <v>0.75</v>
      </c>
      <c r="N14" s="88">
        <v>12</v>
      </c>
      <c r="O14" s="107">
        <f t="shared" si="0"/>
        <v>0</v>
      </c>
      <c r="P14" s="78">
        <f>N14*K14</f>
        <v>2649230.7692307695</v>
      </c>
      <c r="Q14" s="71">
        <v>12</v>
      </c>
      <c r="R14" s="93">
        <f t="shared" si="1"/>
        <v>23843076.923076924</v>
      </c>
      <c r="S14" s="93">
        <f t="shared" si="2"/>
        <v>25830000</v>
      </c>
      <c r="T14" s="94"/>
      <c r="U14" s="5"/>
    </row>
    <row r="15" spans="2:27" x14ac:dyDescent="0.45">
      <c r="B15" s="9" t="s">
        <v>103</v>
      </c>
      <c r="D15" s="131"/>
      <c r="E15" s="110" t="s">
        <v>11</v>
      </c>
      <c r="F15" t="s">
        <v>6</v>
      </c>
      <c r="G15" s="108">
        <f>Data!K6</f>
        <v>6</v>
      </c>
      <c r="H15" s="8">
        <f>Data!L6</f>
        <v>167</v>
      </c>
      <c r="I15" s="8">
        <f>Data!P6</f>
        <v>4891562454.545455</v>
      </c>
      <c r="J15" s="72">
        <f>Data!F6</f>
        <v>75328000</v>
      </c>
      <c r="K15" s="72">
        <f>Data!F6/Data!M6</f>
        <v>6848000</v>
      </c>
      <c r="M15" s="107">
        <f>Data!R6</f>
        <v>1</v>
      </c>
      <c r="N15" s="88">
        <v>0</v>
      </c>
      <c r="O15" s="107">
        <f t="shared" si="0"/>
        <v>0</v>
      </c>
      <c r="P15" s="78">
        <f t="shared" ref="P15:P23" si="3">N15*K15</f>
        <v>0</v>
      </c>
      <c r="Q15" s="71">
        <v>0</v>
      </c>
      <c r="R15" s="93">
        <f t="shared" si="1"/>
        <v>0</v>
      </c>
      <c r="S15" s="93">
        <f t="shared" si="2"/>
        <v>451968000</v>
      </c>
      <c r="T15" s="94"/>
      <c r="U15" s="5"/>
    </row>
    <row r="16" spans="2:27" x14ac:dyDescent="0.45">
      <c r="B16" s="9" t="s">
        <v>81</v>
      </c>
      <c r="D16" s="131"/>
      <c r="E16" s="110" t="s">
        <v>12</v>
      </c>
      <c r="F16" t="s">
        <v>7</v>
      </c>
      <c r="G16" s="108">
        <f>Data!K7</f>
        <v>924</v>
      </c>
      <c r="H16" s="8">
        <f>Data!L7</f>
        <v>108</v>
      </c>
      <c r="I16" s="8">
        <f>Data!P7</f>
        <v>5230613818.181818</v>
      </c>
      <c r="J16" s="72">
        <f>Data!F7</f>
        <v>48181000</v>
      </c>
      <c r="K16" s="72">
        <f>Data!F7/Data!M7</f>
        <v>4380090.9090909092</v>
      </c>
      <c r="M16" s="107">
        <f>Data!R7</f>
        <v>0.65</v>
      </c>
      <c r="N16" s="88">
        <v>9</v>
      </c>
      <c r="O16" s="107">
        <f t="shared" si="0"/>
        <v>0</v>
      </c>
      <c r="P16" s="78">
        <f t="shared" si="3"/>
        <v>39420818.18181818</v>
      </c>
      <c r="Q16" s="71">
        <v>9</v>
      </c>
      <c r="R16" s="93">
        <f>P16*G16</f>
        <v>36424836000</v>
      </c>
      <c r="S16" s="93">
        <f>J16*G16</f>
        <v>44519244000</v>
      </c>
      <c r="T16" s="94"/>
      <c r="U16" s="5"/>
    </row>
    <row r="17" spans="2:21" x14ac:dyDescent="0.45">
      <c r="B17" s="9" t="s">
        <v>81</v>
      </c>
      <c r="D17" s="131"/>
      <c r="E17" s="110" t="s">
        <v>13</v>
      </c>
      <c r="F17" t="s">
        <v>35</v>
      </c>
      <c r="G17" s="108">
        <f>Data!K8</f>
        <v>458</v>
      </c>
      <c r="H17" s="8">
        <f>Data!L8</f>
        <v>60</v>
      </c>
      <c r="I17" s="8">
        <f>Data!P8</f>
        <v>536254800</v>
      </c>
      <c r="J17" s="72">
        <f>Data!F8</f>
        <v>77679000</v>
      </c>
      <c r="K17" s="72">
        <f>Data!F8/Data!M8</f>
        <v>1941975</v>
      </c>
      <c r="M17" s="107">
        <f>Data!R8</f>
        <v>0.25</v>
      </c>
      <c r="N17" s="88">
        <v>0</v>
      </c>
      <c r="O17" s="107">
        <f t="shared" si="0"/>
        <v>0</v>
      </c>
      <c r="P17" s="78">
        <f t="shared" si="3"/>
        <v>0</v>
      </c>
      <c r="Q17" s="71">
        <v>0</v>
      </c>
      <c r="R17" s="93">
        <f t="shared" si="1"/>
        <v>0</v>
      </c>
      <c r="S17" s="93">
        <f t="shared" si="2"/>
        <v>35576982000</v>
      </c>
      <c r="T17" s="94"/>
      <c r="U17" s="5"/>
    </row>
    <row r="18" spans="2:21" ht="15.75" customHeight="1" x14ac:dyDescent="0.45">
      <c r="B18" s="9" t="s">
        <v>103</v>
      </c>
      <c r="D18" s="133" t="s">
        <v>71</v>
      </c>
      <c r="E18" s="110" t="s">
        <v>14</v>
      </c>
      <c r="F18" t="s">
        <v>4</v>
      </c>
      <c r="G18" s="108">
        <f>Data!K11</f>
        <v>53</v>
      </c>
      <c r="H18" s="8">
        <f>Data!L11</f>
        <v>36</v>
      </c>
      <c r="I18" s="8">
        <f>Data!Q11</f>
        <v>12389582.173913043</v>
      </c>
      <c r="J18" s="72">
        <f>Data!F11</f>
        <v>4325000</v>
      </c>
      <c r="K18" s="72">
        <f>Data!F11/Data!M11</f>
        <v>188043.47826086957</v>
      </c>
      <c r="L18" s="4">
        <f>Data!M11</f>
        <v>23</v>
      </c>
      <c r="M18" s="107">
        <f>Data!R11</f>
        <v>0</v>
      </c>
      <c r="N18" s="89">
        <v>9</v>
      </c>
      <c r="O18" s="107"/>
      <c r="P18" s="78">
        <f t="shared" si="3"/>
        <v>1692391.3043478262</v>
      </c>
      <c r="Q18" s="71">
        <v>9</v>
      </c>
      <c r="R18" s="93">
        <f t="shared" si="1"/>
        <v>89696739.130434781</v>
      </c>
      <c r="S18" s="93"/>
      <c r="T18" s="94"/>
      <c r="U18" s="5"/>
    </row>
    <row r="19" spans="2:21" x14ac:dyDescent="0.45">
      <c r="B19" s="9" t="s">
        <v>103</v>
      </c>
      <c r="D19" s="133"/>
      <c r="E19" s="110" t="s">
        <v>15</v>
      </c>
      <c r="F19" t="s">
        <v>5</v>
      </c>
      <c r="G19" s="108">
        <f>Data!K12</f>
        <v>12</v>
      </c>
      <c r="H19" s="8">
        <f>Data!L12</f>
        <v>38</v>
      </c>
      <c r="I19" s="8">
        <f>Data!Q12</f>
        <v>23015546.19047619</v>
      </c>
      <c r="J19" s="72">
        <f>Data!F12</f>
        <v>7387000</v>
      </c>
      <c r="K19" s="72">
        <f>Data!F12/Data!M12</f>
        <v>351761.90476190473</v>
      </c>
      <c r="L19" s="4">
        <f>Data!M12</f>
        <v>21</v>
      </c>
      <c r="M19" s="107">
        <f>Data!R12</f>
        <v>0</v>
      </c>
      <c r="N19" s="89">
        <v>20</v>
      </c>
      <c r="O19" s="107"/>
      <c r="P19" s="78">
        <f t="shared" si="3"/>
        <v>7035238.0952380951</v>
      </c>
      <c r="Q19" s="71">
        <v>20</v>
      </c>
      <c r="R19" s="93">
        <f t="shared" si="1"/>
        <v>84422857.142857134</v>
      </c>
      <c r="S19" s="93"/>
      <c r="T19" s="94"/>
      <c r="U19" s="5"/>
    </row>
    <row r="20" spans="2:21" x14ac:dyDescent="0.45">
      <c r="B20" s="9" t="s">
        <v>103</v>
      </c>
      <c r="D20" s="133"/>
      <c r="E20" s="110" t="s">
        <v>16</v>
      </c>
      <c r="F20" t="s">
        <v>33</v>
      </c>
      <c r="G20" s="108">
        <f>Data!K13</f>
        <v>9</v>
      </c>
      <c r="H20" s="8">
        <f>Data!L13</f>
        <v>93</v>
      </c>
      <c r="I20" s="8">
        <f>Data!Q13</f>
        <v>60230280</v>
      </c>
      <c r="J20" s="72">
        <f>Data!F13</f>
        <v>2870000</v>
      </c>
      <c r="K20" s="72">
        <f>Data!F13/Data!M13</f>
        <v>220769.23076923078</v>
      </c>
      <c r="L20" s="4">
        <f>Data!M13</f>
        <v>13</v>
      </c>
      <c r="M20" s="107">
        <f>Data!R13</f>
        <v>0.75</v>
      </c>
      <c r="N20" s="89">
        <v>0</v>
      </c>
      <c r="O20" s="107"/>
      <c r="P20" s="78">
        <f t="shared" si="3"/>
        <v>0</v>
      </c>
      <c r="Q20" s="71">
        <v>0</v>
      </c>
      <c r="R20" s="93">
        <f t="shared" si="1"/>
        <v>0</v>
      </c>
      <c r="S20" s="93"/>
      <c r="T20" s="94"/>
      <c r="U20" s="5"/>
    </row>
    <row r="21" spans="2:21" x14ac:dyDescent="0.45">
      <c r="B21" s="9" t="s">
        <v>103</v>
      </c>
      <c r="D21" s="133"/>
      <c r="E21" s="110" t="s">
        <v>17</v>
      </c>
      <c r="F21" t="s">
        <v>6</v>
      </c>
      <c r="G21" s="108">
        <f>Data!K14</f>
        <v>6</v>
      </c>
      <c r="H21" s="8">
        <f>Data!L14</f>
        <v>167</v>
      </c>
      <c r="I21" s="8">
        <f>Data!Q14</f>
        <v>538071870</v>
      </c>
      <c r="J21" s="72">
        <f>Data!F14</f>
        <v>75328000</v>
      </c>
      <c r="K21" s="72">
        <f>Data!F14/Data!M14</f>
        <v>6848000</v>
      </c>
      <c r="L21" s="4">
        <f>Data!M14</f>
        <v>11</v>
      </c>
      <c r="M21" s="107">
        <f>Data!R14</f>
        <v>1</v>
      </c>
      <c r="N21" s="89">
        <v>4</v>
      </c>
      <c r="O21" s="107"/>
      <c r="P21" s="78">
        <f t="shared" si="3"/>
        <v>27392000</v>
      </c>
      <c r="Q21" s="71">
        <v>4</v>
      </c>
      <c r="R21" s="93">
        <f t="shared" si="1"/>
        <v>164352000</v>
      </c>
      <c r="S21" s="93"/>
      <c r="T21" s="94"/>
      <c r="U21" s="5"/>
    </row>
    <row r="22" spans="2:21" x14ac:dyDescent="0.45">
      <c r="B22" s="9" t="s">
        <v>81</v>
      </c>
      <c r="D22" s="133"/>
      <c r="E22" s="110" t="s">
        <v>18</v>
      </c>
      <c r="F22" t="s">
        <v>7</v>
      </c>
      <c r="G22" s="108">
        <f>Data!K15</f>
        <v>924</v>
      </c>
      <c r="H22" s="8">
        <f>Data!L15</f>
        <v>108</v>
      </c>
      <c r="I22" s="8">
        <f>Data!Q15</f>
        <v>575367520</v>
      </c>
      <c r="J22" s="72">
        <f>Data!F15</f>
        <v>48181000</v>
      </c>
      <c r="K22" s="72">
        <f>Data!F15/Data!M15</f>
        <v>4380090.9090909092</v>
      </c>
      <c r="L22" s="4">
        <f>Data!M15</f>
        <v>11</v>
      </c>
      <c r="M22" s="107">
        <f>Data!R15</f>
        <v>0.65</v>
      </c>
      <c r="N22" s="89">
        <v>0</v>
      </c>
      <c r="O22" s="107"/>
      <c r="P22" s="78">
        <f t="shared" si="3"/>
        <v>0</v>
      </c>
      <c r="Q22" s="71">
        <v>0</v>
      </c>
      <c r="R22" s="93">
        <f t="shared" si="1"/>
        <v>0</v>
      </c>
      <c r="S22" s="93"/>
      <c r="T22" s="94"/>
      <c r="U22" s="5"/>
    </row>
    <row r="23" spans="2:21" ht="14.65" thickBot="1" x14ac:dyDescent="0.5">
      <c r="B23" s="10" t="s">
        <v>81</v>
      </c>
      <c r="D23" s="141"/>
      <c r="E23" s="111" t="s">
        <v>19</v>
      </c>
      <c r="F23" s="21" t="s">
        <v>35</v>
      </c>
      <c r="G23" s="69">
        <f>Data!K16</f>
        <v>458</v>
      </c>
      <c r="H23" s="68">
        <f>Data!L16</f>
        <v>60</v>
      </c>
      <c r="I23" s="68">
        <f>Data!Q16</f>
        <v>58988028</v>
      </c>
      <c r="J23" s="73">
        <f>Data!F16</f>
        <v>77679000</v>
      </c>
      <c r="K23" s="73">
        <f>Data!F16/Data!M16</f>
        <v>1941975</v>
      </c>
      <c r="L23" s="66">
        <f>Data!M16</f>
        <v>40</v>
      </c>
      <c r="M23" s="70">
        <f>Data!R16</f>
        <v>0.25</v>
      </c>
      <c r="N23" s="90">
        <v>3</v>
      </c>
      <c r="O23" s="70"/>
      <c r="P23" s="79">
        <f t="shared" si="3"/>
        <v>5825925</v>
      </c>
      <c r="Q23" s="71">
        <v>3</v>
      </c>
      <c r="R23" s="93">
        <f t="shared" si="1"/>
        <v>2668273650</v>
      </c>
      <c r="S23" s="93"/>
      <c r="T23" s="94"/>
      <c r="U23" s="5"/>
    </row>
    <row r="24" spans="2:21" ht="28.9" thickBot="1" x14ac:dyDescent="0.5">
      <c r="P24" s="27"/>
      <c r="R24" s="95">
        <f>SUM(R12:R17)-SUM(R18:R23)</f>
        <v>33441933830.649788</v>
      </c>
      <c r="S24" s="95">
        <f>SUM(S12:S17)</f>
        <v>80891893000</v>
      </c>
      <c r="T24" s="96">
        <f>R24/S24</f>
        <v>0.41341514693752796</v>
      </c>
      <c r="U24" s="65" t="s">
        <v>106</v>
      </c>
    </row>
    <row r="25" spans="2:21" x14ac:dyDescent="0.45">
      <c r="M25" s="3"/>
      <c r="N25" s="3"/>
      <c r="O25" s="3"/>
      <c r="P25" s="3"/>
      <c r="Q25" s="3"/>
      <c r="R25" s="3"/>
      <c r="S25" s="3"/>
      <c r="T25" s="3"/>
    </row>
    <row r="30" spans="2:21" ht="15.75" customHeight="1" x14ac:dyDescent="0.45"/>
    <row r="33" ht="15.75" customHeight="1" x14ac:dyDescent="0.45"/>
  </sheetData>
  <mergeCells count="4">
    <mergeCell ref="H7:K7"/>
    <mergeCell ref="G2:K2"/>
    <mergeCell ref="D12:D17"/>
    <mergeCell ref="D18:D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4975-DD16-4F02-8552-4AD6605C7BD0}">
  <dimension ref="B1:AA33"/>
  <sheetViews>
    <sheetView zoomScale="90" zoomScaleNormal="90" workbookViewId="0">
      <selection activeCell="B9" sqref="B9"/>
    </sheetView>
  </sheetViews>
  <sheetFormatPr defaultRowHeight="14.25" x14ac:dyDescent="0.45"/>
  <cols>
    <col min="1" max="1" width="2.53125" customWidth="1"/>
    <col min="2" max="2" width="30.3984375" bestFit="1" customWidth="1"/>
    <col min="3" max="3" width="0.796875" customWidth="1"/>
    <col min="4" max="4" width="16.53125" bestFit="1" customWidth="1"/>
    <col min="5" max="5" width="11.19921875" bestFit="1" customWidth="1"/>
    <col min="6" max="9" width="17.33203125" customWidth="1"/>
    <col min="10" max="10" width="18" customWidth="1"/>
    <col min="11" max="13" width="17.33203125" customWidth="1"/>
    <col min="14" max="15" width="18.1328125" customWidth="1"/>
    <col min="16" max="21" width="17.33203125" customWidth="1"/>
    <col min="23" max="27" width="14.3984375" customWidth="1"/>
  </cols>
  <sheetData>
    <row r="1" spans="2:27" ht="14.65" thickBot="1" x14ac:dyDescent="0.5"/>
    <row r="2" spans="2:27" ht="14.65" thickBot="1" x14ac:dyDescent="0.5">
      <c r="B2" s="11"/>
      <c r="G2" s="134" t="s">
        <v>76</v>
      </c>
      <c r="H2" s="135"/>
      <c r="I2" s="135"/>
      <c r="J2" s="135"/>
      <c r="K2" s="136"/>
      <c r="L2" s="92"/>
      <c r="M2" s="142" t="s">
        <v>128</v>
      </c>
      <c r="N2" s="143"/>
      <c r="O2" s="143"/>
      <c r="P2" s="144"/>
    </row>
    <row r="3" spans="2:27" ht="14.65" thickBot="1" x14ac:dyDescent="0.5">
      <c r="B3" s="1"/>
      <c r="G3" s="65" t="s">
        <v>23</v>
      </c>
      <c r="H3" s="49" t="s">
        <v>1</v>
      </c>
      <c r="I3" s="45" t="s">
        <v>27</v>
      </c>
      <c r="J3" s="45" t="s">
        <v>28</v>
      </c>
      <c r="K3" s="46" t="s">
        <v>78</v>
      </c>
      <c r="L3" s="3"/>
      <c r="M3" s="65" t="s">
        <v>23</v>
      </c>
      <c r="N3" s="49" t="s">
        <v>1</v>
      </c>
      <c r="O3" s="45" t="s">
        <v>27</v>
      </c>
      <c r="P3" s="46" t="s">
        <v>28</v>
      </c>
    </row>
    <row r="4" spans="2:27" ht="35.75" customHeight="1" thickBot="1" x14ac:dyDescent="0.5">
      <c r="B4" s="1"/>
      <c r="G4" s="18"/>
      <c r="H4" s="63">
        <f>((K12*N12)+(K13*N13)+(K14*N14)+(K15*N15)+(K16*N16)+(K17*N17))-((K18*N18)+(K19*N19)+(K20*N20)+(K21*N21)+(K22*N22)+(K23*N23))</f>
        <v>1467.6120980381966</v>
      </c>
      <c r="I4" s="62">
        <v>0</v>
      </c>
      <c r="J4" s="62">
        <f>SUM(J12:J17)*0.01</f>
        <v>2157700</v>
      </c>
      <c r="K4" s="86" t="s">
        <v>102</v>
      </c>
      <c r="L4" s="1"/>
      <c r="M4" s="117"/>
      <c r="N4" s="118">
        <f>((N12*G12*K12)+(N13*K13*G13)+(N14*K14*G14)+(N15*K15*G15)+(N16*K16*G16)+(N17*K17*G17))-((N18*K18*G18)+(N19*K19*G19)+(N20*K20*G20)+(N21*K21*G21)+(N22*K22*G22)+(N23*K23*G23))</f>
        <v>-51915202008.600098</v>
      </c>
      <c r="O4" s="119">
        <f>S24*-0.8</f>
        <v>-64713514400</v>
      </c>
      <c r="P4" s="120">
        <f>S24*-0.5</f>
        <v>-40445946500</v>
      </c>
    </row>
    <row r="5" spans="2:27" ht="35.75" customHeight="1" thickBot="1" x14ac:dyDescent="0.5">
      <c r="B5" s="1"/>
      <c r="G5" s="19"/>
      <c r="H5" s="64">
        <f>(M12*P12+M13*P13+M14*P14+M15*P15+M16*P16+M17*P17)-(M18*P18+M19*P19+M20*P20+M21*P21+M22*P22+M23*P23)</f>
        <v>-927829.89510489255</v>
      </c>
      <c r="I5" s="60">
        <f>-((J12*M12)+(J13*M13)+(J14*M14)+(J15*M15)+(J16*M16)+(J17*M17))*0.01</f>
        <v>-1282179</v>
      </c>
      <c r="J5" s="59">
        <f>((J12*M12)+(J13*M13)+(J14*M14)+(J15*M15)+(J16*M16)+(J17*M17))*0.01</f>
        <v>1282179</v>
      </c>
      <c r="K5" s="83" t="s">
        <v>79</v>
      </c>
      <c r="L5" s="1"/>
      <c r="N5" s="22"/>
      <c r="O5" s="5"/>
    </row>
    <row r="6" spans="2:27" ht="35.75" customHeight="1" thickBot="1" x14ac:dyDescent="0.5">
      <c r="B6" s="1"/>
      <c r="G6" s="19" t="s">
        <v>26</v>
      </c>
      <c r="H6" s="84">
        <f>(I12*N12)+(I13*N13)+(I14*N14)+(I15*N15)+(I16*N16)+(I17*N17)+(I18*N18)+(I19*N19)+(I20*N20)+(I21*N21)+(I22*N22)+(I23*N23)</f>
        <v>57575555061.381516</v>
      </c>
      <c r="I6" s="61">
        <v>50000000000</v>
      </c>
      <c r="J6" s="61">
        <v>63000000000</v>
      </c>
      <c r="K6" s="83" t="s">
        <v>80</v>
      </c>
      <c r="L6" s="1"/>
      <c r="R6" s="112" t="s">
        <v>91</v>
      </c>
      <c r="S6" s="113" t="s">
        <v>92</v>
      </c>
      <c r="T6" s="114" t="s">
        <v>93</v>
      </c>
    </row>
    <row r="7" spans="2:27" ht="35.75" customHeight="1" thickBot="1" x14ac:dyDescent="0.5">
      <c r="B7" s="1"/>
      <c r="G7" s="20" t="s">
        <v>77</v>
      </c>
      <c r="H7" s="137" t="s">
        <v>101</v>
      </c>
      <c r="I7" s="138"/>
      <c r="J7" s="138"/>
      <c r="K7" s="139"/>
      <c r="L7" s="5"/>
      <c r="R7" s="22">
        <f>D9</f>
        <v>738886152.05084705</v>
      </c>
      <c r="S7" s="22">
        <f>'Minimize CO2e'!S24</f>
        <v>23147380000</v>
      </c>
      <c r="T7" s="32">
        <f>R7/S7</f>
        <v>3.1920941033103833E-2</v>
      </c>
      <c r="U7" s="65" t="s">
        <v>109</v>
      </c>
    </row>
    <row r="8" spans="2:27" ht="14.65" thickBot="1" x14ac:dyDescent="0.5">
      <c r="H8" s="5"/>
      <c r="I8" s="26"/>
      <c r="J8" s="25"/>
      <c r="R8" s="22">
        <v>-3.23</v>
      </c>
      <c r="S8" s="22">
        <v>3.19</v>
      </c>
      <c r="T8" s="32">
        <f>R8/S8</f>
        <v>-1.0125391849529781</v>
      </c>
    </row>
    <row r="9" spans="2:27" ht="14.65" thickBot="1" x14ac:dyDescent="0.5">
      <c r="B9" s="58" t="s">
        <v>110</v>
      </c>
      <c r="D9" s="82">
        <f>((H12*K12*N12)+(H13*K13*N13)+(H14*K14*N14)+(H15*K15*N15)+(H16*K16*N16)+(H17*K17*N17))-((H18*K18*N18)+(H19*K19*N19)+(H20*K20*N20)+(H21*K21*N21)+(H22*K22*N22)+(H23*K23*N23))</f>
        <v>738886152.05084705</v>
      </c>
      <c r="G9" s="1"/>
      <c r="H9" s="8"/>
      <c r="I9" s="8"/>
      <c r="J9" s="8"/>
    </row>
    <row r="10" spans="2:27" ht="14.65" thickBot="1" x14ac:dyDescent="0.5">
      <c r="G10" s="81" t="s">
        <v>20</v>
      </c>
      <c r="H10" s="81" t="s">
        <v>20</v>
      </c>
      <c r="I10" s="7"/>
      <c r="K10" s="6"/>
      <c r="L10" s="6"/>
      <c r="M10" s="12"/>
      <c r="O10" s="12"/>
      <c r="P10" s="12"/>
      <c r="Q10" s="12"/>
      <c r="R10" s="12"/>
      <c r="S10" s="12"/>
      <c r="T10" s="12"/>
      <c r="Y10" s="12"/>
      <c r="AA10" s="12"/>
    </row>
    <row r="11" spans="2:27" s="2" customFormat="1" ht="40.5" customHeight="1" thickBot="1" x14ac:dyDescent="0.5">
      <c r="B11" s="13" t="s">
        <v>82</v>
      </c>
      <c r="D11" s="57" t="s">
        <v>0</v>
      </c>
      <c r="E11" s="35" t="s">
        <v>73</v>
      </c>
      <c r="F11" s="36" t="s">
        <v>72</v>
      </c>
      <c r="G11" s="29" t="s">
        <v>100</v>
      </c>
      <c r="H11" s="29" t="s">
        <v>87</v>
      </c>
      <c r="I11" s="29" t="s">
        <v>3</v>
      </c>
      <c r="J11" s="36" t="s">
        <v>74</v>
      </c>
      <c r="K11" s="29" t="s">
        <v>24</v>
      </c>
      <c r="L11" s="29" t="s">
        <v>90</v>
      </c>
      <c r="M11" s="29" t="s">
        <v>21</v>
      </c>
      <c r="N11" s="29" t="s">
        <v>2</v>
      </c>
      <c r="O11" s="29" t="s">
        <v>89</v>
      </c>
      <c r="P11" s="67" t="s">
        <v>25</v>
      </c>
      <c r="Q11" s="115" t="s">
        <v>88</v>
      </c>
      <c r="R11" s="116" t="s">
        <v>95</v>
      </c>
      <c r="S11" s="113" t="s">
        <v>96</v>
      </c>
      <c r="T11" s="114" t="s">
        <v>94</v>
      </c>
      <c r="U11" s="3"/>
    </row>
    <row r="12" spans="2:27" ht="15.75" customHeight="1" x14ac:dyDescent="0.45">
      <c r="B12" s="9" t="s">
        <v>103</v>
      </c>
      <c r="D12" s="140" t="s">
        <v>70</v>
      </c>
      <c r="E12" s="110" t="s">
        <v>8</v>
      </c>
      <c r="F12" t="s">
        <v>4</v>
      </c>
      <c r="G12" s="108">
        <f>Data!K3</f>
        <v>53</v>
      </c>
      <c r="H12" s="8">
        <f>Data!L3</f>
        <v>36</v>
      </c>
      <c r="I12" s="8">
        <f>Data!P3</f>
        <v>112632565.2173913</v>
      </c>
      <c r="J12" s="72">
        <f>Data!F3</f>
        <v>4325000</v>
      </c>
      <c r="K12" s="72">
        <f>Data!F3/Data!M3</f>
        <v>188043.47826086957</v>
      </c>
      <c r="M12" s="125">
        <v>0</v>
      </c>
      <c r="N12" s="87">
        <v>203</v>
      </c>
      <c r="O12" s="107">
        <f>N12*N18</f>
        <v>0</v>
      </c>
      <c r="P12" s="78">
        <f>N12*K12</f>
        <v>38172826.086956523</v>
      </c>
      <c r="Q12" s="71">
        <v>203</v>
      </c>
      <c r="R12" s="93">
        <f>P12*G12</f>
        <v>2023159782.6086957</v>
      </c>
      <c r="S12" s="93">
        <f>J12*G12</f>
        <v>229225000</v>
      </c>
      <c r="T12" s="94"/>
      <c r="U12" s="5"/>
    </row>
    <row r="13" spans="2:27" x14ac:dyDescent="0.45">
      <c r="B13" s="9" t="s">
        <v>103</v>
      </c>
      <c r="D13" s="131"/>
      <c r="E13" s="110" t="s">
        <v>9</v>
      </c>
      <c r="F13" t="s">
        <v>5</v>
      </c>
      <c r="G13" s="108">
        <f>Data!K4</f>
        <v>12</v>
      </c>
      <c r="H13" s="8">
        <f>Data!L4</f>
        <v>38</v>
      </c>
      <c r="I13" s="8">
        <f>Data!P4</f>
        <v>209232238.09523809</v>
      </c>
      <c r="J13" s="72">
        <f>Data!F4</f>
        <v>7387000</v>
      </c>
      <c r="K13" s="72">
        <f>Data!F4/Data!M4</f>
        <v>351761.90476190473</v>
      </c>
      <c r="M13" s="125">
        <v>0</v>
      </c>
      <c r="N13" s="88">
        <v>16</v>
      </c>
      <c r="O13" s="107">
        <f t="shared" ref="O13:O17" si="0">N13*N19</f>
        <v>0</v>
      </c>
      <c r="P13" s="78">
        <f>N13*K13</f>
        <v>5628190.4761904757</v>
      </c>
      <c r="Q13" s="71">
        <v>16</v>
      </c>
      <c r="R13" s="93">
        <f t="shared" ref="R13:R23" si="1">P13*G13</f>
        <v>67538285.714285702</v>
      </c>
      <c r="S13" s="93">
        <f t="shared" ref="S13:S17" si="2">J13*G13</f>
        <v>88644000</v>
      </c>
      <c r="T13" s="94"/>
      <c r="U13" s="5"/>
    </row>
    <row r="14" spans="2:27" x14ac:dyDescent="0.45">
      <c r="B14" s="9" t="s">
        <v>103</v>
      </c>
      <c r="D14" s="131"/>
      <c r="E14" s="110" t="s">
        <v>10</v>
      </c>
      <c r="F14" t="s">
        <v>33</v>
      </c>
      <c r="G14" s="108">
        <f>Data!K5</f>
        <v>9</v>
      </c>
      <c r="H14" s="8">
        <f>Data!L5</f>
        <v>93</v>
      </c>
      <c r="I14" s="8">
        <f>Data!P5</f>
        <v>547548000</v>
      </c>
      <c r="J14" s="72">
        <f>Data!F5</f>
        <v>2870000</v>
      </c>
      <c r="K14" s="72">
        <f>Data!F5/Data!M5</f>
        <v>220769.23076923078</v>
      </c>
      <c r="M14" s="125">
        <v>0.75</v>
      </c>
      <c r="N14" s="88">
        <v>1</v>
      </c>
      <c r="O14" s="107">
        <f t="shared" si="0"/>
        <v>0</v>
      </c>
      <c r="P14" s="78">
        <f>N14*K14</f>
        <v>220769.23076923078</v>
      </c>
      <c r="Q14" s="71">
        <v>1</v>
      </c>
      <c r="R14" s="93">
        <f t="shared" si="1"/>
        <v>1986923.076923077</v>
      </c>
      <c r="S14" s="93">
        <f t="shared" si="2"/>
        <v>25830000</v>
      </c>
      <c r="T14" s="94"/>
      <c r="U14" s="5"/>
    </row>
    <row r="15" spans="2:27" x14ac:dyDescent="0.45">
      <c r="B15" s="9" t="s">
        <v>103</v>
      </c>
      <c r="D15" s="131"/>
      <c r="E15" s="110" t="s">
        <v>11</v>
      </c>
      <c r="F15" t="s">
        <v>6</v>
      </c>
      <c r="G15" s="108">
        <f>Data!K6</f>
        <v>6</v>
      </c>
      <c r="H15" s="8">
        <f>Data!L6</f>
        <v>167</v>
      </c>
      <c r="I15" s="8">
        <f>Data!P6</f>
        <v>4891562454.545455</v>
      </c>
      <c r="J15" s="72">
        <f>Data!F6</f>
        <v>75328000</v>
      </c>
      <c r="K15" s="72">
        <f>Data!F6/Data!M6</f>
        <v>6848000</v>
      </c>
      <c r="M15" s="125">
        <v>1</v>
      </c>
      <c r="N15" s="88">
        <v>5</v>
      </c>
      <c r="O15" s="107">
        <f t="shared" si="0"/>
        <v>0</v>
      </c>
      <c r="P15" s="78">
        <f t="shared" ref="P15:P23" si="3">N15*K15</f>
        <v>34240000</v>
      </c>
      <c r="Q15" s="71">
        <v>5</v>
      </c>
      <c r="R15" s="93">
        <f t="shared" si="1"/>
        <v>205440000</v>
      </c>
      <c r="S15" s="93">
        <f t="shared" si="2"/>
        <v>451968000</v>
      </c>
      <c r="T15" s="94"/>
      <c r="U15" s="5"/>
    </row>
    <row r="16" spans="2:27" x14ac:dyDescent="0.45">
      <c r="B16" s="9" t="s">
        <v>81</v>
      </c>
      <c r="D16" s="131"/>
      <c r="E16" s="110" t="s">
        <v>12</v>
      </c>
      <c r="F16" t="s">
        <v>7</v>
      </c>
      <c r="G16" s="108">
        <f>Data!K7</f>
        <v>924</v>
      </c>
      <c r="H16" s="8">
        <f>Data!L7</f>
        <v>108</v>
      </c>
      <c r="I16" s="8">
        <f>Data!P7</f>
        <v>5230613818.181818</v>
      </c>
      <c r="J16" s="72">
        <f>Data!F7</f>
        <v>48181000</v>
      </c>
      <c r="K16" s="72">
        <f>Data!F7/Data!M7</f>
        <v>4380090.9090909092</v>
      </c>
      <c r="M16" s="125">
        <v>0.65</v>
      </c>
      <c r="N16" s="88">
        <v>0</v>
      </c>
      <c r="O16" s="107">
        <f t="shared" si="0"/>
        <v>0</v>
      </c>
      <c r="P16" s="78">
        <f t="shared" si="3"/>
        <v>0</v>
      </c>
      <c r="Q16" s="71">
        <v>0</v>
      </c>
      <c r="R16" s="93">
        <f>P16*G16</f>
        <v>0</v>
      </c>
      <c r="S16" s="93">
        <f>J16*G16</f>
        <v>44519244000</v>
      </c>
      <c r="T16" s="94"/>
      <c r="U16" s="5"/>
    </row>
    <row r="17" spans="2:21" x14ac:dyDescent="0.45">
      <c r="B17" s="9" t="s">
        <v>81</v>
      </c>
      <c r="D17" s="131"/>
      <c r="E17" s="110" t="s">
        <v>13</v>
      </c>
      <c r="F17" t="s">
        <v>35</v>
      </c>
      <c r="G17" s="108">
        <f>Data!K8</f>
        <v>458</v>
      </c>
      <c r="H17" s="8">
        <f>Data!L8</f>
        <v>60</v>
      </c>
      <c r="I17" s="8">
        <f>Data!P8</f>
        <v>536254800</v>
      </c>
      <c r="J17" s="72">
        <f>Data!F8</f>
        <v>77679000</v>
      </c>
      <c r="K17" s="72">
        <f>Data!F8/Data!M8</f>
        <v>1941975</v>
      </c>
      <c r="M17" s="125">
        <v>0.25</v>
      </c>
      <c r="N17" s="88">
        <v>0</v>
      </c>
      <c r="O17" s="107">
        <f t="shared" si="0"/>
        <v>0</v>
      </c>
      <c r="P17" s="78">
        <f t="shared" si="3"/>
        <v>0</v>
      </c>
      <c r="Q17" s="71">
        <v>0</v>
      </c>
      <c r="R17" s="93">
        <f t="shared" si="1"/>
        <v>0</v>
      </c>
      <c r="S17" s="93">
        <f t="shared" si="2"/>
        <v>35576982000</v>
      </c>
      <c r="T17" s="94"/>
      <c r="U17" s="5"/>
    </row>
    <row r="18" spans="2:21" ht="15.75" customHeight="1" x14ac:dyDescent="0.45">
      <c r="B18" s="9" t="s">
        <v>103</v>
      </c>
      <c r="D18" s="133" t="s">
        <v>71</v>
      </c>
      <c r="E18" s="110" t="s">
        <v>14</v>
      </c>
      <c r="F18" t="s">
        <v>4</v>
      </c>
      <c r="G18" s="108">
        <f>Data!K11</f>
        <v>53</v>
      </c>
      <c r="H18" s="8">
        <f>Data!L11</f>
        <v>36</v>
      </c>
      <c r="I18" s="8">
        <f>Data!Q11</f>
        <v>12389582.173913043</v>
      </c>
      <c r="J18" s="72">
        <f>Data!F11</f>
        <v>4325000</v>
      </c>
      <c r="K18" s="72">
        <f>Data!F11/Data!M11</f>
        <v>188043.47826086957</v>
      </c>
      <c r="L18" s="4">
        <f>Data!M11</f>
        <v>23</v>
      </c>
      <c r="M18" s="125">
        <v>0</v>
      </c>
      <c r="N18" s="89">
        <v>0</v>
      </c>
      <c r="O18" s="107"/>
      <c r="P18" s="78">
        <f t="shared" si="3"/>
        <v>0</v>
      </c>
      <c r="Q18" s="71">
        <v>0</v>
      </c>
      <c r="R18" s="93">
        <f t="shared" si="1"/>
        <v>0</v>
      </c>
      <c r="S18" s="93"/>
      <c r="T18" s="94"/>
      <c r="U18" s="5"/>
    </row>
    <row r="19" spans="2:21" x14ac:dyDescent="0.45">
      <c r="B19" s="9" t="s">
        <v>103</v>
      </c>
      <c r="D19" s="133"/>
      <c r="E19" s="110" t="s">
        <v>15</v>
      </c>
      <c r="F19" t="s">
        <v>5</v>
      </c>
      <c r="G19" s="108">
        <f>Data!K12</f>
        <v>12</v>
      </c>
      <c r="H19" s="8">
        <f>Data!L12</f>
        <v>38</v>
      </c>
      <c r="I19" s="8">
        <f>Data!Q12</f>
        <v>23015546.19047619</v>
      </c>
      <c r="J19" s="72">
        <f>Data!F12</f>
        <v>7387000</v>
      </c>
      <c r="K19" s="72">
        <f>Data!F12/Data!M12</f>
        <v>351761.90476190473</v>
      </c>
      <c r="L19" s="4">
        <f>Data!M12</f>
        <v>21</v>
      </c>
      <c r="M19" s="125">
        <v>0</v>
      </c>
      <c r="N19" s="89">
        <v>0</v>
      </c>
      <c r="O19" s="107"/>
      <c r="P19" s="78">
        <f t="shared" si="3"/>
        <v>0</v>
      </c>
      <c r="Q19" s="71">
        <v>0</v>
      </c>
      <c r="R19" s="93">
        <f t="shared" si="1"/>
        <v>0</v>
      </c>
      <c r="S19" s="93"/>
      <c r="T19" s="94"/>
      <c r="U19" s="5"/>
    </row>
    <row r="20" spans="2:21" x14ac:dyDescent="0.45">
      <c r="B20" s="9" t="s">
        <v>103</v>
      </c>
      <c r="D20" s="133"/>
      <c r="E20" s="110" t="s">
        <v>16</v>
      </c>
      <c r="F20" t="s">
        <v>33</v>
      </c>
      <c r="G20" s="108">
        <f>Data!K13</f>
        <v>9</v>
      </c>
      <c r="H20" s="8">
        <f>Data!L13</f>
        <v>93</v>
      </c>
      <c r="I20" s="8">
        <f>Data!Q13</f>
        <v>60230280</v>
      </c>
      <c r="J20" s="72">
        <f>Data!F13</f>
        <v>2870000</v>
      </c>
      <c r="K20" s="72">
        <f>Data!F13/Data!M13</f>
        <v>220769.23076923078</v>
      </c>
      <c r="L20" s="4">
        <v>13</v>
      </c>
      <c r="M20" s="125">
        <v>0.75</v>
      </c>
      <c r="N20" s="89">
        <v>0</v>
      </c>
      <c r="O20" s="107"/>
      <c r="P20" s="78">
        <f t="shared" si="3"/>
        <v>0</v>
      </c>
      <c r="Q20" s="71">
        <v>0</v>
      </c>
      <c r="R20" s="93">
        <f t="shared" si="1"/>
        <v>0</v>
      </c>
      <c r="S20" s="93"/>
      <c r="T20" s="94"/>
      <c r="U20" s="5"/>
    </row>
    <row r="21" spans="2:21" x14ac:dyDescent="0.45">
      <c r="B21" s="9" t="s">
        <v>103</v>
      </c>
      <c r="D21" s="133"/>
      <c r="E21" s="110" t="s">
        <v>17</v>
      </c>
      <c r="F21" t="s">
        <v>6</v>
      </c>
      <c r="G21" s="108">
        <f>Data!K14</f>
        <v>6</v>
      </c>
      <c r="H21" s="8">
        <f>Data!L14</f>
        <v>167</v>
      </c>
      <c r="I21" s="8">
        <f>Data!Q14</f>
        <v>538071870</v>
      </c>
      <c r="J21" s="72">
        <f>Data!F14</f>
        <v>75328000</v>
      </c>
      <c r="K21" s="72">
        <f>Data!F14/Data!M14</f>
        <v>6848000</v>
      </c>
      <c r="L21" s="4">
        <f>Data!M14</f>
        <v>11</v>
      </c>
      <c r="M21" s="125">
        <v>1</v>
      </c>
      <c r="N21" s="89">
        <v>0</v>
      </c>
      <c r="O21" s="107"/>
      <c r="P21" s="78">
        <f t="shared" si="3"/>
        <v>0</v>
      </c>
      <c r="Q21" s="71">
        <v>0</v>
      </c>
      <c r="R21" s="93">
        <f t="shared" si="1"/>
        <v>0</v>
      </c>
      <c r="S21" s="93"/>
      <c r="T21" s="94"/>
      <c r="U21" s="5"/>
    </row>
    <row r="22" spans="2:21" x14ac:dyDescent="0.45">
      <c r="B22" s="9" t="s">
        <v>81</v>
      </c>
      <c r="D22" s="133"/>
      <c r="E22" s="110" t="s">
        <v>18</v>
      </c>
      <c r="F22" t="s">
        <v>7</v>
      </c>
      <c r="G22" s="108">
        <f>Data!K15</f>
        <v>924</v>
      </c>
      <c r="H22" s="8">
        <f>Data!L15</f>
        <v>108</v>
      </c>
      <c r="I22" s="8">
        <f>Data!Q15</f>
        <v>575367520</v>
      </c>
      <c r="J22" s="72">
        <f>Data!F15</f>
        <v>48181000</v>
      </c>
      <c r="K22" s="72">
        <f>Data!F15/Data!M15</f>
        <v>4380090.9090909092</v>
      </c>
      <c r="L22" s="4">
        <f>Data!M15</f>
        <v>11</v>
      </c>
      <c r="M22" s="125">
        <v>0.65</v>
      </c>
      <c r="N22" s="89">
        <v>9</v>
      </c>
      <c r="O22" s="107"/>
      <c r="P22" s="78">
        <f t="shared" si="3"/>
        <v>39420818.18181818</v>
      </c>
      <c r="Q22" s="71">
        <v>9</v>
      </c>
      <c r="R22" s="93">
        <f t="shared" si="1"/>
        <v>36424836000</v>
      </c>
      <c r="S22" s="93"/>
      <c r="T22" s="94"/>
      <c r="U22" s="5"/>
    </row>
    <row r="23" spans="2:21" ht="14.65" thickBot="1" x14ac:dyDescent="0.5">
      <c r="B23" s="10" t="s">
        <v>81</v>
      </c>
      <c r="D23" s="141"/>
      <c r="E23" s="111" t="s">
        <v>19</v>
      </c>
      <c r="F23" s="21" t="s">
        <v>35</v>
      </c>
      <c r="G23" s="69">
        <f>Data!K16</f>
        <v>458</v>
      </c>
      <c r="H23" s="68">
        <f>Data!L16</f>
        <v>60</v>
      </c>
      <c r="I23" s="68">
        <f>Data!Q16</f>
        <v>58988028</v>
      </c>
      <c r="J23" s="73">
        <f>Data!F16</f>
        <v>77679000</v>
      </c>
      <c r="K23" s="73">
        <f>Data!F16/Data!M16</f>
        <v>1941975</v>
      </c>
      <c r="L23" s="66">
        <f>Data!M16</f>
        <v>40</v>
      </c>
      <c r="M23" s="126">
        <v>0.25</v>
      </c>
      <c r="N23" s="90">
        <v>20</v>
      </c>
      <c r="O23" s="70"/>
      <c r="P23" s="79">
        <f t="shared" si="3"/>
        <v>38839500</v>
      </c>
      <c r="Q23" s="71">
        <v>20</v>
      </c>
      <c r="R23" s="93">
        <f t="shared" si="1"/>
        <v>17788491000</v>
      </c>
      <c r="S23" s="93"/>
      <c r="T23" s="94"/>
      <c r="U23" s="5"/>
    </row>
    <row r="24" spans="2:21" ht="43.15" thickBot="1" x14ac:dyDescent="0.5">
      <c r="P24" s="27"/>
      <c r="R24" s="95">
        <f>SUM(R12:R17)-SUM(R18:R23)</f>
        <v>-51915202008.600098</v>
      </c>
      <c r="S24" s="95">
        <f>SUM(S12:S17)</f>
        <v>80891893000</v>
      </c>
      <c r="T24" s="96">
        <f>R24/S24</f>
        <v>-0.64178498095724001</v>
      </c>
      <c r="U24" s="65" t="s">
        <v>108</v>
      </c>
    </row>
    <row r="25" spans="2:21" x14ac:dyDescent="0.45">
      <c r="M25" s="3"/>
      <c r="N25" s="3"/>
      <c r="O25" s="3"/>
      <c r="P25" s="3"/>
      <c r="Q25" s="3"/>
      <c r="R25" s="3"/>
      <c r="S25" s="3"/>
      <c r="T25" s="3"/>
    </row>
    <row r="30" spans="2:21" ht="15.75" customHeight="1" x14ac:dyDescent="0.45"/>
    <row r="33" ht="15.75" customHeight="1" x14ac:dyDescent="0.45"/>
  </sheetData>
  <mergeCells count="5">
    <mergeCell ref="G2:K2"/>
    <mergeCell ref="H7:K7"/>
    <mergeCell ref="D12:D17"/>
    <mergeCell ref="D18:D23"/>
    <mergeCell ref="M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Minimize CO2e</vt:lpstr>
      <vt:lpstr>Minimize LCOE Cost</vt:lpstr>
      <vt:lpstr>Compromise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Schmidt</dc:creator>
  <cp:lastModifiedBy>Emily Schmidt</cp:lastModifiedBy>
  <dcterms:created xsi:type="dcterms:W3CDTF">2023-03-28T16:39:31Z</dcterms:created>
  <dcterms:modified xsi:type="dcterms:W3CDTF">2023-04-18T14:11:04Z</dcterms:modified>
</cp:coreProperties>
</file>