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showInkAnnotation="0"/>
  <mc:AlternateContent xmlns:mc="http://schemas.openxmlformats.org/markup-compatibility/2006">
    <mc:Choice Requires="x15">
      <x15ac:absPath xmlns:x15ac="http://schemas.microsoft.com/office/spreadsheetml/2010/11/ac" url="/Users/shawn/Downloads/"/>
    </mc:Choice>
  </mc:AlternateContent>
  <xr:revisionPtr revIDLastSave="0" documentId="13_ncr:1_{7496AD39-B46B-CB40-8B22-4FF0C524A523}" xr6:coauthVersionLast="47" xr6:coauthVersionMax="47" xr10:uidLastSave="{00000000-0000-0000-0000-000000000000}"/>
  <bookViews>
    <workbookView xWindow="17460" yWindow="460" windowWidth="17280" windowHeight="22120" tabRatio="500" xr2:uid="{00000000-000D-0000-FFFF-FFFF00000000}"/>
  </bookViews>
  <sheets>
    <sheet name="group" sheetId="4" r:id="rId1"/>
    <sheet name="adjusted_aa_area_estimation" sheetId="3" r:id="rId2"/>
    <sheet name="sample size calculation" sheetId="1" r:id="rId3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4" l="1"/>
  <c r="J11" i="4"/>
  <c r="J10" i="4"/>
  <c r="J9" i="4"/>
  <c r="G16" i="4"/>
  <c r="F16" i="4"/>
  <c r="E16" i="4"/>
  <c r="D16" i="4"/>
  <c r="I10" i="4"/>
  <c r="I11" i="4"/>
  <c r="I12" i="4"/>
  <c r="I9" i="4"/>
  <c r="E15" i="4"/>
  <c r="F15" i="4"/>
  <c r="G15" i="4"/>
  <c r="D15" i="4"/>
  <c r="H5" i="3"/>
  <c r="F24" i="3" s="1"/>
  <c r="C10" i="3"/>
  <c r="H6" i="3"/>
  <c r="E25" i="3" s="1"/>
  <c r="H7" i="3"/>
  <c r="L5" i="3"/>
  <c r="L6" i="3"/>
  <c r="L7" i="3"/>
  <c r="L8" i="3"/>
  <c r="K32" i="3" s="1"/>
  <c r="H8" i="3"/>
  <c r="E27" i="3" s="1"/>
  <c r="K31" i="3"/>
  <c r="K30" i="3"/>
  <c r="H10" i="3"/>
  <c r="P19" i="3" s="1"/>
  <c r="F10" i="3"/>
  <c r="K19" i="3" s="1"/>
  <c r="M19" i="3" s="1"/>
  <c r="E10" i="3"/>
  <c r="K18" i="3" s="1"/>
  <c r="M18" i="3" s="1"/>
  <c r="D10" i="3"/>
  <c r="K17" i="3" s="1"/>
  <c r="M17" i="3" s="1"/>
  <c r="K16" i="3"/>
  <c r="M16" i="3" s="1"/>
  <c r="K10" i="3"/>
  <c r="D6" i="1"/>
  <c r="D7" i="1"/>
  <c r="D8" i="1"/>
  <c r="D5" i="1"/>
  <c r="E6" i="1"/>
  <c r="E7" i="1"/>
  <c r="E8" i="1"/>
  <c r="E5" i="1"/>
  <c r="F5" i="1" s="1"/>
  <c r="F8" i="1" l="1"/>
  <c r="F7" i="1"/>
  <c r="F6" i="1"/>
  <c r="B12" i="1"/>
  <c r="D24" i="3"/>
  <c r="F25" i="3"/>
  <c r="C25" i="3"/>
  <c r="L10" i="3"/>
  <c r="K29" i="3"/>
  <c r="C27" i="3"/>
  <c r="D27" i="3"/>
  <c r="L19" i="3"/>
  <c r="N19" i="3" s="1"/>
  <c r="F27" i="3"/>
  <c r="F26" i="3"/>
  <c r="D26" i="3"/>
  <c r="L18" i="3"/>
  <c r="N18" i="3" s="1"/>
  <c r="C26" i="3"/>
  <c r="E26" i="3"/>
  <c r="D25" i="3"/>
  <c r="S39" i="3"/>
  <c r="L17" i="3"/>
  <c r="N17" i="3" s="1"/>
  <c r="Q41" i="3"/>
  <c r="L16" i="3"/>
  <c r="N16" i="3" s="1"/>
  <c r="E24" i="3"/>
  <c r="C24" i="3"/>
  <c r="S40" i="3"/>
  <c r="S42" i="3"/>
  <c r="S41" i="3"/>
  <c r="Q39" i="3"/>
  <c r="Q40" i="3"/>
  <c r="Q42" i="3"/>
  <c r="M6" i="3" l="1"/>
  <c r="M7" i="3"/>
  <c r="M8" i="3"/>
  <c r="M5" i="3"/>
  <c r="F18" i="3" l="1"/>
  <c r="D18" i="3"/>
  <c r="C18" i="3"/>
  <c r="E18" i="3"/>
  <c r="M10" i="3"/>
  <c r="F30" i="3"/>
  <c r="F31" i="3" s="1"/>
  <c r="M32" i="3" s="1"/>
  <c r="D17" i="3"/>
  <c r="E17" i="3"/>
  <c r="C17" i="3"/>
  <c r="F17" i="3"/>
  <c r="D30" i="3"/>
  <c r="D31" i="3" s="1"/>
  <c r="M30" i="3" s="1"/>
  <c r="E20" i="3"/>
  <c r="C20" i="3"/>
  <c r="D20" i="3"/>
  <c r="F20" i="3"/>
  <c r="E30" i="3"/>
  <c r="E31" i="3" s="1"/>
  <c r="M31" i="3" s="1"/>
  <c r="D19" i="3"/>
  <c r="E19" i="3"/>
  <c r="C19" i="3"/>
  <c r="F19" i="3"/>
  <c r="C30" i="3"/>
  <c r="C31" i="3" s="1"/>
  <c r="M29" i="3" s="1"/>
  <c r="E29" i="3" l="1"/>
  <c r="L31" i="3" s="1"/>
  <c r="D29" i="3"/>
  <c r="L30" i="3" s="1"/>
  <c r="H18" i="3"/>
  <c r="L24" i="3" s="1"/>
  <c r="K25" i="3"/>
  <c r="F29" i="3"/>
  <c r="L32" i="3" s="1"/>
  <c r="K24" i="3"/>
  <c r="H19" i="3"/>
  <c r="L25" i="3" s="1"/>
  <c r="H20" i="3"/>
  <c r="L26" i="3" s="1"/>
  <c r="H17" i="3"/>
  <c r="L23" i="3" s="1"/>
  <c r="P26" i="3"/>
  <c r="H29" i="3"/>
  <c r="C29" i="3"/>
  <c r="K26" i="3" l="1"/>
  <c r="N25" i="3"/>
  <c r="S25" i="3"/>
  <c r="N24" i="3"/>
  <c r="S24" i="3"/>
  <c r="S23" i="3"/>
  <c r="N23" i="3"/>
  <c r="T26" i="3"/>
  <c r="P32" i="3"/>
  <c r="Q32" i="3"/>
  <c r="P30" i="3"/>
  <c r="Q30" i="3"/>
  <c r="S26" i="3"/>
  <c r="N26" i="3"/>
  <c r="M25" i="3"/>
  <c r="R41" i="3"/>
  <c r="T41" i="3" s="1"/>
  <c r="R25" i="3" s="1"/>
  <c r="M26" i="3"/>
  <c r="R42" i="3"/>
  <c r="T42" i="3" s="1"/>
  <c r="R26" i="3" s="1"/>
  <c r="R40" i="3"/>
  <c r="T40" i="3" s="1"/>
  <c r="R24" i="3" s="1"/>
  <c r="M24" i="3"/>
  <c r="L29" i="3"/>
  <c r="N30" i="3" s="1"/>
  <c r="K23" i="3"/>
  <c r="P31" i="3"/>
  <c r="Q31" i="3"/>
  <c r="R39" i="3" l="1"/>
  <c r="T39" i="3" s="1"/>
  <c r="R23" i="3" s="1"/>
  <c r="M23" i="3"/>
  <c r="L33" i="3"/>
  <c r="P29" i="3"/>
  <c r="Q29" i="3"/>
  <c r="N29" i="3"/>
  <c r="N31" i="3"/>
  <c r="N32" i="3"/>
  <c r="O32" i="3" l="1"/>
  <c r="O30" i="3"/>
  <c r="O29" i="3"/>
  <c r="O31" i="3"/>
</calcChain>
</file>

<file path=xl/sharedStrings.xml><?xml version="1.0" encoding="utf-8"?>
<sst xmlns="http://schemas.openxmlformats.org/spreadsheetml/2006/main" count="115" uniqueCount="63">
  <si>
    <t>deforestation</t>
  </si>
  <si>
    <t>afforestation</t>
  </si>
  <si>
    <t>stable forest</t>
  </si>
  <si>
    <t>non-forest</t>
  </si>
  <si>
    <t>n</t>
  </si>
  <si>
    <t>S(O)</t>
  </si>
  <si>
    <t>Stratified random</t>
  </si>
  <si>
    <t>W*S</t>
  </si>
  <si>
    <t>S - Standard deviation</t>
  </si>
  <si>
    <t>Standard error of the estimated overall accuracy</t>
  </si>
  <si>
    <t>Number of reference samples</t>
  </si>
  <si>
    <t>Class</t>
  </si>
  <si>
    <t>Acccuracy statistics (not adjusted)</t>
  </si>
  <si>
    <t>Reference</t>
  </si>
  <si>
    <t>Sum</t>
  </si>
  <si>
    <t>pixel</t>
  </si>
  <si>
    <t>Accuracy statistics (area-adjusted calculation)</t>
  </si>
  <si>
    <t>±CI [ha]</t>
  </si>
  <si>
    <t>Adj area (%)</t>
  </si>
  <si>
    <t>±CI [%]</t>
  </si>
  <si>
    <t>User's Accuracy</t>
  </si>
  <si>
    <t>Mapped area proportion</t>
  </si>
  <si>
    <t>Pixel count</t>
  </si>
  <si>
    <t>Sample size calculation example (Olofsson et al. 2014)</t>
  </si>
  <si>
    <t>Standard error matrix</t>
  </si>
  <si>
    <t>Map class proportions</t>
  </si>
  <si>
    <t>ha</t>
  </si>
  <si>
    <t>Weights</t>
  </si>
  <si>
    <t>Classification</t>
  </si>
  <si>
    <t>Adjusted class probabilities</t>
  </si>
  <si>
    <t>Producer's Accuracy</t>
  </si>
  <si>
    <t>Omission Error</t>
  </si>
  <si>
    <t>Commission Error</t>
  </si>
  <si>
    <t>Overall accuracy</t>
  </si>
  <si>
    <t>Proportions belonging to class</t>
  </si>
  <si>
    <t>Map area</t>
  </si>
  <si>
    <t>Adj area</t>
  </si>
  <si>
    <t>Lower CI</t>
  </si>
  <si>
    <t>Upper CI</t>
  </si>
  <si>
    <t>EPS</t>
  </si>
  <si>
    <t>EV</t>
  </si>
  <si>
    <t>SE</t>
  </si>
  <si>
    <t>EPS = Estimated proportion of samples in class</t>
  </si>
  <si>
    <t>CI = +/- 2 standard deviations</t>
  </si>
  <si>
    <t>EV = Estimated variance of EPS</t>
  </si>
  <si>
    <t>SE = Standard error of EV</t>
  </si>
  <si>
    <t>Deciduous</t>
  </si>
  <si>
    <t>Mixed</t>
  </si>
  <si>
    <t>Coniferous</t>
  </si>
  <si>
    <t>Non-Forest</t>
  </si>
  <si>
    <t>N.j</t>
  </si>
  <si>
    <t>Producer's Accuracy 95% CI</t>
  </si>
  <si>
    <t>User's Accuracy 95% CI</t>
  </si>
  <si>
    <t>Overall Accuracy 95% CI</t>
  </si>
  <si>
    <t>Term 1</t>
  </si>
  <si>
    <t>Term 2</t>
  </si>
  <si>
    <t>V(PA)</t>
  </si>
  <si>
    <t>Estimation of the variance of the Producer´s Accuracy (Eq. 7, Olofsson 2014)</t>
  </si>
  <si>
    <t>prediction</t>
  </si>
  <si>
    <t>reference</t>
  </si>
  <si>
    <t>user accuracy</t>
  </si>
  <si>
    <t>total</t>
  </si>
  <si>
    <t>producer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</si>
</sst>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name val="Arial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0"/>
      <color indexed="22"/>
      <name val="Calibri"/>
      <family val="2"/>
      <scheme val="minor"/>
    </font>
    <font>
      <i/>
      <sz val="10"/>
      <color indexed="22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i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5" fillId="0" borderId="0"/>
  </cellStyleXfs>
  <cellXfs count="14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3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3" fontId="0" fillId="0" borderId="0" xfId="0" applyNumberFormat="1"/>
    <xf numFmtId="166" fontId="0" fillId="0" borderId="0" xfId="0" applyNumberFormat="1" applyFont="1"/>
    <xf numFmtId="0" fontId="5" fillId="2" borderId="0" xfId="0" applyFont="1" applyFill="1"/>
    <xf numFmtId="0" fontId="6" fillId="0" borderId="0" xfId="1" applyFont="1"/>
    <xf numFmtId="0" fontId="7" fillId="0" borderId="0" xfId="1" applyFont="1"/>
    <xf numFmtId="0" fontId="8" fillId="0" borderId="0" xfId="1" applyFont="1"/>
    <xf numFmtId="1" fontId="7" fillId="0" borderId="0" xfId="1" applyNumberFormat="1" applyFont="1"/>
    <xf numFmtId="0" fontId="7" fillId="0" borderId="0" xfId="1" applyFont="1" applyAlignment="1">
      <alignment horizontal="center"/>
    </xf>
    <xf numFmtId="0" fontId="7" fillId="3" borderId="2" xfId="1" applyFont="1" applyFill="1" applyBorder="1"/>
    <xf numFmtId="0" fontId="7" fillId="3" borderId="3" xfId="1" applyFont="1" applyFill="1" applyBorder="1"/>
    <xf numFmtId="0" fontId="7" fillId="3" borderId="4" xfId="1" applyFont="1" applyFill="1" applyBorder="1"/>
    <xf numFmtId="0" fontId="6" fillId="4" borderId="2" xfId="1" applyFont="1" applyFill="1" applyBorder="1" applyAlignment="1"/>
    <xf numFmtId="0" fontId="6" fillId="4" borderId="3" xfId="1" applyFont="1" applyFill="1" applyBorder="1" applyAlignment="1"/>
    <xf numFmtId="0" fontId="6" fillId="4" borderId="4" xfId="1" applyFont="1" applyFill="1" applyBorder="1" applyAlignment="1"/>
    <xf numFmtId="0" fontId="7" fillId="0" borderId="0" xfId="1" applyFont="1" applyBorder="1"/>
    <xf numFmtId="0" fontId="9" fillId="3" borderId="5" xfId="1" applyFont="1" applyFill="1" applyBorder="1" applyAlignment="1">
      <alignment textRotation="90"/>
    </xf>
    <xf numFmtId="0" fontId="7" fillId="3" borderId="0" xfId="1" applyFont="1" applyFill="1" applyBorder="1"/>
    <xf numFmtId="0" fontId="7" fillId="3" borderId="6" xfId="1" applyFont="1" applyFill="1" applyBorder="1" applyAlignment="1">
      <alignment horizontal="center"/>
    </xf>
    <xf numFmtId="0" fontId="7" fillId="4" borderId="5" xfId="1" applyFont="1" applyFill="1" applyBorder="1"/>
    <xf numFmtId="1" fontId="6" fillId="4" borderId="0" xfId="1" applyNumberFormat="1" applyFont="1" applyFill="1" applyBorder="1" applyAlignment="1">
      <alignment horizontal="center"/>
    </xf>
    <xf numFmtId="0" fontId="6" fillId="4" borderId="6" xfId="1" applyFont="1" applyFill="1" applyBorder="1" applyAlignment="1">
      <alignment horizontal="center"/>
    </xf>
    <xf numFmtId="0" fontId="7" fillId="5" borderId="10" xfId="1" applyFont="1" applyFill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4" fontId="10" fillId="0" borderId="0" xfId="1" applyNumberFormat="1" applyFont="1"/>
    <xf numFmtId="164" fontId="10" fillId="0" borderId="6" xfId="1" applyNumberFormat="1" applyFont="1" applyBorder="1" applyAlignment="1">
      <alignment horizontal="center"/>
    </xf>
    <xf numFmtId="0" fontId="7" fillId="3" borderId="5" xfId="1" applyFont="1" applyFill="1" applyBorder="1"/>
    <xf numFmtId="0" fontId="7" fillId="3" borderId="6" xfId="1" applyFont="1" applyFill="1" applyBorder="1"/>
    <xf numFmtId="1" fontId="10" fillId="4" borderId="0" xfId="1" applyNumberFormat="1" applyFont="1" applyFill="1" applyBorder="1" applyAlignment="1">
      <alignment horizontal="center"/>
    </xf>
    <xf numFmtId="0" fontId="10" fillId="4" borderId="6" xfId="1" applyFont="1" applyFill="1" applyBorder="1"/>
    <xf numFmtId="0" fontId="7" fillId="3" borderId="7" xfId="1" applyFont="1" applyFill="1" applyBorder="1"/>
    <xf numFmtId="0" fontId="7" fillId="3" borderId="8" xfId="1" applyFont="1" applyFill="1" applyBorder="1"/>
    <xf numFmtId="0" fontId="7" fillId="0" borderId="12" xfId="1" applyFont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4" borderId="7" xfId="1" applyFont="1" applyFill="1" applyBorder="1"/>
    <xf numFmtId="1" fontId="10" fillId="0" borderId="8" xfId="1" applyNumberFormat="1" applyFont="1" applyBorder="1" applyAlignment="1">
      <alignment horizontal="center"/>
    </xf>
    <xf numFmtId="2" fontId="10" fillId="0" borderId="9" xfId="1" applyNumberFormat="1" applyFont="1" applyFill="1" applyBorder="1" applyAlignment="1">
      <alignment horizontal="center"/>
    </xf>
    <xf numFmtId="0" fontId="6" fillId="0" borderId="0" xfId="1" applyFont="1" applyFill="1" applyBorder="1"/>
    <xf numFmtId="0" fontId="7" fillId="0" borderId="0" xfId="1" applyFont="1" applyFill="1" applyBorder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1" fontId="11" fillId="0" borderId="0" xfId="1" applyNumberFormat="1" applyFont="1" applyFill="1" applyBorder="1"/>
    <xf numFmtId="0" fontId="12" fillId="0" borderId="0" xfId="1" applyFont="1"/>
    <xf numFmtId="0" fontId="7" fillId="6" borderId="2" xfId="1" applyFont="1" applyFill="1" applyBorder="1"/>
    <xf numFmtId="0" fontId="7" fillId="6" borderId="3" xfId="1" applyFont="1" applyFill="1" applyBorder="1"/>
    <xf numFmtId="0" fontId="7" fillId="6" borderId="4" xfId="1" applyFont="1" applyFill="1" applyBorder="1"/>
    <xf numFmtId="0" fontId="6" fillId="7" borderId="14" xfId="1" applyFont="1" applyFill="1" applyBorder="1" applyAlignment="1">
      <alignment horizontal="center"/>
    </xf>
    <xf numFmtId="0" fontId="6" fillId="7" borderId="3" xfId="1" applyFont="1" applyFill="1" applyBorder="1" applyAlignment="1">
      <alignment horizontal="center" wrapText="1"/>
    </xf>
    <xf numFmtId="0" fontId="6" fillId="7" borderId="4" xfId="1" applyFont="1" applyFill="1" applyBorder="1" applyAlignment="1">
      <alignment horizontal="center" wrapText="1"/>
    </xf>
    <xf numFmtId="0" fontId="6" fillId="7" borderId="15" xfId="1" applyFont="1" applyFill="1" applyBorder="1" applyAlignment="1">
      <alignment horizontal="center" wrapText="1"/>
    </xf>
    <xf numFmtId="0" fontId="9" fillId="6" borderId="5" xfId="1" applyFont="1" applyFill="1" applyBorder="1" applyAlignment="1">
      <alignment textRotation="90"/>
    </xf>
    <xf numFmtId="0" fontId="7" fillId="6" borderId="0" xfId="1" applyFont="1" applyFill="1" applyBorder="1"/>
    <xf numFmtId="0" fontId="7" fillId="6" borderId="0" xfId="1" applyFont="1" applyFill="1" applyBorder="1" applyAlignment="1">
      <alignment horizontal="center"/>
    </xf>
    <xf numFmtId="0" fontId="7" fillId="6" borderId="6" xfId="1" applyFont="1" applyFill="1" applyBorder="1" applyAlignment="1">
      <alignment horizontal="center"/>
    </xf>
    <xf numFmtId="0" fontId="7" fillId="7" borderId="5" xfId="1" applyFont="1" applyFill="1" applyBorder="1"/>
    <xf numFmtId="10" fontId="7" fillId="0" borderId="16" xfId="1" applyNumberFormat="1" applyFont="1" applyBorder="1" applyAlignment="1">
      <alignment horizontal="center"/>
    </xf>
    <xf numFmtId="10" fontId="7" fillId="0" borderId="17" xfId="1" applyNumberFormat="1" applyFont="1" applyBorder="1" applyAlignment="1">
      <alignment horizontal="center"/>
    </xf>
    <xf numFmtId="10" fontId="7" fillId="0" borderId="18" xfId="1" applyNumberFormat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10" fontId="7" fillId="0" borderId="20" xfId="1" applyNumberFormat="1" applyFont="1" applyBorder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7" borderId="7" xfId="1" applyFont="1" applyFill="1" applyBorder="1"/>
    <xf numFmtId="10" fontId="7" fillId="0" borderId="21" xfId="1" applyNumberFormat="1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10" fontId="7" fillId="0" borderId="22" xfId="1" applyNumberFormat="1" applyFont="1" applyBorder="1" applyAlignment="1">
      <alignment horizontal="center"/>
    </xf>
    <xf numFmtId="0" fontId="7" fillId="0" borderId="23" xfId="1" applyFont="1" applyBorder="1" applyAlignment="1">
      <alignment horizontal="center"/>
    </xf>
    <xf numFmtId="0" fontId="7" fillId="6" borderId="5" xfId="1" applyFont="1" applyFill="1" applyBorder="1"/>
    <xf numFmtId="0" fontId="7" fillId="6" borderId="6" xfId="1" applyFont="1" applyFill="1" applyBorder="1"/>
    <xf numFmtId="0" fontId="6" fillId="8" borderId="14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 wrapText="1"/>
    </xf>
    <xf numFmtId="0" fontId="6" fillId="8" borderId="4" xfId="1" applyFont="1" applyFill="1" applyBorder="1" applyAlignment="1">
      <alignment horizontal="center" wrapText="1"/>
    </xf>
    <xf numFmtId="0" fontId="6" fillId="8" borderId="15" xfId="1" applyFont="1" applyFill="1" applyBorder="1" applyAlignment="1">
      <alignment horizontal="center" wrapText="1"/>
    </xf>
    <xf numFmtId="0" fontId="7" fillId="8" borderId="5" xfId="1" applyFont="1" applyFill="1" applyBorder="1"/>
    <xf numFmtId="164" fontId="7" fillId="0" borderId="10" xfId="1" applyNumberFormat="1" applyFont="1" applyFill="1" applyBorder="1" applyAlignment="1">
      <alignment horizontal="center"/>
    </xf>
    <xf numFmtId="0" fontId="7" fillId="8" borderId="7" xfId="1" applyFont="1" applyFill="1" applyBorder="1"/>
    <xf numFmtId="1" fontId="12" fillId="0" borderId="0" xfId="1" applyNumberFormat="1" applyFont="1"/>
    <xf numFmtId="2" fontId="7" fillId="6" borderId="0" xfId="1" applyNumberFormat="1" applyFont="1" applyFill="1" applyBorder="1"/>
    <xf numFmtId="0" fontId="7" fillId="9" borderId="14" xfId="1" applyFont="1" applyFill="1" applyBorder="1"/>
    <xf numFmtId="0" fontId="6" fillId="9" borderId="24" xfId="1" applyFont="1" applyFill="1" applyBorder="1" applyAlignment="1">
      <alignment horizontal="center"/>
    </xf>
    <xf numFmtId="0" fontId="6" fillId="9" borderId="3" xfId="1" applyFont="1" applyFill="1" applyBorder="1" applyAlignment="1">
      <alignment horizontal="center"/>
    </xf>
    <xf numFmtId="0" fontId="6" fillId="9" borderId="25" xfId="1" applyFont="1" applyFill="1" applyBorder="1" applyAlignment="1">
      <alignment horizontal="center"/>
    </xf>
    <xf numFmtId="10" fontId="7" fillId="0" borderId="0" xfId="1" applyNumberFormat="1" applyFont="1"/>
    <xf numFmtId="0" fontId="6" fillId="6" borderId="0" xfId="1" applyFont="1" applyFill="1" applyBorder="1"/>
    <xf numFmtId="164" fontId="7" fillId="0" borderId="10" xfId="1" applyNumberFormat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9" borderId="27" xfId="1" applyFont="1" applyFill="1" applyBorder="1"/>
    <xf numFmtId="1" fontId="7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10" fontId="7" fillId="0" borderId="0" xfId="1" applyNumberFormat="1" applyFont="1" applyBorder="1"/>
    <xf numFmtId="1" fontId="7" fillId="0" borderId="0" xfId="1" applyNumberFormat="1" applyFont="1" applyBorder="1"/>
    <xf numFmtId="1" fontId="7" fillId="0" borderId="6" xfId="1" applyNumberFormat="1" applyFont="1" applyBorder="1"/>
    <xf numFmtId="0" fontId="7" fillId="6" borderId="7" xfId="1" applyFont="1" applyFill="1" applyBorder="1"/>
    <xf numFmtId="0" fontId="6" fillId="6" borderId="8" xfId="1" applyFont="1" applyFill="1" applyBorder="1"/>
    <xf numFmtId="164" fontId="7" fillId="0" borderId="28" xfId="1" applyNumberFormat="1" applyFont="1" applyBorder="1" applyAlignment="1">
      <alignment horizontal="center"/>
    </xf>
    <xf numFmtId="0" fontId="7" fillId="6" borderId="8" xfId="1" applyFont="1" applyFill="1" applyBorder="1"/>
    <xf numFmtId="0" fontId="7" fillId="6" borderId="9" xfId="1" applyFont="1" applyFill="1" applyBorder="1"/>
    <xf numFmtId="0" fontId="7" fillId="9" borderId="29" xfId="1" applyFont="1" applyFill="1" applyBorder="1"/>
    <xf numFmtId="1" fontId="7" fillId="0" borderId="8" xfId="1" applyNumberFormat="1" applyFont="1" applyBorder="1" applyAlignment="1">
      <alignment horizontal="center"/>
    </xf>
    <xf numFmtId="0" fontId="7" fillId="0" borderId="8" xfId="1" applyNumberFormat="1" applyFont="1" applyBorder="1" applyAlignment="1">
      <alignment horizontal="center"/>
    </xf>
    <xf numFmtId="165" fontId="7" fillId="0" borderId="8" xfId="1" applyNumberFormat="1" applyFont="1" applyBorder="1"/>
    <xf numFmtId="10" fontId="7" fillId="0" borderId="8" xfId="1" applyNumberFormat="1" applyFont="1" applyBorder="1"/>
    <xf numFmtId="1" fontId="7" fillId="0" borderId="8" xfId="1" applyNumberFormat="1" applyFont="1" applyBorder="1"/>
    <xf numFmtId="1" fontId="7" fillId="0" borderId="9" xfId="1" applyNumberFormat="1" applyFont="1" applyBorder="1"/>
    <xf numFmtId="0" fontId="13" fillId="0" borderId="0" xfId="1" applyFont="1" applyFill="1" applyBorder="1"/>
    <xf numFmtId="0" fontId="11" fillId="0" borderId="0" xfId="1" applyFont="1" applyAlignment="1">
      <alignment horizontal="left"/>
    </xf>
    <xf numFmtId="0" fontId="13" fillId="0" borderId="0" xfId="1" applyFont="1"/>
    <xf numFmtId="4" fontId="7" fillId="0" borderId="0" xfId="1" applyNumberFormat="1" applyFont="1"/>
    <xf numFmtId="0" fontId="14" fillId="0" borderId="0" xfId="1" applyFont="1"/>
    <xf numFmtId="164" fontId="7" fillId="5" borderId="1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0" fontId="7" fillId="0" borderId="6" xfId="1" applyFont="1" applyBorder="1"/>
    <xf numFmtId="164" fontId="7" fillId="0" borderId="6" xfId="1" applyNumberFormat="1" applyFont="1" applyBorder="1"/>
    <xf numFmtId="164" fontId="7" fillId="0" borderId="0" xfId="1" applyNumberFormat="1" applyFont="1" applyBorder="1"/>
    <xf numFmtId="10" fontId="7" fillId="0" borderId="5" xfId="1" applyNumberFormat="1" applyFont="1" applyBorder="1" applyAlignment="1">
      <alignment horizontal="center"/>
    </xf>
    <xf numFmtId="10" fontId="7" fillId="0" borderId="0" xfId="1" applyNumberFormat="1" applyFont="1" applyAlignment="1">
      <alignment horizontal="center"/>
    </xf>
    <xf numFmtId="0" fontId="16" fillId="8" borderId="3" xfId="3" applyFont="1" applyFill="1" applyBorder="1" applyAlignment="1">
      <alignment horizontal="center" wrapText="1"/>
    </xf>
    <xf numFmtId="0" fontId="16" fillId="8" borderId="2" xfId="3" applyFont="1" applyFill="1" applyBorder="1" applyAlignment="1">
      <alignment horizontal="center" wrapText="1"/>
    </xf>
    <xf numFmtId="0" fontId="16" fillId="8" borderId="4" xfId="3" applyFont="1" applyFill="1" applyBorder="1" applyAlignment="1">
      <alignment horizontal="center" wrapText="1"/>
    </xf>
    <xf numFmtId="10" fontId="7" fillId="0" borderId="31" xfId="1" applyNumberFormat="1" applyFont="1" applyBorder="1"/>
    <xf numFmtId="10" fontId="7" fillId="0" borderId="32" xfId="1" applyNumberFormat="1" applyFont="1" applyBorder="1"/>
    <xf numFmtId="0" fontId="7" fillId="8" borderId="30" xfId="1" applyFont="1" applyFill="1" applyBorder="1"/>
    <xf numFmtId="0" fontId="7" fillId="0" borderId="31" xfId="1" applyFont="1" applyBorder="1" applyAlignment="1">
      <alignment horizontal="center"/>
    </xf>
    <xf numFmtId="0" fontId="7" fillId="0" borderId="31" xfId="1" applyFont="1" applyBorder="1"/>
    <xf numFmtId="0" fontId="7" fillId="0" borderId="32" xfId="1" applyFont="1" applyBorder="1"/>
    <xf numFmtId="10" fontId="7" fillId="0" borderId="30" xfId="1" applyNumberFormat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9" fillId="6" borderId="5" xfId="1" applyFont="1" applyFill="1" applyBorder="1" applyAlignment="1">
      <alignment horizontal="center" textRotation="90"/>
    </xf>
    <xf numFmtId="0" fontId="6" fillId="3" borderId="3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 textRotation="90"/>
    </xf>
    <xf numFmtId="0" fontId="6" fillId="6" borderId="3" xfId="1" applyFont="1" applyFill="1" applyBorder="1" applyAlignment="1">
      <alignment horizontal="center"/>
    </xf>
    <xf numFmtId="0" fontId="6" fillId="6" borderId="0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0000000}"/>
    <cellStyle name="Normal 2_adjusted_aa_area_estimation" xfId="3" xr:uid="{00000000-0005-0000-0000-000001000000}"/>
    <cellStyle name="Standard 2" xfId="2" xr:uid="{00000000-0005-0000-0000-000003000000}"/>
  </cellStyles>
  <dxfs count="0"/>
  <tableStyles count="0" defaultTableStyle="TableStyleMedium9" defaultPivotStyle="PivotStyleMedium7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E0BD-3050-DB4C-9F6C-35D211615D6A}">
  <dimension ref="C7:J16"/>
  <sheetViews>
    <sheetView tabSelected="1" workbookViewId="0">
      <selection activeCell="I35" sqref="I35"/>
    </sheetView>
  </sheetViews>
  <sheetFormatPr baseColWidth="10" defaultRowHeight="16" x14ac:dyDescent="0.2"/>
  <cols>
    <col min="2" max="2" width="4.33203125" customWidth="1"/>
    <col min="3" max="3" width="16" customWidth="1"/>
  </cols>
  <sheetData>
    <row r="7" spans="3:10" x14ac:dyDescent="0.2">
      <c r="D7" t="s">
        <v>59</v>
      </c>
    </row>
    <row r="8" spans="3:10" x14ac:dyDescent="0.2">
      <c r="C8" t="s">
        <v>58</v>
      </c>
      <c r="D8">
        <v>1</v>
      </c>
      <c r="E8">
        <v>2</v>
      </c>
      <c r="F8">
        <v>3</v>
      </c>
      <c r="G8">
        <v>4</v>
      </c>
      <c r="I8" t="s">
        <v>61</v>
      </c>
      <c r="J8" t="s">
        <v>60</v>
      </c>
    </row>
    <row r="9" spans="3:10" x14ac:dyDescent="0.2">
      <c r="C9">
        <v>1</v>
      </c>
      <c r="D9">
        <v>16</v>
      </c>
      <c r="E9">
        <v>3</v>
      </c>
      <c r="F9">
        <v>3</v>
      </c>
      <c r="G9">
        <v>3</v>
      </c>
      <c r="I9">
        <f>SUM(D9:G9)</f>
        <v>25</v>
      </c>
      <c r="J9">
        <f>D9/I9</f>
        <v>0.64</v>
      </c>
    </row>
    <row r="10" spans="3:10" x14ac:dyDescent="0.2">
      <c r="C10">
        <v>2</v>
      </c>
      <c r="D10">
        <v>2</v>
      </c>
      <c r="E10">
        <v>9</v>
      </c>
      <c r="F10">
        <v>5</v>
      </c>
      <c r="G10">
        <v>8</v>
      </c>
      <c r="I10">
        <f>SUM(D10:G10)</f>
        <v>24</v>
      </c>
      <c r="J10">
        <f>E10/I10</f>
        <v>0.375</v>
      </c>
    </row>
    <row r="11" spans="3:10" x14ac:dyDescent="0.2">
      <c r="C11">
        <v>3</v>
      </c>
      <c r="D11">
        <v>2</v>
      </c>
      <c r="E11">
        <v>4</v>
      </c>
      <c r="F11">
        <v>18</v>
      </c>
      <c r="G11">
        <v>1</v>
      </c>
      <c r="I11">
        <f>SUM(D11:G11)</f>
        <v>25</v>
      </c>
      <c r="J11">
        <f>F11/I11</f>
        <v>0.72</v>
      </c>
    </row>
    <row r="12" spans="3:10" x14ac:dyDescent="0.2">
      <c r="C12">
        <v>4</v>
      </c>
      <c r="D12">
        <v>0</v>
      </c>
      <c r="E12">
        <v>1</v>
      </c>
      <c r="F12">
        <v>2</v>
      </c>
      <c r="G12">
        <v>22</v>
      </c>
      <c r="I12">
        <f>SUM(D12:G12)</f>
        <v>25</v>
      </c>
      <c r="J12">
        <f>G12/I12</f>
        <v>0.88</v>
      </c>
    </row>
    <row r="15" spans="3:10" x14ac:dyDescent="0.2">
      <c r="C15" t="s">
        <v>61</v>
      </c>
      <c r="D15">
        <f>SUM(D9:D12)</f>
        <v>20</v>
      </c>
      <c r="E15">
        <f>SUM(E9:E12)</f>
        <v>17</v>
      </c>
      <c r="F15">
        <f>SUM(F9:F12)</f>
        <v>28</v>
      </c>
      <c r="G15">
        <f>SUM(G9:G12)</f>
        <v>34</v>
      </c>
    </row>
    <row r="16" spans="3:10" x14ac:dyDescent="0.2">
      <c r="C16" t="s">
        <v>62</v>
      </c>
      <c r="D16">
        <f>D9/D15</f>
        <v>0.8</v>
      </c>
      <c r="E16">
        <f>E10/E15</f>
        <v>0.52941176470588236</v>
      </c>
      <c r="F16">
        <f>F11/F15</f>
        <v>0.6428571428571429</v>
      </c>
      <c r="G16">
        <f>G12/G15</f>
        <v>0.6470588235294118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zoomScale="110" zoomScaleNormal="110" workbookViewId="0">
      <selection activeCell="A55" sqref="A55"/>
    </sheetView>
  </sheetViews>
  <sheetFormatPr baseColWidth="10" defaultColWidth="8.83203125" defaultRowHeight="14" x14ac:dyDescent="0.2"/>
  <cols>
    <col min="1" max="1" width="5.33203125" style="14" customWidth="1"/>
    <col min="2" max="2" width="8.83203125" style="14" customWidth="1"/>
    <col min="3" max="6" width="11.6640625" style="14" customWidth="1"/>
    <col min="7" max="7" width="1.1640625" style="14" customWidth="1"/>
    <col min="8" max="8" width="8.83203125" style="14" customWidth="1"/>
    <col min="9" max="9" width="6.5" style="14" customWidth="1"/>
    <col min="10" max="10" width="8.83203125" style="14" customWidth="1"/>
    <col min="11" max="11" width="14.1640625" style="14" customWidth="1"/>
    <col min="12" max="12" width="11.6640625" style="14" bestFit="1" customWidth="1"/>
    <col min="13" max="13" width="11.5" style="14" customWidth="1"/>
    <col min="14" max="14" width="11.6640625" style="16" customWidth="1"/>
    <col min="15" max="15" width="10" style="14" customWidth="1"/>
    <col min="16" max="18" width="10" style="17" customWidth="1"/>
    <col min="19" max="19" width="10" style="14" customWidth="1"/>
    <col min="20" max="21" width="12.33203125" style="14" customWidth="1"/>
    <col min="22" max="23" width="8.83203125" style="14"/>
    <col min="24" max="24" width="10" style="14" customWidth="1"/>
    <col min="25" max="16384" width="8.83203125" style="14"/>
  </cols>
  <sheetData>
    <row r="1" spans="1:23" ht="12.75" customHeight="1" x14ac:dyDescent="0.25">
      <c r="A1" s="13" t="s">
        <v>24</v>
      </c>
      <c r="J1" s="15" t="s">
        <v>25</v>
      </c>
    </row>
    <row r="2" spans="1:23" ht="6.75" customHeight="1" thickBot="1" x14ac:dyDescent="0.25"/>
    <row r="3" spans="1:23" ht="15.75" customHeight="1" x14ac:dyDescent="0.2">
      <c r="A3" s="18"/>
      <c r="B3" s="19"/>
      <c r="C3" s="142" t="s">
        <v>13</v>
      </c>
      <c r="D3" s="142"/>
      <c r="E3" s="142"/>
      <c r="F3" s="142"/>
      <c r="G3" s="19"/>
      <c r="H3" s="20"/>
      <c r="J3" s="21"/>
      <c r="K3" s="22"/>
      <c r="L3" s="22"/>
      <c r="M3" s="23"/>
      <c r="U3" s="24"/>
      <c r="V3" s="24"/>
      <c r="W3" s="24"/>
    </row>
    <row r="4" spans="1:23" ht="12.75" customHeight="1" x14ac:dyDescent="0.2">
      <c r="A4" s="25"/>
      <c r="B4" s="26"/>
      <c r="C4" s="26" t="s">
        <v>46</v>
      </c>
      <c r="D4" s="26" t="s">
        <v>47</v>
      </c>
      <c r="E4" s="26" t="s">
        <v>48</v>
      </c>
      <c r="F4" s="26" t="s">
        <v>49</v>
      </c>
      <c r="G4" s="26"/>
      <c r="H4" s="27" t="s">
        <v>14</v>
      </c>
      <c r="J4" s="28"/>
      <c r="K4" s="29" t="s">
        <v>15</v>
      </c>
      <c r="L4" s="29" t="s">
        <v>26</v>
      </c>
      <c r="M4" s="30" t="s">
        <v>27</v>
      </c>
      <c r="T4" s="24"/>
      <c r="W4" s="24"/>
    </row>
    <row r="5" spans="1:23" x14ac:dyDescent="0.2">
      <c r="A5" s="143" t="s">
        <v>28</v>
      </c>
      <c r="B5" s="26" t="s">
        <v>46</v>
      </c>
      <c r="C5" s="31">
        <v>150</v>
      </c>
      <c r="D5" s="32">
        <v>12</v>
      </c>
      <c r="E5" s="32">
        <v>1</v>
      </c>
      <c r="F5" s="32">
        <v>2</v>
      </c>
      <c r="G5" s="26"/>
      <c r="H5" s="33">
        <f>SUM(C5:F5)</f>
        <v>165</v>
      </c>
      <c r="J5" s="28" t="s">
        <v>46</v>
      </c>
      <c r="K5" s="34">
        <v>20000</v>
      </c>
      <c r="L5" s="34">
        <f>K5*30^2/10000</f>
        <v>1800</v>
      </c>
      <c r="M5" s="35">
        <f>L5/L$10</f>
        <v>2.2988505747126436E-2</v>
      </c>
      <c r="T5" s="24"/>
      <c r="W5" s="24"/>
    </row>
    <row r="6" spans="1:23" x14ac:dyDescent="0.2">
      <c r="A6" s="143"/>
      <c r="B6" s="26" t="s">
        <v>47</v>
      </c>
      <c r="C6" s="32">
        <v>32</v>
      </c>
      <c r="D6" s="31">
        <v>100</v>
      </c>
      <c r="E6" s="32">
        <v>21</v>
      </c>
      <c r="F6" s="32">
        <v>3</v>
      </c>
      <c r="G6" s="26"/>
      <c r="H6" s="33">
        <f>SUM(C6:F6)</f>
        <v>156</v>
      </c>
      <c r="J6" s="28" t="s">
        <v>47</v>
      </c>
      <c r="K6" s="34">
        <v>200000</v>
      </c>
      <c r="L6" s="34">
        <f>K6*30^2/10000</f>
        <v>18000</v>
      </c>
      <c r="M6" s="35">
        <f>L6/L$10</f>
        <v>0.22988505747126436</v>
      </c>
      <c r="T6" s="24"/>
      <c r="W6" s="24"/>
    </row>
    <row r="7" spans="1:23" x14ac:dyDescent="0.2">
      <c r="A7" s="143"/>
      <c r="B7" s="26" t="s">
        <v>48</v>
      </c>
      <c r="C7" s="32">
        <v>0</v>
      </c>
      <c r="D7" s="32">
        <v>32</v>
      </c>
      <c r="E7" s="31">
        <v>120</v>
      </c>
      <c r="F7" s="32">
        <v>0</v>
      </c>
      <c r="G7" s="26"/>
      <c r="H7" s="33">
        <f>SUM(C7:F7)</f>
        <v>152</v>
      </c>
      <c r="J7" s="28" t="s">
        <v>48</v>
      </c>
      <c r="K7" s="34">
        <v>300000</v>
      </c>
      <c r="L7" s="34">
        <f>K7*30^2/10000</f>
        <v>27000</v>
      </c>
      <c r="M7" s="35">
        <f>L7/L$10</f>
        <v>0.34482758620689657</v>
      </c>
      <c r="T7" s="24"/>
      <c r="W7" s="24"/>
    </row>
    <row r="8" spans="1:23" x14ac:dyDescent="0.2">
      <c r="A8" s="143"/>
      <c r="B8" s="26" t="s">
        <v>49</v>
      </c>
      <c r="C8" s="32">
        <v>0</v>
      </c>
      <c r="D8" s="32">
        <v>0</v>
      </c>
      <c r="E8" s="32">
        <v>5</v>
      </c>
      <c r="F8" s="31">
        <v>130</v>
      </c>
      <c r="G8" s="26"/>
      <c r="H8" s="33">
        <f>SUM(C8:F8)</f>
        <v>135</v>
      </c>
      <c r="J8" s="28" t="s">
        <v>49</v>
      </c>
      <c r="K8" s="34">
        <v>350000</v>
      </c>
      <c r="L8" s="34">
        <f>K8*30^2/10000</f>
        <v>31500</v>
      </c>
      <c r="M8" s="35">
        <f>L8/L$10</f>
        <v>0.40229885057471265</v>
      </c>
      <c r="W8" s="24"/>
    </row>
    <row r="9" spans="1:23" ht="5.25" customHeight="1" x14ac:dyDescent="0.2">
      <c r="A9" s="36"/>
      <c r="B9" s="26"/>
      <c r="C9" s="26"/>
      <c r="D9" s="26"/>
      <c r="E9" s="26"/>
      <c r="F9" s="26"/>
      <c r="G9" s="26"/>
      <c r="H9" s="37"/>
      <c r="J9" s="28"/>
      <c r="K9" s="38"/>
      <c r="L9" s="38"/>
      <c r="M9" s="39"/>
    </row>
    <row r="10" spans="1:23" ht="13.5" thickBot="1" x14ac:dyDescent="0.25">
      <c r="A10" s="40"/>
      <c r="B10" s="41" t="s">
        <v>14</v>
      </c>
      <c r="C10" s="42">
        <f>SUM(C5:C8)</f>
        <v>182</v>
      </c>
      <c r="D10" s="42">
        <f>SUM(D5:D8)</f>
        <v>144</v>
      </c>
      <c r="E10" s="42">
        <f>SUM(E5:E8)</f>
        <v>147</v>
      </c>
      <c r="F10" s="42">
        <f>SUM(F5:F8)</f>
        <v>135</v>
      </c>
      <c r="G10" s="43"/>
      <c r="H10" s="44">
        <f>SUM(C5:F8)</f>
        <v>608</v>
      </c>
      <c r="J10" s="45" t="s">
        <v>14</v>
      </c>
      <c r="K10" s="46">
        <f>SUM(K5:K8)</f>
        <v>870000</v>
      </c>
      <c r="L10" s="46">
        <f>SUM(L5:L8)</f>
        <v>78300</v>
      </c>
      <c r="M10" s="47">
        <f>SUM(M5:M8)</f>
        <v>1</v>
      </c>
      <c r="O10" s="48"/>
      <c r="P10" s="49"/>
      <c r="Q10" s="50"/>
      <c r="R10" s="51"/>
      <c r="S10" s="52"/>
    </row>
    <row r="13" spans="1:23" ht="15.75" x14ac:dyDescent="0.25">
      <c r="A13" s="13" t="s">
        <v>29</v>
      </c>
      <c r="H13" s="53"/>
      <c r="J13" s="15" t="s">
        <v>12</v>
      </c>
    </row>
    <row r="14" spans="1:23" ht="8.25" customHeight="1" thickBot="1" x14ac:dyDescent="0.25">
      <c r="R14" s="73"/>
      <c r="S14" s="24"/>
      <c r="T14" s="24"/>
    </row>
    <row r="15" spans="1:23" ht="25.5" x14ac:dyDescent="0.2">
      <c r="A15" s="54"/>
      <c r="B15" s="55"/>
      <c r="C15" s="144" t="s">
        <v>13</v>
      </c>
      <c r="D15" s="144"/>
      <c r="E15" s="144"/>
      <c r="F15" s="144"/>
      <c r="G15" s="55"/>
      <c r="H15" s="56"/>
      <c r="J15" s="57"/>
      <c r="K15" s="58" t="s">
        <v>30</v>
      </c>
      <c r="L15" s="58" t="s">
        <v>20</v>
      </c>
      <c r="M15" s="58" t="s">
        <v>31</v>
      </c>
      <c r="N15" s="59" t="s">
        <v>32</v>
      </c>
      <c r="P15" s="60" t="s">
        <v>33</v>
      </c>
      <c r="R15" s="124"/>
      <c r="S15" s="124"/>
      <c r="T15" s="124"/>
      <c r="U15" s="124"/>
    </row>
    <row r="16" spans="1:23" x14ac:dyDescent="0.2">
      <c r="A16" s="61"/>
      <c r="B16" s="62"/>
      <c r="C16" s="63" t="s">
        <v>46</v>
      </c>
      <c r="D16" s="63" t="s">
        <v>47</v>
      </c>
      <c r="E16" s="63" t="s">
        <v>48</v>
      </c>
      <c r="F16" s="63" t="s">
        <v>49</v>
      </c>
      <c r="G16" s="62"/>
      <c r="H16" s="64" t="s">
        <v>14</v>
      </c>
      <c r="J16" s="65" t="s">
        <v>46</v>
      </c>
      <c r="K16" s="66">
        <f>C5/C10</f>
        <v>0.82417582417582413</v>
      </c>
      <c r="L16" s="67">
        <f>C5/H5</f>
        <v>0.90909090909090906</v>
      </c>
      <c r="M16" s="67">
        <f t="shared" ref="M16:N19" si="0">1-K16</f>
        <v>0.17582417582417587</v>
      </c>
      <c r="N16" s="68">
        <f t="shared" si="0"/>
        <v>9.0909090909090939E-2</v>
      </c>
      <c r="P16" s="69"/>
      <c r="R16" s="73"/>
      <c r="S16" s="24"/>
      <c r="T16" s="24"/>
    </row>
    <row r="17" spans="1:24" x14ac:dyDescent="0.2">
      <c r="A17" s="141" t="s">
        <v>28</v>
      </c>
      <c r="B17" s="62" t="s">
        <v>46</v>
      </c>
      <c r="C17" s="123">
        <f t="shared" ref="C17:F20" si="1">(C5/$H5)*$M5</f>
        <v>2.0898641588296761E-2</v>
      </c>
      <c r="D17" s="97">
        <f t="shared" si="1"/>
        <v>1.6718913270637407E-3</v>
      </c>
      <c r="E17" s="97">
        <f t="shared" si="1"/>
        <v>1.3932427725531172E-4</v>
      </c>
      <c r="F17" s="97">
        <f t="shared" si="1"/>
        <v>2.7864855451062345E-4</v>
      </c>
      <c r="G17" s="62"/>
      <c r="H17" s="33">
        <f>SUM(C17:G17)</f>
        <v>2.2988505747126436E-2</v>
      </c>
      <c r="J17" s="65" t="s">
        <v>47</v>
      </c>
      <c r="K17" s="70">
        <f>D6/D10</f>
        <v>0.69444444444444442</v>
      </c>
      <c r="L17" s="71">
        <f>D6/H6</f>
        <v>0.64102564102564108</v>
      </c>
      <c r="M17" s="71">
        <f t="shared" si="0"/>
        <v>0.30555555555555558</v>
      </c>
      <c r="N17" s="72">
        <f t="shared" si="0"/>
        <v>0.35897435897435892</v>
      </c>
      <c r="O17" s="24"/>
      <c r="P17" s="69"/>
      <c r="Q17" s="73"/>
      <c r="R17" s="73"/>
      <c r="S17" s="24"/>
      <c r="T17" s="24"/>
    </row>
    <row r="18" spans="1:24" x14ac:dyDescent="0.2">
      <c r="A18" s="141"/>
      <c r="B18" s="62" t="s">
        <v>47</v>
      </c>
      <c r="C18" s="97">
        <f t="shared" si="1"/>
        <v>4.715590922487474E-2</v>
      </c>
      <c r="D18" s="123">
        <f t="shared" si="1"/>
        <v>0.14736221632773358</v>
      </c>
      <c r="E18" s="97">
        <f t="shared" si="1"/>
        <v>3.0946065428824047E-2</v>
      </c>
      <c r="F18" s="97">
        <f t="shared" si="1"/>
        <v>4.4208664898320073E-3</v>
      </c>
      <c r="G18" s="62"/>
      <c r="H18" s="33">
        <f>SUM(C18:G18)</f>
        <v>0.22988505747126439</v>
      </c>
      <c r="J18" s="65" t="s">
        <v>48</v>
      </c>
      <c r="K18" s="70">
        <f>E7/E10</f>
        <v>0.81632653061224492</v>
      </c>
      <c r="L18" s="71">
        <f>E7/H7</f>
        <v>0.78947368421052633</v>
      </c>
      <c r="M18" s="71">
        <f t="shared" si="0"/>
        <v>0.18367346938775508</v>
      </c>
      <c r="N18" s="72">
        <f t="shared" si="0"/>
        <v>0.21052631578947367</v>
      </c>
      <c r="P18" s="69"/>
      <c r="R18" s="73"/>
      <c r="S18" s="24"/>
      <c r="T18" s="24"/>
    </row>
    <row r="19" spans="1:24" ht="15" thickBot="1" x14ac:dyDescent="0.25">
      <c r="A19" s="141"/>
      <c r="B19" s="62" t="s">
        <v>48</v>
      </c>
      <c r="C19" s="97">
        <f t="shared" si="1"/>
        <v>0</v>
      </c>
      <c r="D19" s="97">
        <f t="shared" si="1"/>
        <v>7.2595281306715068E-2</v>
      </c>
      <c r="E19" s="123">
        <f t="shared" si="1"/>
        <v>0.27223230490018152</v>
      </c>
      <c r="F19" s="97">
        <f t="shared" si="1"/>
        <v>0</v>
      </c>
      <c r="G19" s="62"/>
      <c r="H19" s="33">
        <f>SUM(C19:G19)</f>
        <v>0.34482758620689657</v>
      </c>
      <c r="J19" s="74" t="s">
        <v>49</v>
      </c>
      <c r="K19" s="75">
        <f>F8/F10</f>
        <v>0.96296296296296291</v>
      </c>
      <c r="L19" s="76">
        <f>F8/H8</f>
        <v>0.96296296296296291</v>
      </c>
      <c r="M19" s="76">
        <f t="shared" si="0"/>
        <v>3.703703703703709E-2</v>
      </c>
      <c r="N19" s="77">
        <f t="shared" si="0"/>
        <v>3.703703703703709E-2</v>
      </c>
      <c r="P19" s="78">
        <f>(C5+D6+E7+F8)/H10</f>
        <v>0.82236842105263153</v>
      </c>
      <c r="R19" s="73"/>
      <c r="S19" s="24"/>
      <c r="T19" s="24"/>
    </row>
    <row r="20" spans="1:24" x14ac:dyDescent="0.2">
      <c r="A20" s="141"/>
      <c r="B20" s="62" t="s">
        <v>49</v>
      </c>
      <c r="C20" s="97">
        <f t="shared" si="1"/>
        <v>0</v>
      </c>
      <c r="D20" s="97">
        <f t="shared" si="1"/>
        <v>0</v>
      </c>
      <c r="E20" s="97">
        <f t="shared" si="1"/>
        <v>1.489995742869306E-2</v>
      </c>
      <c r="F20" s="123">
        <f t="shared" si="1"/>
        <v>0.38739889314601955</v>
      </c>
      <c r="G20" s="62"/>
      <c r="H20" s="79">
        <f>SUM(C20:G20)</f>
        <v>0.4022988505747126</v>
      </c>
    </row>
    <row r="21" spans="1:24" ht="16.5" thickBot="1" x14ac:dyDescent="0.3">
      <c r="A21" s="80"/>
      <c r="B21" s="62"/>
      <c r="C21" s="62"/>
      <c r="D21" s="62"/>
      <c r="E21" s="62"/>
      <c r="F21" s="62"/>
      <c r="G21" s="62"/>
      <c r="H21" s="81"/>
      <c r="J21" s="15" t="s">
        <v>16</v>
      </c>
      <c r="L21" s="17"/>
      <c r="M21" s="73"/>
      <c r="N21" s="24"/>
    </row>
    <row r="22" spans="1:24" ht="38.25" customHeight="1" x14ac:dyDescent="0.2">
      <c r="A22" s="61"/>
      <c r="B22" s="62"/>
      <c r="C22" s="145" t="s">
        <v>34</v>
      </c>
      <c r="D22" s="145"/>
      <c r="E22" s="145"/>
      <c r="F22" s="145"/>
      <c r="G22" s="62"/>
      <c r="H22" s="81"/>
      <c r="J22" s="82"/>
      <c r="K22" s="83" t="s">
        <v>30</v>
      </c>
      <c r="L22" s="83" t="s">
        <v>20</v>
      </c>
      <c r="M22" s="83" t="s">
        <v>31</v>
      </c>
      <c r="N22" s="84" t="s">
        <v>32</v>
      </c>
      <c r="P22" s="85" t="s">
        <v>33</v>
      </c>
      <c r="R22" s="131" t="s">
        <v>51</v>
      </c>
      <c r="S22" s="130" t="s">
        <v>52</v>
      </c>
      <c r="T22" s="132" t="s">
        <v>53</v>
      </c>
      <c r="V22" s="124"/>
      <c r="W22" s="124"/>
      <c r="X22" s="124"/>
    </row>
    <row r="23" spans="1:24" x14ac:dyDescent="0.2">
      <c r="A23" s="61"/>
      <c r="B23" s="62"/>
      <c r="C23" s="63" t="s">
        <v>46</v>
      </c>
      <c r="D23" s="63" t="s">
        <v>47</v>
      </c>
      <c r="E23" s="63" t="s">
        <v>48</v>
      </c>
      <c r="F23" s="63" t="s">
        <v>49</v>
      </c>
      <c r="G23" s="62"/>
      <c r="H23" s="81"/>
      <c r="J23" s="86" t="s">
        <v>46</v>
      </c>
      <c r="K23" s="66">
        <f>C17/C29</f>
        <v>0.30708661417322841</v>
      </c>
      <c r="L23" s="67">
        <f>C17/H17</f>
        <v>0.90909090909090917</v>
      </c>
      <c r="M23" s="67">
        <f t="shared" ref="M23:N26" si="2">1-K23</f>
        <v>0.69291338582677153</v>
      </c>
      <c r="N23" s="68">
        <f t="shared" si="2"/>
        <v>9.0909090909090828E-2</v>
      </c>
      <c r="P23" s="69"/>
      <c r="R23" s="128">
        <f>1.96*SQRT(T39)</f>
        <v>6.6667242128122847E-2</v>
      </c>
      <c r="S23" s="103">
        <f>1.96*SQRT($L23*(1-$L23)/($H5-1))</f>
        <v>4.3998863850754424E-2</v>
      </c>
      <c r="T23" s="126"/>
      <c r="V23" s="73"/>
      <c r="W23" s="24"/>
      <c r="X23" s="127"/>
    </row>
    <row r="24" spans="1:24" x14ac:dyDescent="0.2">
      <c r="A24" s="141"/>
      <c r="B24" s="62" t="s">
        <v>46</v>
      </c>
      <c r="C24" s="87">
        <f>C5/$H5</f>
        <v>0.90909090909090906</v>
      </c>
      <c r="D24" s="87">
        <f t="shared" ref="C24:F27" si="3">D5/$H5</f>
        <v>7.2727272727272724E-2</v>
      </c>
      <c r="E24" s="87">
        <f t="shared" si="3"/>
        <v>6.0606060606060606E-3</v>
      </c>
      <c r="F24" s="87">
        <f t="shared" si="3"/>
        <v>1.2121212121212121E-2</v>
      </c>
      <c r="G24" s="62"/>
      <c r="H24" s="81"/>
      <c r="J24" s="86" t="s">
        <v>47</v>
      </c>
      <c r="K24" s="70">
        <f>D18/D29</f>
        <v>0.66490377029069969</v>
      </c>
      <c r="L24" s="71">
        <f>D18/H18</f>
        <v>0.64102564102564097</v>
      </c>
      <c r="M24" s="71">
        <f t="shared" si="2"/>
        <v>0.33509622970930031</v>
      </c>
      <c r="N24" s="72">
        <f t="shared" si="2"/>
        <v>0.35897435897435903</v>
      </c>
      <c r="O24" s="24"/>
      <c r="P24" s="69"/>
      <c r="R24" s="128">
        <f>1.96*SQRT(T40)</f>
        <v>7.2661057435542201E-2</v>
      </c>
      <c r="S24" s="103">
        <f>1.96*SQRT($L24*(1-$L24)/($H6-1))</f>
        <v>7.5519592422663859E-2</v>
      </c>
      <c r="T24" s="125"/>
      <c r="V24" s="73"/>
      <c r="W24" s="24"/>
      <c r="X24" s="24"/>
    </row>
    <row r="25" spans="1:24" x14ac:dyDescent="0.2">
      <c r="A25" s="141"/>
      <c r="B25" s="62" t="s">
        <v>47</v>
      </c>
      <c r="C25" s="87">
        <f t="shared" si="3"/>
        <v>0.20512820512820512</v>
      </c>
      <c r="D25" s="87">
        <f t="shared" si="3"/>
        <v>0.64102564102564108</v>
      </c>
      <c r="E25" s="87">
        <f t="shared" si="3"/>
        <v>0.13461538461538461</v>
      </c>
      <c r="F25" s="87">
        <f t="shared" si="3"/>
        <v>1.9230769230769232E-2</v>
      </c>
      <c r="G25" s="62"/>
      <c r="H25" s="81"/>
      <c r="J25" s="86" t="s">
        <v>48</v>
      </c>
      <c r="K25" s="70">
        <f>E19/E29</f>
        <v>0.85549089800423372</v>
      </c>
      <c r="L25" s="71">
        <f>E19/H19</f>
        <v>0.78947368421052633</v>
      </c>
      <c r="M25" s="71">
        <f>1-K25</f>
        <v>0.14450910199576628</v>
      </c>
      <c r="N25" s="72">
        <f t="shared" si="2"/>
        <v>0.21052631578947367</v>
      </c>
      <c r="O25" s="24"/>
      <c r="P25" s="69"/>
      <c r="R25" s="128">
        <f t="shared" ref="R25:R26" si="4">1.96*SQRT(T41)</f>
        <v>4.9056701637084282E-2</v>
      </c>
      <c r="S25" s="103">
        <f>1.96*SQRT($L25*(1-$L25)/($H7-1))</f>
        <v>6.5026386635649927E-2</v>
      </c>
      <c r="T25" s="125"/>
      <c r="V25" s="73"/>
      <c r="W25" s="24"/>
      <c r="X25" s="24"/>
    </row>
    <row r="26" spans="1:24" ht="15" thickBot="1" x14ac:dyDescent="0.25">
      <c r="A26" s="141"/>
      <c r="B26" s="62" t="s">
        <v>48</v>
      </c>
      <c r="C26" s="87">
        <f t="shared" si="3"/>
        <v>0</v>
      </c>
      <c r="D26" s="87">
        <f t="shared" si="3"/>
        <v>0.21052631578947367</v>
      </c>
      <c r="E26" s="87">
        <f t="shared" si="3"/>
        <v>0.78947368421052633</v>
      </c>
      <c r="F26" s="87">
        <f t="shared" si="3"/>
        <v>0</v>
      </c>
      <c r="G26" s="62"/>
      <c r="H26" s="81"/>
      <c r="J26" s="88" t="s">
        <v>49</v>
      </c>
      <c r="K26" s="75">
        <f>F20/F29</f>
        <v>0.98801445008146771</v>
      </c>
      <c r="L26" s="76">
        <f>F20/H20</f>
        <v>0.96296296296296302</v>
      </c>
      <c r="M26" s="76">
        <f t="shared" si="2"/>
        <v>1.198554991853229E-2</v>
      </c>
      <c r="N26" s="77">
        <f t="shared" si="2"/>
        <v>3.7037037037036979E-2</v>
      </c>
      <c r="P26" s="78">
        <f>C17+D18+E19+F20</f>
        <v>0.82789205596223137</v>
      </c>
      <c r="R26" s="139">
        <f t="shared" si="4"/>
        <v>1.2567898399748166E-2</v>
      </c>
      <c r="S26" s="133">
        <f>1.96*SQRT($L26*(1-$L26)/($H8-1))</f>
        <v>3.1976180148383021E-2</v>
      </c>
      <c r="T26" s="134">
        <f>1.96*SQRT($M$5^2*L$23*(1-L$23)/($H$5-1)+$M$6^2*L$24*(1-L$24)/($H$6-1)+$M$7^2*L$25*(1-L$25)/($H$7-1)+$M$8^2*L$26*(1-L$26)/($H$8-1))</f>
        <v>3.1155889004973042E-2</v>
      </c>
      <c r="V26" s="73"/>
      <c r="W26" s="24"/>
      <c r="X26" s="24"/>
    </row>
    <row r="27" spans="1:24" ht="15" thickBot="1" x14ac:dyDescent="0.25">
      <c r="A27" s="141"/>
      <c r="B27" s="62" t="s">
        <v>49</v>
      </c>
      <c r="C27" s="87">
        <f t="shared" si="3"/>
        <v>0</v>
      </c>
      <c r="D27" s="87">
        <f t="shared" si="3"/>
        <v>0</v>
      </c>
      <c r="E27" s="87">
        <f t="shared" si="3"/>
        <v>3.7037037037037035E-2</v>
      </c>
      <c r="F27" s="87">
        <f t="shared" si="3"/>
        <v>0.96296296296296291</v>
      </c>
      <c r="G27" s="62"/>
      <c r="H27" s="81"/>
      <c r="K27" s="17"/>
      <c r="L27" s="17"/>
      <c r="M27" s="17"/>
      <c r="N27" s="89"/>
      <c r="P27" s="14"/>
      <c r="Q27" s="14"/>
    </row>
    <row r="28" spans="1:24" x14ac:dyDescent="0.2">
      <c r="A28" s="80"/>
      <c r="B28" s="62"/>
      <c r="C28" s="90"/>
      <c r="D28" s="90"/>
      <c r="E28" s="90"/>
      <c r="F28" s="90"/>
      <c r="G28" s="62"/>
      <c r="H28" s="81"/>
      <c r="J28" s="91"/>
      <c r="K28" s="92" t="s">
        <v>35</v>
      </c>
      <c r="L28" s="92" t="s">
        <v>36</v>
      </c>
      <c r="M28" s="92" t="s">
        <v>17</v>
      </c>
      <c r="N28" s="93" t="s">
        <v>18</v>
      </c>
      <c r="O28" s="92" t="s">
        <v>19</v>
      </c>
      <c r="P28" s="92" t="s">
        <v>37</v>
      </c>
      <c r="Q28" s="94" t="s">
        <v>38</v>
      </c>
      <c r="W28" s="95"/>
    </row>
    <row r="29" spans="1:24" ht="12.75" x14ac:dyDescent="0.2">
      <c r="A29" s="80"/>
      <c r="B29" s="96" t="s">
        <v>39</v>
      </c>
      <c r="C29" s="97">
        <f>SUM(C17:C20)</f>
        <v>6.8054550813171494E-2</v>
      </c>
      <c r="D29" s="97">
        <f>SUM(D17:D20)</f>
        <v>0.22162938896151241</v>
      </c>
      <c r="E29" s="97">
        <f>SUM(E17:E20)</f>
        <v>0.31821765203495395</v>
      </c>
      <c r="F29" s="97">
        <f>SUM(F17:F20)</f>
        <v>0.39209840819036218</v>
      </c>
      <c r="G29" s="63"/>
      <c r="H29" s="98">
        <f>SUM(C17:F20)</f>
        <v>1</v>
      </c>
      <c r="J29" s="99" t="s">
        <v>46</v>
      </c>
      <c r="K29" s="100">
        <f>L5</f>
        <v>1800</v>
      </c>
      <c r="L29" s="101">
        <f>$L$10*C29</f>
        <v>5328.6713286713284</v>
      </c>
      <c r="M29" s="100">
        <f>1.96*C31*$L$10</f>
        <v>1146.9955128935135</v>
      </c>
      <c r="N29" s="102">
        <f>L29/SUM($L$29:$L$32)</f>
        <v>6.8054550813171494E-2</v>
      </c>
      <c r="O29" s="103">
        <f>M29/$L$33</f>
        <v>1.4648729411155983E-2</v>
      </c>
      <c r="P29" s="104">
        <f>L29-M29</f>
        <v>4181.6758157778149</v>
      </c>
      <c r="Q29" s="105">
        <f>L29+M29</f>
        <v>6475.6668415648419</v>
      </c>
      <c r="W29" s="95"/>
    </row>
    <row r="30" spans="1:24" ht="12.75" x14ac:dyDescent="0.2">
      <c r="A30" s="80"/>
      <c r="B30" s="96" t="s">
        <v>40</v>
      </c>
      <c r="C30" s="97">
        <f>$M$5^2*C$24*(1-C$24)/($H$5-1)+$M$6^2*C$25*(1-C$25)/($H$6-1)+$M$7^2*C$26*(1-C$26)/($H$7-1)+$M$8^2*C$27*(1-C$27)/($H$8-1)</f>
        <v>5.5858307309784017E-5</v>
      </c>
      <c r="D30" s="97">
        <f>$M$5^2*D$24*(1-D$24)/($H$5-1)+$M$6^2*D$25*(1-D$25)/($H$6-1)+$M$7^2*D$26*(1-D$26)/($H$7-1)+$M$8^2*D$27*(1-D$27)/($H$8-1)</f>
        <v>2.0955309777494053E-4</v>
      </c>
      <c r="E30" s="97">
        <f>$M$5^2*E$24*(1-E$24)/($H$5-1)+$M$6^2*E$25*(1-E$25)/($H$6-1)+$M$7^2*E$26*(1-E$26)/($H$7-1)+$M$8^2*E$27*(1-E$27)/($H$8-1)</f>
        <v>2.1369364962305605E-4</v>
      </c>
      <c r="F30" s="97">
        <f>$M$5^2*F$24*(1-F$24)/($H$5-1)+$M$6^2*F$25*(1-F$25)/($H$6-1)+$M$7^2*F$26*(1-F$26)/($H$7-1)+$M$8^2*F$27*(1-F$27)/($H$8-1)</f>
        <v>4.9545533164222299E-5</v>
      </c>
      <c r="G30" s="63"/>
      <c r="H30" s="64"/>
      <c r="J30" s="99" t="s">
        <v>47</v>
      </c>
      <c r="K30" s="100">
        <f>L6</f>
        <v>18000</v>
      </c>
      <c r="L30" s="101">
        <f>$L$10*D29</f>
        <v>17353.581155686421</v>
      </c>
      <c r="M30" s="100">
        <f>1.96*D31*$L$10</f>
        <v>2221.5949322496717</v>
      </c>
      <c r="N30" s="102">
        <f>L30/SUM($L$29:$L$32)</f>
        <v>0.22162938896151241</v>
      </c>
      <c r="O30" s="103">
        <f>M30/$L$33</f>
        <v>2.8372859926560304E-2</v>
      </c>
      <c r="P30" s="104">
        <f>L30-M30</f>
        <v>15131.98622343675</v>
      </c>
      <c r="Q30" s="105">
        <f>L30+M30</f>
        <v>19575.176087936092</v>
      </c>
      <c r="W30" s="95"/>
    </row>
    <row r="31" spans="1:24" ht="13.5" thickBot="1" x14ac:dyDescent="0.25">
      <c r="A31" s="106"/>
      <c r="B31" s="107" t="s">
        <v>41</v>
      </c>
      <c r="C31" s="108">
        <f>SQRT(C30)</f>
        <v>7.4738415363040725E-3</v>
      </c>
      <c r="D31" s="108">
        <f>SQRT(D30)</f>
        <v>1.4475948942122605E-2</v>
      </c>
      <c r="E31" s="108">
        <f>SQRT(E30)</f>
        <v>1.461826424795557E-2</v>
      </c>
      <c r="F31" s="108">
        <f>SQRT(F30)</f>
        <v>7.0388587970083832E-3</v>
      </c>
      <c r="G31" s="109"/>
      <c r="H31" s="110"/>
      <c r="J31" s="99" t="s">
        <v>48</v>
      </c>
      <c r="K31" s="100">
        <f>L7</f>
        <v>27000</v>
      </c>
      <c r="L31" s="101">
        <f>$L$10*E29</f>
        <v>24916.442154336895</v>
      </c>
      <c r="M31" s="100">
        <f>1.96*E31*$L$10</f>
        <v>2243.4357776052452</v>
      </c>
      <c r="N31" s="102">
        <f>L31/SUM($L$29:$L$32)</f>
        <v>0.31821765203495395</v>
      </c>
      <c r="O31" s="103">
        <f>M31/$L$33</f>
        <v>2.8651797925992914E-2</v>
      </c>
      <c r="P31" s="104">
        <f>L31-M31</f>
        <v>22673.00637673165</v>
      </c>
      <c r="Q31" s="105">
        <f>L31+M31</f>
        <v>27159.877931942141</v>
      </c>
      <c r="W31" s="95"/>
    </row>
    <row r="32" spans="1:24" ht="13.5" thickBot="1" x14ac:dyDescent="0.25">
      <c r="J32" s="111" t="s">
        <v>49</v>
      </c>
      <c r="K32" s="112">
        <f>L8</f>
        <v>31500</v>
      </c>
      <c r="L32" s="113">
        <f>$L$10*F29</f>
        <v>30701.30536130536</v>
      </c>
      <c r="M32" s="112">
        <f>1.96*F31*$L$10</f>
        <v>1080.2395818592825</v>
      </c>
      <c r="N32" s="114">
        <f>L32/SUM($L$29:$L$32)</f>
        <v>0.39209840819036218</v>
      </c>
      <c r="O32" s="115">
        <f>M32/$L$33</f>
        <v>1.3796163242136429E-2</v>
      </c>
      <c r="P32" s="116">
        <f>L32-M32</f>
        <v>29621.065779446079</v>
      </c>
      <c r="Q32" s="117">
        <f>L32+M32</f>
        <v>31781.544943164641</v>
      </c>
    </row>
    <row r="33" spans="1:20" ht="12.75" x14ac:dyDescent="0.2">
      <c r="B33" s="118" t="s">
        <v>42</v>
      </c>
      <c r="K33" s="17"/>
      <c r="L33" s="17">
        <f>SUM(L29:L32)</f>
        <v>78300</v>
      </c>
      <c r="M33" s="17"/>
      <c r="N33" s="14"/>
      <c r="O33" s="119" t="s">
        <v>43</v>
      </c>
      <c r="P33" s="14"/>
      <c r="Q33" s="14"/>
    </row>
    <row r="34" spans="1:20" ht="12.75" x14ac:dyDescent="0.2">
      <c r="B34" s="120" t="s">
        <v>44</v>
      </c>
      <c r="L34" s="17"/>
      <c r="M34" s="17"/>
      <c r="N34" s="14"/>
      <c r="P34" s="14"/>
      <c r="Q34" s="14"/>
    </row>
    <row r="35" spans="1:20" ht="12.75" x14ac:dyDescent="0.2">
      <c r="B35" s="120" t="s">
        <v>45</v>
      </c>
    </row>
    <row r="36" spans="1:20" ht="12.75" x14ac:dyDescent="0.2">
      <c r="L36" s="16"/>
      <c r="M36" s="16"/>
      <c r="N36" s="121"/>
      <c r="Q36" s="14"/>
    </row>
    <row r="37" spans="1:20" ht="13.5" thickBot="1" x14ac:dyDescent="0.25">
      <c r="A37" s="122"/>
      <c r="L37" s="16"/>
      <c r="M37" s="16"/>
      <c r="N37" s="121"/>
      <c r="Q37" s="14"/>
    </row>
    <row r="38" spans="1:20" ht="12.75" x14ac:dyDescent="0.2">
      <c r="A38" s="122"/>
      <c r="L38" s="16"/>
      <c r="M38" s="16"/>
      <c r="N38" s="121"/>
      <c r="P38" s="82"/>
      <c r="Q38" s="83" t="s">
        <v>50</v>
      </c>
      <c r="R38" s="83" t="s">
        <v>54</v>
      </c>
      <c r="S38" s="83" t="s">
        <v>55</v>
      </c>
      <c r="T38" s="84" t="s">
        <v>56</v>
      </c>
    </row>
    <row r="39" spans="1:20" ht="12.75" x14ac:dyDescent="0.2">
      <c r="A39" s="122"/>
      <c r="P39" s="86" t="s">
        <v>46</v>
      </c>
      <c r="Q39" s="73">
        <f>((K5/H5)*C5)+((K6/H6)*C6)+((K7/H7)*C7)+((K8/H8)*C8)</f>
        <v>59207.459207459207</v>
      </c>
      <c r="R39" s="73">
        <f>(K5^2*(1-K23)^2*L23*(1-L23))/(C10-1)</f>
        <v>87690.783116372753</v>
      </c>
      <c r="S39" s="24">
        <f>(K6^2*C6/H6*(1-C6/H6)/(H6-1))+(K7^2*C7/H7*(1-C7/H7)/(H7-1))+(K8^2*C8/H8*(1-C8/H8)/(H8-1))</f>
        <v>42077580.539119005</v>
      </c>
      <c r="T39" s="125">
        <f>(1/Q39^2)*(R39+K23^2*S39)</f>
        <v>1.1569453282407741E-3</v>
      </c>
    </row>
    <row r="40" spans="1:20" ht="12.75" x14ac:dyDescent="0.2">
      <c r="A40" s="122"/>
      <c r="P40" s="86" t="s">
        <v>47</v>
      </c>
      <c r="Q40" s="73">
        <f>((K5/H5)*D5)+((K6/H6)*D6)+((K7/H7)*D7)+((K8/H8)*D8)</f>
        <v>192817.56839651577</v>
      </c>
      <c r="R40" s="73">
        <f>(K6^2*(1-K24)^2*L24*(1-L24))/(D10-1)</f>
        <v>7227729.1086349813</v>
      </c>
      <c r="S40" s="24">
        <f>(K5^2*D5/H5*(1-D5/H5)/(H5-1))+(K7^2*D7/H7*(1-D7/H7)/(H7-1))+(K8^2*D8/H8*(1-D8/H8)/(H8-1))</f>
        <v>99227057.493386135</v>
      </c>
      <c r="T40" s="125">
        <f>(1/Q40^2)*(R40+K24^2*S40)</f>
        <v>1.3743308172769581E-3</v>
      </c>
    </row>
    <row r="41" spans="1:20" ht="12.75" x14ac:dyDescent="0.2">
      <c r="A41" s="122"/>
      <c r="P41" s="86" t="s">
        <v>48</v>
      </c>
      <c r="Q41" s="73">
        <f>((K5/H5)*E5)+((K6/H6)*E6)+((K7/H7)*E7)+((K8/H8)*E8)</f>
        <v>276849.35727040994</v>
      </c>
      <c r="R41" s="73">
        <f>(K7^2*(1-K25)^2*L25*(1-L25))/(E10-1)</f>
        <v>2139558.2101082043</v>
      </c>
      <c r="S41" s="24">
        <f>(K5^2*E5/H5*(1-E5/H5)/(H5-1))+(K6^2*E6/H6*(1-E6/H6)/(H6-1))+(K8^2*E8/H8*(1-E8/H8)/(H8-1))</f>
        <v>62682148.873448692</v>
      </c>
      <c r="T41" s="125">
        <f t="shared" ref="T41:T42" si="5">(1/Q41^2)*(R41+K25^2*S41)</f>
        <v>6.2644730724435325E-4</v>
      </c>
    </row>
    <row r="42" spans="1:20" ht="13.5" thickBot="1" x14ac:dyDescent="0.25">
      <c r="P42" s="135" t="s">
        <v>49</v>
      </c>
      <c r="Q42" s="136">
        <f>((K5/H5)*F5)+((K6/H6)*F6)+((K7/H7)*F7)+((K8/H8)*F8)</f>
        <v>341125.61512561509</v>
      </c>
      <c r="R42" s="136">
        <f>(K8^2*(1-K26)^2*L26*(1-L26))/(F10-1)</f>
        <v>4683.7428169447912</v>
      </c>
      <c r="S42" s="137">
        <f>(K5^2*F5/H5*(1-F5/H5)/(H5-1))+(K6^2*F6/H6*(1-F6/H6)/(H6-1))+(K7^2*F7/H7*(1-F7/H7)/(H7-1))</f>
        <v>4896546.6769409487</v>
      </c>
      <c r="T42" s="138">
        <f t="shared" si="5"/>
        <v>4.1116219852767736E-5</v>
      </c>
    </row>
    <row r="43" spans="1:20" x14ac:dyDescent="0.2">
      <c r="P43" s="140" t="s">
        <v>57</v>
      </c>
      <c r="Q43" s="129"/>
    </row>
  </sheetData>
  <mergeCells count="6">
    <mergeCell ref="A24:A27"/>
    <mergeCell ref="C3:F3"/>
    <mergeCell ref="A5:A8"/>
    <mergeCell ref="C15:F15"/>
    <mergeCell ref="A17:A20"/>
    <mergeCell ref="C22:F22"/>
  </mergeCells>
  <pageMargins left="0.7" right="0.7" top="0.78740157499999996" bottom="0.78740157499999996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D8" sqref="D8"/>
    </sheetView>
  </sheetViews>
  <sheetFormatPr baseColWidth="10" defaultRowHeight="16" x14ac:dyDescent="0.2"/>
  <cols>
    <col min="1" max="1" width="15.83203125" bestFit="1" customWidth="1"/>
    <col min="3" max="3" width="15.1640625" customWidth="1"/>
  </cols>
  <sheetData>
    <row r="1" spans="1:6" s="12" customFormat="1" ht="21" x14ac:dyDescent="0.25">
      <c r="A1" s="12" t="s">
        <v>23</v>
      </c>
    </row>
    <row r="3" spans="1:6" x14ac:dyDescent="0.2">
      <c r="A3" s="2" t="s">
        <v>6</v>
      </c>
    </row>
    <row r="4" spans="1:6" s="1" customFormat="1" ht="51" x14ac:dyDescent="0.2">
      <c r="A4" s="1" t="s">
        <v>11</v>
      </c>
      <c r="B4" s="1" t="s">
        <v>20</v>
      </c>
      <c r="C4" s="1" t="s">
        <v>22</v>
      </c>
      <c r="D4" s="1" t="s">
        <v>21</v>
      </c>
      <c r="E4" s="1" t="s">
        <v>8</v>
      </c>
      <c r="F4" s="1" t="s">
        <v>7</v>
      </c>
    </row>
    <row r="5" spans="1:6" x14ac:dyDescent="0.2">
      <c r="A5" t="s">
        <v>0</v>
      </c>
      <c r="B5" s="5">
        <v>0.7</v>
      </c>
      <c r="C5" s="10">
        <v>20000</v>
      </c>
      <c r="D5" s="11">
        <f>C5/SUM($C$5:$C$8)</f>
        <v>2.2988505747126436E-2</v>
      </c>
      <c r="E5" s="7">
        <f>SQRT(B5*(1-B5))</f>
        <v>0.45825756949558405</v>
      </c>
      <c r="F5" s="7">
        <f>D5*E5</f>
        <v>1.0534656770013426E-2</v>
      </c>
    </row>
    <row r="6" spans="1:6" x14ac:dyDescent="0.2">
      <c r="A6" t="s">
        <v>1</v>
      </c>
      <c r="B6" s="5">
        <v>0.6</v>
      </c>
      <c r="C6" s="10">
        <v>200000</v>
      </c>
      <c r="D6" s="11">
        <f t="shared" ref="D6:D8" si="0">C6/SUM($C$5:$C$8)</f>
        <v>0.22988505747126436</v>
      </c>
      <c r="E6" s="7">
        <f>SQRT(B6*(1-B6))</f>
        <v>0.4898979485566356</v>
      </c>
      <c r="F6" s="7">
        <f t="shared" ref="F6:F8" si="1">D6*E6</f>
        <v>0.11262021805899669</v>
      </c>
    </row>
    <row r="7" spans="1:6" x14ac:dyDescent="0.2">
      <c r="A7" t="s">
        <v>2</v>
      </c>
      <c r="B7" s="5">
        <v>0.9</v>
      </c>
      <c r="C7" s="10">
        <v>300000</v>
      </c>
      <c r="D7" s="11">
        <f t="shared" si="0"/>
        <v>0.34482758620689657</v>
      </c>
      <c r="E7" s="7">
        <f>SQRT(B7*(1-B7))</f>
        <v>0.3</v>
      </c>
      <c r="F7" s="7">
        <f t="shared" si="1"/>
        <v>0.10344827586206896</v>
      </c>
    </row>
    <row r="8" spans="1:6" x14ac:dyDescent="0.2">
      <c r="A8" t="s">
        <v>3</v>
      </c>
      <c r="B8" s="5">
        <v>0.95</v>
      </c>
      <c r="C8" s="10">
        <v>350000</v>
      </c>
      <c r="D8" s="11">
        <f t="shared" si="0"/>
        <v>0.40229885057471265</v>
      </c>
      <c r="E8" s="7">
        <f>SQRT(B8*(1-B8))</f>
        <v>0.21794494717703378</v>
      </c>
      <c r="F8" s="7">
        <f t="shared" si="1"/>
        <v>8.7679001737887147E-2</v>
      </c>
    </row>
    <row r="9" spans="1:6" x14ac:dyDescent="0.2">
      <c r="B9" s="4"/>
      <c r="C9" s="4"/>
      <c r="D9" s="3"/>
      <c r="E9" s="3"/>
    </row>
    <row r="10" spans="1:6" x14ac:dyDescent="0.2">
      <c r="A10" t="s">
        <v>5</v>
      </c>
      <c r="B10" s="6">
        <v>0.01</v>
      </c>
      <c r="C10" t="s">
        <v>9</v>
      </c>
    </row>
    <row r="12" spans="1:6" s="2" customFormat="1" ht="17" thickBot="1" x14ac:dyDescent="0.25">
      <c r="A12" s="8" t="s">
        <v>4</v>
      </c>
      <c r="B12" s="9">
        <f>(SUM(F5:F8)/B10)^2</f>
        <v>987.7327133538397</v>
      </c>
      <c r="C12" s="2" t="s">
        <v>10</v>
      </c>
    </row>
    <row r="13" spans="1: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</vt:lpstr>
      <vt:lpstr>adjusted_aa_area_estimation</vt:lpstr>
      <vt:lpstr>sample size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Pflugmacher</dc:creator>
  <cp:lastModifiedBy>Shawn Schneidereit</cp:lastModifiedBy>
  <dcterms:created xsi:type="dcterms:W3CDTF">2015-10-20T18:09:47Z</dcterms:created>
  <dcterms:modified xsi:type="dcterms:W3CDTF">2021-05-19T10:47:20Z</dcterms:modified>
</cp:coreProperties>
</file>