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M:\ROIS (INTERN)\"/>
    </mc:Choice>
  </mc:AlternateContent>
  <xr:revisionPtr revIDLastSave="0" documentId="8_{720D23A3-B13E-4233-801B-BBFD86E6EEC0}" xr6:coauthVersionLast="47" xr6:coauthVersionMax="47" xr10:uidLastSave="{00000000-0000-0000-0000-000000000000}"/>
  <bookViews>
    <workbookView xWindow="28680" yWindow="-120" windowWidth="29040" windowHeight="15840" tabRatio="889" activeTab="3" xr2:uid="{00000000-000D-0000-FFFF-FFFF00000000}"/>
  </bookViews>
  <sheets>
    <sheet name="GO-NO-GO CHECKLIST" sheetId="1" r:id="rId1"/>
    <sheet name="PROJECT INFO" sheetId="2" r:id="rId2"/>
    <sheet name="PROPOSAL" sheetId="3" r:id="rId3"/>
    <sheet name="Project Cost Recap" sheetId="4" r:id="rId4"/>
    <sheet name="BREAKOUT" sheetId="29" r:id="rId5"/>
    <sheet name="Subs" sheetId="5" r:id="rId6"/>
    <sheet name="Heating Recap" sheetId="6" r:id="rId7"/>
    <sheet name="Plumbing Recap" sheetId="7" r:id="rId8"/>
    <sheet name="Htg" sheetId="8" r:id="rId9"/>
    <sheet name="Plbg" sheetId="9" r:id="rId10"/>
    <sheet name="QP Reports" sheetId="10" r:id="rId11"/>
    <sheet name="HOISTING EQP" sheetId="11" r:id="rId12"/>
    <sheet name="PF CREW" sheetId="12" r:id="rId13"/>
    <sheet name="PLBR CREW" sheetId="13" r:id="rId14"/>
    <sheet name="REG BOND" sheetId="14" state="hidden" r:id="rId15"/>
    <sheet name="DB BOND" sheetId="15" state="hidden" r:id="rId16"/>
    <sheet name="ALT #1" sheetId="16" r:id="rId17"/>
    <sheet name="ALT #2" sheetId="17" r:id="rId18"/>
    <sheet name="ALT #3" sheetId="18" r:id="rId19"/>
    <sheet name="ALT #4" sheetId="19" r:id="rId20"/>
    <sheet name="ALT #5" sheetId="20" state="hidden" r:id="rId21"/>
    <sheet name="ALT #6" sheetId="21" state="hidden" r:id="rId22"/>
    <sheet name="ALT #7" sheetId="22" state="hidden" r:id="rId23"/>
    <sheet name="ALT #8" sheetId="23" state="hidden" r:id="rId24"/>
    <sheet name="Taxes&amp;Permits" sheetId="24" state="hidden" r:id="rId25"/>
    <sheet name="DATA" sheetId="25" state="hidden" r:id="rId26"/>
    <sheet name="Signatures" sheetId="26" state="hidden" r:id="rId27"/>
    <sheet name="Equipment-Install Matrix" sheetId="27" state="hidden" r:id="rId28"/>
    <sheet name="Turnover" sheetId="28" r:id="rId29"/>
    <sheet name="Plumbing Fixtures" sheetId="30" state="hidden" r:id="rId30"/>
    <sheet name="Rentals" sheetId="31" state="hidden" r:id="rId31"/>
  </sheets>
  <externalReferences>
    <externalReference r:id="rId32"/>
    <externalReference r:id="rId33"/>
    <externalReference r:id="rId34"/>
  </externalReferences>
  <definedNames>
    <definedName name="_797_VENTURA_STREET">DATA!$B$6</definedName>
    <definedName name="_BID2" localSheetId="17">#REF!</definedName>
    <definedName name="_BID2" localSheetId="18">#REF!</definedName>
    <definedName name="_BID2" localSheetId="19">#REF!</definedName>
    <definedName name="_BID2" localSheetId="20">#REF!</definedName>
    <definedName name="_BID2" localSheetId="21">#REF!</definedName>
    <definedName name="_BID2" localSheetId="22">#REF!</definedName>
    <definedName name="_BID2" localSheetId="23">#REF!</definedName>
    <definedName name="_BID2" localSheetId="12">#REF!</definedName>
    <definedName name="_BID2" localSheetId="13">#REF!</definedName>
    <definedName name="_BID2">#REF!</definedName>
    <definedName name="_xlnm._FilterDatabase" localSheetId="25" hidden="1">DATA!$A$4:$T$4</definedName>
    <definedName name="_xlnm._FilterDatabase" localSheetId="1" hidden="1">'PROJECT INFO'!$A$21:$M$29</definedName>
    <definedName name="_xlnm._FilterDatabase" localSheetId="2" hidden="1">PROPOSAL!$A$57:$G$57</definedName>
    <definedName name="BDI" localSheetId="17">#REF!</definedName>
    <definedName name="BDI" localSheetId="18">#REF!</definedName>
    <definedName name="BDI" localSheetId="19">#REF!</definedName>
    <definedName name="BDI" localSheetId="20">#REF!</definedName>
    <definedName name="BDI" localSheetId="21">#REF!</definedName>
    <definedName name="BDI" localSheetId="22">#REF!</definedName>
    <definedName name="BDI" localSheetId="23">#REF!</definedName>
    <definedName name="BDI" localSheetId="12">#REF!</definedName>
    <definedName name="BDI" localSheetId="13">#REF!</definedName>
    <definedName name="BDI">#REF!</definedName>
    <definedName name="bid" localSheetId="17">#REF!</definedName>
    <definedName name="bid" localSheetId="18">#REF!</definedName>
    <definedName name="bid" localSheetId="19">#REF!</definedName>
    <definedName name="bid" localSheetId="20">#REF!</definedName>
    <definedName name="bid" localSheetId="21">#REF!</definedName>
    <definedName name="bid" localSheetId="22">#REF!</definedName>
    <definedName name="bid" localSheetId="23">#REF!</definedName>
    <definedName name="bid" localSheetId="12">#REF!</definedName>
    <definedName name="bid" localSheetId="13">#REF!</definedName>
    <definedName name="bid">#REF!</definedName>
    <definedName name="BOND" localSheetId="17">#REF!</definedName>
    <definedName name="BOND" localSheetId="18">#REF!</definedName>
    <definedName name="BOND" localSheetId="19">#REF!</definedName>
    <definedName name="BOND" localSheetId="20">#REF!</definedName>
    <definedName name="BOND" localSheetId="21">#REF!</definedName>
    <definedName name="BOND" localSheetId="22">#REF!</definedName>
    <definedName name="BOND" localSheetId="23">#REF!</definedName>
    <definedName name="BOND" localSheetId="12">#REF!</definedName>
    <definedName name="BOND" localSheetId="13">#REF!</definedName>
    <definedName name="BOND">#REF!</definedName>
    <definedName name="cat" localSheetId="17">#REF!</definedName>
    <definedName name="cat" localSheetId="18">#REF!</definedName>
    <definedName name="cat" localSheetId="19">#REF!</definedName>
    <definedName name="cat" localSheetId="20">#REF!</definedName>
    <definedName name="cat" localSheetId="21">#REF!</definedName>
    <definedName name="cat" localSheetId="22">#REF!</definedName>
    <definedName name="cat" localSheetId="23">#REF!</definedName>
    <definedName name="cat" localSheetId="12">#REF!</definedName>
    <definedName name="cat" localSheetId="13">#REF!</definedName>
    <definedName name="cat">#REF!</definedName>
    <definedName name="Client" localSheetId="17">#REF!</definedName>
    <definedName name="Client" localSheetId="18">#REF!</definedName>
    <definedName name="Client" localSheetId="19">#REF!</definedName>
    <definedName name="Client" localSheetId="20">#REF!</definedName>
    <definedName name="Client" localSheetId="21">#REF!</definedName>
    <definedName name="Client" localSheetId="22">#REF!</definedName>
    <definedName name="Client" localSheetId="23">#REF!</definedName>
    <definedName name="Client" localSheetId="12">#REF!</definedName>
    <definedName name="Client" localSheetId="13">#REF!</definedName>
    <definedName name="Client">#REF!</definedName>
    <definedName name="CLIENT2" localSheetId="17">#REF!</definedName>
    <definedName name="CLIENT2" localSheetId="18">#REF!</definedName>
    <definedName name="CLIENT2" localSheetId="19">#REF!</definedName>
    <definedName name="CLIENT2" localSheetId="20">#REF!</definedName>
    <definedName name="CLIENT2" localSheetId="21">#REF!</definedName>
    <definedName name="CLIENT2" localSheetId="22">#REF!</definedName>
    <definedName name="CLIENT2" localSheetId="23">#REF!</definedName>
    <definedName name="CLIENT2" localSheetId="12">#REF!</definedName>
    <definedName name="CLIENT2" localSheetId="13">#REF!</definedName>
    <definedName name="CLIENT2">#REF!</definedName>
    <definedName name="Construction" localSheetId="17">#REF!</definedName>
    <definedName name="Construction" localSheetId="18">#REF!</definedName>
    <definedName name="Construction" localSheetId="19">#REF!</definedName>
    <definedName name="Construction" localSheetId="20">#REF!</definedName>
    <definedName name="Construction" localSheetId="21">#REF!</definedName>
    <definedName name="Construction" localSheetId="22">#REF!</definedName>
    <definedName name="Construction" localSheetId="23">#REF!</definedName>
    <definedName name="Construction" localSheetId="12">#REF!</definedName>
    <definedName name="Construction" localSheetId="13">#REF!</definedName>
    <definedName name="Construction">#REF!</definedName>
    <definedName name="Contract" localSheetId="17">#REF!</definedName>
    <definedName name="Contract" localSheetId="18">#REF!</definedName>
    <definedName name="Contract" localSheetId="19">#REF!</definedName>
    <definedName name="Contract" localSheetId="20">#REF!</definedName>
    <definedName name="Contract" localSheetId="21">#REF!</definedName>
    <definedName name="Contract" localSheetId="22">#REF!</definedName>
    <definedName name="Contract" localSheetId="23">#REF!</definedName>
    <definedName name="Contract" localSheetId="12">#REF!</definedName>
    <definedName name="Contract" localSheetId="13">#REF!</definedName>
    <definedName name="Contract">#REF!</definedName>
    <definedName name="CONTRACT2" localSheetId="17">#REF!</definedName>
    <definedName name="CONTRACT2" localSheetId="18">#REF!</definedName>
    <definedName name="CONTRACT2" localSheetId="19">#REF!</definedName>
    <definedName name="CONTRACT2" localSheetId="20">#REF!</definedName>
    <definedName name="CONTRACT2" localSheetId="21">#REF!</definedName>
    <definedName name="CONTRACT2" localSheetId="22">#REF!</definedName>
    <definedName name="CONTRACT2" localSheetId="23">#REF!</definedName>
    <definedName name="CONTRACT2" localSheetId="12">#REF!</definedName>
    <definedName name="CONTRACT2" localSheetId="13">#REF!</definedName>
    <definedName name="CONTRACT2">#REF!</definedName>
    <definedName name="ESTIMATE" localSheetId="17">#REF!</definedName>
    <definedName name="ESTIMATE" localSheetId="18">#REF!</definedName>
    <definedName name="ESTIMATE" localSheetId="19">#REF!</definedName>
    <definedName name="ESTIMATE" localSheetId="20">#REF!</definedName>
    <definedName name="ESTIMATE" localSheetId="21">#REF!</definedName>
    <definedName name="ESTIMATE" localSheetId="22">#REF!</definedName>
    <definedName name="ESTIMATE" localSheetId="23">#REF!</definedName>
    <definedName name="ESTIMATE" localSheetId="12">#REF!</definedName>
    <definedName name="ESTIMATE" localSheetId="13">#REF!</definedName>
    <definedName name="ESTIMATE">#REF!</definedName>
    <definedName name="Facility" localSheetId="17">#REF!</definedName>
    <definedName name="Facility" localSheetId="18">#REF!</definedName>
    <definedName name="Facility" localSheetId="19">#REF!</definedName>
    <definedName name="Facility" localSheetId="20">#REF!</definedName>
    <definedName name="Facility" localSheetId="21">#REF!</definedName>
    <definedName name="Facility" localSheetId="22">#REF!</definedName>
    <definedName name="Facility" localSheetId="23">#REF!</definedName>
    <definedName name="Facility" localSheetId="12">#REF!</definedName>
    <definedName name="Facility" localSheetId="13">#REF!</definedName>
    <definedName name="Facility">#REF!</definedName>
    <definedName name="FACILITY2" localSheetId="17">#REF!</definedName>
    <definedName name="FACILITY2" localSheetId="18">#REF!</definedName>
    <definedName name="FACILITY2" localSheetId="19">#REF!</definedName>
    <definedName name="FACILITY2" localSheetId="20">#REF!</definedName>
    <definedName name="FACILITY2" localSheetId="21">#REF!</definedName>
    <definedName name="FACILITY2" localSheetId="22">#REF!</definedName>
    <definedName name="FACILITY2" localSheetId="23">#REF!</definedName>
    <definedName name="FACILITY2" localSheetId="12">#REF!</definedName>
    <definedName name="FACILITY2" localSheetId="13">#REF!</definedName>
    <definedName name="FACILITY2">#REF!</definedName>
    <definedName name="Filter" localSheetId="3">[1]Data!$B$1</definedName>
    <definedName name="finish" localSheetId="17">#REF!</definedName>
    <definedName name="finish" localSheetId="18">#REF!</definedName>
    <definedName name="finish" localSheetId="19">#REF!</definedName>
    <definedName name="finish" localSheetId="20">#REF!</definedName>
    <definedName name="finish" localSheetId="21">#REF!</definedName>
    <definedName name="finish" localSheetId="22">#REF!</definedName>
    <definedName name="finish" localSheetId="23">#REF!</definedName>
    <definedName name="finish" localSheetId="12">#REF!</definedName>
    <definedName name="finish" localSheetId="13">#REF!</definedName>
    <definedName name="finish">#REF!</definedName>
    <definedName name="Industry" localSheetId="17">#REF!</definedName>
    <definedName name="Industry" localSheetId="18">#REF!</definedName>
    <definedName name="Industry" localSheetId="19">#REF!</definedName>
    <definedName name="Industry" localSheetId="20">#REF!</definedName>
    <definedName name="Industry" localSheetId="21">#REF!</definedName>
    <definedName name="Industry" localSheetId="22">#REF!</definedName>
    <definedName name="Industry" localSheetId="23">#REF!</definedName>
    <definedName name="Industry" localSheetId="12">#REF!</definedName>
    <definedName name="Industry" localSheetId="13">#REF!</definedName>
    <definedName name="Industry">#REF!</definedName>
    <definedName name="INDUSTRY2" localSheetId="17">#REF!</definedName>
    <definedName name="INDUSTRY2" localSheetId="18">#REF!</definedName>
    <definedName name="INDUSTRY2" localSheetId="19">#REF!</definedName>
    <definedName name="INDUSTRY2" localSheetId="20">#REF!</definedName>
    <definedName name="INDUSTRY2" localSheetId="21">#REF!</definedName>
    <definedName name="INDUSTRY2" localSheetId="22">#REF!</definedName>
    <definedName name="INDUSTRY2" localSheetId="23">#REF!</definedName>
    <definedName name="INDUSTRY2" localSheetId="12">#REF!</definedName>
    <definedName name="INDUSTRY2" localSheetId="13">#REF!</definedName>
    <definedName name="INDUSTRY2">#REF!</definedName>
    <definedName name="List">'[2]SILENT AUCTION 2016'!$B$4:$K$133</definedName>
    <definedName name="Mat" localSheetId="6">[3]Data!$C$1:$C$65536</definedName>
    <definedName name="Murphy" localSheetId="17">#REF!</definedName>
    <definedName name="Murphy" localSheetId="18">#REF!</definedName>
    <definedName name="Murphy" localSheetId="19">#REF!</definedName>
    <definedName name="Murphy" localSheetId="20">#REF!</definedName>
    <definedName name="Murphy" localSheetId="21">#REF!</definedName>
    <definedName name="Murphy" localSheetId="22">#REF!</definedName>
    <definedName name="Murphy" localSheetId="23">#REF!</definedName>
    <definedName name="Murphy" localSheetId="12">#REF!</definedName>
    <definedName name="Murphy" localSheetId="13">#REF!</definedName>
    <definedName name="Murphy">#REF!</definedName>
    <definedName name="Owner" localSheetId="17">#REF!</definedName>
    <definedName name="Owner" localSheetId="18">#REF!</definedName>
    <definedName name="Owner" localSheetId="19">#REF!</definedName>
    <definedName name="Owner" localSheetId="20">#REF!</definedName>
    <definedName name="Owner" localSheetId="21">#REF!</definedName>
    <definedName name="Owner" localSheetId="22">#REF!</definedName>
    <definedName name="Owner" localSheetId="23">#REF!</definedName>
    <definedName name="Owner" localSheetId="12">#REF!</definedName>
    <definedName name="Owner" localSheetId="13">#REF!</definedName>
    <definedName name="Owner">#REF!</definedName>
    <definedName name="OWNER2" localSheetId="17">#REF!</definedName>
    <definedName name="OWNER2" localSheetId="18">#REF!</definedName>
    <definedName name="OWNER2" localSheetId="19">#REF!</definedName>
    <definedName name="OWNER2" localSheetId="20">#REF!</definedName>
    <definedName name="OWNER2" localSheetId="21">#REF!</definedName>
    <definedName name="OWNER2" localSheetId="22">#REF!</definedName>
    <definedName name="OWNER2" localSheetId="23">#REF!</definedName>
    <definedName name="OWNER2" localSheetId="12">#REF!</definedName>
    <definedName name="OWNER2" localSheetId="13">#REF!</definedName>
    <definedName name="OWNER2">#REF!</definedName>
    <definedName name="PREFERRED_CLIENTS">DATA!$A$5</definedName>
    <definedName name="_xlnm.Print_Area" localSheetId="6">'Heating Recap'!$A$1:$N$55</definedName>
    <definedName name="_xlnm.Print_Area" localSheetId="8">Htg!$A$1:$Z$49</definedName>
    <definedName name="_xlnm.Print_Area" localSheetId="9">Plbg!$A$1:$Z$80</definedName>
    <definedName name="_xlnm.Print_Area" localSheetId="7">'Plumbing Recap'!$A$1:$N$53</definedName>
    <definedName name="_xlnm.Print_Area" localSheetId="3">'Project Cost Recap'!$A$1:$N$78</definedName>
    <definedName name="_xlnm.Print_Area" localSheetId="2">PROPOSAL!$A$1:$G$141</definedName>
    <definedName name="_xlnm.Print_Titles" localSheetId="27">'Equipment-Install Matrix'!$1:$12</definedName>
    <definedName name="_xlnm.Print_Titles" localSheetId="2">PROPOSAL!$2:$4</definedName>
    <definedName name="Size" localSheetId="17">#REF!</definedName>
    <definedName name="Size" localSheetId="18">#REF!</definedName>
    <definedName name="Size" localSheetId="19">#REF!</definedName>
    <definedName name="Size" localSheetId="20">#REF!</definedName>
    <definedName name="Size" localSheetId="21">#REF!</definedName>
    <definedName name="Size" localSheetId="22">#REF!</definedName>
    <definedName name="Size" localSheetId="23">#REF!</definedName>
    <definedName name="Size" localSheetId="12">#REF!</definedName>
    <definedName name="Size" localSheetId="13">#REF!</definedName>
    <definedName name="Size">#REF!</definedName>
    <definedName name="SIZE2" localSheetId="17">#REF!</definedName>
    <definedName name="SIZE2" localSheetId="18">#REF!</definedName>
    <definedName name="SIZE2" localSheetId="19">#REF!</definedName>
    <definedName name="SIZE2" localSheetId="20">#REF!</definedName>
    <definedName name="SIZE2" localSheetId="21">#REF!</definedName>
    <definedName name="SIZE2" localSheetId="22">#REF!</definedName>
    <definedName name="SIZE2" localSheetId="23">#REF!</definedName>
    <definedName name="SIZE2" localSheetId="12">#REF!</definedName>
    <definedName name="SIZE2" localSheetId="13">#REF!</definedName>
    <definedName name="SIZE2">#REF!</definedName>
    <definedName name="solver_opt" localSheetId="17">#REF!</definedName>
    <definedName name="solver_opt" localSheetId="18">#REF!</definedName>
    <definedName name="solver_opt" localSheetId="19">#REF!</definedName>
    <definedName name="solver_opt" localSheetId="20">#REF!</definedName>
    <definedName name="solver_opt" localSheetId="21">#REF!</definedName>
    <definedName name="solver_opt" localSheetId="22">#REF!</definedName>
    <definedName name="solver_opt" localSheetId="23">#REF!</definedName>
    <definedName name="solver_opt" localSheetId="1">'PROJECT INFO'!$B$16</definedName>
    <definedName name="solver_opt">#REF!</definedName>
    <definedName name="Z_14A9C729_6567_47B0_B521_30EFFF4E950A_.wvu.Cols" localSheetId="11" hidden="1">'HOISTING EQP'!$K:$O</definedName>
    <definedName name="Z_14A9C729_6567_47B0_B521_30EFFF4E950A_.wvu.Cols" localSheetId="1" hidden="1">'PROJECT INFO'!$L:$M</definedName>
    <definedName name="Z_14A9C729_6567_47B0_B521_30EFFF4E950A_.wvu.FilterData" localSheetId="25" hidden="1">DATA!$A$5:$M$146</definedName>
    <definedName name="Z_14A9C729_6567_47B0_B521_30EFFF4E950A_.wvu.FilterData" localSheetId="1" hidden="1">'PROJECT INFO'!$A$21:$M$29</definedName>
    <definedName name="Z_14A9C729_6567_47B0_B521_30EFFF4E950A_.wvu.FilterData" localSheetId="2" hidden="1">PROPOSAL!$A$57:$G$57</definedName>
    <definedName name="Z_14A9C729_6567_47B0_B521_30EFFF4E950A_.wvu.PrintArea" localSheetId="6" hidden="1">'Heating Recap'!$A$1:$N$55</definedName>
    <definedName name="Z_14A9C729_6567_47B0_B521_30EFFF4E950A_.wvu.PrintArea" localSheetId="8" hidden="1">Htg!$B$2:$M$103</definedName>
    <definedName name="Z_14A9C729_6567_47B0_B521_30EFFF4E950A_.wvu.PrintArea" localSheetId="9" hidden="1">Plbg!$B$2:$M$142</definedName>
    <definedName name="Z_14A9C729_6567_47B0_B521_30EFFF4E950A_.wvu.PrintArea" localSheetId="7" hidden="1">'Plumbing Recap'!$A$1:$N$53</definedName>
    <definedName name="Z_14A9C729_6567_47B0_B521_30EFFF4E950A_.wvu.PrintArea" localSheetId="3" hidden="1">'Project Cost Recap'!$A$1:$M$72</definedName>
    <definedName name="Z_14A9C729_6567_47B0_B521_30EFFF4E950A_.wvu.PrintTitles" localSheetId="2" hidden="1">PROPOSAL!$2:$4</definedName>
    <definedName name="Z_198460B7_6D23_4AED_A971_BF824A975991_.wvu.Cols" localSheetId="11" hidden="1">'HOISTING EQP'!$K:$O</definedName>
    <definedName name="Z_198460B7_6D23_4AED_A971_BF824A975991_.wvu.Cols" localSheetId="1" hidden="1">'PROJECT INFO'!$L:$M</definedName>
    <definedName name="Z_198460B7_6D23_4AED_A971_BF824A975991_.wvu.FilterData" localSheetId="25" hidden="1">DATA!$A$5:$M$146</definedName>
    <definedName name="Z_198460B7_6D23_4AED_A971_BF824A975991_.wvu.FilterData" localSheetId="1" hidden="1">'PROJECT INFO'!$A$21:$M$29</definedName>
    <definedName name="Z_198460B7_6D23_4AED_A971_BF824A975991_.wvu.FilterData" localSheetId="2" hidden="1">PROPOSAL!$A$57:$G$57</definedName>
    <definedName name="Z_198460B7_6D23_4AED_A971_BF824A975991_.wvu.PrintArea" localSheetId="6" hidden="1">'Heating Recap'!$A$1:$N$55</definedName>
    <definedName name="Z_198460B7_6D23_4AED_A971_BF824A975991_.wvu.PrintArea" localSheetId="8" hidden="1">Htg!$B$2:$M$103</definedName>
    <definedName name="Z_198460B7_6D23_4AED_A971_BF824A975991_.wvu.PrintArea" localSheetId="9" hidden="1">Plbg!$B$2:$M$142</definedName>
    <definedName name="Z_198460B7_6D23_4AED_A971_BF824A975991_.wvu.PrintArea" localSheetId="7" hidden="1">'Plumbing Recap'!$A$1:$N$53</definedName>
    <definedName name="Z_198460B7_6D23_4AED_A971_BF824A975991_.wvu.PrintArea" localSheetId="3" hidden="1">'Project Cost Recap'!$A$1:$M$72</definedName>
    <definedName name="Z_198460B7_6D23_4AED_A971_BF824A975991_.wvu.PrintTitles" localSheetId="2" hidden="1">PROPOSAL!$2:$4</definedName>
    <definedName name="Z_C88CD669_B349_4A86_8041_5686C62E698E_.wvu.Cols" localSheetId="11" hidden="1">'HOISTING EQP'!$K:$O</definedName>
    <definedName name="Z_C88CD669_B349_4A86_8041_5686C62E698E_.wvu.Cols" localSheetId="1" hidden="1">'PROJECT INFO'!$L:$M</definedName>
    <definedName name="Z_C88CD669_B349_4A86_8041_5686C62E698E_.wvu.FilterData" localSheetId="25" hidden="1">DATA!$A$4:$T$4</definedName>
    <definedName name="Z_C88CD669_B349_4A86_8041_5686C62E698E_.wvu.FilterData" localSheetId="1" hidden="1">'PROJECT INFO'!$A$21:$M$29</definedName>
    <definedName name="Z_C88CD669_B349_4A86_8041_5686C62E698E_.wvu.FilterData" localSheetId="2" hidden="1">PROPOSAL!$A$57:$G$57</definedName>
    <definedName name="Z_C88CD669_B349_4A86_8041_5686C62E698E_.wvu.PrintArea" localSheetId="6" hidden="1">'Heating Recap'!$A$1:$N$55</definedName>
    <definedName name="Z_C88CD669_B349_4A86_8041_5686C62E698E_.wvu.PrintArea" localSheetId="8" hidden="1">Htg!$B$2:$M$103</definedName>
    <definedName name="Z_C88CD669_B349_4A86_8041_5686C62E698E_.wvu.PrintArea" localSheetId="9" hidden="1">Plbg!$B$2:$M$142</definedName>
    <definedName name="Z_C88CD669_B349_4A86_8041_5686C62E698E_.wvu.PrintArea" localSheetId="7" hidden="1">'Plumbing Recap'!$A$1:$N$53</definedName>
    <definedName name="Z_C88CD669_B349_4A86_8041_5686C62E698E_.wvu.PrintArea" localSheetId="3" hidden="1">'Project Cost Recap'!$A$1:$N$78</definedName>
    <definedName name="Z_C88CD669_B349_4A86_8041_5686C62E698E_.wvu.PrintArea" localSheetId="2" hidden="1">PROPOSAL!$A$1:$G$141</definedName>
    <definedName name="Z_C88CD669_B349_4A86_8041_5686C62E698E_.wvu.PrintTitles" localSheetId="27" hidden="1">'Equipment-Install Matrix'!$1:$12</definedName>
    <definedName name="Z_C88CD669_B349_4A86_8041_5686C62E698E_.wvu.PrintTitles" localSheetId="2" hidden="1">PROPOSAL!$2:$4</definedName>
    <definedName name="Z_C88CD669_B349_4A86_8041_5686C62E698E_.wvu.Rows" localSheetId="11" hidden="1">'HOISTING EQP'!$59:$89</definedName>
    <definedName name="Z_C88CD669_B349_4A86_8041_5686C62E698E_.wvu.Rows" localSheetId="3" hidden="1">'Project Cost Recap'!$81:$98</definedName>
    <definedName name="Zdata" localSheetId="6">[3]Data!$B$1:$F$65536</definedName>
  </definedNames>
  <calcPr calcId="191029"/>
  <customWorkbookViews>
    <customWorkbookView name="Robert Pywell - Personal View" guid="{C88CD669-B349-4A86-8041-5686C62E698E}" mergeInterval="0" personalView="1" maximized="1" xWindow="-8" yWindow="-8" windowWidth="2576" windowHeight="1416" tabRatio="889" activeSheetId="1"/>
    <customWorkbookView name="Paul Dense - Personal View" guid="{14A9C729-6567-47B0-B521-30EFFF4E950A}" mergeInterval="0" personalView="1" maximized="1" xWindow="-13" yWindow="-13" windowWidth="2762" windowHeight="1770" tabRatio="889" activeSheetId="3"/>
    <customWorkbookView name="Elizabeth Vigil - Personal View" guid="{198460B7-6D23-4AED-A971-BF824A975991}" mergeInterval="0" personalView="1" maximized="1" xWindow="-9" yWindow="-9" windowWidth="1938" windowHeight="1050" tabRatio="88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5" i="29" l="1"/>
  <c r="H34" i="29"/>
  <c r="K30" i="29"/>
  <c r="E156" i="5"/>
  <c r="Q9" i="8"/>
  <c r="F41" i="10"/>
  <c r="H41" i="10"/>
  <c r="E181" i="5"/>
  <c r="F9" i="10"/>
  <c r="H9" i="10"/>
  <c r="F11" i="10"/>
  <c r="H11" i="10"/>
  <c r="G107" i="5"/>
  <c r="L8" i="17"/>
  <c r="M8" i="17" s="1"/>
  <c r="M9" i="17"/>
  <c r="F9" i="17"/>
  <c r="L9" i="17"/>
  <c r="M58" i="19"/>
  <c r="E110" i="5" l="1"/>
  <c r="J35" i="29" l="1"/>
  <c r="J36" i="29" s="1"/>
  <c r="J29" i="29"/>
  <c r="G106" i="5"/>
  <c r="G186" i="5"/>
  <c r="L9" i="16"/>
  <c r="J37" i="29" l="1"/>
  <c r="K59" i="4" l="1"/>
  <c r="G115" i="5" l="1"/>
  <c r="E115" i="5"/>
  <c r="B115" i="5"/>
  <c r="M115" i="5" l="1"/>
  <c r="E186" i="5"/>
  <c r="B186" i="5"/>
  <c r="G110" i="5"/>
  <c r="L115" i="5"/>
  <c r="A34" i="3"/>
  <c r="N72" i="9"/>
  <c r="Q66" i="9"/>
  <c r="Q64" i="9"/>
  <c r="A108" i="3"/>
  <c r="B12" i="5"/>
  <c r="G65" i="5"/>
  <c r="B65" i="5"/>
  <c r="E12" i="5"/>
  <c r="B163" i="5"/>
  <c r="E163" i="5"/>
  <c r="W57" i="9"/>
  <c r="Q32" i="9"/>
  <c r="B43" i="9"/>
  <c r="Q40" i="9"/>
  <c r="Q39" i="9"/>
  <c r="Q38" i="9"/>
  <c r="Q37" i="9"/>
  <c r="Q34" i="9"/>
  <c r="Q57" i="9"/>
  <c r="B54" i="9"/>
  <c r="G198" i="5"/>
  <c r="F198" i="5"/>
  <c r="B198" i="5"/>
  <c r="G108" i="5"/>
  <c r="E108" i="5"/>
  <c r="Z56" i="9" l="1"/>
  <c r="G56" i="9" s="1"/>
  <c r="Y56" i="9"/>
  <c r="V56" i="9"/>
  <c r="S56" i="9"/>
  <c r="P56" i="9"/>
  <c r="I56" i="9"/>
  <c r="B55" i="9"/>
  <c r="Z47" i="9"/>
  <c r="G47" i="9" s="1"/>
  <c r="Y47" i="9"/>
  <c r="V47" i="9"/>
  <c r="S47" i="9"/>
  <c r="P47" i="9"/>
  <c r="I47" i="9"/>
  <c r="Z45" i="9"/>
  <c r="G45" i="9" s="1"/>
  <c r="Y45" i="9"/>
  <c r="V45" i="9"/>
  <c r="S45" i="9"/>
  <c r="P45" i="9"/>
  <c r="I45" i="9"/>
  <c r="Z46" i="9"/>
  <c r="G46" i="9" s="1"/>
  <c r="Y46" i="9"/>
  <c r="V46" i="9"/>
  <c r="S46" i="9"/>
  <c r="P46" i="9"/>
  <c r="I46" i="9"/>
  <c r="Z44" i="9"/>
  <c r="G44" i="9" s="1"/>
  <c r="Y44" i="9"/>
  <c r="V44" i="9"/>
  <c r="S44" i="9"/>
  <c r="P44" i="9"/>
  <c r="I44" i="9"/>
  <c r="Z51" i="9"/>
  <c r="G51" i="9" s="1"/>
  <c r="Y51" i="9"/>
  <c r="V51" i="9"/>
  <c r="S51" i="9"/>
  <c r="P51" i="9"/>
  <c r="I51" i="9"/>
  <c r="L8" i="16"/>
  <c r="H48" i="10" l="1"/>
  <c r="M34" i="10"/>
  <c r="M35" i="10"/>
  <c r="M37" i="10"/>
  <c r="M38" i="10"/>
  <c r="M39" i="10"/>
  <c r="M40" i="10"/>
  <c r="M41" i="10"/>
  <c r="M42" i="10"/>
  <c r="M43" i="10"/>
  <c r="M44" i="10"/>
  <c r="M45" i="10"/>
  <c r="M46" i="10"/>
  <c r="M47" i="10"/>
  <c r="M32" i="10"/>
  <c r="M11" i="10"/>
  <c r="M13" i="10"/>
  <c r="M14" i="10"/>
  <c r="M15" i="10"/>
  <c r="M16" i="10"/>
  <c r="M17" i="10"/>
  <c r="M18" i="10"/>
  <c r="M19" i="10"/>
  <c r="M20" i="10"/>
  <c r="M21" i="10"/>
  <c r="M22" i="10"/>
  <c r="M23" i="10"/>
  <c r="M9" i="10"/>
  <c r="A32" i="3"/>
  <c r="G7" i="3"/>
  <c r="A68" i="3"/>
  <c r="B140" i="3"/>
  <c r="A85" i="3"/>
  <c r="A89" i="3" l="1"/>
  <c r="K21" i="7"/>
  <c r="A75" i="3"/>
  <c r="G29" i="4"/>
  <c r="A72" i="3"/>
  <c r="E120" i="3" l="1"/>
  <c r="E121" i="3"/>
  <c r="E122" i="3"/>
  <c r="E123" i="3"/>
  <c r="E124" i="3"/>
  <c r="E125" i="3"/>
  <c r="E126" i="3"/>
  <c r="E119" i="3"/>
  <c r="E4" i="2"/>
  <c r="A33" i="3" l="1"/>
  <c r="A59" i="3"/>
  <c r="K4" i="29" l="1"/>
  <c r="K5" i="29" s="1"/>
  <c r="P4" i="29"/>
  <c r="O4" i="29"/>
  <c r="O10" i="29"/>
  <c r="P10" i="29" s="1"/>
  <c r="O9" i="29"/>
  <c r="P9" i="29" s="1"/>
  <c r="O8" i="29"/>
  <c r="P8" i="29" s="1"/>
  <c r="O7" i="29"/>
  <c r="P7" i="29" s="1"/>
  <c r="O6" i="29"/>
  <c r="P6" i="29" s="1"/>
  <c r="K6" i="29" l="1"/>
  <c r="H94" i="11"/>
  <c r="H95" i="11"/>
  <c r="H96" i="11"/>
  <c r="H97" i="11"/>
  <c r="H98" i="11"/>
  <c r="H99" i="11"/>
  <c r="H100" i="11"/>
  <c r="H101" i="11"/>
  <c r="H102" i="11"/>
  <c r="H103" i="11"/>
  <c r="H93" i="11"/>
  <c r="K7" i="29" l="1"/>
  <c r="I51" i="11"/>
  <c r="G51" i="11"/>
  <c r="J103" i="11"/>
  <c r="J102" i="11"/>
  <c r="J101" i="11"/>
  <c r="J100" i="11"/>
  <c r="J99" i="11"/>
  <c r="J98" i="11"/>
  <c r="J97" i="11"/>
  <c r="J96" i="11"/>
  <c r="J95" i="11"/>
  <c r="J94" i="11"/>
  <c r="J93" i="11"/>
  <c r="K8" i="29" l="1"/>
  <c r="J51" i="11"/>
  <c r="J104" i="11"/>
  <c r="I49" i="11" s="1"/>
  <c r="J49" i="11" s="1"/>
  <c r="E45" i="31"/>
  <c r="G45" i="31" s="1"/>
  <c r="I48" i="11"/>
  <c r="I17" i="11"/>
  <c r="L71" i="23"/>
  <c r="L70" i="23"/>
  <c r="L71" i="22"/>
  <c r="L70" i="22"/>
  <c r="L71" i="21"/>
  <c r="L70" i="21"/>
  <c r="L71" i="20"/>
  <c r="L70" i="20"/>
  <c r="L71" i="19"/>
  <c r="L70" i="19"/>
  <c r="L71" i="18"/>
  <c r="L70" i="18"/>
  <c r="L71" i="17"/>
  <c r="L70" i="17"/>
  <c r="L71" i="16"/>
  <c r="L70" i="16"/>
  <c r="N201" i="5"/>
  <c r="M201" i="5"/>
  <c r="L201" i="5"/>
  <c r="K201" i="5"/>
  <c r="J201" i="5"/>
  <c r="I201" i="5"/>
  <c r="H201" i="5"/>
  <c r="G201" i="5"/>
  <c r="R189" i="5"/>
  <c r="Q189" i="5"/>
  <c r="P189" i="5"/>
  <c r="O189" i="5"/>
  <c r="N189" i="5"/>
  <c r="M189" i="5"/>
  <c r="L189" i="5"/>
  <c r="K189" i="5"/>
  <c r="N178" i="5"/>
  <c r="M178" i="5"/>
  <c r="L178" i="5"/>
  <c r="K178" i="5"/>
  <c r="J178" i="5"/>
  <c r="I178" i="5"/>
  <c r="H178" i="5"/>
  <c r="G178" i="5"/>
  <c r="N166" i="5"/>
  <c r="M166" i="5"/>
  <c r="L166" i="5"/>
  <c r="K166" i="5"/>
  <c r="J166" i="5"/>
  <c r="I166" i="5"/>
  <c r="H166" i="5"/>
  <c r="G166" i="5"/>
  <c r="T154" i="5"/>
  <c r="S154" i="5"/>
  <c r="R154" i="5"/>
  <c r="Q154" i="5"/>
  <c r="P154" i="5"/>
  <c r="O154" i="5"/>
  <c r="N154" i="5"/>
  <c r="M154" i="5"/>
  <c r="N142" i="5"/>
  <c r="M142" i="5"/>
  <c r="L142" i="5"/>
  <c r="K142" i="5"/>
  <c r="J142" i="5"/>
  <c r="I142" i="5"/>
  <c r="H142" i="5"/>
  <c r="G142" i="5"/>
  <c r="N130" i="5"/>
  <c r="M130" i="5"/>
  <c r="L130" i="5"/>
  <c r="K130" i="5"/>
  <c r="J130" i="5"/>
  <c r="I130" i="5"/>
  <c r="H130" i="5"/>
  <c r="G130" i="5"/>
  <c r="P118" i="5"/>
  <c r="O118" i="5"/>
  <c r="N118" i="5"/>
  <c r="M118" i="5"/>
  <c r="L118" i="5"/>
  <c r="K118" i="5"/>
  <c r="J118" i="5"/>
  <c r="I118" i="5"/>
  <c r="R104" i="5"/>
  <c r="Q104" i="5"/>
  <c r="P104" i="5"/>
  <c r="O104" i="5"/>
  <c r="N104" i="5"/>
  <c r="M104" i="5"/>
  <c r="L104" i="5"/>
  <c r="K104" i="5"/>
  <c r="N92" i="5"/>
  <c r="M92" i="5"/>
  <c r="L92" i="5"/>
  <c r="K92" i="5"/>
  <c r="J92" i="5"/>
  <c r="I92" i="5"/>
  <c r="H92" i="5"/>
  <c r="G92" i="5"/>
  <c r="P80" i="5"/>
  <c r="O80" i="5"/>
  <c r="N80" i="5"/>
  <c r="M80" i="5"/>
  <c r="L80" i="5"/>
  <c r="K80" i="5"/>
  <c r="J80" i="5"/>
  <c r="I80" i="5"/>
  <c r="N68" i="5"/>
  <c r="M68" i="5"/>
  <c r="L68" i="5"/>
  <c r="K68" i="5"/>
  <c r="J68" i="5"/>
  <c r="I68" i="5"/>
  <c r="H68" i="5"/>
  <c r="G68" i="5"/>
  <c r="S54" i="5"/>
  <c r="R54" i="5"/>
  <c r="Q54" i="5"/>
  <c r="P54" i="5"/>
  <c r="O54" i="5"/>
  <c r="N54" i="5"/>
  <c r="M54" i="5"/>
  <c r="L54" i="5"/>
  <c r="N42" i="5"/>
  <c r="M42" i="5"/>
  <c r="L42" i="5"/>
  <c r="K42" i="5"/>
  <c r="J42" i="5"/>
  <c r="I42" i="5"/>
  <c r="H42" i="5"/>
  <c r="G42" i="5"/>
  <c r="P24" i="5"/>
  <c r="P23" i="5"/>
  <c r="P22" i="5"/>
  <c r="P21" i="5"/>
  <c r="P20" i="5"/>
  <c r="P19" i="5"/>
  <c r="P18" i="5"/>
  <c r="O17" i="5"/>
  <c r="N17" i="5"/>
  <c r="M17" i="5"/>
  <c r="L17" i="5"/>
  <c r="K17" i="5"/>
  <c r="J17" i="5"/>
  <c r="I17" i="5"/>
  <c r="H17" i="5"/>
  <c r="Q7" i="5"/>
  <c r="Q8" i="5"/>
  <c r="Q9" i="5"/>
  <c r="Q10" i="5"/>
  <c r="Q11" i="5"/>
  <c r="Q6" i="5"/>
  <c r="P5" i="5"/>
  <c r="O5" i="5"/>
  <c r="N5" i="5"/>
  <c r="M5" i="5"/>
  <c r="L5" i="5"/>
  <c r="K9" i="29" l="1"/>
  <c r="K5" i="5"/>
  <c r="J5" i="5"/>
  <c r="I5" i="5"/>
  <c r="K10" i="29" l="1"/>
  <c r="F97" i="23"/>
  <c r="C97" i="23"/>
  <c r="L98" i="23"/>
  <c r="L98" i="22"/>
  <c r="L98" i="21"/>
  <c r="L98" i="20"/>
  <c r="L98" i="19"/>
  <c r="L98" i="18"/>
  <c r="L98" i="17"/>
  <c r="L98" i="16"/>
  <c r="F97" i="22"/>
  <c r="C97" i="22"/>
  <c r="F97" i="21"/>
  <c r="C97" i="21"/>
  <c r="F97" i="20"/>
  <c r="C97" i="20"/>
  <c r="F97" i="19"/>
  <c r="C97" i="19"/>
  <c r="F97" i="18"/>
  <c r="C97" i="18"/>
  <c r="F97" i="17"/>
  <c r="C97" i="17"/>
  <c r="F97" i="16"/>
  <c r="C97" i="16"/>
  <c r="K11" i="29" l="1"/>
  <c r="B14" i="31"/>
  <c r="E16" i="31"/>
  <c r="B16" i="31" s="1"/>
  <c r="E17" i="31"/>
  <c r="B17" i="31" s="1"/>
  <c r="E18" i="31"/>
  <c r="B18" i="31" s="1"/>
  <c r="E19" i="31"/>
  <c r="B19" i="31" s="1"/>
  <c r="E20" i="31"/>
  <c r="B20" i="31" s="1"/>
  <c r="E21" i="31"/>
  <c r="B21" i="31" s="1"/>
  <c r="E22" i="31"/>
  <c r="B22" i="31" s="1"/>
  <c r="E23" i="31"/>
  <c r="B23" i="31" s="1"/>
  <c r="E24" i="31"/>
  <c r="B24" i="31" s="1"/>
  <c r="E25" i="31"/>
  <c r="B25" i="31" s="1"/>
  <c r="E26" i="31"/>
  <c r="B26" i="31" s="1"/>
  <c r="E27" i="31"/>
  <c r="B27" i="31" s="1"/>
  <c r="E28" i="31"/>
  <c r="B28" i="31" s="1"/>
  <c r="E29" i="31"/>
  <c r="B29" i="31" s="1"/>
  <c r="E30" i="31"/>
  <c r="B30" i="31" s="1"/>
  <c r="E31" i="31"/>
  <c r="B31" i="31" s="1"/>
  <c r="E32" i="31"/>
  <c r="B32" i="31" s="1"/>
  <c r="E15" i="31"/>
  <c r="B15" i="31" s="1"/>
  <c r="K12" i="29" l="1"/>
  <c r="E32" i="2"/>
  <c r="E26" i="2"/>
  <c r="E20" i="2"/>
  <c r="E14" i="2"/>
  <c r="K13" i="29" l="1"/>
  <c r="G197" i="24"/>
  <c r="B197" i="24"/>
  <c r="K14" i="29" l="1"/>
  <c r="K15" i="29" l="1"/>
  <c r="M24" i="6"/>
  <c r="M25" i="6"/>
  <c r="M26" i="6"/>
  <c r="L22" i="7"/>
  <c r="M22" i="7"/>
  <c r="K23" i="7"/>
  <c r="L23" i="7" s="1"/>
  <c r="M23" i="7"/>
  <c r="K24" i="7"/>
  <c r="L24" i="7" s="1"/>
  <c r="M24" i="7"/>
  <c r="K25" i="7"/>
  <c r="L25" i="7" s="1"/>
  <c r="M25" i="7"/>
  <c r="K26" i="7"/>
  <c r="L26" i="7" s="1"/>
  <c r="M26" i="7"/>
  <c r="M21" i="7"/>
  <c r="L21" i="7"/>
  <c r="L27" i="6"/>
  <c r="K26" i="6"/>
  <c r="L26" i="6" s="1"/>
  <c r="K25" i="6"/>
  <c r="L25" i="6" s="1"/>
  <c r="K24" i="6"/>
  <c r="L24" i="6" s="1"/>
  <c r="M23" i="6"/>
  <c r="L23" i="6"/>
  <c r="M22" i="6"/>
  <c r="H46" i="11"/>
  <c r="I46" i="11" s="1"/>
  <c r="J46" i="11" s="1"/>
  <c r="H45" i="11"/>
  <c r="H14" i="11"/>
  <c r="H15" i="11"/>
  <c r="I15" i="11" s="1"/>
  <c r="J15" i="11" s="1"/>
  <c r="D24" i="31"/>
  <c r="D25" i="31"/>
  <c r="D26" i="31"/>
  <c r="D27" i="31"/>
  <c r="D28" i="31"/>
  <c r="D29" i="31"/>
  <c r="D30" i="31"/>
  <c r="D31" i="31"/>
  <c r="D32" i="31"/>
  <c r="D23" i="31"/>
  <c r="D16" i="31"/>
  <c r="D17" i="31"/>
  <c r="D18" i="31"/>
  <c r="D19" i="31"/>
  <c r="D20" i="31"/>
  <c r="D21" i="31"/>
  <c r="D15" i="31"/>
  <c r="F23" i="6" l="1"/>
  <c r="K16" i="29"/>
  <c r="F24" i="7"/>
  <c r="B157" i="5"/>
  <c r="B158" i="5"/>
  <c r="B159" i="5"/>
  <c r="B160" i="5"/>
  <c r="B161" i="5"/>
  <c r="B95" i="5"/>
  <c r="B96" i="5"/>
  <c r="B97" i="5"/>
  <c r="B98" i="5"/>
  <c r="B99" i="5"/>
  <c r="B94" i="5"/>
  <c r="B83" i="5"/>
  <c r="B84" i="5"/>
  <c r="B85" i="5"/>
  <c r="B86" i="5"/>
  <c r="B87" i="5"/>
  <c r="B82" i="5"/>
  <c r="B71" i="5"/>
  <c r="B72" i="5"/>
  <c r="B73" i="5"/>
  <c r="B74" i="5"/>
  <c r="B75" i="5"/>
  <c r="B70" i="5"/>
  <c r="L93" i="23" l="1"/>
  <c r="C93" i="23"/>
  <c r="L93" i="22"/>
  <c r="C93" i="22"/>
  <c r="L93" i="21"/>
  <c r="C93" i="21"/>
  <c r="L93" i="20"/>
  <c r="C93" i="20"/>
  <c r="C93" i="19"/>
  <c r="C93" i="18"/>
  <c r="C93" i="17"/>
  <c r="L93" i="19" l="1"/>
  <c r="L93" i="18" l="1"/>
  <c r="C93" i="16"/>
  <c r="L93" i="16"/>
  <c r="L242" i="24" l="1"/>
  <c r="M242" i="24" s="1"/>
  <c r="L241" i="24"/>
  <c r="M241" i="24" s="1"/>
  <c r="M240" i="24"/>
  <c r="H238" i="24"/>
  <c r="F240" i="24" s="1"/>
  <c r="M229" i="24"/>
  <c r="M228" i="24"/>
  <c r="H226" i="24"/>
  <c r="F228" i="24" s="1"/>
  <c r="F241" i="24" l="1"/>
  <c r="E240" i="24"/>
  <c r="B240" i="24" s="1"/>
  <c r="F242" i="24"/>
  <c r="E241" i="24"/>
  <c r="F229" i="24"/>
  <c r="E228" i="24"/>
  <c r="B228" i="24" s="1"/>
  <c r="B182" i="5"/>
  <c r="B183" i="5"/>
  <c r="B184" i="5"/>
  <c r="E229" i="24" l="1"/>
  <c r="F230" i="24"/>
  <c r="E242" i="24"/>
  <c r="F243" i="24"/>
  <c r="P71" i="7"/>
  <c r="Q71" i="7" s="1"/>
  <c r="P70" i="7"/>
  <c r="Q70" i="7" s="1"/>
  <c r="Q69" i="7"/>
  <c r="Q58" i="7"/>
  <c r="Q57" i="7"/>
  <c r="F231" i="24" l="1"/>
  <c r="K230" i="24"/>
  <c r="L230" i="24" s="1"/>
  <c r="M230" i="24" s="1"/>
  <c r="E230" i="24"/>
  <c r="K243" i="24"/>
  <c r="L243" i="24" s="1"/>
  <c r="M243" i="24" s="1"/>
  <c r="E243" i="24"/>
  <c r="L120" i="23"/>
  <c r="M120" i="23" s="1"/>
  <c r="L119" i="23"/>
  <c r="M119" i="23" s="1"/>
  <c r="M118" i="23"/>
  <c r="M107" i="23"/>
  <c r="M106" i="23"/>
  <c r="L120" i="22"/>
  <c r="M120" i="22" s="1"/>
  <c r="L119" i="22"/>
  <c r="M119" i="22" s="1"/>
  <c r="M118" i="22"/>
  <c r="M107" i="22"/>
  <c r="M106" i="22"/>
  <c r="L120" i="21"/>
  <c r="M120" i="21" s="1"/>
  <c r="L119" i="21"/>
  <c r="M119" i="21" s="1"/>
  <c r="M118" i="21"/>
  <c r="M107" i="21"/>
  <c r="M106" i="21"/>
  <c r="L120" i="20"/>
  <c r="M120" i="20" s="1"/>
  <c r="M119" i="20"/>
  <c r="L119" i="20"/>
  <c r="M118" i="20"/>
  <c r="M107" i="20"/>
  <c r="M106" i="20"/>
  <c r="L120" i="19"/>
  <c r="M120" i="19" s="1"/>
  <c r="L119" i="19"/>
  <c r="M119" i="19" s="1"/>
  <c r="M118" i="19"/>
  <c r="M107" i="19"/>
  <c r="M106" i="19"/>
  <c r="L120" i="18"/>
  <c r="M120" i="18" s="1"/>
  <c r="L119" i="18"/>
  <c r="M119" i="18" s="1"/>
  <c r="M118" i="18"/>
  <c r="M107" i="18"/>
  <c r="M106" i="18"/>
  <c r="L120" i="17"/>
  <c r="M120" i="17" s="1"/>
  <c r="L119" i="17"/>
  <c r="M119" i="17" s="1"/>
  <c r="M118" i="17"/>
  <c r="M107" i="17"/>
  <c r="M106" i="17"/>
  <c r="L120" i="16"/>
  <c r="M120" i="16" s="1"/>
  <c r="L119" i="16"/>
  <c r="M119" i="16" s="1"/>
  <c r="M118" i="16"/>
  <c r="M107" i="16"/>
  <c r="M106" i="16"/>
  <c r="E231" i="24" l="1"/>
  <c r="F232" i="24"/>
  <c r="K231" i="24"/>
  <c r="L231" i="24" s="1"/>
  <c r="M231" i="24" s="1"/>
  <c r="I47" i="11"/>
  <c r="I16" i="11"/>
  <c r="E232" i="24" l="1"/>
  <c r="K232" i="24"/>
  <c r="L232" i="24" s="1"/>
  <c r="M232" i="24" s="1"/>
  <c r="F233" i="24"/>
  <c r="F234" i="24" l="1"/>
  <c r="K233" i="24"/>
  <c r="L233" i="24" s="1"/>
  <c r="M233" i="24" s="1"/>
  <c r="E233" i="24"/>
  <c r="L63" i="23"/>
  <c r="M63" i="23" s="1"/>
  <c r="I63" i="23"/>
  <c r="L62" i="23"/>
  <c r="M62" i="23" s="1"/>
  <c r="I63" i="22"/>
  <c r="L63" i="22" s="1"/>
  <c r="M63" i="22" s="1"/>
  <c r="L62" i="22"/>
  <c r="M62" i="22" s="1"/>
  <c r="L63" i="21"/>
  <c r="M63" i="21" s="1"/>
  <c r="I63" i="21"/>
  <c r="L62" i="21"/>
  <c r="M62" i="21" s="1"/>
  <c r="I63" i="20"/>
  <c r="L63" i="20" s="1"/>
  <c r="M63" i="20" s="1"/>
  <c r="L62" i="20"/>
  <c r="M62" i="20" s="1"/>
  <c r="I63" i="19"/>
  <c r="L63" i="19" s="1"/>
  <c r="M63" i="19" s="1"/>
  <c r="L62" i="19"/>
  <c r="M62" i="19" s="1"/>
  <c r="L63" i="18"/>
  <c r="M63" i="18" s="1"/>
  <c r="I63" i="18"/>
  <c r="L62" i="18"/>
  <c r="M62" i="18" s="1"/>
  <c r="I63" i="17"/>
  <c r="L63" i="17" s="1"/>
  <c r="M63" i="17" s="1"/>
  <c r="L62" i="17"/>
  <c r="M62" i="17" s="1"/>
  <c r="I63" i="16"/>
  <c r="L63" i="16" s="1"/>
  <c r="M63" i="16" s="1"/>
  <c r="L62" i="16"/>
  <c r="M62" i="16" s="1"/>
  <c r="I44" i="11"/>
  <c r="I43" i="11"/>
  <c r="I42" i="11"/>
  <c r="I41" i="11"/>
  <c r="I40" i="11"/>
  <c r="I39" i="11"/>
  <c r="I38" i="11"/>
  <c r="I37" i="11"/>
  <c r="I36" i="11"/>
  <c r="I35" i="11"/>
  <c r="I34" i="11"/>
  <c r="I33" i="11"/>
  <c r="I32" i="11"/>
  <c r="I31" i="11"/>
  <c r="I30" i="11"/>
  <c r="I29" i="11"/>
  <c r="I28" i="11"/>
  <c r="I27" i="11"/>
  <c r="I26" i="11"/>
  <c r="I25" i="11"/>
  <c r="E6" i="11"/>
  <c r="E7" i="11"/>
  <c r="I45" i="11"/>
  <c r="I14" i="11"/>
  <c r="J14" i="11" s="1"/>
  <c r="I7" i="11"/>
  <c r="I8" i="11"/>
  <c r="I9" i="11"/>
  <c r="I10" i="11"/>
  <c r="I11" i="11"/>
  <c r="I12" i="11"/>
  <c r="I13" i="11"/>
  <c r="I6" i="11"/>
  <c r="K234" i="24" l="1"/>
  <c r="L234" i="24" s="1"/>
  <c r="M234" i="24" s="1"/>
  <c r="F235" i="24"/>
  <c r="E234" i="24"/>
  <c r="P74" i="6"/>
  <c r="Q74" i="6" s="1"/>
  <c r="P73" i="6"/>
  <c r="Q73" i="6" s="1"/>
  <c r="Q72" i="6"/>
  <c r="L79" i="16"/>
  <c r="E235" i="24" l="1"/>
  <c r="K235" i="24"/>
  <c r="L235" i="24" s="1"/>
  <c r="M235" i="24" s="1"/>
  <c r="E12" i="30" l="1"/>
  <c r="F12" i="30" s="1"/>
  <c r="E35" i="30"/>
  <c r="F35" i="30" s="1"/>
  <c r="E66" i="30"/>
  <c r="F66" i="30" s="1"/>
  <c r="E50" i="30"/>
  <c r="F50" i="30" s="1"/>
  <c r="E49" i="30"/>
  <c r="F49" i="30" s="1"/>
  <c r="E80" i="30"/>
  <c r="F80" i="30" s="1"/>
  <c r="E79" i="30"/>
  <c r="F79" i="30" s="1"/>
  <c r="E78" i="30"/>
  <c r="F78" i="30" s="1"/>
  <c r="E77" i="30"/>
  <c r="F77" i="30" s="1"/>
  <c r="E76" i="30"/>
  <c r="F76" i="30" s="1"/>
  <c r="E75" i="30"/>
  <c r="F75" i="30" s="1"/>
  <c r="E74" i="30"/>
  <c r="F74" i="30" s="1"/>
  <c r="E73" i="30"/>
  <c r="F73" i="30" s="1"/>
  <c r="E72" i="30"/>
  <c r="F72" i="30" s="1"/>
  <c r="E71" i="30"/>
  <c r="F71" i="30" s="1"/>
  <c r="E70" i="30"/>
  <c r="F70" i="30" s="1"/>
  <c r="E69" i="30"/>
  <c r="F69" i="30" s="1"/>
  <c r="E68" i="30"/>
  <c r="F68" i="30" s="1"/>
  <c r="E67" i="30"/>
  <c r="F67" i="30" s="1"/>
  <c r="E45" i="30"/>
  <c r="F45" i="30" s="1"/>
  <c r="E48" i="30"/>
  <c r="F48" i="30" s="1"/>
  <c r="E34" i="30"/>
  <c r="F34" i="30" s="1"/>
  <c r="E33" i="30"/>
  <c r="F33" i="30" s="1"/>
  <c r="E27" i="30"/>
  <c r="F27" i="30" s="1"/>
  <c r="E26" i="30"/>
  <c r="F26" i="30" s="1"/>
  <c r="E25" i="30"/>
  <c r="F25" i="30" s="1"/>
  <c r="E23" i="30"/>
  <c r="F23" i="30" s="1"/>
  <c r="E22" i="30"/>
  <c r="F22" i="30" s="1"/>
  <c r="E21" i="30"/>
  <c r="F21" i="30" s="1"/>
  <c r="E20" i="30"/>
  <c r="F20" i="30" s="1"/>
  <c r="E9" i="30" l="1"/>
  <c r="F9" i="30" s="1"/>
  <c r="E8" i="30"/>
  <c r="F8" i="30" s="1"/>
  <c r="E7" i="30" l="1"/>
  <c r="F7" i="30" s="1"/>
  <c r="E6" i="30"/>
  <c r="F6" i="30" s="1"/>
  <c r="E5" i="30"/>
  <c r="F5" i="30" s="1"/>
  <c r="D89" i="30"/>
  <c r="E89" i="30" s="1"/>
  <c r="F89" i="30" s="1"/>
  <c r="D90" i="30"/>
  <c r="E90" i="30" s="1"/>
  <c r="F90" i="30" s="1"/>
  <c r="D10" i="30"/>
  <c r="E10" i="30" s="1"/>
  <c r="F10" i="30" s="1"/>
  <c r="D11" i="30"/>
  <c r="E11" i="30" s="1"/>
  <c r="F11" i="30" s="1"/>
  <c r="D13" i="30"/>
  <c r="E13" i="30" s="1"/>
  <c r="F13" i="30" s="1"/>
  <c r="D14" i="30"/>
  <c r="E14" i="30" s="1"/>
  <c r="F14" i="30" s="1"/>
  <c r="D15" i="30"/>
  <c r="E15" i="30" s="1"/>
  <c r="F15" i="30" s="1"/>
  <c r="D16" i="30"/>
  <c r="E16" i="30" s="1"/>
  <c r="F16" i="30" s="1"/>
  <c r="D17" i="30"/>
  <c r="E17" i="30" s="1"/>
  <c r="F17" i="30" s="1"/>
  <c r="D18" i="30"/>
  <c r="E18" i="30" s="1"/>
  <c r="F18" i="30" s="1"/>
  <c r="D19" i="30"/>
  <c r="E19" i="30" s="1"/>
  <c r="F19" i="30" s="1"/>
  <c r="D24" i="30"/>
  <c r="E24" i="30" s="1"/>
  <c r="F24" i="30" s="1"/>
  <c r="D28" i="30"/>
  <c r="E28" i="30" s="1"/>
  <c r="F28" i="30" s="1"/>
  <c r="D29" i="30"/>
  <c r="E29" i="30" s="1"/>
  <c r="F29" i="30" s="1"/>
  <c r="D30" i="30"/>
  <c r="E30" i="30" s="1"/>
  <c r="F30" i="30" s="1"/>
  <c r="D31" i="30"/>
  <c r="E31" i="30" s="1"/>
  <c r="F31" i="30" s="1"/>
  <c r="D32" i="30"/>
  <c r="E32" i="30" s="1"/>
  <c r="F32" i="30" s="1"/>
  <c r="D91" i="30"/>
  <c r="E91" i="30" s="1"/>
  <c r="F91" i="30" s="1"/>
  <c r="D92" i="30"/>
  <c r="E92" i="30" s="1"/>
  <c r="F92" i="30" s="1"/>
  <c r="D93" i="30"/>
  <c r="E93" i="30" s="1"/>
  <c r="F93" i="30" s="1"/>
  <c r="D94" i="30"/>
  <c r="E94" i="30" s="1"/>
  <c r="F94" i="30" s="1"/>
  <c r="D95" i="30"/>
  <c r="E95" i="30" s="1"/>
  <c r="F95" i="30" s="1"/>
  <c r="D96" i="30"/>
  <c r="E96" i="30" s="1"/>
  <c r="F96" i="30" s="1"/>
  <c r="D97" i="30"/>
  <c r="E97" i="30" s="1"/>
  <c r="F97" i="30" s="1"/>
  <c r="D98" i="30"/>
  <c r="E98" i="30" s="1"/>
  <c r="F98" i="30" s="1"/>
  <c r="D99" i="30"/>
  <c r="E99" i="30" s="1"/>
  <c r="F99" i="30" s="1"/>
  <c r="D100" i="30"/>
  <c r="E100" i="30" s="1"/>
  <c r="F100" i="30" s="1"/>
  <c r="D101" i="30"/>
  <c r="E101" i="30" s="1"/>
  <c r="F101" i="30" s="1"/>
  <c r="D36" i="30"/>
  <c r="E36" i="30" s="1"/>
  <c r="F36" i="30" s="1"/>
  <c r="D37" i="30"/>
  <c r="E37" i="30" s="1"/>
  <c r="F37" i="30" s="1"/>
  <c r="D38" i="30"/>
  <c r="E38" i="30" s="1"/>
  <c r="F38" i="30" s="1"/>
  <c r="D39" i="30"/>
  <c r="E39" i="30" s="1"/>
  <c r="F39" i="30" s="1"/>
  <c r="D40" i="30"/>
  <c r="E40" i="30" s="1"/>
  <c r="F40" i="30" s="1"/>
  <c r="D41" i="30"/>
  <c r="E41" i="30" s="1"/>
  <c r="F41" i="30" s="1"/>
  <c r="D42" i="30"/>
  <c r="E42" i="30" s="1"/>
  <c r="F42" i="30" s="1"/>
  <c r="D43" i="30"/>
  <c r="E43" i="30" s="1"/>
  <c r="F43" i="30" s="1"/>
  <c r="D44" i="30"/>
  <c r="E44" i="30" s="1"/>
  <c r="F44" i="30" s="1"/>
  <c r="D46" i="30"/>
  <c r="E46" i="30" s="1"/>
  <c r="F46" i="30" s="1"/>
  <c r="D47" i="30"/>
  <c r="E47" i="30" s="1"/>
  <c r="F47" i="30" s="1"/>
  <c r="D51" i="30"/>
  <c r="E51" i="30" s="1"/>
  <c r="F51" i="30" s="1"/>
  <c r="D52" i="30"/>
  <c r="E52" i="30" s="1"/>
  <c r="F52" i="30" s="1"/>
  <c r="D53" i="30"/>
  <c r="E53" i="30" s="1"/>
  <c r="F53" i="30" s="1"/>
  <c r="D54" i="30"/>
  <c r="E54" i="30" s="1"/>
  <c r="F54" i="30" s="1"/>
  <c r="D55" i="30"/>
  <c r="E55" i="30" s="1"/>
  <c r="F55" i="30" s="1"/>
  <c r="D56" i="30"/>
  <c r="E56" i="30" s="1"/>
  <c r="F56" i="30" s="1"/>
  <c r="D57" i="30"/>
  <c r="E57" i="30" s="1"/>
  <c r="F57" i="30" s="1"/>
  <c r="D58" i="30"/>
  <c r="E58" i="30" s="1"/>
  <c r="F58" i="30" s="1"/>
  <c r="D59" i="30"/>
  <c r="E59" i="30" s="1"/>
  <c r="F59" i="30" s="1"/>
  <c r="D60" i="30"/>
  <c r="E60" i="30" s="1"/>
  <c r="F60" i="30" s="1"/>
  <c r="D61" i="30"/>
  <c r="E61" i="30" s="1"/>
  <c r="F61" i="30" s="1"/>
  <c r="D62" i="30"/>
  <c r="E62" i="30" s="1"/>
  <c r="F62" i="30" s="1"/>
  <c r="D63" i="30"/>
  <c r="E63" i="30" s="1"/>
  <c r="F63" i="30" s="1"/>
  <c r="D64" i="30"/>
  <c r="E64" i="30" s="1"/>
  <c r="F64" i="30" s="1"/>
  <c r="D65" i="30"/>
  <c r="E65" i="30" s="1"/>
  <c r="F65" i="30" s="1"/>
  <c r="D88" i="30"/>
  <c r="E88" i="30" s="1"/>
  <c r="F88" i="30" s="1"/>
  <c r="D87" i="30"/>
  <c r="E87" i="30" s="1"/>
  <c r="F87" i="30" s="1"/>
  <c r="M39" i="22" l="1"/>
  <c r="J39" i="22"/>
  <c r="H39" i="22"/>
  <c r="M38" i="22"/>
  <c r="J38" i="22"/>
  <c r="H38" i="22"/>
  <c r="Q60" i="6"/>
  <c r="Q61" i="6"/>
  <c r="E25" i="11" l="1"/>
  <c r="J19" i="10" l="1"/>
  <c r="K19" i="10"/>
  <c r="L19" i="10" s="1"/>
  <c r="K34" i="10"/>
  <c r="L34" i="10" s="1"/>
  <c r="J34" i="10"/>
  <c r="C2" i="9"/>
  <c r="Z9" i="9"/>
  <c r="Y9" i="8"/>
  <c r="G37" i="13"/>
  <c r="H37" i="13" s="1"/>
  <c r="I37" i="13" s="1"/>
  <c r="J37" i="13" s="1"/>
  <c r="K37" i="13" s="1"/>
  <c r="G32" i="13"/>
  <c r="H32" i="13" s="1"/>
  <c r="I32" i="13" s="1"/>
  <c r="J32" i="13" s="1"/>
  <c r="K32" i="13" s="1"/>
  <c r="G27" i="13"/>
  <c r="H27" i="13" s="1"/>
  <c r="I27" i="13" s="1"/>
  <c r="J27" i="13" s="1"/>
  <c r="K27" i="13" s="1"/>
  <c r="G22" i="13"/>
  <c r="H22" i="13" s="1"/>
  <c r="I22" i="13" s="1"/>
  <c r="J22" i="13" s="1"/>
  <c r="K22" i="13" s="1"/>
  <c r="G17" i="13"/>
  <c r="G19" i="13" s="1"/>
  <c r="G12" i="13"/>
  <c r="H12" i="13" s="1"/>
  <c r="H15" i="13" l="1"/>
  <c r="H13" i="13"/>
  <c r="I12" i="13"/>
  <c r="H14" i="13"/>
  <c r="H17" i="13"/>
  <c r="G18" i="13"/>
  <c r="G13" i="13"/>
  <c r="G20" i="13"/>
  <c r="G14" i="13"/>
  <c r="G15" i="13"/>
  <c r="H20" i="13" l="1"/>
  <c r="H18" i="13"/>
  <c r="I17" i="13"/>
  <c r="H19" i="13"/>
  <c r="J12" i="13"/>
  <c r="I15" i="13"/>
  <c r="I13" i="13"/>
  <c r="I14" i="13"/>
  <c r="K12" i="13" l="1"/>
  <c r="J13" i="13"/>
  <c r="J14" i="13"/>
  <c r="J15" i="13"/>
  <c r="J17" i="13"/>
  <c r="I20" i="13"/>
  <c r="I18" i="13"/>
  <c r="I19" i="13"/>
  <c r="K17" i="13" l="1"/>
  <c r="J18" i="13"/>
  <c r="J19" i="13"/>
  <c r="K13" i="13"/>
  <c r="K14" i="13"/>
  <c r="K15" i="13"/>
  <c r="K20" i="13" l="1"/>
  <c r="K18" i="13"/>
  <c r="K19" i="13"/>
  <c r="G37" i="12" l="1"/>
  <c r="G39" i="12" s="1"/>
  <c r="G27" i="12"/>
  <c r="H27" i="12" s="1"/>
  <c r="G32" i="12"/>
  <c r="G34" i="12" s="1"/>
  <c r="G17" i="12"/>
  <c r="G20" i="12" s="1"/>
  <c r="G22" i="12"/>
  <c r="G25" i="12" s="1"/>
  <c r="G12" i="12"/>
  <c r="G14" i="12" s="1"/>
  <c r="H30" i="12" l="1"/>
  <c r="I27" i="12"/>
  <c r="H28" i="12"/>
  <c r="H29" i="12"/>
  <c r="H37" i="12"/>
  <c r="G24" i="12"/>
  <c r="G38" i="12"/>
  <c r="H22" i="12"/>
  <c r="H32" i="12"/>
  <c r="G19" i="12"/>
  <c r="G33" i="12"/>
  <c r="G28" i="12"/>
  <c r="G40" i="12"/>
  <c r="G23" i="12"/>
  <c r="G35" i="12"/>
  <c r="G18" i="12"/>
  <c r="G30" i="12"/>
  <c r="G29" i="12"/>
  <c r="H17" i="12"/>
  <c r="H12" i="12"/>
  <c r="G13" i="12"/>
  <c r="G15" i="12"/>
  <c r="H25" i="12" l="1"/>
  <c r="I22" i="12"/>
  <c r="H23" i="12"/>
  <c r="H24" i="12"/>
  <c r="H39" i="12"/>
  <c r="H40" i="12"/>
  <c r="H38" i="12"/>
  <c r="I37" i="12"/>
  <c r="I17" i="12"/>
  <c r="H18" i="12"/>
  <c r="H19" i="12"/>
  <c r="H20" i="12"/>
  <c r="I30" i="12"/>
  <c r="J27" i="12"/>
  <c r="I28" i="12"/>
  <c r="I29" i="12"/>
  <c r="I32" i="12"/>
  <c r="H35" i="12"/>
  <c r="H33" i="12"/>
  <c r="H34" i="12"/>
  <c r="H15" i="12"/>
  <c r="I12" i="12"/>
  <c r="H14" i="12"/>
  <c r="H13" i="12"/>
  <c r="B56" i="24"/>
  <c r="B54" i="24"/>
  <c r="I39" i="12" l="1"/>
  <c r="I40" i="12"/>
  <c r="I38" i="12"/>
  <c r="J37" i="12"/>
  <c r="K27" i="12"/>
  <c r="J28" i="12"/>
  <c r="J29" i="12"/>
  <c r="J30" i="12"/>
  <c r="J22" i="12"/>
  <c r="I23" i="12"/>
  <c r="I24" i="12"/>
  <c r="I25" i="12"/>
  <c r="J32" i="12"/>
  <c r="I35" i="12"/>
  <c r="I33" i="12"/>
  <c r="I34" i="12"/>
  <c r="I18" i="12"/>
  <c r="I19" i="12"/>
  <c r="I20" i="12"/>
  <c r="J17" i="12"/>
  <c r="I15" i="12"/>
  <c r="I14" i="12"/>
  <c r="J12" i="12"/>
  <c r="I13" i="12"/>
  <c r="B6" i="5"/>
  <c r="B7" i="5"/>
  <c r="B8" i="5"/>
  <c r="B9" i="5"/>
  <c r="B10" i="5"/>
  <c r="J35" i="12" l="1"/>
  <c r="J33" i="12"/>
  <c r="K32" i="12"/>
  <c r="J34" i="12"/>
  <c r="K28" i="12"/>
  <c r="K29" i="12"/>
  <c r="K30" i="12"/>
  <c r="J40" i="12"/>
  <c r="J38" i="12"/>
  <c r="K37" i="12"/>
  <c r="J39" i="12"/>
  <c r="J18" i="12"/>
  <c r="J19" i="12"/>
  <c r="J20" i="12"/>
  <c r="K17" i="12"/>
  <c r="J23" i="12"/>
  <c r="K22" i="12"/>
  <c r="J24" i="12"/>
  <c r="J25" i="12"/>
  <c r="J14" i="12"/>
  <c r="J15" i="12"/>
  <c r="K12" i="12"/>
  <c r="J13" i="12"/>
  <c r="E8" i="2"/>
  <c r="K19" i="12" l="1"/>
  <c r="K20" i="12"/>
  <c r="K18" i="12"/>
  <c r="K33" i="12"/>
  <c r="K34" i="12"/>
  <c r="K35" i="12"/>
  <c r="K40" i="12"/>
  <c r="K38" i="12"/>
  <c r="K39" i="12"/>
  <c r="K23" i="12"/>
  <c r="K24" i="12"/>
  <c r="K25" i="12"/>
  <c r="K14" i="12"/>
  <c r="K15" i="12"/>
  <c r="K13" i="12"/>
  <c r="I92" i="28"/>
  <c r="E12" i="2" l="1"/>
  <c r="D107" i="5" l="1"/>
  <c r="D108" i="5"/>
  <c r="D109" i="5"/>
  <c r="D110" i="5"/>
  <c r="D111" i="5"/>
  <c r="D112" i="5"/>
  <c r="D121" i="5"/>
  <c r="D122" i="5"/>
  <c r="D123" i="5"/>
  <c r="D124" i="5"/>
  <c r="D125" i="5"/>
  <c r="C95" i="5"/>
  <c r="C96" i="5"/>
  <c r="C97" i="5"/>
  <c r="C98" i="5"/>
  <c r="C99" i="5"/>
  <c r="D106" i="5"/>
  <c r="C107" i="5"/>
  <c r="C108" i="5"/>
  <c r="C109" i="5"/>
  <c r="C110" i="5"/>
  <c r="C111" i="5"/>
  <c r="C112" i="5"/>
  <c r="D120" i="5"/>
  <c r="C121" i="5"/>
  <c r="C122" i="5"/>
  <c r="C123" i="5"/>
  <c r="C124" i="5"/>
  <c r="C125" i="5"/>
  <c r="F46" i="13"/>
  <c r="G46" i="13" s="1"/>
  <c r="F33" i="7" s="1"/>
  <c r="F45" i="13"/>
  <c r="F44" i="13"/>
  <c r="G44" i="13" s="1"/>
  <c r="F34" i="7" s="1"/>
  <c r="G43" i="13"/>
  <c r="G43" i="12"/>
  <c r="F46" i="12" s="1"/>
  <c r="G46" i="12" s="1"/>
  <c r="F35" i="6" s="1"/>
  <c r="B59" i="5"/>
  <c r="B60" i="5"/>
  <c r="B61" i="5"/>
  <c r="B62" i="5"/>
  <c r="B63" i="5"/>
  <c r="H25" i="2"/>
  <c r="K4" i="6" s="1"/>
  <c r="H24" i="2"/>
  <c r="F114" i="28" s="1"/>
  <c r="E3" i="2"/>
  <c r="D3" i="19" s="1"/>
  <c r="E5" i="2"/>
  <c r="C14" i="3" s="1"/>
  <c r="I54" i="2"/>
  <c r="I55" i="2"/>
  <c r="I56" i="2"/>
  <c r="I57" i="2"/>
  <c r="I58" i="2"/>
  <c r="I53" i="2"/>
  <c r="H50" i="2"/>
  <c r="C76" i="27" s="1"/>
  <c r="B129" i="24"/>
  <c r="A80" i="3"/>
  <c r="B51" i="3"/>
  <c r="A52" i="3" s="1"/>
  <c r="A38" i="3"/>
  <c r="A39" i="3"/>
  <c r="H32" i="2"/>
  <c r="G26" i="3"/>
  <c r="I17" i="2"/>
  <c r="N3" i="12"/>
  <c r="N2" i="12"/>
  <c r="E11" i="2"/>
  <c r="C10" i="3" s="1"/>
  <c r="E79" i="27"/>
  <c r="C98" i="27"/>
  <c r="C97" i="27"/>
  <c r="C96" i="27"/>
  <c r="C92" i="27"/>
  <c r="C91" i="27"/>
  <c r="C89" i="27"/>
  <c r="C88" i="27"/>
  <c r="C87" i="27"/>
  <c r="C83" i="27"/>
  <c r="C82" i="27"/>
  <c r="C81" i="27"/>
  <c r="C80" i="27"/>
  <c r="I21" i="2"/>
  <c r="I22" i="2"/>
  <c r="J10" i="7" s="1"/>
  <c r="I23" i="2"/>
  <c r="H34" i="2"/>
  <c r="G60" i="4" s="1"/>
  <c r="C79" i="27"/>
  <c r="C93" i="27"/>
  <c r="H2" i="12"/>
  <c r="D5" i="12"/>
  <c r="L65" i="23"/>
  <c r="M65" i="23" s="1"/>
  <c r="L64" i="23"/>
  <c r="M64" i="23" s="1"/>
  <c r="L61" i="23"/>
  <c r="M61" i="23" s="1"/>
  <c r="L65" i="22"/>
  <c r="M65" i="22" s="1"/>
  <c r="L64" i="22"/>
  <c r="M64" i="22" s="1"/>
  <c r="L61" i="22"/>
  <c r="M61" i="22" s="1"/>
  <c r="L65" i="21"/>
  <c r="M65" i="21" s="1"/>
  <c r="L64" i="21"/>
  <c r="L61" i="21"/>
  <c r="M61" i="21" s="1"/>
  <c r="L65" i="20"/>
  <c r="M65" i="20" s="1"/>
  <c r="L64" i="20"/>
  <c r="M64" i="20" s="1"/>
  <c r="L61" i="20"/>
  <c r="M61" i="20" s="1"/>
  <c r="L65" i="19"/>
  <c r="M65" i="19" s="1"/>
  <c r="L64" i="19"/>
  <c r="M64" i="19" s="1"/>
  <c r="L61" i="19"/>
  <c r="M61" i="19" s="1"/>
  <c r="L65" i="18"/>
  <c r="M65" i="18" s="1"/>
  <c r="L64" i="18"/>
  <c r="M64" i="18" s="1"/>
  <c r="L61" i="18"/>
  <c r="M61" i="18" s="1"/>
  <c r="L65" i="17"/>
  <c r="M65" i="17" s="1"/>
  <c r="L64" i="17"/>
  <c r="M64" i="17" s="1"/>
  <c r="L61" i="17"/>
  <c r="M61" i="17" s="1"/>
  <c r="L65" i="16"/>
  <c r="M65" i="16" s="1"/>
  <c r="L64" i="16"/>
  <c r="M64" i="16" s="1"/>
  <c r="Z31" i="8"/>
  <c r="Z32" i="8"/>
  <c r="Z33" i="8"/>
  <c r="G33" i="8" s="1"/>
  <c r="Z35" i="8"/>
  <c r="G35" i="8" s="1"/>
  <c r="Z36" i="8"/>
  <c r="G36" i="8" s="1"/>
  <c r="Z41" i="8"/>
  <c r="G41" i="8" s="1"/>
  <c r="Z43" i="8"/>
  <c r="G43" i="8" s="1"/>
  <c r="Z45" i="8"/>
  <c r="Z46" i="8"/>
  <c r="Z47" i="8"/>
  <c r="Z48" i="8"/>
  <c r="Z49" i="8"/>
  <c r="G49" i="8" s="1"/>
  <c r="Z50" i="8"/>
  <c r="G50" i="8" s="1"/>
  <c r="Z51" i="8"/>
  <c r="G51" i="8" s="1"/>
  <c r="Z52" i="8"/>
  <c r="G52" i="8" s="1"/>
  <c r="Z53" i="8"/>
  <c r="Z54" i="8"/>
  <c r="Z55" i="8"/>
  <c r="Z56" i="8"/>
  <c r="Z57" i="8"/>
  <c r="G57" i="8" s="1"/>
  <c r="Z58" i="8"/>
  <c r="G58" i="8" s="1"/>
  <c r="Z59" i="8"/>
  <c r="Z60" i="8"/>
  <c r="G60" i="8" s="1"/>
  <c r="Z61" i="8"/>
  <c r="Z62" i="8"/>
  <c r="Z63" i="8"/>
  <c r="Z64" i="8"/>
  <c r="Z65" i="8"/>
  <c r="G65" i="8" s="1"/>
  <c r="Z66" i="8"/>
  <c r="G66" i="8" s="1"/>
  <c r="Z67" i="8"/>
  <c r="G67" i="8" s="1"/>
  <c r="Z68" i="8"/>
  <c r="G68" i="8" s="1"/>
  <c r="Z69" i="8"/>
  <c r="Z70" i="8"/>
  <c r="Z71" i="8"/>
  <c r="Z72" i="8"/>
  <c r="Z73" i="8"/>
  <c r="G73" i="8" s="1"/>
  <c r="Z74" i="8"/>
  <c r="Z75" i="8"/>
  <c r="G75" i="8" s="1"/>
  <c r="Z76" i="8"/>
  <c r="G76" i="8" s="1"/>
  <c r="Z77" i="8"/>
  <c r="Z78" i="8"/>
  <c r="Z79" i="8"/>
  <c r="Z80" i="8"/>
  <c r="Z81" i="8"/>
  <c r="G81" i="8" s="1"/>
  <c r="Z82" i="8"/>
  <c r="G82" i="8" s="1"/>
  <c r="Z83" i="8"/>
  <c r="G83" i="8" s="1"/>
  <c r="Z84" i="8"/>
  <c r="G84" i="8" s="1"/>
  <c r="Z85" i="8"/>
  <c r="Z86" i="8"/>
  <c r="Z87" i="8"/>
  <c r="Z88" i="8"/>
  <c r="Z89" i="8"/>
  <c r="G89" i="8" s="1"/>
  <c r="Z90" i="8"/>
  <c r="G90" i="8" s="1"/>
  <c r="Z91" i="8"/>
  <c r="G91" i="8" s="1"/>
  <c r="Z92" i="8"/>
  <c r="G92" i="8" s="1"/>
  <c r="Z93" i="8"/>
  <c r="G93" i="8" s="1"/>
  <c r="Z94" i="8"/>
  <c r="Z95" i="8"/>
  <c r="Z96" i="8"/>
  <c r="G96" i="8" s="1"/>
  <c r="Z97" i="8"/>
  <c r="G97" i="8" s="1"/>
  <c r="Z98" i="8"/>
  <c r="G98" i="8" s="1"/>
  <c r="Z99" i="8"/>
  <c r="G99" i="8" s="1"/>
  <c r="Z100" i="8"/>
  <c r="G100" i="8" s="1"/>
  <c r="Z101" i="8"/>
  <c r="Z102" i="8"/>
  <c r="Z103" i="8"/>
  <c r="Z104" i="8"/>
  <c r="G104" i="8" s="1"/>
  <c r="Z105" i="8"/>
  <c r="G105" i="8" s="1"/>
  <c r="Z106" i="8"/>
  <c r="Z107" i="8"/>
  <c r="G107" i="8" s="1"/>
  <c r="Z108" i="8"/>
  <c r="G108" i="8" s="1"/>
  <c r="Z109" i="8"/>
  <c r="G109" i="8" s="1"/>
  <c r="Z110" i="8"/>
  <c r="Z111" i="8"/>
  <c r="Z112" i="8"/>
  <c r="G112" i="8" s="1"/>
  <c r="Z113" i="8"/>
  <c r="G113" i="8" s="1"/>
  <c r="Z114" i="8"/>
  <c r="G114" i="8" s="1"/>
  <c r="Z115" i="8"/>
  <c r="G115" i="8" s="1"/>
  <c r="Z116" i="8"/>
  <c r="G116" i="8" s="1"/>
  <c r="Z117" i="8"/>
  <c r="Z118" i="8"/>
  <c r="Z119" i="8"/>
  <c r="Z120" i="8"/>
  <c r="G120" i="8" s="1"/>
  <c r="Z121" i="8"/>
  <c r="G121" i="8" s="1"/>
  <c r="Z122" i="8"/>
  <c r="G122" i="8" s="1"/>
  <c r="Z123" i="8"/>
  <c r="G123" i="8" s="1"/>
  <c r="Z124" i="8"/>
  <c r="G124" i="8" s="1"/>
  <c r="Z125" i="8"/>
  <c r="G125" i="8" s="1"/>
  <c r="Z126" i="8"/>
  <c r="Z127" i="8"/>
  <c r="Z128" i="8"/>
  <c r="Z129" i="8"/>
  <c r="G129" i="8" s="1"/>
  <c r="Z130" i="8"/>
  <c r="G130" i="8" s="1"/>
  <c r="Z131" i="8"/>
  <c r="G131" i="8" s="1"/>
  <c r="Z132" i="8"/>
  <c r="G132" i="8" s="1"/>
  <c r="Z133" i="8"/>
  <c r="Z134" i="8"/>
  <c r="Z135" i="8"/>
  <c r="Z136" i="8"/>
  <c r="Z137" i="8"/>
  <c r="G137" i="8" s="1"/>
  <c r="Z138" i="8"/>
  <c r="G138" i="8" s="1"/>
  <c r="Z139" i="8"/>
  <c r="G139" i="8" s="1"/>
  <c r="Z140" i="8"/>
  <c r="G140" i="8" s="1"/>
  <c r="Z141" i="8"/>
  <c r="G141" i="8" s="1"/>
  <c r="Z142" i="8"/>
  <c r="Z143" i="8"/>
  <c r="Z144" i="8"/>
  <c r="G144" i="8" s="1"/>
  <c r="Z145" i="8"/>
  <c r="G145" i="8" s="1"/>
  <c r="Z146" i="8"/>
  <c r="Z147" i="8"/>
  <c r="G147" i="8" s="1"/>
  <c r="Z148" i="8"/>
  <c r="G148" i="8" s="1"/>
  <c r="Z149" i="8"/>
  <c r="Z150" i="8"/>
  <c r="Z151" i="8"/>
  <c r="Z152" i="8"/>
  <c r="G152" i="8" s="1"/>
  <c r="Z153" i="8"/>
  <c r="G153" i="8" s="1"/>
  <c r="Z154" i="8"/>
  <c r="G154" i="8" s="1"/>
  <c r="Z155" i="8"/>
  <c r="G155" i="8" s="1"/>
  <c r="Z156" i="8"/>
  <c r="G156" i="8" s="1"/>
  <c r="Z157" i="8"/>
  <c r="G157" i="8" s="1"/>
  <c r="Z158" i="8"/>
  <c r="Z159" i="8"/>
  <c r="Z160" i="8"/>
  <c r="G160" i="8" s="1"/>
  <c r="Z161" i="8"/>
  <c r="G161" i="8" s="1"/>
  <c r="Z162" i="8"/>
  <c r="G162" i="8" s="1"/>
  <c r="Z163" i="8"/>
  <c r="G163" i="8" s="1"/>
  <c r="Z164" i="8"/>
  <c r="G164" i="8" s="1"/>
  <c r="Z165" i="8"/>
  <c r="Z166" i="8"/>
  <c r="Z167" i="8"/>
  <c r="Z168" i="8"/>
  <c r="Z169" i="8"/>
  <c r="G169" i="8" s="1"/>
  <c r="Z170" i="8"/>
  <c r="G170" i="8" s="1"/>
  <c r="Z171" i="8"/>
  <c r="G171" i="8" s="1"/>
  <c r="Z172" i="8"/>
  <c r="G172" i="8" s="1"/>
  <c r="Z173" i="8"/>
  <c r="Z174" i="8"/>
  <c r="Z175" i="8"/>
  <c r="Z176" i="8"/>
  <c r="Z177" i="8"/>
  <c r="G177" i="8" s="1"/>
  <c r="Z178" i="8"/>
  <c r="G178" i="8" s="1"/>
  <c r="Z179" i="8"/>
  <c r="G179" i="8" s="1"/>
  <c r="Z180" i="8"/>
  <c r="G180" i="8" s="1"/>
  <c r="Z181" i="8"/>
  <c r="Z182" i="8"/>
  <c r="Z183" i="8"/>
  <c r="Z28" i="8"/>
  <c r="G28" i="8" s="1"/>
  <c r="Z27" i="8"/>
  <c r="G27" i="8" s="1"/>
  <c r="Z26" i="8"/>
  <c r="G26" i="8" s="1"/>
  <c r="Z25" i="8"/>
  <c r="G25" i="8" s="1"/>
  <c r="Z24" i="8"/>
  <c r="G24" i="8" s="1"/>
  <c r="Z23" i="8"/>
  <c r="G23" i="8" s="1"/>
  <c r="Z22" i="8"/>
  <c r="Z21" i="8"/>
  <c r="Z20" i="8"/>
  <c r="G20" i="8" s="1"/>
  <c r="Z19" i="8"/>
  <c r="G19" i="8" s="1"/>
  <c r="Z18" i="8"/>
  <c r="G18" i="8" s="1"/>
  <c r="Z17" i="8"/>
  <c r="G17" i="8" s="1"/>
  <c r="Z16" i="8"/>
  <c r="G16" i="8" s="1"/>
  <c r="Z15" i="8"/>
  <c r="G15" i="8" s="1"/>
  <c r="Z14" i="8"/>
  <c r="Z13" i="8"/>
  <c r="G13" i="8" s="1"/>
  <c r="Z12" i="8"/>
  <c r="G12" i="8" s="1"/>
  <c r="Z11" i="8"/>
  <c r="G11" i="8" s="1"/>
  <c r="V10" i="8"/>
  <c r="V11" i="8"/>
  <c r="V12" i="8"/>
  <c r="V13" i="8"/>
  <c r="V14" i="8"/>
  <c r="V15" i="8"/>
  <c r="V16" i="8"/>
  <c r="V17" i="8"/>
  <c r="V18" i="8"/>
  <c r="V19" i="8"/>
  <c r="V20" i="8"/>
  <c r="V21" i="8"/>
  <c r="V22" i="8"/>
  <c r="V23" i="8"/>
  <c r="V24" i="8"/>
  <c r="V25" i="8"/>
  <c r="V26" i="8"/>
  <c r="V27" i="8"/>
  <c r="V28"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30" i="8"/>
  <c r="V9" i="8"/>
  <c r="C26" i="11"/>
  <c r="I10" i="8"/>
  <c r="C27" i="11"/>
  <c r="I11" i="8"/>
  <c r="C28" i="11"/>
  <c r="I12" i="8"/>
  <c r="C30" i="11"/>
  <c r="G14" i="8"/>
  <c r="I14" i="8"/>
  <c r="C31" i="11"/>
  <c r="I15" i="8"/>
  <c r="C33" i="11"/>
  <c r="I17" i="8"/>
  <c r="C34" i="11"/>
  <c r="I18" i="8"/>
  <c r="C35" i="11"/>
  <c r="I19" i="8"/>
  <c r="C36" i="11"/>
  <c r="C37" i="11"/>
  <c r="G21" i="8"/>
  <c r="I21" i="8"/>
  <c r="C38" i="11"/>
  <c r="G22" i="8"/>
  <c r="I22" i="8"/>
  <c r="C39" i="11"/>
  <c r="C40" i="11"/>
  <c r="I24" i="8"/>
  <c r="C41" i="11"/>
  <c r="I25" i="8"/>
  <c r="C42" i="11"/>
  <c r="C43" i="11"/>
  <c r="I27" i="8"/>
  <c r="I28" i="8"/>
  <c r="I9" i="8"/>
  <c r="C25" i="11"/>
  <c r="I31" i="8"/>
  <c r="I35" i="8"/>
  <c r="I39" i="8"/>
  <c r="I43" i="8"/>
  <c r="I47" i="8"/>
  <c r="I51" i="8"/>
  <c r="I55" i="8"/>
  <c r="I59" i="8"/>
  <c r="I63" i="8"/>
  <c r="I64" i="8"/>
  <c r="I67" i="8"/>
  <c r="I71" i="8"/>
  <c r="I72" i="8"/>
  <c r="I75" i="8"/>
  <c r="I79" i="8"/>
  <c r="I80" i="8"/>
  <c r="I83" i="8"/>
  <c r="I87" i="8"/>
  <c r="I91" i="8"/>
  <c r="I95" i="8"/>
  <c r="I96" i="8"/>
  <c r="I99" i="8"/>
  <c r="I103" i="8"/>
  <c r="I104" i="8"/>
  <c r="I107" i="8"/>
  <c r="I111" i="8"/>
  <c r="I115" i="8"/>
  <c r="I119" i="8"/>
  <c r="I123" i="8"/>
  <c r="I127" i="8"/>
  <c r="I131" i="8"/>
  <c r="I135" i="8"/>
  <c r="I136" i="8"/>
  <c r="I139" i="8"/>
  <c r="I143" i="8"/>
  <c r="I144" i="8"/>
  <c r="I147" i="8"/>
  <c r="I151" i="8"/>
  <c r="I155" i="8"/>
  <c r="I159" i="8"/>
  <c r="I160" i="8"/>
  <c r="I163" i="8"/>
  <c r="I167" i="8"/>
  <c r="I168" i="8"/>
  <c r="I171" i="8"/>
  <c r="I175" i="8"/>
  <c r="I179" i="8"/>
  <c r="I183" i="8"/>
  <c r="I23" i="9"/>
  <c r="I32" i="9"/>
  <c r="I33" i="9"/>
  <c r="I40" i="9"/>
  <c r="I41" i="9"/>
  <c r="I48" i="9"/>
  <c r="I52" i="9"/>
  <c r="I53" i="9"/>
  <c r="I58" i="9"/>
  <c r="I60" i="9"/>
  <c r="I61" i="9"/>
  <c r="I62" i="9"/>
  <c r="I64" i="9"/>
  <c r="I65" i="9"/>
  <c r="I70" i="9"/>
  <c r="I71" i="9"/>
  <c r="I72" i="9"/>
  <c r="I73" i="9"/>
  <c r="I77" i="9"/>
  <c r="I78" i="9"/>
  <c r="I80" i="9"/>
  <c r="I81" i="9"/>
  <c r="I82" i="9"/>
  <c r="I84" i="9"/>
  <c r="I88" i="9"/>
  <c r="I90" i="9"/>
  <c r="I93" i="9"/>
  <c r="I94" i="9"/>
  <c r="I95" i="9"/>
  <c r="I98" i="9"/>
  <c r="I101" i="9"/>
  <c r="I103" i="9"/>
  <c r="I109" i="9"/>
  <c r="I114" i="9"/>
  <c r="I118" i="9"/>
  <c r="I125" i="9"/>
  <c r="I126" i="9"/>
  <c r="I130" i="9"/>
  <c r="I133" i="9"/>
  <c r="I135" i="9"/>
  <c r="I138" i="9"/>
  <c r="I141" i="9"/>
  <c r="I142" i="9"/>
  <c r="I18" i="9"/>
  <c r="I15" i="2"/>
  <c r="B4" i="24"/>
  <c r="B223" i="24"/>
  <c r="B222" i="24"/>
  <c r="B221" i="24"/>
  <c r="B220" i="24"/>
  <c r="B219" i="24"/>
  <c r="B218" i="24"/>
  <c r="B217" i="24"/>
  <c r="B216" i="24"/>
  <c r="B215" i="24"/>
  <c r="B214" i="24"/>
  <c r="B213" i="24"/>
  <c r="B212" i="24"/>
  <c r="B211" i="24"/>
  <c r="B210" i="24"/>
  <c r="B209" i="24"/>
  <c r="B208" i="24"/>
  <c r="B207" i="24"/>
  <c r="B206" i="24"/>
  <c r="B205" i="24"/>
  <c r="B204" i="24"/>
  <c r="B203" i="24"/>
  <c r="B202" i="24"/>
  <c r="B201" i="24"/>
  <c r="B200" i="24"/>
  <c r="B199" i="24"/>
  <c r="B198" i="24"/>
  <c r="B196" i="24"/>
  <c r="B195" i="24"/>
  <c r="B194" i="24"/>
  <c r="B193" i="24"/>
  <c r="B192" i="24"/>
  <c r="B191" i="24"/>
  <c r="B190" i="24"/>
  <c r="B189" i="24"/>
  <c r="B188" i="24"/>
  <c r="B187" i="24"/>
  <c r="B186" i="24"/>
  <c r="B185" i="24"/>
  <c r="B184" i="24"/>
  <c r="B183" i="24"/>
  <c r="B182" i="24"/>
  <c r="B181" i="24"/>
  <c r="B180" i="24"/>
  <c r="B179" i="24"/>
  <c r="B178" i="24"/>
  <c r="B177" i="24"/>
  <c r="B176" i="24"/>
  <c r="B175" i="24"/>
  <c r="B174" i="24"/>
  <c r="B173" i="24"/>
  <c r="B172" i="24"/>
  <c r="B171" i="24"/>
  <c r="B170" i="24"/>
  <c r="B169" i="24"/>
  <c r="B168" i="24"/>
  <c r="B167" i="24"/>
  <c r="B166" i="24"/>
  <c r="B165" i="24"/>
  <c r="B164" i="24"/>
  <c r="B163" i="24"/>
  <c r="B162" i="24"/>
  <c r="B161" i="24"/>
  <c r="B160" i="24"/>
  <c r="B159" i="24"/>
  <c r="B158" i="24"/>
  <c r="B157" i="24"/>
  <c r="B156" i="24"/>
  <c r="B155" i="24"/>
  <c r="B154" i="24"/>
  <c r="B153" i="24"/>
  <c r="B152" i="24"/>
  <c r="B151" i="24"/>
  <c r="B150" i="24"/>
  <c r="B149" i="24"/>
  <c r="B148" i="24"/>
  <c r="B147" i="24"/>
  <c r="B146" i="24"/>
  <c r="B145" i="24"/>
  <c r="B144" i="24"/>
  <c r="B143" i="24"/>
  <c r="B142" i="24"/>
  <c r="B141" i="24"/>
  <c r="B140" i="24"/>
  <c r="B139" i="24"/>
  <c r="B138" i="24"/>
  <c r="B137" i="24"/>
  <c r="B136" i="24"/>
  <c r="B135" i="24"/>
  <c r="B134" i="24"/>
  <c r="B133" i="24"/>
  <c r="B132" i="24"/>
  <c r="B131" i="24"/>
  <c r="B130" i="24"/>
  <c r="B128" i="24"/>
  <c r="B127" i="24"/>
  <c r="B126" i="24"/>
  <c r="B125" i="24"/>
  <c r="B124" i="24"/>
  <c r="B123" i="24"/>
  <c r="B122" i="24"/>
  <c r="B121" i="24"/>
  <c r="B120" i="24"/>
  <c r="B119" i="24"/>
  <c r="B118" i="24"/>
  <c r="B117" i="24"/>
  <c r="B116" i="24"/>
  <c r="B115" i="24"/>
  <c r="B114" i="24"/>
  <c r="B113" i="24"/>
  <c r="B112" i="24"/>
  <c r="B111" i="24"/>
  <c r="B110" i="24"/>
  <c r="B109" i="24"/>
  <c r="B108" i="24"/>
  <c r="B107" i="24"/>
  <c r="B106" i="24"/>
  <c r="B105" i="24"/>
  <c r="B104" i="24"/>
  <c r="B103" i="24"/>
  <c r="B102" i="24"/>
  <c r="B101" i="24"/>
  <c r="B100" i="24"/>
  <c r="B99" i="24"/>
  <c r="B98" i="24"/>
  <c r="B97" i="24"/>
  <c r="B96" i="24"/>
  <c r="B95" i="24"/>
  <c r="B94" i="24"/>
  <c r="B93" i="24"/>
  <c r="B92" i="24"/>
  <c r="B91" i="24"/>
  <c r="B90" i="24"/>
  <c r="B89" i="24"/>
  <c r="B88" i="24"/>
  <c r="B87" i="24"/>
  <c r="B86" i="24"/>
  <c r="B85" i="24"/>
  <c r="B84" i="24"/>
  <c r="B83" i="24"/>
  <c r="B82" i="24"/>
  <c r="B81" i="24"/>
  <c r="B80" i="24"/>
  <c r="B79" i="24"/>
  <c r="B78" i="24"/>
  <c r="B77" i="24"/>
  <c r="B76" i="24"/>
  <c r="B75" i="24"/>
  <c r="B74" i="24"/>
  <c r="B73" i="24"/>
  <c r="B72" i="24"/>
  <c r="B71" i="24"/>
  <c r="B70" i="24"/>
  <c r="B69" i="24"/>
  <c r="B68" i="24"/>
  <c r="B67" i="24"/>
  <c r="B66" i="24"/>
  <c r="B65" i="24"/>
  <c r="B64" i="24"/>
  <c r="B63" i="24"/>
  <c r="B62" i="24"/>
  <c r="B61" i="24"/>
  <c r="B60" i="24"/>
  <c r="B59" i="24"/>
  <c r="B58" i="24"/>
  <c r="B57" i="24"/>
  <c r="B55" i="24"/>
  <c r="H14" i="2" s="1"/>
  <c r="B53" i="24"/>
  <c r="B52" i="24"/>
  <c r="B51" i="24"/>
  <c r="B50" i="24"/>
  <c r="B49" i="24"/>
  <c r="B48" i="24"/>
  <c r="B47" i="24"/>
  <c r="B46" i="24"/>
  <c r="B45" i="24"/>
  <c r="B44" i="24"/>
  <c r="B43"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9" i="24"/>
  <c r="B8" i="24"/>
  <c r="B7" i="24"/>
  <c r="B6" i="24"/>
  <c r="B5" i="24"/>
  <c r="E76" i="23"/>
  <c r="E75" i="23"/>
  <c r="E76" i="22"/>
  <c r="E75" i="22"/>
  <c r="E76" i="21"/>
  <c r="E75" i="21"/>
  <c r="E76" i="20"/>
  <c r="E75" i="20"/>
  <c r="E76" i="19"/>
  <c r="E75" i="19"/>
  <c r="E76" i="18"/>
  <c r="E75" i="18"/>
  <c r="E76" i="17"/>
  <c r="E75" i="17"/>
  <c r="E76" i="16"/>
  <c r="E75" i="16"/>
  <c r="B79" i="5"/>
  <c r="B67" i="5"/>
  <c r="E86" i="23"/>
  <c r="E86" i="22"/>
  <c r="E86" i="21"/>
  <c r="E86" i="20"/>
  <c r="E86" i="19"/>
  <c r="E86" i="18"/>
  <c r="E86" i="17"/>
  <c r="E86" i="16"/>
  <c r="B200" i="5"/>
  <c r="B39" i="4" s="1"/>
  <c r="B29" i="29" s="1"/>
  <c r="B121" i="5"/>
  <c r="B122" i="5"/>
  <c r="B123" i="5"/>
  <c r="B124" i="5"/>
  <c r="B125" i="5"/>
  <c r="C120" i="5"/>
  <c r="B120" i="5"/>
  <c r="B156" i="5"/>
  <c r="B145" i="5"/>
  <c r="B146" i="5"/>
  <c r="B147" i="5"/>
  <c r="B148" i="5"/>
  <c r="B149" i="5"/>
  <c r="B144" i="5"/>
  <c r="I115" i="5"/>
  <c r="G31" i="4" s="1"/>
  <c r="H31" i="4" s="1"/>
  <c r="J13" i="29" s="1"/>
  <c r="L13" i="29" s="1"/>
  <c r="B106" i="5"/>
  <c r="B44" i="5"/>
  <c r="G25" i="5"/>
  <c r="G24" i="4" s="1"/>
  <c r="H24" i="4" s="1"/>
  <c r="L84" i="23"/>
  <c r="M84" i="23" s="1"/>
  <c r="L86" i="23"/>
  <c r="M86" i="23" s="1"/>
  <c r="L83" i="23"/>
  <c r="M83" i="23" s="1"/>
  <c r="L81" i="23"/>
  <c r="M81" i="23" s="1"/>
  <c r="L80" i="23"/>
  <c r="M80" i="23" s="1"/>
  <c r="L79" i="23"/>
  <c r="M79" i="23" s="1"/>
  <c r="L81" i="22"/>
  <c r="M81" i="22" s="1"/>
  <c r="L80" i="22"/>
  <c r="M80" i="22" s="1"/>
  <c r="L79" i="22"/>
  <c r="M79" i="22" s="1"/>
  <c r="L83" i="21"/>
  <c r="M83" i="21" s="1"/>
  <c r="L81" i="21"/>
  <c r="M81" i="21" s="1"/>
  <c r="L79" i="21"/>
  <c r="M79" i="21" s="1"/>
  <c r="L78" i="21"/>
  <c r="M78" i="21" s="1"/>
  <c r="L76" i="21"/>
  <c r="M76" i="21" s="1"/>
  <c r="L83" i="20"/>
  <c r="M83" i="20" s="1"/>
  <c r="L81" i="20"/>
  <c r="M81" i="20" s="1"/>
  <c r="L80" i="20"/>
  <c r="M80" i="20" s="1"/>
  <c r="L79" i="20"/>
  <c r="L76" i="20"/>
  <c r="L81" i="19"/>
  <c r="M81" i="19" s="1"/>
  <c r="L79" i="19"/>
  <c r="M79" i="19" s="1"/>
  <c r="L77" i="19"/>
  <c r="M77" i="19" s="1"/>
  <c r="L73" i="19"/>
  <c r="M73" i="19" s="1"/>
  <c r="L83" i="18"/>
  <c r="M83" i="18" s="1"/>
  <c r="L81" i="18"/>
  <c r="M81" i="18" s="1"/>
  <c r="L79" i="18"/>
  <c r="M79" i="18" s="1"/>
  <c r="L78" i="18"/>
  <c r="M78" i="18" s="1"/>
  <c r="L77" i="18"/>
  <c r="M77" i="18" s="1"/>
  <c r="L85" i="17"/>
  <c r="M85" i="17" s="1"/>
  <c r="L83" i="17"/>
  <c r="M83" i="17" s="1"/>
  <c r="L81" i="17"/>
  <c r="M81" i="17" s="1"/>
  <c r="L80" i="17"/>
  <c r="M80" i="17" s="1"/>
  <c r="L79" i="17"/>
  <c r="M79" i="17" s="1"/>
  <c r="L73" i="17"/>
  <c r="L83" i="16"/>
  <c r="M83" i="16" s="1"/>
  <c r="L81" i="16"/>
  <c r="M79" i="16"/>
  <c r="L78" i="16"/>
  <c r="M78" i="16" s="1"/>
  <c r="L76" i="16"/>
  <c r="M76" i="16" s="1"/>
  <c r="N163" i="5"/>
  <c r="O163" i="5"/>
  <c r="L82" i="18" s="1"/>
  <c r="M82" i="18" s="1"/>
  <c r="P163" i="5"/>
  <c r="L82" i="19" s="1"/>
  <c r="M82" i="19" s="1"/>
  <c r="Q163" i="5"/>
  <c r="L82" i="20" s="1"/>
  <c r="M82" i="20" s="1"/>
  <c r="R163" i="5"/>
  <c r="L82" i="21" s="1"/>
  <c r="M82" i="21" s="1"/>
  <c r="S163" i="5"/>
  <c r="L82" i="22" s="1"/>
  <c r="M82" i="22" s="1"/>
  <c r="T163" i="5"/>
  <c r="L82" i="23" s="1"/>
  <c r="M82" i="23" s="1"/>
  <c r="M163" i="5"/>
  <c r="L82" i="16" s="1"/>
  <c r="M82" i="16" s="1"/>
  <c r="L84" i="17"/>
  <c r="M84" i="17" s="1"/>
  <c r="L84" i="18"/>
  <c r="L84" i="19"/>
  <c r="L84" i="20"/>
  <c r="M84" i="20" s="1"/>
  <c r="L84" i="21"/>
  <c r="M84" i="21" s="1"/>
  <c r="L84" i="22"/>
  <c r="M84" i="22" s="1"/>
  <c r="L84" i="16"/>
  <c r="M84" i="16" s="1"/>
  <c r="L85" i="18"/>
  <c r="M85" i="18" s="1"/>
  <c r="L85" i="19"/>
  <c r="M85" i="19" s="1"/>
  <c r="L85" i="20"/>
  <c r="M85" i="20" s="1"/>
  <c r="L85" i="21"/>
  <c r="M85" i="21" s="1"/>
  <c r="L85" i="22"/>
  <c r="L85" i="23"/>
  <c r="M85" i="23" s="1"/>
  <c r="L85" i="16"/>
  <c r="M85" i="16" s="1"/>
  <c r="L86" i="17"/>
  <c r="M86" i="17" s="1"/>
  <c r="L86" i="18"/>
  <c r="M86" i="18" s="1"/>
  <c r="L86" i="19"/>
  <c r="M86" i="19" s="1"/>
  <c r="L86" i="20"/>
  <c r="M86" i="20" s="1"/>
  <c r="L86" i="21"/>
  <c r="M86" i="21" s="1"/>
  <c r="L86" i="22"/>
  <c r="M86" i="22" s="1"/>
  <c r="L83" i="22"/>
  <c r="M83" i="22" s="1"/>
  <c r="L83" i="19"/>
  <c r="M83" i="19" s="1"/>
  <c r="T30" i="5"/>
  <c r="L80" i="21"/>
  <c r="L80" i="19"/>
  <c r="M80" i="19" s="1"/>
  <c r="L80" i="18"/>
  <c r="M80" i="18" s="1"/>
  <c r="L80" i="16"/>
  <c r="M80" i="16" s="1"/>
  <c r="L78" i="17"/>
  <c r="M78" i="17" s="1"/>
  <c r="L78" i="19"/>
  <c r="M78" i="19" s="1"/>
  <c r="L78" i="20"/>
  <c r="M78" i="20" s="1"/>
  <c r="L78" i="22"/>
  <c r="M78" i="22" s="1"/>
  <c r="L78" i="23"/>
  <c r="M78" i="23" s="1"/>
  <c r="L77" i="17"/>
  <c r="M77" i="17" s="1"/>
  <c r="L77" i="20"/>
  <c r="M77" i="20" s="1"/>
  <c r="L77" i="21"/>
  <c r="M77" i="21" s="1"/>
  <c r="L77" i="22"/>
  <c r="M77" i="22" s="1"/>
  <c r="L77" i="23"/>
  <c r="M77" i="23" s="1"/>
  <c r="L77" i="16"/>
  <c r="M77" i="16" s="1"/>
  <c r="L76" i="23"/>
  <c r="M76" i="23" s="1"/>
  <c r="L76" i="22"/>
  <c r="M76" i="22" s="1"/>
  <c r="L76" i="19"/>
  <c r="L76" i="18"/>
  <c r="L76" i="17"/>
  <c r="L75" i="17"/>
  <c r="M75" i="17" s="1"/>
  <c r="L75" i="18"/>
  <c r="M75" i="18" s="1"/>
  <c r="L75" i="19"/>
  <c r="M75" i="19" s="1"/>
  <c r="L75" i="20"/>
  <c r="M75" i="20" s="1"/>
  <c r="L75" i="21"/>
  <c r="M75" i="21" s="1"/>
  <c r="L75" i="22"/>
  <c r="M75" i="22" s="1"/>
  <c r="L75" i="23"/>
  <c r="M75" i="23" s="1"/>
  <c r="L75" i="16"/>
  <c r="F77" i="5"/>
  <c r="F69" i="5"/>
  <c r="O69" i="5" s="1"/>
  <c r="F70" i="5"/>
  <c r="O70" i="5" s="1"/>
  <c r="F71" i="5"/>
  <c r="F72" i="5"/>
  <c r="O72" i="5" s="1"/>
  <c r="F73" i="5"/>
  <c r="O73" i="5" s="1"/>
  <c r="F74" i="5"/>
  <c r="O74" i="5" s="1"/>
  <c r="F75" i="5"/>
  <c r="O75" i="5" s="1"/>
  <c r="L74" i="17"/>
  <c r="M74" i="17" s="1"/>
  <c r="L74" i="18"/>
  <c r="M74" i="18" s="1"/>
  <c r="L74" i="20"/>
  <c r="M74" i="20" s="1"/>
  <c r="L74" i="21"/>
  <c r="M74" i="21" s="1"/>
  <c r="L74" i="22"/>
  <c r="M74" i="22" s="1"/>
  <c r="L74" i="16"/>
  <c r="M74" i="16" s="1"/>
  <c r="L73" i="18"/>
  <c r="M73" i="18" s="1"/>
  <c r="L73" i="20"/>
  <c r="M73" i="20" s="1"/>
  <c r="L73" i="21"/>
  <c r="M73" i="21" s="1"/>
  <c r="L73" i="22"/>
  <c r="M73" i="22" s="1"/>
  <c r="L73" i="23"/>
  <c r="M73" i="23" s="1"/>
  <c r="L73" i="16"/>
  <c r="M73" i="16" s="1"/>
  <c r="L74" i="23"/>
  <c r="M74" i="23" s="1"/>
  <c r="L74" i="19"/>
  <c r="M74" i="19" s="1"/>
  <c r="K20" i="7"/>
  <c r="K19" i="6"/>
  <c r="T38" i="5"/>
  <c r="G25" i="4" s="1"/>
  <c r="H29" i="5"/>
  <c r="J29" i="5" s="1"/>
  <c r="J37" i="5" s="1"/>
  <c r="Z88" i="9"/>
  <c r="G88" i="9" s="1"/>
  <c r="Y88" i="9"/>
  <c r="V88" i="9"/>
  <c r="S88" i="9"/>
  <c r="P88" i="9"/>
  <c r="Z87" i="9"/>
  <c r="G87" i="9" s="1"/>
  <c r="Y87" i="9"/>
  <c r="V87" i="9"/>
  <c r="S87" i="9"/>
  <c r="P87" i="9"/>
  <c r="I87" i="9"/>
  <c r="Z86" i="9"/>
  <c r="G86" i="9" s="1"/>
  <c r="Y86" i="9"/>
  <c r="V86" i="9"/>
  <c r="S86" i="9"/>
  <c r="P86" i="9"/>
  <c r="I86" i="9"/>
  <c r="Z85" i="9"/>
  <c r="G85" i="9" s="1"/>
  <c r="Y85" i="9"/>
  <c r="V85" i="9"/>
  <c r="S85" i="9"/>
  <c r="P85" i="9"/>
  <c r="I85" i="9"/>
  <c r="Z84" i="9"/>
  <c r="G84" i="9" s="1"/>
  <c r="Y84" i="9"/>
  <c r="V84" i="9"/>
  <c r="S84" i="9"/>
  <c r="P84" i="9"/>
  <c r="Z83" i="9"/>
  <c r="G83" i="9" s="1"/>
  <c r="Y83" i="9"/>
  <c r="V83" i="9"/>
  <c r="S83" i="9"/>
  <c r="P83" i="9"/>
  <c r="I83" i="9"/>
  <c r="Z82" i="9"/>
  <c r="G82" i="9" s="1"/>
  <c r="Y82" i="9"/>
  <c r="V82" i="9"/>
  <c r="S82" i="9"/>
  <c r="P82" i="9"/>
  <c r="Z81" i="9"/>
  <c r="G81" i="9" s="1"/>
  <c r="Y81" i="9"/>
  <c r="V81" i="9"/>
  <c r="S81" i="9"/>
  <c r="P81" i="9"/>
  <c r="Z80" i="9"/>
  <c r="G80" i="9" s="1"/>
  <c r="Y80" i="9"/>
  <c r="V80" i="9"/>
  <c r="S80" i="9"/>
  <c r="P80" i="9"/>
  <c r="Z79" i="9"/>
  <c r="G79" i="9" s="1"/>
  <c r="Y79" i="9"/>
  <c r="V79" i="9"/>
  <c r="S79" i="9"/>
  <c r="P79" i="9"/>
  <c r="I79" i="9"/>
  <c r="Z78" i="9"/>
  <c r="G78" i="9" s="1"/>
  <c r="Y78" i="9"/>
  <c r="V78" i="9"/>
  <c r="S78" i="9"/>
  <c r="P78" i="9"/>
  <c r="Z77" i="9"/>
  <c r="G77" i="9" s="1"/>
  <c r="Y77" i="9"/>
  <c r="V77" i="9"/>
  <c r="S77" i="9"/>
  <c r="P77" i="9"/>
  <c r="Z76" i="9"/>
  <c r="G76" i="9" s="1"/>
  <c r="Y76" i="9"/>
  <c r="V76" i="9"/>
  <c r="S76" i="9"/>
  <c r="P76" i="9"/>
  <c r="I76" i="9"/>
  <c r="Z75" i="9"/>
  <c r="G75" i="9" s="1"/>
  <c r="Y75" i="9"/>
  <c r="V75" i="9"/>
  <c r="S75" i="9"/>
  <c r="P75" i="9"/>
  <c r="I75" i="9"/>
  <c r="Z74" i="9"/>
  <c r="G74" i="9" s="1"/>
  <c r="Y74" i="9"/>
  <c r="V74" i="9"/>
  <c r="S74" i="9"/>
  <c r="P74" i="9"/>
  <c r="I74" i="9"/>
  <c r="Z73" i="9"/>
  <c r="G73" i="9" s="1"/>
  <c r="Y73" i="9"/>
  <c r="V73" i="9"/>
  <c r="S73" i="9"/>
  <c r="P73" i="9"/>
  <c r="Z72" i="9"/>
  <c r="G72" i="9" s="1"/>
  <c r="Y72" i="9"/>
  <c r="V72" i="9"/>
  <c r="S72" i="9"/>
  <c r="P72" i="9"/>
  <c r="Z71" i="9"/>
  <c r="G71" i="9" s="1"/>
  <c r="Y71" i="9"/>
  <c r="V71" i="9"/>
  <c r="S71" i="9"/>
  <c r="P71" i="9"/>
  <c r="Z70" i="9"/>
  <c r="G70" i="9" s="1"/>
  <c r="Y70" i="9"/>
  <c r="V70" i="9"/>
  <c r="S70" i="9"/>
  <c r="P70" i="9"/>
  <c r="Z69" i="9"/>
  <c r="G69" i="9" s="1"/>
  <c r="Y69" i="9"/>
  <c r="V69" i="9"/>
  <c r="S69" i="9"/>
  <c r="P69" i="9"/>
  <c r="I69" i="9"/>
  <c r="Z68" i="9"/>
  <c r="G68" i="9" s="1"/>
  <c r="Y68" i="9"/>
  <c r="V68" i="9"/>
  <c r="S68" i="9"/>
  <c r="P68" i="9"/>
  <c r="I68" i="9"/>
  <c r="Z67" i="9"/>
  <c r="G67" i="9" s="1"/>
  <c r="Y67" i="9"/>
  <c r="V67" i="9"/>
  <c r="S67" i="9"/>
  <c r="P67" i="9"/>
  <c r="I67" i="9"/>
  <c r="Y66" i="9"/>
  <c r="V66" i="9"/>
  <c r="S66" i="9"/>
  <c r="Z66" i="9" s="1"/>
  <c r="G66" i="9" s="1"/>
  <c r="P66" i="9"/>
  <c r="I66" i="9"/>
  <c r="Z65" i="9"/>
  <c r="G65" i="9" s="1"/>
  <c r="Y65" i="9"/>
  <c r="V65" i="9"/>
  <c r="S65" i="9"/>
  <c r="P65" i="9"/>
  <c r="Z64" i="9"/>
  <c r="G64" i="9" s="1"/>
  <c r="Y64" i="9"/>
  <c r="V64" i="9"/>
  <c r="S64" i="9"/>
  <c r="P64" i="9"/>
  <c r="Z63" i="9"/>
  <c r="G63" i="9" s="1"/>
  <c r="Y63" i="9"/>
  <c r="V63" i="9"/>
  <c r="S63" i="9"/>
  <c r="P63" i="9"/>
  <c r="I63" i="9"/>
  <c r="Z62" i="9"/>
  <c r="G62" i="9" s="1"/>
  <c r="Y62" i="9"/>
  <c r="V62" i="9"/>
  <c r="S62" i="9"/>
  <c r="P62" i="9"/>
  <c r="Z61" i="9"/>
  <c r="G61" i="9" s="1"/>
  <c r="Y61" i="9"/>
  <c r="V61" i="9"/>
  <c r="S61" i="9"/>
  <c r="P61" i="9"/>
  <c r="Z60" i="9"/>
  <c r="G60" i="9" s="1"/>
  <c r="Y60" i="9"/>
  <c r="V60" i="9"/>
  <c r="S60" i="9"/>
  <c r="P60" i="9"/>
  <c r="Z59" i="9"/>
  <c r="G59" i="9" s="1"/>
  <c r="Y59" i="9"/>
  <c r="V59" i="9"/>
  <c r="S59" i="9"/>
  <c r="P59" i="9"/>
  <c r="I59" i="9"/>
  <c r="Z58" i="9"/>
  <c r="G58" i="9" s="1"/>
  <c r="Y58" i="9"/>
  <c r="V58" i="9"/>
  <c r="S58" i="9"/>
  <c r="P58" i="9"/>
  <c r="Z99" i="9"/>
  <c r="G99" i="9" s="1"/>
  <c r="Y99" i="9"/>
  <c r="V99" i="9"/>
  <c r="S99" i="9"/>
  <c r="P99" i="9"/>
  <c r="I99" i="9"/>
  <c r="Z98" i="9"/>
  <c r="G98" i="9" s="1"/>
  <c r="Y98" i="9"/>
  <c r="V98" i="9"/>
  <c r="S98" i="9"/>
  <c r="P98" i="9"/>
  <c r="K15" i="7"/>
  <c r="K14" i="7"/>
  <c r="K14" i="6"/>
  <c r="K13" i="6"/>
  <c r="L61" i="16"/>
  <c r="M61" i="16" s="1"/>
  <c r="K22" i="6"/>
  <c r="L22" i="6" s="1"/>
  <c r="U38" i="5"/>
  <c r="B45" i="5"/>
  <c r="B46" i="5"/>
  <c r="B47" i="5"/>
  <c r="B48" i="5"/>
  <c r="B49" i="5"/>
  <c r="E174" i="5"/>
  <c r="E185" i="5"/>
  <c r="F168" i="5"/>
  <c r="O168" i="5" s="1"/>
  <c r="F169" i="5"/>
  <c r="O169" i="5" s="1"/>
  <c r="F170" i="5"/>
  <c r="O170" i="5" s="1"/>
  <c r="F171" i="5"/>
  <c r="O171" i="5" s="1"/>
  <c r="F172" i="5"/>
  <c r="O172" i="5" s="1"/>
  <c r="F173" i="5"/>
  <c r="O173" i="5" s="1"/>
  <c r="F167" i="5"/>
  <c r="O167" i="5" s="1"/>
  <c r="Q32" i="10"/>
  <c r="Q33" i="10" s="1"/>
  <c r="T32" i="10"/>
  <c r="T33" i="10" s="1"/>
  <c r="S32" i="10"/>
  <c r="S33" i="10" s="1"/>
  <c r="R32" i="10"/>
  <c r="R33" i="10" s="1"/>
  <c r="T8" i="10"/>
  <c r="T9" i="10" s="1"/>
  <c r="T10" i="10" s="1"/>
  <c r="S8" i="10"/>
  <c r="S9" i="10" s="1"/>
  <c r="S10" i="10" s="1"/>
  <c r="R8" i="10"/>
  <c r="R9" i="10" s="1"/>
  <c r="R10" i="10" s="1"/>
  <c r="R11" i="10" s="1"/>
  <c r="R12" i="10" s="1"/>
  <c r="R13" i="10" s="1"/>
  <c r="R14" i="10" s="1"/>
  <c r="R15" i="10" s="1"/>
  <c r="R16" i="10" s="1"/>
  <c r="R17" i="10" s="1"/>
  <c r="R18" i="10" s="1"/>
  <c r="I13" i="2"/>
  <c r="I14" i="2" s="1"/>
  <c r="Q8" i="10"/>
  <c r="Q9" i="10" s="1"/>
  <c r="Q10" i="10" s="1"/>
  <c r="Q11" i="10" s="1"/>
  <c r="Q12" i="10" s="1"/>
  <c r="Q13" i="10" s="1"/>
  <c r="Q14" i="10" s="1"/>
  <c r="D4" i="23"/>
  <c r="H4" i="23"/>
  <c r="D4" i="22"/>
  <c r="H4" i="22"/>
  <c r="D4" i="21"/>
  <c r="H4" i="21"/>
  <c r="D4" i="20"/>
  <c r="H4" i="20"/>
  <c r="D5" i="19"/>
  <c r="H5" i="19"/>
  <c r="D5" i="18"/>
  <c r="H5" i="18"/>
  <c r="D5" i="17"/>
  <c r="H5" i="17"/>
  <c r="D5" i="16"/>
  <c r="H5" i="16"/>
  <c r="G45" i="13"/>
  <c r="F35" i="7" s="1"/>
  <c r="F40" i="7"/>
  <c r="F42" i="6"/>
  <c r="D95" i="5"/>
  <c r="D96" i="5"/>
  <c r="D97" i="5"/>
  <c r="D98" i="5"/>
  <c r="D99" i="5"/>
  <c r="D94" i="5"/>
  <c r="C94" i="5"/>
  <c r="E34" i="4"/>
  <c r="B81" i="17" s="1"/>
  <c r="B34" i="4"/>
  <c r="C145" i="5"/>
  <c r="D145" i="5"/>
  <c r="C146" i="5"/>
  <c r="D146" i="5"/>
  <c r="C147" i="5"/>
  <c r="D147" i="5"/>
  <c r="C148" i="5"/>
  <c r="D148" i="5"/>
  <c r="C149" i="5"/>
  <c r="D149" i="5"/>
  <c r="D144" i="5"/>
  <c r="C144" i="5"/>
  <c r="F151" i="5"/>
  <c r="O151" i="5" s="1"/>
  <c r="F149" i="5"/>
  <c r="O149" i="5"/>
  <c r="F148" i="5"/>
  <c r="O148" i="5" s="1"/>
  <c r="F147" i="5"/>
  <c r="O147" i="5" s="1"/>
  <c r="F146" i="5"/>
  <c r="O146" i="5" s="1"/>
  <c r="F145" i="5"/>
  <c r="O145" i="5" s="1"/>
  <c r="F144" i="5"/>
  <c r="O144" i="5" s="1"/>
  <c r="F143" i="5"/>
  <c r="O143" i="5" s="1"/>
  <c r="T11" i="10"/>
  <c r="T12" i="10" s="1"/>
  <c r="T13" i="10" s="1"/>
  <c r="T14" i="10" s="1"/>
  <c r="T15" i="10" s="1"/>
  <c r="T16" i="10" s="1"/>
  <c r="T17" i="10" s="1"/>
  <c r="T18" i="10" s="1"/>
  <c r="A71" i="3"/>
  <c r="H12" i="5"/>
  <c r="G23" i="4" s="1"/>
  <c r="H23" i="4" s="1"/>
  <c r="O17" i="29" s="1"/>
  <c r="F51" i="5"/>
  <c r="F210" i="5"/>
  <c r="G39" i="4" s="1"/>
  <c r="H39" i="4" s="1"/>
  <c r="D29" i="29" s="1"/>
  <c r="J198" i="5"/>
  <c r="F186" i="5"/>
  <c r="G37" i="4" s="1"/>
  <c r="H37" i="4" s="1"/>
  <c r="J14" i="29" s="1"/>
  <c r="L14" i="29" s="1"/>
  <c r="F175" i="5"/>
  <c r="O175" i="5" s="1"/>
  <c r="F163" i="5"/>
  <c r="G35" i="4" s="1"/>
  <c r="H35" i="4" s="1"/>
  <c r="J12" i="29" s="1"/>
  <c r="L12" i="29" s="1"/>
  <c r="F139" i="5"/>
  <c r="O139" i="5" s="1"/>
  <c r="H127" i="5"/>
  <c r="F101" i="5"/>
  <c r="K65" i="5"/>
  <c r="T65" i="5" s="1"/>
  <c r="H89" i="5"/>
  <c r="Q89" i="5" s="1"/>
  <c r="O186" i="5"/>
  <c r="G36" i="4"/>
  <c r="Q127" i="5"/>
  <c r="G32" i="4"/>
  <c r="H32" i="4" s="1"/>
  <c r="M87" i="23"/>
  <c r="M72" i="23"/>
  <c r="M71" i="23"/>
  <c r="M70" i="23"/>
  <c r="M43" i="23"/>
  <c r="J43" i="23"/>
  <c r="H43" i="23"/>
  <c r="M42" i="23"/>
  <c r="J42" i="23"/>
  <c r="H42" i="23"/>
  <c r="M41" i="23"/>
  <c r="J41" i="23"/>
  <c r="H41" i="23"/>
  <c r="M40" i="23"/>
  <c r="J40" i="23"/>
  <c r="H40" i="23"/>
  <c r="M39" i="23"/>
  <c r="J39" i="23"/>
  <c r="H39" i="23"/>
  <c r="M38" i="23"/>
  <c r="J38" i="23"/>
  <c r="H38" i="23"/>
  <c r="M37" i="23"/>
  <c r="J37" i="23"/>
  <c r="H37" i="23"/>
  <c r="M36" i="23"/>
  <c r="J36" i="23"/>
  <c r="H36" i="23"/>
  <c r="M35" i="23"/>
  <c r="J35" i="23"/>
  <c r="H35" i="23"/>
  <c r="M34" i="23"/>
  <c r="J34" i="23"/>
  <c r="H34" i="23"/>
  <c r="M33" i="23"/>
  <c r="J33" i="23"/>
  <c r="H33" i="23"/>
  <c r="M32" i="23"/>
  <c r="J32" i="23"/>
  <c r="H32" i="23"/>
  <c r="M31" i="23"/>
  <c r="J31" i="23"/>
  <c r="H31" i="23"/>
  <c r="M30" i="23"/>
  <c r="J30" i="23"/>
  <c r="H30" i="23"/>
  <c r="M29" i="23"/>
  <c r="J29" i="23"/>
  <c r="H29" i="23"/>
  <c r="M28" i="23"/>
  <c r="J28" i="23"/>
  <c r="H28" i="23"/>
  <c r="M27" i="23"/>
  <c r="J27" i="23"/>
  <c r="H27" i="23"/>
  <c r="M26" i="23"/>
  <c r="J26" i="23"/>
  <c r="H26" i="23"/>
  <c r="M25" i="23"/>
  <c r="J25" i="23"/>
  <c r="H25" i="23"/>
  <c r="M24" i="23"/>
  <c r="J24" i="23"/>
  <c r="H24" i="23"/>
  <c r="M23" i="23"/>
  <c r="J23" i="23"/>
  <c r="H23" i="23"/>
  <c r="M22" i="23"/>
  <c r="J22" i="23"/>
  <c r="H22" i="23"/>
  <c r="M21" i="23"/>
  <c r="J21" i="23"/>
  <c r="H21" i="23"/>
  <c r="M20" i="23"/>
  <c r="J20" i="23"/>
  <c r="H20" i="23"/>
  <c r="M19" i="23"/>
  <c r="J19" i="23"/>
  <c r="H19" i="23"/>
  <c r="M18" i="23"/>
  <c r="J18" i="23"/>
  <c r="H18" i="23"/>
  <c r="M17" i="23"/>
  <c r="J17" i="23"/>
  <c r="H17" i="23"/>
  <c r="M16" i="23"/>
  <c r="J16" i="23"/>
  <c r="H16" i="23"/>
  <c r="M15" i="23"/>
  <c r="J15" i="23"/>
  <c r="H15" i="23"/>
  <c r="M14" i="23"/>
  <c r="J14" i="23"/>
  <c r="H14" i="23"/>
  <c r="M13" i="23"/>
  <c r="J13" i="23"/>
  <c r="H13" i="23"/>
  <c r="M12" i="23"/>
  <c r="J12" i="23"/>
  <c r="H12" i="23"/>
  <c r="M11" i="23"/>
  <c r="J11" i="23"/>
  <c r="H11" i="23"/>
  <c r="M10" i="23"/>
  <c r="J10" i="23"/>
  <c r="H10" i="23"/>
  <c r="M9" i="23"/>
  <c r="J9" i="23"/>
  <c r="H9" i="23"/>
  <c r="M8" i="23"/>
  <c r="J8" i="23"/>
  <c r="H8" i="23"/>
  <c r="M7" i="23"/>
  <c r="J7" i="23"/>
  <c r="H7" i="23"/>
  <c r="C5" i="23"/>
  <c r="D3" i="23"/>
  <c r="M87" i="22"/>
  <c r="M85" i="22"/>
  <c r="M72" i="22"/>
  <c r="M71" i="22"/>
  <c r="M70" i="22"/>
  <c r="M43" i="22"/>
  <c r="J43" i="22"/>
  <c r="H43" i="22"/>
  <c r="M42" i="22"/>
  <c r="J42" i="22"/>
  <c r="H42" i="22"/>
  <c r="M41" i="22"/>
  <c r="J41" i="22"/>
  <c r="H41" i="22"/>
  <c r="M40" i="22"/>
  <c r="J40" i="22"/>
  <c r="H40" i="22"/>
  <c r="M37" i="22"/>
  <c r="J37" i="22"/>
  <c r="H37" i="22"/>
  <c r="M36" i="22"/>
  <c r="J36" i="22"/>
  <c r="H36" i="22"/>
  <c r="M35" i="22"/>
  <c r="J35" i="22"/>
  <c r="H35" i="22"/>
  <c r="M34" i="22"/>
  <c r="J34" i="22"/>
  <c r="H34" i="22"/>
  <c r="M33" i="22"/>
  <c r="J33" i="22"/>
  <c r="H33" i="22"/>
  <c r="M32" i="22"/>
  <c r="J32" i="22"/>
  <c r="H32" i="22"/>
  <c r="M31" i="22"/>
  <c r="J31" i="22"/>
  <c r="H31" i="22"/>
  <c r="M30" i="22"/>
  <c r="J30" i="22"/>
  <c r="H30" i="22"/>
  <c r="M29" i="22"/>
  <c r="J29" i="22"/>
  <c r="H29" i="22"/>
  <c r="M28" i="22"/>
  <c r="J28" i="22"/>
  <c r="H28" i="22"/>
  <c r="M27" i="22"/>
  <c r="J27" i="22"/>
  <c r="H27" i="22"/>
  <c r="M26" i="22"/>
  <c r="J26" i="22"/>
  <c r="H26" i="22"/>
  <c r="M25" i="22"/>
  <c r="J25" i="22"/>
  <c r="H25" i="22"/>
  <c r="M24" i="22"/>
  <c r="J24" i="22"/>
  <c r="H24" i="22"/>
  <c r="M23" i="22"/>
  <c r="J23" i="22"/>
  <c r="H23" i="22"/>
  <c r="M22" i="22"/>
  <c r="J22" i="22"/>
  <c r="H22" i="22"/>
  <c r="M21" i="22"/>
  <c r="J21" i="22"/>
  <c r="H21" i="22"/>
  <c r="M20" i="22"/>
  <c r="J20" i="22"/>
  <c r="H20" i="22"/>
  <c r="M19" i="22"/>
  <c r="J19" i="22"/>
  <c r="H19" i="22"/>
  <c r="M18" i="22"/>
  <c r="J18" i="22"/>
  <c r="H18" i="22"/>
  <c r="M17" i="22"/>
  <c r="J17" i="22"/>
  <c r="H17" i="22"/>
  <c r="M16" i="22"/>
  <c r="J16" i="22"/>
  <c r="H16" i="22"/>
  <c r="M15" i="22"/>
  <c r="J15" i="22"/>
  <c r="H15" i="22"/>
  <c r="M14" i="22"/>
  <c r="J14" i="22"/>
  <c r="H14" i="22"/>
  <c r="M13" i="22"/>
  <c r="J13" i="22"/>
  <c r="H13" i="22"/>
  <c r="M12" i="22"/>
  <c r="J12" i="22"/>
  <c r="H12" i="22"/>
  <c r="M11" i="22"/>
  <c r="J11" i="22"/>
  <c r="H11" i="22"/>
  <c r="M10" i="22"/>
  <c r="J10" i="22"/>
  <c r="H10" i="22"/>
  <c r="M9" i="22"/>
  <c r="J9" i="22"/>
  <c r="H9" i="22"/>
  <c r="M8" i="22"/>
  <c r="J8" i="22"/>
  <c r="H8" i="22"/>
  <c r="M7" i="22"/>
  <c r="J7" i="22"/>
  <c r="H7" i="22"/>
  <c r="C5" i="22"/>
  <c r="D3" i="22"/>
  <c r="M87" i="21"/>
  <c r="M80" i="21"/>
  <c r="M72" i="21"/>
  <c r="M71" i="21"/>
  <c r="M70" i="21"/>
  <c r="M64" i="21"/>
  <c r="M43" i="21"/>
  <c r="J43" i="21"/>
  <c r="H43" i="21"/>
  <c r="M42" i="21"/>
  <c r="J42" i="21"/>
  <c r="H42" i="21"/>
  <c r="M41" i="21"/>
  <c r="J41" i="21"/>
  <c r="H41" i="21"/>
  <c r="M40" i="21"/>
  <c r="J40" i="21"/>
  <c r="H40" i="21"/>
  <c r="M39" i="21"/>
  <c r="J39" i="21"/>
  <c r="H39" i="21"/>
  <c r="M38" i="21"/>
  <c r="J38" i="21"/>
  <c r="H38" i="21"/>
  <c r="M37" i="21"/>
  <c r="J37" i="21"/>
  <c r="H37" i="21"/>
  <c r="M36" i="21"/>
  <c r="J36" i="21"/>
  <c r="H36" i="21"/>
  <c r="M35" i="21"/>
  <c r="J35" i="21"/>
  <c r="H35" i="21"/>
  <c r="M34" i="21"/>
  <c r="J34" i="21"/>
  <c r="H34" i="21"/>
  <c r="M33" i="21"/>
  <c r="J33" i="21"/>
  <c r="H33" i="21"/>
  <c r="M32" i="21"/>
  <c r="J32" i="21"/>
  <c r="H32" i="21"/>
  <c r="M31" i="21"/>
  <c r="J31" i="21"/>
  <c r="H31" i="21"/>
  <c r="M30" i="21"/>
  <c r="J30" i="21"/>
  <c r="H30" i="21"/>
  <c r="M29" i="21"/>
  <c r="J29" i="21"/>
  <c r="H29" i="21"/>
  <c r="M28" i="21"/>
  <c r="J28" i="21"/>
  <c r="H28" i="21"/>
  <c r="M27" i="21"/>
  <c r="J27" i="21"/>
  <c r="H27" i="21"/>
  <c r="M26" i="21"/>
  <c r="J26" i="21"/>
  <c r="H26" i="21"/>
  <c r="M25" i="21"/>
  <c r="J25" i="21"/>
  <c r="H25" i="21"/>
  <c r="M24" i="21"/>
  <c r="J24" i="21"/>
  <c r="H24" i="21"/>
  <c r="M23" i="21"/>
  <c r="J23" i="21"/>
  <c r="H23" i="21"/>
  <c r="M22" i="21"/>
  <c r="J22" i="21"/>
  <c r="H22" i="21"/>
  <c r="M21" i="21"/>
  <c r="J21" i="21"/>
  <c r="H21" i="21"/>
  <c r="M20" i="21"/>
  <c r="J20" i="21"/>
  <c r="H20" i="21"/>
  <c r="M19" i="21"/>
  <c r="J19" i="21"/>
  <c r="H19" i="21"/>
  <c r="M18" i="21"/>
  <c r="J18" i="21"/>
  <c r="H18" i="21"/>
  <c r="M17" i="21"/>
  <c r="J17" i="21"/>
  <c r="H17" i="21"/>
  <c r="M16" i="21"/>
  <c r="J16" i="21"/>
  <c r="H16" i="21"/>
  <c r="M15" i="21"/>
  <c r="J15" i="21"/>
  <c r="H15" i="21"/>
  <c r="M14" i="21"/>
  <c r="J14" i="21"/>
  <c r="H14" i="21"/>
  <c r="M13" i="21"/>
  <c r="J13" i="21"/>
  <c r="H13" i="21"/>
  <c r="M12" i="21"/>
  <c r="J12" i="21"/>
  <c r="H12" i="21"/>
  <c r="M11" i="21"/>
  <c r="J11" i="21"/>
  <c r="H11" i="21"/>
  <c r="M10" i="21"/>
  <c r="J10" i="21"/>
  <c r="H10" i="21"/>
  <c r="M9" i="21"/>
  <c r="J9" i="21"/>
  <c r="H9" i="21"/>
  <c r="M8" i="21"/>
  <c r="J8" i="21"/>
  <c r="H8" i="21"/>
  <c r="M7" i="21"/>
  <c r="J7" i="21"/>
  <c r="H7" i="21"/>
  <c r="C5" i="21"/>
  <c r="D3" i="21"/>
  <c r="M87" i="20"/>
  <c r="M79" i="20"/>
  <c r="M76" i="20"/>
  <c r="M72" i="20"/>
  <c r="M71" i="20"/>
  <c r="M70" i="20"/>
  <c r="M43" i="20"/>
  <c r="J43" i="20"/>
  <c r="H43" i="20"/>
  <c r="M42" i="20"/>
  <c r="J42" i="20"/>
  <c r="H42" i="20"/>
  <c r="M41" i="20"/>
  <c r="J41" i="20"/>
  <c r="H41" i="20"/>
  <c r="M40" i="20"/>
  <c r="J40" i="20"/>
  <c r="H40" i="20"/>
  <c r="M39" i="20"/>
  <c r="J39" i="20"/>
  <c r="H39" i="20"/>
  <c r="M38" i="20"/>
  <c r="J38" i="20"/>
  <c r="H38" i="20"/>
  <c r="M37" i="20"/>
  <c r="J37" i="20"/>
  <c r="H37" i="20"/>
  <c r="M36" i="20"/>
  <c r="J36" i="20"/>
  <c r="H36" i="20"/>
  <c r="M35" i="20"/>
  <c r="J35" i="20"/>
  <c r="H35" i="20"/>
  <c r="M34" i="20"/>
  <c r="J34" i="20"/>
  <c r="H34" i="20"/>
  <c r="M33" i="20"/>
  <c r="J33" i="20"/>
  <c r="H33" i="20"/>
  <c r="M32" i="20"/>
  <c r="J32" i="20"/>
  <c r="H32" i="20"/>
  <c r="M31" i="20"/>
  <c r="J31" i="20"/>
  <c r="H31" i="20"/>
  <c r="M30" i="20"/>
  <c r="J30" i="20"/>
  <c r="H30" i="20"/>
  <c r="M29" i="20"/>
  <c r="J29" i="20"/>
  <c r="H29" i="20"/>
  <c r="M28" i="20"/>
  <c r="J28" i="20"/>
  <c r="H28" i="20"/>
  <c r="M27" i="20"/>
  <c r="J27" i="20"/>
  <c r="H27" i="20"/>
  <c r="M26" i="20"/>
  <c r="J26" i="20"/>
  <c r="H26" i="20"/>
  <c r="M25" i="20"/>
  <c r="J25" i="20"/>
  <c r="H25" i="20"/>
  <c r="M24" i="20"/>
  <c r="J24" i="20"/>
  <c r="H24" i="20"/>
  <c r="M23" i="20"/>
  <c r="J23" i="20"/>
  <c r="H23" i="20"/>
  <c r="M22" i="20"/>
  <c r="J22" i="20"/>
  <c r="H22" i="20"/>
  <c r="M21" i="20"/>
  <c r="J21" i="20"/>
  <c r="H21" i="20"/>
  <c r="M20" i="20"/>
  <c r="J20" i="20"/>
  <c r="H20" i="20"/>
  <c r="M19" i="20"/>
  <c r="J19" i="20"/>
  <c r="H19" i="20"/>
  <c r="M18" i="20"/>
  <c r="J18" i="20"/>
  <c r="H18" i="20"/>
  <c r="M17" i="20"/>
  <c r="J17" i="20"/>
  <c r="H17" i="20"/>
  <c r="M16" i="20"/>
  <c r="J16" i="20"/>
  <c r="H16" i="20"/>
  <c r="M15" i="20"/>
  <c r="J15" i="20"/>
  <c r="H15" i="20"/>
  <c r="M14" i="20"/>
  <c r="J14" i="20"/>
  <c r="H14" i="20"/>
  <c r="M13" i="20"/>
  <c r="J13" i="20"/>
  <c r="H13" i="20"/>
  <c r="M12" i="20"/>
  <c r="J12" i="20"/>
  <c r="H12" i="20"/>
  <c r="M11" i="20"/>
  <c r="J11" i="20"/>
  <c r="H11" i="20"/>
  <c r="M10" i="20"/>
  <c r="J10" i="20"/>
  <c r="H10" i="20"/>
  <c r="M9" i="20"/>
  <c r="J9" i="20"/>
  <c r="H9" i="20"/>
  <c r="M8" i="20"/>
  <c r="J8" i="20"/>
  <c r="H8" i="20"/>
  <c r="M7" i="20"/>
  <c r="J7" i="20"/>
  <c r="H7" i="20"/>
  <c r="C5" i="20"/>
  <c r="D3" i="20"/>
  <c r="M87" i="19"/>
  <c r="M84" i="19"/>
  <c r="M76" i="19"/>
  <c r="M72" i="19"/>
  <c r="M71" i="19"/>
  <c r="M70" i="19"/>
  <c r="M43" i="19"/>
  <c r="J43" i="19"/>
  <c r="H43" i="19"/>
  <c r="M42" i="19"/>
  <c r="J42" i="19"/>
  <c r="H42" i="19"/>
  <c r="M41" i="19"/>
  <c r="J41" i="19"/>
  <c r="H41" i="19"/>
  <c r="M40" i="19"/>
  <c r="J40" i="19"/>
  <c r="H40" i="19"/>
  <c r="M39" i="19"/>
  <c r="J39" i="19"/>
  <c r="H39" i="19"/>
  <c r="M38" i="19"/>
  <c r="J38" i="19"/>
  <c r="H38" i="19"/>
  <c r="M37" i="19"/>
  <c r="J37" i="19"/>
  <c r="H37" i="19"/>
  <c r="M36" i="19"/>
  <c r="J36" i="19"/>
  <c r="H36" i="19"/>
  <c r="M35" i="19"/>
  <c r="J35" i="19"/>
  <c r="H35" i="19"/>
  <c r="M34" i="19"/>
  <c r="J34" i="19"/>
  <c r="H34" i="19"/>
  <c r="M33" i="19"/>
  <c r="J33" i="19"/>
  <c r="H33" i="19"/>
  <c r="M32" i="19"/>
  <c r="J32" i="19"/>
  <c r="H32" i="19"/>
  <c r="M31" i="19"/>
  <c r="J31" i="19"/>
  <c r="H31" i="19"/>
  <c r="M30" i="19"/>
  <c r="J30" i="19"/>
  <c r="H30" i="19"/>
  <c r="M29" i="19"/>
  <c r="J29" i="19"/>
  <c r="H29" i="19"/>
  <c r="M28" i="19"/>
  <c r="J28" i="19"/>
  <c r="H28" i="19"/>
  <c r="M27" i="19"/>
  <c r="J27" i="19"/>
  <c r="H27" i="19"/>
  <c r="M26" i="19"/>
  <c r="J26" i="19"/>
  <c r="H26" i="19"/>
  <c r="M25" i="19"/>
  <c r="J25" i="19"/>
  <c r="H25" i="19"/>
  <c r="M24" i="19"/>
  <c r="J24" i="19"/>
  <c r="H24" i="19"/>
  <c r="M23" i="19"/>
  <c r="J23" i="19"/>
  <c r="H23" i="19"/>
  <c r="M22" i="19"/>
  <c r="J22" i="19"/>
  <c r="H22" i="19"/>
  <c r="M21" i="19"/>
  <c r="J21" i="19"/>
  <c r="H21" i="19"/>
  <c r="M20" i="19"/>
  <c r="J20" i="19"/>
  <c r="H20" i="19"/>
  <c r="M19" i="19"/>
  <c r="J19" i="19"/>
  <c r="H19" i="19"/>
  <c r="M18" i="19"/>
  <c r="J18" i="19"/>
  <c r="H18" i="19"/>
  <c r="M17" i="19"/>
  <c r="J17" i="19"/>
  <c r="H17" i="19"/>
  <c r="M16" i="19"/>
  <c r="J16" i="19"/>
  <c r="H16" i="19"/>
  <c r="M15" i="19"/>
  <c r="J15" i="19"/>
  <c r="H15" i="19"/>
  <c r="M14" i="19"/>
  <c r="J14" i="19"/>
  <c r="H14" i="19"/>
  <c r="M13" i="19"/>
  <c r="J13" i="19"/>
  <c r="H13" i="19"/>
  <c r="M12" i="19"/>
  <c r="J12" i="19"/>
  <c r="H12" i="19"/>
  <c r="M11" i="19"/>
  <c r="J11" i="19"/>
  <c r="H11" i="19"/>
  <c r="M10" i="19"/>
  <c r="J10" i="19"/>
  <c r="H10" i="19"/>
  <c r="M9" i="19"/>
  <c r="J9" i="19"/>
  <c r="H9" i="19"/>
  <c r="M8" i="19"/>
  <c r="J8" i="19"/>
  <c r="H8" i="19"/>
  <c r="C6" i="19"/>
  <c r="D4" i="19"/>
  <c r="M87" i="18"/>
  <c r="M84" i="18"/>
  <c r="M76" i="18"/>
  <c r="M72" i="18"/>
  <c r="M71" i="18"/>
  <c r="M70" i="18"/>
  <c r="M43" i="18"/>
  <c r="J43" i="18"/>
  <c r="H43" i="18"/>
  <c r="M42" i="18"/>
  <c r="J42" i="18"/>
  <c r="H42" i="18"/>
  <c r="M41" i="18"/>
  <c r="J41" i="18"/>
  <c r="H41" i="18"/>
  <c r="M40" i="18"/>
  <c r="J40" i="18"/>
  <c r="H40" i="18"/>
  <c r="M39" i="18"/>
  <c r="J39" i="18"/>
  <c r="H39" i="18"/>
  <c r="M38" i="18"/>
  <c r="J38" i="18"/>
  <c r="H38" i="18"/>
  <c r="M37" i="18"/>
  <c r="J37" i="18"/>
  <c r="H37" i="18"/>
  <c r="M36" i="18"/>
  <c r="J36" i="18"/>
  <c r="H36" i="18"/>
  <c r="M35" i="18"/>
  <c r="J35" i="18"/>
  <c r="H35" i="18"/>
  <c r="M34" i="18"/>
  <c r="J34" i="18"/>
  <c r="H34" i="18"/>
  <c r="M33" i="18"/>
  <c r="J33" i="18"/>
  <c r="H33" i="18"/>
  <c r="M32" i="18"/>
  <c r="J32" i="18"/>
  <c r="H32" i="18"/>
  <c r="M31" i="18"/>
  <c r="J31" i="18"/>
  <c r="H31" i="18"/>
  <c r="M30" i="18"/>
  <c r="J30" i="18"/>
  <c r="H30" i="18"/>
  <c r="M29" i="18"/>
  <c r="J29" i="18"/>
  <c r="H29" i="18"/>
  <c r="M28" i="18"/>
  <c r="J28" i="18"/>
  <c r="H28" i="18"/>
  <c r="M27" i="18"/>
  <c r="J27" i="18"/>
  <c r="H27" i="18"/>
  <c r="M26" i="18"/>
  <c r="J26" i="18"/>
  <c r="H26" i="18"/>
  <c r="M25" i="18"/>
  <c r="J25" i="18"/>
  <c r="H25" i="18"/>
  <c r="M24" i="18"/>
  <c r="J24" i="18"/>
  <c r="H24" i="18"/>
  <c r="M23" i="18"/>
  <c r="J23" i="18"/>
  <c r="H23" i="18"/>
  <c r="M22" i="18"/>
  <c r="J22" i="18"/>
  <c r="H22" i="18"/>
  <c r="M21" i="18"/>
  <c r="J21" i="18"/>
  <c r="H21" i="18"/>
  <c r="M20" i="18"/>
  <c r="J20" i="18"/>
  <c r="H20" i="18"/>
  <c r="M19" i="18"/>
  <c r="J19" i="18"/>
  <c r="H19" i="18"/>
  <c r="M18" i="18"/>
  <c r="J18" i="18"/>
  <c r="H18" i="18"/>
  <c r="M17" i="18"/>
  <c r="J17" i="18"/>
  <c r="H17" i="18"/>
  <c r="M16" i="18"/>
  <c r="J16" i="18"/>
  <c r="H16" i="18"/>
  <c r="M15" i="18"/>
  <c r="J15" i="18"/>
  <c r="H15" i="18"/>
  <c r="M14" i="18"/>
  <c r="J14" i="18"/>
  <c r="H14" i="18"/>
  <c r="M13" i="18"/>
  <c r="J13" i="18"/>
  <c r="H13" i="18"/>
  <c r="M12" i="18"/>
  <c r="J12" i="18"/>
  <c r="H12" i="18"/>
  <c r="M11" i="18"/>
  <c r="J11" i="18"/>
  <c r="H11" i="18"/>
  <c r="M10" i="18"/>
  <c r="J10" i="18"/>
  <c r="H10" i="18"/>
  <c r="M9" i="18"/>
  <c r="J9" i="18"/>
  <c r="H9" i="18"/>
  <c r="M8" i="18"/>
  <c r="J8" i="18"/>
  <c r="H8" i="18"/>
  <c r="C6" i="18"/>
  <c r="D4" i="18"/>
  <c r="M87" i="17"/>
  <c r="M76" i="17"/>
  <c r="M73" i="17"/>
  <c r="M72" i="17"/>
  <c r="M71" i="17"/>
  <c r="M70" i="17"/>
  <c r="M43" i="17"/>
  <c r="J43" i="17"/>
  <c r="H43" i="17"/>
  <c r="M42" i="17"/>
  <c r="J42" i="17"/>
  <c r="H42" i="17"/>
  <c r="M41" i="17"/>
  <c r="J41" i="17"/>
  <c r="H41" i="17"/>
  <c r="M40" i="17"/>
  <c r="J40" i="17"/>
  <c r="H40" i="17"/>
  <c r="M39" i="17"/>
  <c r="J39" i="17"/>
  <c r="H39" i="17"/>
  <c r="M38" i="17"/>
  <c r="J38" i="17"/>
  <c r="H38" i="17"/>
  <c r="M37" i="17"/>
  <c r="J37" i="17"/>
  <c r="H37" i="17"/>
  <c r="M36" i="17"/>
  <c r="J36" i="17"/>
  <c r="H36" i="17"/>
  <c r="M35" i="17"/>
  <c r="J35" i="17"/>
  <c r="H35" i="17"/>
  <c r="M34" i="17"/>
  <c r="J34" i="17"/>
  <c r="H34" i="17"/>
  <c r="M33" i="17"/>
  <c r="J33" i="17"/>
  <c r="H33" i="17"/>
  <c r="M32" i="17"/>
  <c r="J32" i="17"/>
  <c r="H32" i="17"/>
  <c r="M31" i="17"/>
  <c r="J31" i="17"/>
  <c r="H31" i="17"/>
  <c r="M30" i="17"/>
  <c r="J30" i="17"/>
  <c r="H30" i="17"/>
  <c r="M29" i="17"/>
  <c r="J29" i="17"/>
  <c r="H29" i="17"/>
  <c r="M28" i="17"/>
  <c r="J28" i="17"/>
  <c r="H28" i="17"/>
  <c r="M27" i="17"/>
  <c r="J27" i="17"/>
  <c r="H27" i="17"/>
  <c r="M26" i="17"/>
  <c r="J26" i="17"/>
  <c r="H26" i="17"/>
  <c r="M25" i="17"/>
  <c r="J25" i="17"/>
  <c r="H25" i="17"/>
  <c r="M24" i="17"/>
  <c r="J24" i="17"/>
  <c r="H24" i="17"/>
  <c r="M23" i="17"/>
  <c r="J23" i="17"/>
  <c r="H23" i="17"/>
  <c r="M22" i="17"/>
  <c r="J22" i="17"/>
  <c r="H22" i="17"/>
  <c r="M21" i="17"/>
  <c r="J21" i="17"/>
  <c r="H21" i="17"/>
  <c r="M20" i="17"/>
  <c r="J20" i="17"/>
  <c r="H20" i="17"/>
  <c r="M19" i="17"/>
  <c r="J19" i="17"/>
  <c r="H19" i="17"/>
  <c r="M18" i="17"/>
  <c r="J18" i="17"/>
  <c r="H18" i="17"/>
  <c r="M17" i="17"/>
  <c r="J17" i="17"/>
  <c r="H17" i="17"/>
  <c r="M16" i="17"/>
  <c r="J16" i="17"/>
  <c r="H16" i="17"/>
  <c r="M15" i="17"/>
  <c r="J15" i="17"/>
  <c r="H15" i="17"/>
  <c r="M14" i="17"/>
  <c r="J14" i="17"/>
  <c r="H14" i="17"/>
  <c r="M13" i="17"/>
  <c r="J13" i="17"/>
  <c r="H13" i="17"/>
  <c r="M12" i="17"/>
  <c r="J12" i="17"/>
  <c r="H12" i="17"/>
  <c r="M11" i="17"/>
  <c r="J11" i="17"/>
  <c r="H11" i="17"/>
  <c r="M10" i="17"/>
  <c r="J10" i="17"/>
  <c r="H10" i="17"/>
  <c r="J9" i="17"/>
  <c r="H9" i="17"/>
  <c r="J8" i="17"/>
  <c r="H8" i="17"/>
  <c r="C6" i="17"/>
  <c r="D4" i="17"/>
  <c r="K23" i="10"/>
  <c r="L23" i="10" s="1"/>
  <c r="K22" i="10"/>
  <c r="L22" i="10" s="1"/>
  <c r="K21" i="10"/>
  <c r="L21" i="10" s="1"/>
  <c r="K20" i="10"/>
  <c r="L20" i="10" s="1"/>
  <c r="K18" i="10"/>
  <c r="L18" i="10" s="1"/>
  <c r="K16" i="10"/>
  <c r="L16" i="10" s="1"/>
  <c r="K14" i="10"/>
  <c r="L14" i="10" s="1"/>
  <c r="K12" i="10"/>
  <c r="L12" i="10" s="1"/>
  <c r="K47" i="10"/>
  <c r="L47" i="10" s="1"/>
  <c r="K46" i="10"/>
  <c r="L46" i="10" s="1"/>
  <c r="K45" i="10"/>
  <c r="L45" i="10" s="1"/>
  <c r="K44" i="10"/>
  <c r="L44" i="10" s="1"/>
  <c r="K43" i="10"/>
  <c r="L43" i="10" s="1"/>
  <c r="K42" i="10"/>
  <c r="L42" i="10" s="1"/>
  <c r="K39" i="10"/>
  <c r="L39" i="10" s="1"/>
  <c r="K36" i="10"/>
  <c r="L36" i="10" s="1"/>
  <c r="K33" i="10"/>
  <c r="L33" i="10" s="1"/>
  <c r="K31" i="10"/>
  <c r="L31" i="10" s="1"/>
  <c r="J9" i="10"/>
  <c r="K9" i="10" s="1"/>
  <c r="L9" i="10" s="1"/>
  <c r="J10" i="10"/>
  <c r="K10" i="10" s="1"/>
  <c r="L10" i="10" s="1"/>
  <c r="J11" i="10"/>
  <c r="K11" i="10" s="1"/>
  <c r="L11" i="10" s="1"/>
  <c r="J12" i="10"/>
  <c r="J13" i="10"/>
  <c r="K13" i="10" s="1"/>
  <c r="L13" i="10" s="1"/>
  <c r="J14" i="10"/>
  <c r="J15" i="10"/>
  <c r="K15" i="10" s="1"/>
  <c r="L15" i="10" s="1"/>
  <c r="J16" i="10"/>
  <c r="J17" i="10"/>
  <c r="K17" i="10" s="1"/>
  <c r="L17" i="10" s="1"/>
  <c r="J18" i="10"/>
  <c r="J20" i="10"/>
  <c r="J21" i="10"/>
  <c r="J22" i="10"/>
  <c r="J23" i="10"/>
  <c r="J8" i="10"/>
  <c r="J7" i="10"/>
  <c r="J47" i="10"/>
  <c r="J46" i="10"/>
  <c r="J45" i="10"/>
  <c r="J44" i="10"/>
  <c r="J43" i="10"/>
  <c r="J42" i="10"/>
  <c r="J41" i="10"/>
  <c r="K41" i="10" s="1"/>
  <c r="L41" i="10" s="1"/>
  <c r="J40" i="10"/>
  <c r="K40" i="10" s="1"/>
  <c r="L40" i="10" s="1"/>
  <c r="J39" i="10"/>
  <c r="J38" i="10"/>
  <c r="M10" i="29" s="1"/>
  <c r="J37" i="10"/>
  <c r="K37" i="10" s="1"/>
  <c r="L37" i="10" s="1"/>
  <c r="J36" i="10"/>
  <c r="J35" i="10"/>
  <c r="J33" i="10"/>
  <c r="J32" i="10"/>
  <c r="J31" i="10"/>
  <c r="O31" i="10" s="1"/>
  <c r="E38" i="10"/>
  <c r="E36" i="10"/>
  <c r="E33" i="10"/>
  <c r="E12" i="10"/>
  <c r="E10" i="10"/>
  <c r="E8" i="10"/>
  <c r="K38" i="10"/>
  <c r="L38" i="10" s="1"/>
  <c r="K35" i="10"/>
  <c r="L35" i="10" s="1"/>
  <c r="K32" i="10"/>
  <c r="L32" i="10" s="1"/>
  <c r="K7" i="10"/>
  <c r="L7" i="10" s="1"/>
  <c r="G167" i="8"/>
  <c r="Y167" i="8"/>
  <c r="S167" i="8"/>
  <c r="P167" i="8"/>
  <c r="G166" i="8"/>
  <c r="Y166" i="8"/>
  <c r="S166" i="8"/>
  <c r="P166" i="8"/>
  <c r="I166" i="8"/>
  <c r="G165" i="8"/>
  <c r="Y165" i="8"/>
  <c r="S165" i="8"/>
  <c r="P165" i="8"/>
  <c r="I165" i="8"/>
  <c r="Y164" i="8"/>
  <c r="S164" i="8"/>
  <c r="P164" i="8"/>
  <c r="I164" i="8"/>
  <c r="Y163" i="8"/>
  <c r="S163" i="8"/>
  <c r="P163" i="8"/>
  <c r="Y162" i="8"/>
  <c r="S162" i="8"/>
  <c r="P162" i="8"/>
  <c r="I162" i="8"/>
  <c r="Y161" i="8"/>
  <c r="S161" i="8"/>
  <c r="P161" i="8"/>
  <c r="I161" i="8"/>
  <c r="Y160" i="8"/>
  <c r="S160" i="8"/>
  <c r="P160" i="8"/>
  <c r="G159" i="8"/>
  <c r="Y159" i="8"/>
  <c r="S159" i="8"/>
  <c r="P159" i="8"/>
  <c r="G158" i="8"/>
  <c r="Y158" i="8"/>
  <c r="S158" i="8"/>
  <c r="P158" i="8"/>
  <c r="I158" i="8"/>
  <c r="Y157" i="8"/>
  <c r="S157" i="8"/>
  <c r="P157" i="8"/>
  <c r="I157" i="8"/>
  <c r="Y156" i="8"/>
  <c r="S156" i="8"/>
  <c r="P156" i="8"/>
  <c r="I156" i="8"/>
  <c r="Y155" i="8"/>
  <c r="S155" i="8"/>
  <c r="P155" i="8"/>
  <c r="Y154" i="8"/>
  <c r="S154" i="8"/>
  <c r="P154" i="8"/>
  <c r="I154" i="8"/>
  <c r="Y153" i="8"/>
  <c r="S153" i="8"/>
  <c r="P153" i="8"/>
  <c r="I153" i="8"/>
  <c r="Y152" i="8"/>
  <c r="S152" i="8"/>
  <c r="P152" i="8"/>
  <c r="I152" i="8"/>
  <c r="G151" i="8"/>
  <c r="Y151" i="8"/>
  <c r="S151" i="8"/>
  <c r="P151" i="8"/>
  <c r="G150" i="8"/>
  <c r="Y150" i="8"/>
  <c r="S150" i="8"/>
  <c r="P150" i="8"/>
  <c r="I150" i="8"/>
  <c r="G149" i="8"/>
  <c r="Y149" i="8"/>
  <c r="S149" i="8"/>
  <c r="P149" i="8"/>
  <c r="I149" i="8"/>
  <c r="Y148" i="8"/>
  <c r="S148" i="8"/>
  <c r="P148" i="8"/>
  <c r="I148" i="8"/>
  <c r="Y147" i="8"/>
  <c r="S147" i="8"/>
  <c r="P147" i="8"/>
  <c r="G146" i="8"/>
  <c r="Y146" i="8"/>
  <c r="S146" i="8"/>
  <c r="P146" i="8"/>
  <c r="I146" i="8"/>
  <c r="Y145" i="8"/>
  <c r="S145" i="8"/>
  <c r="P145" i="8"/>
  <c r="I145" i="8"/>
  <c r="Y144" i="8"/>
  <c r="S144" i="8"/>
  <c r="P144" i="8"/>
  <c r="G143" i="8"/>
  <c r="Y143" i="8"/>
  <c r="S143" i="8"/>
  <c r="P143" i="8"/>
  <c r="G142" i="8"/>
  <c r="Y142" i="8"/>
  <c r="S142" i="8"/>
  <c r="P142" i="8"/>
  <c r="I142" i="8"/>
  <c r="Y141" i="8"/>
  <c r="S141" i="8"/>
  <c r="P141" i="8"/>
  <c r="I141" i="8"/>
  <c r="Y140" i="8"/>
  <c r="S140" i="8"/>
  <c r="P140" i="8"/>
  <c r="I140" i="8"/>
  <c r="Y139" i="8"/>
  <c r="S139" i="8"/>
  <c r="P139" i="8"/>
  <c r="Y138" i="8"/>
  <c r="S138" i="8"/>
  <c r="P138" i="8"/>
  <c r="I138" i="8"/>
  <c r="Y137" i="8"/>
  <c r="S137" i="8"/>
  <c r="P137" i="8"/>
  <c r="I137" i="8"/>
  <c r="G136" i="8"/>
  <c r="Y136" i="8"/>
  <c r="S136" i="8"/>
  <c r="P136" i="8"/>
  <c r="G135" i="8"/>
  <c r="Y135" i="8"/>
  <c r="S135" i="8"/>
  <c r="P135" i="8"/>
  <c r="G134" i="8"/>
  <c r="Y134" i="8"/>
  <c r="S134" i="8"/>
  <c r="P134" i="8"/>
  <c r="I134" i="8"/>
  <c r="G133" i="8"/>
  <c r="Y133" i="8"/>
  <c r="S133" i="8"/>
  <c r="P133" i="8"/>
  <c r="I133" i="8"/>
  <c r="Y132" i="8"/>
  <c r="S132" i="8"/>
  <c r="P132" i="8"/>
  <c r="I132" i="8"/>
  <c r="Y131" i="8"/>
  <c r="S131" i="8"/>
  <c r="P131" i="8"/>
  <c r="Y130" i="8"/>
  <c r="S130" i="8"/>
  <c r="P130" i="8"/>
  <c r="I130" i="8"/>
  <c r="Y129" i="8"/>
  <c r="S129" i="8"/>
  <c r="P129" i="8"/>
  <c r="I129" i="8"/>
  <c r="G128" i="8"/>
  <c r="Y128" i="8"/>
  <c r="S128" i="8"/>
  <c r="P128" i="8"/>
  <c r="I128" i="8"/>
  <c r="G127" i="8"/>
  <c r="Y127" i="8"/>
  <c r="S127" i="8"/>
  <c r="P127" i="8"/>
  <c r="G126" i="8"/>
  <c r="Y126" i="8"/>
  <c r="S126" i="8"/>
  <c r="P126" i="8"/>
  <c r="I126" i="8"/>
  <c r="Y125" i="8"/>
  <c r="S125" i="8"/>
  <c r="P125" i="8"/>
  <c r="I125" i="8"/>
  <c r="Y124" i="8"/>
  <c r="S124" i="8"/>
  <c r="P124" i="8"/>
  <c r="I124" i="8"/>
  <c r="Y123" i="8"/>
  <c r="S123" i="8"/>
  <c r="P123" i="8"/>
  <c r="Y122" i="8"/>
  <c r="S122" i="8"/>
  <c r="P122" i="8"/>
  <c r="I122" i="8"/>
  <c r="Y121" i="8"/>
  <c r="S121" i="8"/>
  <c r="P121" i="8"/>
  <c r="I121" i="8"/>
  <c r="Y120" i="8"/>
  <c r="S120" i="8"/>
  <c r="P120" i="8"/>
  <c r="I120" i="8"/>
  <c r="G119" i="8"/>
  <c r="Y119" i="8"/>
  <c r="S119" i="8"/>
  <c r="P119" i="8"/>
  <c r="G118" i="8"/>
  <c r="Y118" i="8"/>
  <c r="S118" i="8"/>
  <c r="P118" i="8"/>
  <c r="I118" i="8"/>
  <c r="G117" i="8"/>
  <c r="Y117" i="8"/>
  <c r="S117" i="8"/>
  <c r="P117" i="8"/>
  <c r="I117" i="8"/>
  <c r="Y116" i="8"/>
  <c r="S116" i="8"/>
  <c r="P116" i="8"/>
  <c r="I116" i="8"/>
  <c r="Y115" i="8"/>
  <c r="S115" i="8"/>
  <c r="P115" i="8"/>
  <c r="Y114" i="8"/>
  <c r="S114" i="8"/>
  <c r="P114" i="8"/>
  <c r="I114" i="8"/>
  <c r="Y113" i="8"/>
  <c r="S113" i="8"/>
  <c r="P113" i="8"/>
  <c r="I113" i="8"/>
  <c r="Y112" i="8"/>
  <c r="S112" i="8"/>
  <c r="P112" i="8"/>
  <c r="I112" i="8"/>
  <c r="G111" i="8"/>
  <c r="Y111" i="8"/>
  <c r="S111" i="8"/>
  <c r="P111" i="8"/>
  <c r="G110" i="8"/>
  <c r="Y110" i="8"/>
  <c r="S110" i="8"/>
  <c r="P110" i="8"/>
  <c r="I110" i="8"/>
  <c r="Y109" i="8"/>
  <c r="S109" i="8"/>
  <c r="P109" i="8"/>
  <c r="I109" i="8"/>
  <c r="Y108" i="8"/>
  <c r="S108" i="8"/>
  <c r="P108" i="8"/>
  <c r="I108" i="8"/>
  <c r="Y107" i="8"/>
  <c r="S107" i="8"/>
  <c r="P107" i="8"/>
  <c r="G106" i="8"/>
  <c r="Y106" i="8"/>
  <c r="S106" i="8"/>
  <c r="P106" i="8"/>
  <c r="I106" i="8"/>
  <c r="Y105" i="8"/>
  <c r="S105" i="8"/>
  <c r="P105" i="8"/>
  <c r="I105" i="8"/>
  <c r="Y104" i="8"/>
  <c r="S104" i="8"/>
  <c r="P104" i="8"/>
  <c r="G103" i="8"/>
  <c r="Y103" i="8"/>
  <c r="S103" i="8"/>
  <c r="P103" i="8"/>
  <c r="G102" i="8"/>
  <c r="Y102" i="8"/>
  <c r="S102" i="8"/>
  <c r="P102" i="8"/>
  <c r="I102" i="8"/>
  <c r="G101" i="8"/>
  <c r="Y101" i="8"/>
  <c r="S101" i="8"/>
  <c r="P101" i="8"/>
  <c r="I101" i="8"/>
  <c r="Y100" i="8"/>
  <c r="S100" i="8"/>
  <c r="P100" i="8"/>
  <c r="I100" i="8"/>
  <c r="Y99" i="8"/>
  <c r="S99" i="8"/>
  <c r="P99" i="8"/>
  <c r="Y98" i="8"/>
  <c r="S98" i="8"/>
  <c r="P98" i="8"/>
  <c r="I98" i="8"/>
  <c r="Y97" i="8"/>
  <c r="S97" i="8"/>
  <c r="P97" i="8"/>
  <c r="I97" i="8"/>
  <c r="Y96" i="8"/>
  <c r="S96" i="8"/>
  <c r="P96" i="8"/>
  <c r="G95" i="8"/>
  <c r="Y95" i="8"/>
  <c r="S95" i="8"/>
  <c r="P95" i="8"/>
  <c r="G94" i="8"/>
  <c r="Y94" i="8"/>
  <c r="S94" i="8"/>
  <c r="P94" i="8"/>
  <c r="I94" i="8"/>
  <c r="Y93" i="8"/>
  <c r="S93" i="8"/>
  <c r="P93" i="8"/>
  <c r="I93" i="8"/>
  <c r="Y92" i="8"/>
  <c r="S92" i="8"/>
  <c r="P92" i="8"/>
  <c r="I92" i="8"/>
  <c r="Y91" i="8"/>
  <c r="S91" i="8"/>
  <c r="P91" i="8"/>
  <c r="Y90" i="8"/>
  <c r="S90" i="8"/>
  <c r="P90" i="8"/>
  <c r="I90" i="8"/>
  <c r="Y89" i="8"/>
  <c r="S89" i="8"/>
  <c r="P89" i="8"/>
  <c r="I89" i="8"/>
  <c r="G88" i="8"/>
  <c r="Y88" i="8"/>
  <c r="S88" i="8"/>
  <c r="P88" i="8"/>
  <c r="I88" i="8"/>
  <c r="G87" i="8"/>
  <c r="Y87" i="8"/>
  <c r="S87" i="8"/>
  <c r="P87" i="8"/>
  <c r="G86" i="8"/>
  <c r="Y86" i="8"/>
  <c r="S86" i="8"/>
  <c r="P86" i="8"/>
  <c r="I86" i="8"/>
  <c r="G85" i="8"/>
  <c r="Y85" i="8"/>
  <c r="S85" i="8"/>
  <c r="P85" i="8"/>
  <c r="I85" i="8"/>
  <c r="Y84" i="8"/>
  <c r="S84" i="8"/>
  <c r="P84" i="8"/>
  <c r="I84" i="8"/>
  <c r="Y28" i="8"/>
  <c r="S28" i="8"/>
  <c r="P28" i="8"/>
  <c r="Y27" i="8"/>
  <c r="S27" i="8"/>
  <c r="P27" i="8"/>
  <c r="Y26" i="8"/>
  <c r="S26" i="8"/>
  <c r="P26" i="8"/>
  <c r="I26" i="8"/>
  <c r="Y25" i="8"/>
  <c r="S25" i="8"/>
  <c r="P25" i="8"/>
  <c r="Y24" i="8"/>
  <c r="S24" i="8"/>
  <c r="P24" i="8"/>
  <c r="Y23" i="8"/>
  <c r="S23" i="8"/>
  <c r="P23" i="8"/>
  <c r="I23" i="8"/>
  <c r="Y22" i="8"/>
  <c r="S22" i="8"/>
  <c r="P22" i="8"/>
  <c r="Y21" i="8"/>
  <c r="S21" i="8"/>
  <c r="P21" i="8"/>
  <c r="Y20" i="8"/>
  <c r="S20" i="8"/>
  <c r="P20" i="8"/>
  <c r="I20" i="8"/>
  <c r="Z138" i="9"/>
  <c r="G138" i="9" s="1"/>
  <c r="Y138" i="9"/>
  <c r="V138" i="9"/>
  <c r="S138" i="9"/>
  <c r="P138" i="9"/>
  <c r="Z137" i="9"/>
  <c r="G137" i="9" s="1"/>
  <c r="Y137" i="9"/>
  <c r="V137" i="9"/>
  <c r="S137" i="9"/>
  <c r="P137" i="9"/>
  <c r="I137" i="9"/>
  <c r="Z136" i="9"/>
  <c r="G136" i="9" s="1"/>
  <c r="Y136" i="9"/>
  <c r="V136" i="9"/>
  <c r="S136" i="9"/>
  <c r="P136" i="9"/>
  <c r="I136" i="9"/>
  <c r="Z135" i="9"/>
  <c r="G135" i="9" s="1"/>
  <c r="Y135" i="9"/>
  <c r="V135" i="9"/>
  <c r="S135" i="9"/>
  <c r="P135" i="9"/>
  <c r="Z134" i="9"/>
  <c r="G134" i="9" s="1"/>
  <c r="Y134" i="9"/>
  <c r="V134" i="9"/>
  <c r="S134" i="9"/>
  <c r="P134" i="9"/>
  <c r="I134" i="9"/>
  <c r="Z133" i="9"/>
  <c r="G133" i="9" s="1"/>
  <c r="Y133" i="9"/>
  <c r="V133" i="9"/>
  <c r="S133" i="9"/>
  <c r="P133" i="9"/>
  <c r="Z132" i="9"/>
  <c r="G132" i="9" s="1"/>
  <c r="Y132" i="9"/>
  <c r="V132" i="9"/>
  <c r="S132" i="9"/>
  <c r="P132" i="9"/>
  <c r="I132" i="9"/>
  <c r="Z131" i="9"/>
  <c r="G131" i="9" s="1"/>
  <c r="Y131" i="9"/>
  <c r="V131" i="9"/>
  <c r="S131" i="9"/>
  <c r="P131" i="9"/>
  <c r="I131" i="9"/>
  <c r="Z130" i="9"/>
  <c r="G130" i="9" s="1"/>
  <c r="Y130" i="9"/>
  <c r="V130" i="9"/>
  <c r="S130" i="9"/>
  <c r="P130" i="9"/>
  <c r="Z129" i="9"/>
  <c r="G129" i="9" s="1"/>
  <c r="Y129" i="9"/>
  <c r="V129" i="9"/>
  <c r="S129" i="9"/>
  <c r="P129" i="9"/>
  <c r="I129" i="9"/>
  <c r="Z128" i="9"/>
  <c r="G128" i="9" s="1"/>
  <c r="Y128" i="9"/>
  <c r="V128" i="9"/>
  <c r="S128" i="9"/>
  <c r="P128" i="9"/>
  <c r="I128" i="9"/>
  <c r="Z127" i="9"/>
  <c r="G127" i="9" s="1"/>
  <c r="Y127" i="9"/>
  <c r="V127" i="9"/>
  <c r="S127" i="9"/>
  <c r="P127" i="9"/>
  <c r="I127" i="9"/>
  <c r="Z126" i="9"/>
  <c r="G126" i="9" s="1"/>
  <c r="Y126" i="9"/>
  <c r="V126" i="9"/>
  <c r="S126" i="9"/>
  <c r="P126" i="9"/>
  <c r="Z125" i="9"/>
  <c r="G125" i="9" s="1"/>
  <c r="Y125" i="9"/>
  <c r="V125" i="9"/>
  <c r="S125" i="9"/>
  <c r="P125" i="9"/>
  <c r="Z124" i="9"/>
  <c r="G124" i="9" s="1"/>
  <c r="Y124" i="9"/>
  <c r="V124" i="9"/>
  <c r="S124" i="9"/>
  <c r="P124" i="9"/>
  <c r="I124" i="9"/>
  <c r="F203" i="5"/>
  <c r="O203" i="5" s="1"/>
  <c r="F204" i="5"/>
  <c r="O204" i="5" s="1"/>
  <c r="F205" i="5"/>
  <c r="O205" i="5" s="1"/>
  <c r="F206" i="5"/>
  <c r="O206" i="5" s="1"/>
  <c r="F207" i="5"/>
  <c r="F208" i="5"/>
  <c r="O208" i="5" s="1"/>
  <c r="F202" i="5"/>
  <c r="O202" i="5" s="1"/>
  <c r="J191" i="5"/>
  <c r="S191" i="5" s="1"/>
  <c r="J192" i="5"/>
  <c r="S192" i="5" s="1"/>
  <c r="J193" i="5"/>
  <c r="S193" i="5" s="1"/>
  <c r="J194" i="5"/>
  <c r="S194" i="5" s="1"/>
  <c r="J195" i="5"/>
  <c r="S195" i="5" s="1"/>
  <c r="J196" i="5"/>
  <c r="S196" i="5" s="1"/>
  <c r="J190" i="5"/>
  <c r="S190" i="5" s="1"/>
  <c r="F180" i="5"/>
  <c r="O180" i="5" s="1"/>
  <c r="F181" i="5"/>
  <c r="O181" i="5" s="1"/>
  <c r="F182" i="5"/>
  <c r="O182" i="5" s="1"/>
  <c r="F183" i="5"/>
  <c r="O183" i="5" s="1"/>
  <c r="F184" i="5"/>
  <c r="O184" i="5" s="1"/>
  <c r="F179" i="5"/>
  <c r="O179" i="5" s="1"/>
  <c r="F156" i="5"/>
  <c r="U156" i="5" s="1"/>
  <c r="F157" i="5"/>
  <c r="U157" i="5" s="1"/>
  <c r="F158" i="5"/>
  <c r="U158" i="5" s="1"/>
  <c r="F159" i="5"/>
  <c r="U159" i="5" s="1"/>
  <c r="F160" i="5"/>
  <c r="U160" i="5" s="1"/>
  <c r="F161" i="5"/>
  <c r="U161" i="5" s="1"/>
  <c r="F155" i="5"/>
  <c r="U155" i="5" s="1"/>
  <c r="F131" i="5"/>
  <c r="O131" i="5" s="1"/>
  <c r="F132" i="5"/>
  <c r="O132" i="5" s="1"/>
  <c r="F133" i="5"/>
  <c r="O133" i="5"/>
  <c r="F134" i="5"/>
  <c r="O134" i="5" s="1"/>
  <c r="F135" i="5"/>
  <c r="O135" i="5" s="1"/>
  <c r="F136" i="5"/>
  <c r="O136" i="5" s="1"/>
  <c r="F137" i="5"/>
  <c r="O137" i="5" s="1"/>
  <c r="H120" i="5"/>
  <c r="Q120" i="5"/>
  <c r="H121" i="5"/>
  <c r="Q121" i="5" s="1"/>
  <c r="H122" i="5"/>
  <c r="Q122" i="5" s="1"/>
  <c r="H123" i="5"/>
  <c r="Q123" i="5" s="1"/>
  <c r="H124" i="5"/>
  <c r="Q124" i="5" s="1"/>
  <c r="H125" i="5"/>
  <c r="H119" i="5"/>
  <c r="Q119" i="5" s="1"/>
  <c r="I106" i="5"/>
  <c r="S106" i="5" s="1"/>
  <c r="I107" i="5"/>
  <c r="S107" i="5" s="1"/>
  <c r="I108" i="5"/>
  <c r="S108" i="5" s="1"/>
  <c r="I109" i="5"/>
  <c r="S109" i="5" s="1"/>
  <c r="I110" i="5"/>
  <c r="S110" i="5" s="1"/>
  <c r="I111" i="5"/>
  <c r="S111" i="5" s="1"/>
  <c r="I112" i="5"/>
  <c r="S112" i="5" s="1"/>
  <c r="I113" i="5"/>
  <c r="S113" i="5" s="1"/>
  <c r="I105" i="5"/>
  <c r="S105" i="5"/>
  <c r="F94" i="5"/>
  <c r="O94" i="5" s="1"/>
  <c r="F95" i="5"/>
  <c r="O95" i="5" s="1"/>
  <c r="F96" i="5"/>
  <c r="O96" i="5" s="1"/>
  <c r="F97" i="5"/>
  <c r="O97" i="5" s="1"/>
  <c r="F98" i="5"/>
  <c r="O98" i="5" s="1"/>
  <c r="F99" i="5"/>
  <c r="O99" i="5" s="1"/>
  <c r="F93" i="5"/>
  <c r="H82" i="5"/>
  <c r="Q82" i="5" s="1"/>
  <c r="H83" i="5"/>
  <c r="Q83" i="5" s="1"/>
  <c r="H84" i="5"/>
  <c r="Q84" i="5" s="1"/>
  <c r="H85" i="5"/>
  <c r="Q85" i="5" s="1"/>
  <c r="H86" i="5"/>
  <c r="Q86" i="5" s="1"/>
  <c r="H87" i="5"/>
  <c r="Q87" i="5" s="1"/>
  <c r="H81" i="5"/>
  <c r="Q81" i="5" s="1"/>
  <c r="K58" i="5"/>
  <c r="T58" i="5" s="1"/>
  <c r="K59" i="5"/>
  <c r="T59" i="5" s="1"/>
  <c r="K60" i="5"/>
  <c r="T60" i="5" s="1"/>
  <c r="K61" i="5"/>
  <c r="K62" i="5"/>
  <c r="T62" i="5" s="1"/>
  <c r="K63" i="5"/>
  <c r="T63" i="5" s="1"/>
  <c r="K57" i="5"/>
  <c r="T57" i="5" s="1"/>
  <c r="F44" i="5"/>
  <c r="O44" i="5" s="1"/>
  <c r="F45" i="5"/>
  <c r="O45" i="5" s="1"/>
  <c r="F46" i="5"/>
  <c r="O46" i="5" s="1"/>
  <c r="F47" i="5"/>
  <c r="O47" i="5" s="1"/>
  <c r="F48" i="5"/>
  <c r="O48" i="5" s="1"/>
  <c r="F49" i="5"/>
  <c r="O49" i="5" s="1"/>
  <c r="F43" i="5"/>
  <c r="O43" i="5"/>
  <c r="G19" i="5"/>
  <c r="G20" i="5"/>
  <c r="G21" i="5"/>
  <c r="G22" i="5"/>
  <c r="G23" i="5"/>
  <c r="G18" i="5"/>
  <c r="Q54" i="10"/>
  <c r="E39" i="2"/>
  <c r="C20" i="3" s="1"/>
  <c r="D12" i="29"/>
  <c r="C11" i="29"/>
  <c r="D10" i="29"/>
  <c r="C10" i="29"/>
  <c r="D9" i="29"/>
  <c r="C9" i="29"/>
  <c r="D8" i="29"/>
  <c r="C8" i="29"/>
  <c r="D6" i="29"/>
  <c r="C6" i="29"/>
  <c r="D5" i="29"/>
  <c r="C5" i="29"/>
  <c r="E5" i="29"/>
  <c r="E6" i="29" s="1"/>
  <c r="E7" i="29" s="1"/>
  <c r="E8" i="29" s="1"/>
  <c r="E9" i="29" s="1"/>
  <c r="C161" i="5"/>
  <c r="C160" i="5"/>
  <c r="C159" i="5"/>
  <c r="C158" i="5"/>
  <c r="C157" i="5"/>
  <c r="C156" i="5"/>
  <c r="D161" i="5"/>
  <c r="D160" i="5"/>
  <c r="D159" i="5"/>
  <c r="D158" i="5"/>
  <c r="D157" i="5"/>
  <c r="C106" i="5"/>
  <c r="C23" i="5"/>
  <c r="C22" i="5"/>
  <c r="C21" i="5"/>
  <c r="C20" i="5"/>
  <c r="C19" i="5"/>
  <c r="D20" i="5"/>
  <c r="D21" i="5"/>
  <c r="D22" i="5"/>
  <c r="D23" i="5"/>
  <c r="D192" i="5"/>
  <c r="D193" i="5"/>
  <c r="D194" i="5"/>
  <c r="D195" i="5"/>
  <c r="D196" i="5"/>
  <c r="C192" i="5"/>
  <c r="C193" i="5"/>
  <c r="C194" i="5"/>
  <c r="C195" i="5"/>
  <c r="C196" i="5"/>
  <c r="D181" i="5"/>
  <c r="D182" i="5"/>
  <c r="D183" i="5"/>
  <c r="D184" i="5"/>
  <c r="C181" i="5"/>
  <c r="C182" i="5"/>
  <c r="C183" i="5"/>
  <c r="C184" i="5"/>
  <c r="B107" i="5"/>
  <c r="B111" i="5"/>
  <c r="H5" i="2"/>
  <c r="B196" i="5"/>
  <c r="B195" i="5"/>
  <c r="B194" i="5"/>
  <c r="C191" i="5"/>
  <c r="D191" i="5"/>
  <c r="D180" i="5"/>
  <c r="C180" i="5"/>
  <c r="D19" i="5"/>
  <c r="B20" i="5"/>
  <c r="B21" i="5"/>
  <c r="B22" i="5"/>
  <c r="B23" i="5"/>
  <c r="B19" i="5"/>
  <c r="D156" i="5"/>
  <c r="H4" i="2"/>
  <c r="E9" i="27" s="1"/>
  <c r="E38" i="2"/>
  <c r="D3" i="11" s="1"/>
  <c r="E23" i="2"/>
  <c r="E6" i="2"/>
  <c r="H3" i="2"/>
  <c r="E8" i="27" s="1"/>
  <c r="D2" i="20"/>
  <c r="D2" i="23"/>
  <c r="D2" i="21"/>
  <c r="D3" i="18"/>
  <c r="D3" i="17"/>
  <c r="E38" i="11"/>
  <c r="G38" i="11" s="1"/>
  <c r="M87" i="16"/>
  <c r="C8" i="11"/>
  <c r="C9" i="11"/>
  <c r="C10" i="11"/>
  <c r="C11" i="11"/>
  <c r="C12" i="11"/>
  <c r="C13" i="11"/>
  <c r="E13" i="11"/>
  <c r="G13" i="11" s="1"/>
  <c r="D13" i="11"/>
  <c r="E12" i="11"/>
  <c r="G12" i="11" s="1"/>
  <c r="J12" i="11" s="1"/>
  <c r="D12" i="11"/>
  <c r="E11" i="11"/>
  <c r="G11" i="11" s="1"/>
  <c r="D11" i="11"/>
  <c r="E10" i="11"/>
  <c r="G10" i="11" s="1"/>
  <c r="D10" i="11"/>
  <c r="E9" i="11"/>
  <c r="G9" i="11" s="1"/>
  <c r="D9" i="11"/>
  <c r="E8" i="11"/>
  <c r="G8" i="11" s="1"/>
  <c r="D8" i="11"/>
  <c r="E44" i="11"/>
  <c r="G44" i="11" s="1"/>
  <c r="D44" i="11"/>
  <c r="C44" i="11"/>
  <c r="E43" i="11"/>
  <c r="G43" i="11" s="1"/>
  <c r="D43" i="11"/>
  <c r="E42" i="11"/>
  <c r="G42" i="11" s="1"/>
  <c r="D42" i="11"/>
  <c r="E41" i="11"/>
  <c r="G41" i="11" s="1"/>
  <c r="D41" i="11"/>
  <c r="E40" i="11"/>
  <c r="G40" i="11" s="1"/>
  <c r="D40" i="11"/>
  <c r="E39" i="11"/>
  <c r="G39" i="11" s="1"/>
  <c r="D39" i="11"/>
  <c r="D38" i="11"/>
  <c r="E37" i="11"/>
  <c r="G37" i="11" s="1"/>
  <c r="D37" i="11"/>
  <c r="E36" i="11"/>
  <c r="G36" i="11" s="1"/>
  <c r="D36" i="11"/>
  <c r="E35" i="11"/>
  <c r="G35" i="11" s="1"/>
  <c r="D35" i="11"/>
  <c r="E34" i="11"/>
  <c r="G34" i="11" s="1"/>
  <c r="D34" i="11"/>
  <c r="E33" i="11"/>
  <c r="G33" i="11" s="1"/>
  <c r="D33" i="11"/>
  <c r="E32" i="11"/>
  <c r="G32" i="11" s="1"/>
  <c r="D32" i="11"/>
  <c r="C32" i="11"/>
  <c r="E31" i="11"/>
  <c r="G31" i="11" s="1"/>
  <c r="D31" i="11"/>
  <c r="E30" i="11"/>
  <c r="G30" i="11" s="1"/>
  <c r="D30" i="11"/>
  <c r="E29" i="11"/>
  <c r="G29" i="11" s="1"/>
  <c r="D29" i="11"/>
  <c r="C29" i="11"/>
  <c r="E28" i="11"/>
  <c r="G28" i="11" s="1"/>
  <c r="D28" i="11"/>
  <c r="C3" i="9"/>
  <c r="I9" i="9"/>
  <c r="P9" i="9"/>
  <c r="S9" i="9"/>
  <c r="V9" i="9"/>
  <c r="Y9" i="9"/>
  <c r="G9" i="9"/>
  <c r="I10" i="9"/>
  <c r="P10" i="9"/>
  <c r="S10" i="9"/>
  <c r="V10" i="9"/>
  <c r="Y10" i="9"/>
  <c r="Z10" i="9"/>
  <c r="G10" i="9" s="1"/>
  <c r="I11" i="9"/>
  <c r="P11" i="9"/>
  <c r="S11" i="9"/>
  <c r="V11" i="9"/>
  <c r="Y11" i="9"/>
  <c r="Z11" i="9"/>
  <c r="G11" i="9" s="1"/>
  <c r="I12" i="9"/>
  <c r="P12" i="9"/>
  <c r="S12" i="9"/>
  <c r="V12" i="9"/>
  <c r="Y12" i="9"/>
  <c r="Z12" i="9"/>
  <c r="G12" i="9" s="1"/>
  <c r="I13" i="9"/>
  <c r="P13" i="9"/>
  <c r="S13" i="9"/>
  <c r="V13" i="9"/>
  <c r="Y13" i="9"/>
  <c r="Z13" i="9"/>
  <c r="G13" i="9" s="1"/>
  <c r="I14" i="9"/>
  <c r="P14" i="9"/>
  <c r="S14" i="9"/>
  <c r="V14" i="9"/>
  <c r="Y14" i="9"/>
  <c r="Z14" i="9"/>
  <c r="G14" i="9" s="1"/>
  <c r="I15" i="9"/>
  <c r="P15" i="9"/>
  <c r="S15" i="9"/>
  <c r="V15" i="9"/>
  <c r="Y15" i="9"/>
  <c r="Z15" i="9"/>
  <c r="G15" i="9" s="1"/>
  <c r="I16" i="9"/>
  <c r="P16" i="9"/>
  <c r="S16" i="9"/>
  <c r="V16" i="9"/>
  <c r="Y16" i="9"/>
  <c r="Z16" i="9"/>
  <c r="G16" i="9" s="1"/>
  <c r="P18" i="9"/>
  <c r="S18" i="9"/>
  <c r="Z18" i="9"/>
  <c r="G18" i="9" s="1"/>
  <c r="V18" i="9"/>
  <c r="Y18" i="9"/>
  <c r="I19" i="9"/>
  <c r="P19" i="9"/>
  <c r="S19" i="9"/>
  <c r="V19" i="9"/>
  <c r="Y19" i="9"/>
  <c r="Z19" i="9"/>
  <c r="G19" i="9" s="1"/>
  <c r="I20" i="9"/>
  <c r="P20" i="9"/>
  <c r="S20" i="9"/>
  <c r="V20" i="9"/>
  <c r="Y20" i="9"/>
  <c r="Z20" i="9"/>
  <c r="G20" i="9" s="1"/>
  <c r="I21" i="9"/>
  <c r="P21" i="9"/>
  <c r="S21" i="9"/>
  <c r="V21" i="9"/>
  <c r="Y21" i="9"/>
  <c r="Z21" i="9"/>
  <c r="G21" i="9" s="1"/>
  <c r="I22" i="9"/>
  <c r="P22" i="9"/>
  <c r="S22" i="9"/>
  <c r="V22" i="9"/>
  <c r="Y22" i="9"/>
  <c r="Z22" i="9"/>
  <c r="G22" i="9" s="1"/>
  <c r="P23" i="9"/>
  <c r="S23" i="9"/>
  <c r="V23" i="9"/>
  <c r="Y23" i="9"/>
  <c r="Z23" i="9"/>
  <c r="G23" i="9" s="1"/>
  <c r="I24" i="9"/>
  <c r="P24" i="9"/>
  <c r="S24" i="9"/>
  <c r="V24" i="9"/>
  <c r="Y24" i="9"/>
  <c r="Z24" i="9"/>
  <c r="G24" i="9" s="1"/>
  <c r="I25" i="9"/>
  <c r="P25" i="9"/>
  <c r="S25" i="9"/>
  <c r="V25" i="9"/>
  <c r="Y25" i="9"/>
  <c r="Z25" i="9"/>
  <c r="G25" i="9" s="1"/>
  <c r="I26" i="9"/>
  <c r="P26" i="9"/>
  <c r="S26" i="9"/>
  <c r="V26" i="9"/>
  <c r="Y26" i="9"/>
  <c r="Z26" i="9"/>
  <c r="G26" i="9" s="1"/>
  <c r="I27" i="9"/>
  <c r="P27" i="9"/>
  <c r="S27" i="9"/>
  <c r="V27" i="9"/>
  <c r="Y27" i="9"/>
  <c r="Z27" i="9"/>
  <c r="G27" i="9" s="1"/>
  <c r="I28" i="9"/>
  <c r="P28" i="9"/>
  <c r="S28" i="9"/>
  <c r="V28" i="9"/>
  <c r="Y28" i="9"/>
  <c r="Z28" i="9"/>
  <c r="G28" i="9" s="1"/>
  <c r="I29" i="9"/>
  <c r="P29" i="9"/>
  <c r="S29" i="9"/>
  <c r="V29" i="9"/>
  <c r="Y29" i="9"/>
  <c r="Z29" i="9"/>
  <c r="G29" i="9" s="1"/>
  <c r="I30" i="9"/>
  <c r="P30" i="9"/>
  <c r="S30" i="9"/>
  <c r="V30" i="9"/>
  <c r="Y30" i="9"/>
  <c r="Z30" i="9"/>
  <c r="G30" i="9" s="1"/>
  <c r="I31" i="9"/>
  <c r="P31" i="9"/>
  <c r="S31" i="9"/>
  <c r="V31" i="9"/>
  <c r="Y31" i="9"/>
  <c r="Z31" i="9"/>
  <c r="G31" i="9" s="1"/>
  <c r="P32" i="9"/>
  <c r="S32" i="9"/>
  <c r="V32" i="9"/>
  <c r="Y32" i="9"/>
  <c r="Z32" i="9"/>
  <c r="G32" i="9" s="1"/>
  <c r="P33" i="9"/>
  <c r="S33" i="9"/>
  <c r="V33" i="9"/>
  <c r="Y33" i="9"/>
  <c r="Z33" i="9"/>
  <c r="G33" i="9" s="1"/>
  <c r="I34" i="9"/>
  <c r="P34" i="9"/>
  <c r="S34" i="9"/>
  <c r="V34" i="9"/>
  <c r="Y34" i="9"/>
  <c r="Z34" i="9"/>
  <c r="G34" i="9" s="1"/>
  <c r="I35" i="9"/>
  <c r="P35" i="9"/>
  <c r="S35" i="9"/>
  <c r="V35" i="9"/>
  <c r="Y35" i="9"/>
  <c r="Z35" i="9"/>
  <c r="G35" i="9" s="1"/>
  <c r="I36" i="9"/>
  <c r="P36" i="9"/>
  <c r="S36" i="9"/>
  <c r="V36" i="9"/>
  <c r="Y36" i="9"/>
  <c r="Z36" i="9"/>
  <c r="G36" i="9" s="1"/>
  <c r="I37" i="9"/>
  <c r="P37" i="9"/>
  <c r="S37" i="9"/>
  <c r="V37" i="9"/>
  <c r="Y37" i="9"/>
  <c r="Z37" i="9"/>
  <c r="G37" i="9" s="1"/>
  <c r="I38" i="9"/>
  <c r="P38" i="9"/>
  <c r="S38" i="9"/>
  <c r="V38" i="9"/>
  <c r="Y38" i="9"/>
  <c r="Z38" i="9"/>
  <c r="G38" i="9" s="1"/>
  <c r="I39" i="9"/>
  <c r="P39" i="9"/>
  <c r="S39" i="9"/>
  <c r="V39" i="9"/>
  <c r="Y39" i="9"/>
  <c r="Z39" i="9"/>
  <c r="G39" i="9" s="1"/>
  <c r="P40" i="9"/>
  <c r="S40" i="9"/>
  <c r="V40" i="9"/>
  <c r="Y40" i="9"/>
  <c r="Z40" i="9"/>
  <c r="G40" i="9" s="1"/>
  <c r="P41" i="9"/>
  <c r="S41" i="9"/>
  <c r="V41" i="9"/>
  <c r="Y41" i="9"/>
  <c r="Z41" i="9"/>
  <c r="G41" i="9" s="1"/>
  <c r="I42" i="9"/>
  <c r="P42" i="9"/>
  <c r="S42" i="9"/>
  <c r="V42" i="9"/>
  <c r="Y42" i="9"/>
  <c r="Z42" i="9"/>
  <c r="G42" i="9" s="1"/>
  <c r="I43" i="9"/>
  <c r="P43" i="9"/>
  <c r="S43" i="9"/>
  <c r="V43" i="9"/>
  <c r="Y43" i="9"/>
  <c r="Z43" i="9"/>
  <c r="G43" i="9" s="1"/>
  <c r="P48" i="9"/>
  <c r="S48" i="9"/>
  <c r="V48" i="9"/>
  <c r="Y48" i="9"/>
  <c r="Z48" i="9"/>
  <c r="G48" i="9" s="1"/>
  <c r="I49" i="9"/>
  <c r="P49" i="9"/>
  <c r="S49" i="9"/>
  <c r="V49" i="9"/>
  <c r="Y49" i="9"/>
  <c r="Z49" i="9"/>
  <c r="G49" i="9" s="1"/>
  <c r="I50" i="9"/>
  <c r="P50" i="9"/>
  <c r="S50" i="9"/>
  <c r="V50" i="9"/>
  <c r="Y50" i="9"/>
  <c r="Z50" i="9"/>
  <c r="G50" i="9" s="1"/>
  <c r="P52" i="9"/>
  <c r="S52" i="9"/>
  <c r="V52" i="9"/>
  <c r="Y52" i="9"/>
  <c r="Z52" i="9"/>
  <c r="G52" i="9" s="1"/>
  <c r="P53" i="9"/>
  <c r="S53" i="9"/>
  <c r="V53" i="9"/>
  <c r="Y53" i="9"/>
  <c r="Z53" i="9"/>
  <c r="G53" i="9" s="1"/>
  <c r="I54" i="9"/>
  <c r="P54" i="9"/>
  <c r="S54" i="9"/>
  <c r="V54" i="9"/>
  <c r="Y54" i="9"/>
  <c r="Z54" i="9"/>
  <c r="G54" i="9" s="1"/>
  <c r="I55" i="9"/>
  <c r="P55" i="9"/>
  <c r="S55" i="9"/>
  <c r="V55" i="9"/>
  <c r="Y55" i="9"/>
  <c r="Z55" i="9"/>
  <c r="G55" i="9" s="1"/>
  <c r="I57" i="9"/>
  <c r="P57" i="9"/>
  <c r="S57" i="9"/>
  <c r="V57" i="9"/>
  <c r="Y57" i="9"/>
  <c r="Z57" i="9"/>
  <c r="G57" i="9" s="1"/>
  <c r="I89" i="9"/>
  <c r="P89" i="9"/>
  <c r="S89" i="9"/>
  <c r="V89" i="9"/>
  <c r="Y89" i="9"/>
  <c r="Z89" i="9"/>
  <c r="G89" i="9" s="1"/>
  <c r="P90" i="9"/>
  <c r="S90" i="9"/>
  <c r="V90" i="9"/>
  <c r="Y90" i="9"/>
  <c r="Z90" i="9"/>
  <c r="G90" i="9" s="1"/>
  <c r="I91" i="9"/>
  <c r="P91" i="9"/>
  <c r="S91" i="9"/>
  <c r="V91" i="9"/>
  <c r="Y91" i="9"/>
  <c r="Z91" i="9"/>
  <c r="G91" i="9" s="1"/>
  <c r="I92" i="9"/>
  <c r="P92" i="9"/>
  <c r="S92" i="9"/>
  <c r="V92" i="9"/>
  <c r="Y92" i="9"/>
  <c r="Z92" i="9"/>
  <c r="G92" i="9" s="1"/>
  <c r="P93" i="9"/>
  <c r="S93" i="9"/>
  <c r="V93" i="9"/>
  <c r="Y93" i="9"/>
  <c r="Z93" i="9"/>
  <c r="G93" i="9" s="1"/>
  <c r="P94" i="9"/>
  <c r="S94" i="9"/>
  <c r="V94" i="9"/>
  <c r="Y94" i="9"/>
  <c r="Z94" i="9"/>
  <c r="G94" i="9" s="1"/>
  <c r="P95" i="9"/>
  <c r="S95" i="9"/>
  <c r="V95" i="9"/>
  <c r="Y95" i="9"/>
  <c r="Z95" i="9"/>
  <c r="G95" i="9" s="1"/>
  <c r="I96" i="9"/>
  <c r="P96" i="9"/>
  <c r="S96" i="9"/>
  <c r="V96" i="9"/>
  <c r="Y96" i="9"/>
  <c r="Z96" i="9"/>
  <c r="G96" i="9" s="1"/>
  <c r="I97" i="9"/>
  <c r="P97" i="9"/>
  <c r="S97" i="9"/>
  <c r="V97" i="9"/>
  <c r="Y97" i="9"/>
  <c r="Z97" i="9"/>
  <c r="G97" i="9" s="1"/>
  <c r="I100" i="9"/>
  <c r="P100" i="9"/>
  <c r="S100" i="9"/>
  <c r="V100" i="9"/>
  <c r="Y100" i="9"/>
  <c r="Z100" i="9"/>
  <c r="G100" i="9" s="1"/>
  <c r="P101" i="9"/>
  <c r="S101" i="9"/>
  <c r="V101" i="9"/>
  <c r="Y101" i="9"/>
  <c r="Z101" i="9"/>
  <c r="G101" i="9" s="1"/>
  <c r="I102" i="9"/>
  <c r="P102" i="9"/>
  <c r="S102" i="9"/>
  <c r="V102" i="9"/>
  <c r="Y102" i="9"/>
  <c r="Z102" i="9"/>
  <c r="G102" i="9" s="1"/>
  <c r="P103" i="9"/>
  <c r="S103" i="9"/>
  <c r="V103" i="9"/>
  <c r="Y103" i="9"/>
  <c r="Z103" i="9"/>
  <c r="G103" i="9" s="1"/>
  <c r="I104" i="9"/>
  <c r="P104" i="9"/>
  <c r="S104" i="9"/>
  <c r="V104" i="9"/>
  <c r="Y104" i="9"/>
  <c r="Z104" i="9"/>
  <c r="G104" i="9" s="1"/>
  <c r="I105" i="9"/>
  <c r="P105" i="9"/>
  <c r="S105" i="9"/>
  <c r="V105" i="9"/>
  <c r="Y105" i="9"/>
  <c r="Z105" i="9"/>
  <c r="G105" i="9" s="1"/>
  <c r="I106" i="9"/>
  <c r="P106" i="9"/>
  <c r="S106" i="9"/>
  <c r="V106" i="9"/>
  <c r="Y106" i="9"/>
  <c r="Z106" i="9"/>
  <c r="G106" i="9" s="1"/>
  <c r="I107" i="9"/>
  <c r="P107" i="9"/>
  <c r="S107" i="9"/>
  <c r="V107" i="9"/>
  <c r="Y107" i="9"/>
  <c r="Z107" i="9"/>
  <c r="G107" i="9" s="1"/>
  <c r="I108" i="9"/>
  <c r="P108" i="9"/>
  <c r="S108" i="9"/>
  <c r="V108" i="9"/>
  <c r="Y108" i="9"/>
  <c r="Z108" i="9"/>
  <c r="G108" i="9" s="1"/>
  <c r="P109" i="9"/>
  <c r="S109" i="9"/>
  <c r="V109" i="9"/>
  <c r="Y109" i="9"/>
  <c r="Z109" i="9"/>
  <c r="G109" i="9" s="1"/>
  <c r="I110" i="9"/>
  <c r="P110" i="9"/>
  <c r="S110" i="9"/>
  <c r="V110" i="9"/>
  <c r="Y110" i="9"/>
  <c r="Z110" i="9"/>
  <c r="G110" i="9" s="1"/>
  <c r="I111" i="9"/>
  <c r="P111" i="9"/>
  <c r="S111" i="9"/>
  <c r="V111" i="9"/>
  <c r="Y111" i="9"/>
  <c r="Z111" i="9"/>
  <c r="G111" i="9" s="1"/>
  <c r="I112" i="9"/>
  <c r="P112" i="9"/>
  <c r="S112" i="9"/>
  <c r="V112" i="9"/>
  <c r="Y112" i="9"/>
  <c r="Z112" i="9"/>
  <c r="G112" i="9" s="1"/>
  <c r="I113" i="9"/>
  <c r="P113" i="9"/>
  <c r="S113" i="9"/>
  <c r="V113" i="9"/>
  <c r="Y113" i="9"/>
  <c r="Z113" i="9"/>
  <c r="G113" i="9" s="1"/>
  <c r="P114" i="9"/>
  <c r="S114" i="9"/>
  <c r="V114" i="9"/>
  <c r="Y114" i="9"/>
  <c r="Z114" i="9"/>
  <c r="G114" i="9" s="1"/>
  <c r="I115" i="9"/>
  <c r="P115" i="9"/>
  <c r="S115" i="9"/>
  <c r="V115" i="9"/>
  <c r="Y115" i="9"/>
  <c r="Z115" i="9"/>
  <c r="G115" i="9" s="1"/>
  <c r="I116" i="9"/>
  <c r="P116" i="9"/>
  <c r="S116" i="9"/>
  <c r="V116" i="9"/>
  <c r="Y116" i="9"/>
  <c r="Z116" i="9"/>
  <c r="G116" i="9" s="1"/>
  <c r="I117" i="9"/>
  <c r="P117" i="9"/>
  <c r="S117" i="9"/>
  <c r="V117" i="9"/>
  <c r="Y117" i="9"/>
  <c r="Z117" i="9"/>
  <c r="G117" i="9" s="1"/>
  <c r="P118" i="9"/>
  <c r="S118" i="9"/>
  <c r="V118" i="9"/>
  <c r="Y118" i="9"/>
  <c r="Z118" i="9"/>
  <c r="G118" i="9" s="1"/>
  <c r="B120" i="3"/>
  <c r="B121" i="3"/>
  <c r="B122" i="3"/>
  <c r="B123" i="3"/>
  <c r="B124" i="3"/>
  <c r="B125" i="3"/>
  <c r="B126" i="3"/>
  <c r="A126" i="3"/>
  <c r="A125" i="3"/>
  <c r="A124" i="3"/>
  <c r="A123" i="3"/>
  <c r="A122" i="3"/>
  <c r="A121" i="3"/>
  <c r="A120" i="3"/>
  <c r="B119" i="3"/>
  <c r="A119" i="3"/>
  <c r="H6" i="5"/>
  <c r="H7" i="5"/>
  <c r="H8" i="5"/>
  <c r="H9" i="5"/>
  <c r="H10" i="5"/>
  <c r="G16" i="5"/>
  <c r="A31" i="3"/>
  <c r="G40" i="13"/>
  <c r="G39" i="13"/>
  <c r="G38" i="13"/>
  <c r="G35" i="13"/>
  <c r="G34" i="13"/>
  <c r="G33" i="13"/>
  <c r="G30" i="13"/>
  <c r="G29" i="13"/>
  <c r="G28" i="13"/>
  <c r="G25" i="13"/>
  <c r="G24" i="13"/>
  <c r="G23" i="13"/>
  <c r="H40" i="13"/>
  <c r="H34" i="13"/>
  <c r="H28" i="13"/>
  <c r="H38" i="13"/>
  <c r="H29" i="13"/>
  <c r="H30" i="13"/>
  <c r="J23" i="13"/>
  <c r="I25" i="13"/>
  <c r="I24" i="13"/>
  <c r="I23" i="13"/>
  <c r="H23" i="13"/>
  <c r="H35" i="13"/>
  <c r="I35" i="13"/>
  <c r="H24" i="13"/>
  <c r="H25" i="13"/>
  <c r="H33" i="13"/>
  <c r="H39" i="13"/>
  <c r="I38" i="13"/>
  <c r="I34" i="13"/>
  <c r="I30" i="13"/>
  <c r="I28" i="13"/>
  <c r="J25" i="13"/>
  <c r="Z142" i="9"/>
  <c r="Z141" i="9"/>
  <c r="Z140" i="9"/>
  <c r="G140" i="9" s="1"/>
  <c r="Z139" i="9"/>
  <c r="G139" i="9" s="1"/>
  <c r="Z123" i="9"/>
  <c r="G123" i="9" s="1"/>
  <c r="Z122" i="9"/>
  <c r="Z121" i="9"/>
  <c r="G121" i="9" s="1"/>
  <c r="Z120" i="9"/>
  <c r="G120" i="9" s="1"/>
  <c r="Z119" i="9"/>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D3" i="16"/>
  <c r="D4" i="16"/>
  <c r="C6" i="16"/>
  <c r="J8" i="16"/>
  <c r="M8" i="16"/>
  <c r="J9" i="16"/>
  <c r="M9" i="16"/>
  <c r="J10" i="16"/>
  <c r="M10" i="16"/>
  <c r="J11" i="16"/>
  <c r="M11" i="16"/>
  <c r="J12" i="16"/>
  <c r="M12" i="16"/>
  <c r="J13" i="16"/>
  <c r="M13" i="16"/>
  <c r="J14" i="16"/>
  <c r="M14" i="16"/>
  <c r="J15" i="16"/>
  <c r="M15" i="16"/>
  <c r="J16" i="16"/>
  <c r="M16" i="16"/>
  <c r="J17" i="16"/>
  <c r="M17" i="16"/>
  <c r="J18" i="16"/>
  <c r="M18" i="16"/>
  <c r="J19" i="16"/>
  <c r="M19" i="16"/>
  <c r="J20" i="16"/>
  <c r="M20" i="16"/>
  <c r="J21" i="16"/>
  <c r="M21" i="16"/>
  <c r="J22" i="16"/>
  <c r="M22" i="16"/>
  <c r="J23" i="16"/>
  <c r="M23" i="16"/>
  <c r="J24" i="16"/>
  <c r="M24" i="16"/>
  <c r="J25" i="16"/>
  <c r="M25" i="16"/>
  <c r="J26" i="16"/>
  <c r="M26" i="16"/>
  <c r="J27" i="16"/>
  <c r="M27" i="16"/>
  <c r="J28" i="16"/>
  <c r="M28" i="16"/>
  <c r="J29" i="16"/>
  <c r="M29" i="16"/>
  <c r="J30" i="16"/>
  <c r="M30" i="16"/>
  <c r="J31" i="16"/>
  <c r="M31" i="16"/>
  <c r="J32" i="16"/>
  <c r="M32" i="16"/>
  <c r="J33" i="16"/>
  <c r="M33" i="16"/>
  <c r="J34" i="16"/>
  <c r="M34" i="16"/>
  <c r="J35" i="16"/>
  <c r="M35" i="16"/>
  <c r="J36" i="16"/>
  <c r="M36" i="16"/>
  <c r="J37" i="16"/>
  <c r="M37" i="16"/>
  <c r="J38" i="16"/>
  <c r="M38" i="16"/>
  <c r="J39" i="16"/>
  <c r="M39" i="16"/>
  <c r="J40" i="16"/>
  <c r="M40" i="16"/>
  <c r="J41" i="16"/>
  <c r="M41" i="16"/>
  <c r="J42" i="16"/>
  <c r="M42" i="16"/>
  <c r="J43" i="16"/>
  <c r="M43" i="16"/>
  <c r="M70" i="16"/>
  <c r="M71" i="16"/>
  <c r="M72" i="16"/>
  <c r="M75" i="16"/>
  <c r="M81" i="16"/>
  <c r="M86" i="16"/>
  <c r="F59" i="4"/>
  <c r="G58" i="4"/>
  <c r="F58" i="4"/>
  <c r="F57" i="4"/>
  <c r="G57" i="4"/>
  <c r="S37" i="5"/>
  <c r="O29" i="5"/>
  <c r="Q29" i="5" s="1"/>
  <c r="L29" i="5"/>
  <c r="N29" i="5" s="1"/>
  <c r="N37" i="5" s="1"/>
  <c r="C11" i="3"/>
  <c r="M43" i="13"/>
  <c r="E3" i="28"/>
  <c r="E31" i="4"/>
  <c r="B78" i="16" s="1"/>
  <c r="E32" i="4"/>
  <c r="B79" i="16" s="1"/>
  <c r="E26" i="4"/>
  <c r="B73" i="22" s="1"/>
  <c r="B73" i="16"/>
  <c r="E27" i="4"/>
  <c r="B74" i="19" s="1"/>
  <c r="E35" i="4"/>
  <c r="B82" i="16" s="1"/>
  <c r="E37" i="4"/>
  <c r="B84" i="16" s="1"/>
  <c r="E38" i="4"/>
  <c r="E88" i="28"/>
  <c r="E24" i="28"/>
  <c r="E27" i="28"/>
  <c r="E9" i="28"/>
  <c r="E8" i="28"/>
  <c r="E6" i="28"/>
  <c r="B73" i="23"/>
  <c r="B84" i="17"/>
  <c r="B79" i="22"/>
  <c r="B79" i="19"/>
  <c r="B79" i="17"/>
  <c r="E36" i="2"/>
  <c r="C8" i="3"/>
  <c r="C9" i="3"/>
  <c r="C7" i="3"/>
  <c r="C7" i="4"/>
  <c r="G59" i="4"/>
  <c r="E35" i="2"/>
  <c r="C5" i="4"/>
  <c r="D4" i="12" s="1"/>
  <c r="N16" i="5"/>
  <c r="P16" i="5" s="1"/>
  <c r="R16" i="5" s="1"/>
  <c r="F22" i="6" s="1"/>
  <c r="G19" i="3"/>
  <c r="D26" i="11"/>
  <c r="E26" i="11"/>
  <c r="G26" i="11" s="1"/>
  <c r="D27" i="11"/>
  <c r="E27" i="11"/>
  <c r="G27" i="11" s="1"/>
  <c r="A69" i="3"/>
  <c r="G142" i="9"/>
  <c r="G141" i="9"/>
  <c r="G122" i="9"/>
  <c r="G119" i="9"/>
  <c r="V142" i="9"/>
  <c r="V141" i="9"/>
  <c r="V140" i="9"/>
  <c r="V139" i="9"/>
  <c r="V123" i="9"/>
  <c r="V122" i="9"/>
  <c r="V121" i="9"/>
  <c r="V120" i="9"/>
  <c r="V119" i="9"/>
  <c r="C8" i="27"/>
  <c r="C10" i="27"/>
  <c r="A63" i="3"/>
  <c r="E30" i="4"/>
  <c r="B77" i="22" s="1"/>
  <c r="E29" i="4"/>
  <c r="B76" i="20" s="1"/>
  <c r="E28" i="4"/>
  <c r="B75" i="22" s="1"/>
  <c r="E25" i="4"/>
  <c r="B72" i="18" s="1"/>
  <c r="E24" i="4"/>
  <c r="B71" i="18" s="1"/>
  <c r="E23" i="4"/>
  <c r="B70" i="18" s="1"/>
  <c r="B32" i="4"/>
  <c r="B11" i="29" s="1"/>
  <c r="B31" i="4"/>
  <c r="B10" i="29" s="1"/>
  <c r="B30" i="4"/>
  <c r="B26" i="29" s="1"/>
  <c r="B29" i="4"/>
  <c r="B9" i="29" s="1"/>
  <c r="B28" i="4"/>
  <c r="B25" i="29" s="1"/>
  <c r="B27" i="4"/>
  <c r="B8" i="29" s="1"/>
  <c r="B26" i="4"/>
  <c r="B24" i="29" s="1"/>
  <c r="B25" i="4"/>
  <c r="B7" i="29" s="1"/>
  <c r="B76" i="21"/>
  <c r="B76" i="17"/>
  <c r="B76" i="18"/>
  <c r="B76" i="22"/>
  <c r="B72" i="21"/>
  <c r="B75" i="21"/>
  <c r="B75" i="23"/>
  <c r="C7" i="11"/>
  <c r="I36" i="8"/>
  <c r="I66" i="8"/>
  <c r="I65" i="8"/>
  <c r="I62" i="8"/>
  <c r="I61" i="8"/>
  <c r="I60" i="8"/>
  <c r="I58" i="8"/>
  <c r="I57" i="8"/>
  <c r="I56" i="8"/>
  <c r="I54" i="8"/>
  <c r="I53" i="8"/>
  <c r="I52" i="8"/>
  <c r="I50" i="8"/>
  <c r="I49" i="8"/>
  <c r="I48" i="8"/>
  <c r="I32" i="8"/>
  <c r="I30" i="8"/>
  <c r="C15" i="3"/>
  <c r="Y11" i="8"/>
  <c r="S11" i="8"/>
  <c r="P11" i="8"/>
  <c r="Y10" i="8"/>
  <c r="P10" i="8"/>
  <c r="S10" i="8"/>
  <c r="Z10" i="8" s="1"/>
  <c r="G10" i="8" s="1"/>
  <c r="Y36" i="8"/>
  <c r="S36" i="8"/>
  <c r="P36" i="8"/>
  <c r="Y35" i="8"/>
  <c r="S35" i="8"/>
  <c r="P35" i="8"/>
  <c r="G31" i="8"/>
  <c r="Y31" i="8"/>
  <c r="S31" i="8"/>
  <c r="P31" i="8"/>
  <c r="Y30" i="8"/>
  <c r="S30" i="8"/>
  <c r="Z30" i="8"/>
  <c r="G30" i="8" s="1"/>
  <c r="P30" i="8"/>
  <c r="I20" i="11"/>
  <c r="I19" i="11"/>
  <c r="I18" i="11"/>
  <c r="I50" i="11"/>
  <c r="C14" i="7"/>
  <c r="C15" i="7" s="1"/>
  <c r="C16" i="7" s="1"/>
  <c r="C17" i="7" s="1"/>
  <c r="C18" i="7" s="1"/>
  <c r="C14" i="6"/>
  <c r="C15" i="6" s="1"/>
  <c r="C16" i="6" s="1"/>
  <c r="D5" i="13"/>
  <c r="B38" i="4"/>
  <c r="B15" i="29" s="1"/>
  <c r="B37" i="4"/>
  <c r="B14" i="29" s="1"/>
  <c r="E39" i="4"/>
  <c r="B86" i="16" s="1"/>
  <c r="E36" i="4"/>
  <c r="B83" i="22" s="1"/>
  <c r="B36" i="4"/>
  <c r="B28" i="29" s="1"/>
  <c r="E33" i="4"/>
  <c r="B35" i="4"/>
  <c r="B13" i="29" s="1"/>
  <c r="B33" i="4"/>
  <c r="B27" i="29" s="1"/>
  <c r="B24" i="4"/>
  <c r="B6" i="29" s="1"/>
  <c r="B23" i="4"/>
  <c r="B5" i="29" s="1"/>
  <c r="G29" i="5"/>
  <c r="B86" i="23"/>
  <c r="B80" i="23"/>
  <c r="B83" i="18"/>
  <c r="B12" i="29"/>
  <c r="H25" i="4"/>
  <c r="D7" i="29" s="1"/>
  <c r="H36" i="4"/>
  <c r="D6" i="15"/>
  <c r="D5" i="15"/>
  <c r="D5" i="14"/>
  <c r="D6" i="14"/>
  <c r="A70" i="3"/>
  <c r="A30" i="3"/>
  <c r="A29" i="3"/>
  <c r="A28" i="3"/>
  <c r="A27" i="3"/>
  <c r="A26" i="3"/>
  <c r="A25" i="3"/>
  <c r="A24" i="3"/>
  <c r="A50" i="3"/>
  <c r="A49" i="3"/>
  <c r="A48" i="3"/>
  <c r="A47" i="3"/>
  <c r="A46" i="3"/>
  <c r="A45" i="3"/>
  <c r="A44" i="3"/>
  <c r="A43" i="3"/>
  <c r="A42" i="3"/>
  <c r="A41" i="3"/>
  <c r="A40" i="3"/>
  <c r="A107" i="3"/>
  <c r="A106" i="3"/>
  <c r="A105" i="3"/>
  <c r="A104" i="3"/>
  <c r="A103" i="3"/>
  <c r="A102" i="3"/>
  <c r="A101" i="3"/>
  <c r="A100" i="3"/>
  <c r="A99" i="3"/>
  <c r="A98" i="3"/>
  <c r="A97" i="3"/>
  <c r="A96" i="3"/>
  <c r="A95" i="3"/>
  <c r="A94" i="3"/>
  <c r="A93" i="3"/>
  <c r="A92" i="3"/>
  <c r="A91" i="3"/>
  <c r="A90" i="3"/>
  <c r="A88" i="3"/>
  <c r="A87" i="3"/>
  <c r="A86" i="3"/>
  <c r="A84" i="3"/>
  <c r="A83" i="3"/>
  <c r="A82" i="3"/>
  <c r="A81" i="3"/>
  <c r="A79" i="3"/>
  <c r="A78" i="3"/>
  <c r="A77" i="3"/>
  <c r="A76" i="3"/>
  <c r="A74" i="3"/>
  <c r="A73" i="3"/>
  <c r="A67" i="3"/>
  <c r="A66" i="3"/>
  <c r="A65" i="3"/>
  <c r="A64" i="3"/>
  <c r="A62" i="3"/>
  <c r="A61" i="3"/>
  <c r="A60" i="3"/>
  <c r="A58" i="3"/>
  <c r="B6" i="6"/>
  <c r="G50" i="11"/>
  <c r="G49" i="11"/>
  <c r="G48" i="11"/>
  <c r="J48" i="11" s="1"/>
  <c r="G47" i="11"/>
  <c r="G45" i="11"/>
  <c r="J45" i="11" s="1"/>
  <c r="D7" i="11"/>
  <c r="G6" i="11"/>
  <c r="J6" i="11" s="1"/>
  <c r="D6" i="11"/>
  <c r="C6" i="11"/>
  <c r="D25" i="11"/>
  <c r="H1" i="11"/>
  <c r="D2" i="11"/>
  <c r="D1" i="11"/>
  <c r="G25" i="11"/>
  <c r="H5" i="5"/>
  <c r="K4" i="5"/>
  <c r="R4" i="5" s="1"/>
  <c r="G4" i="5" s="1"/>
  <c r="I56" i="5"/>
  <c r="K3" i="5"/>
  <c r="R3" i="5" s="1"/>
  <c r="G3" i="5" s="1"/>
  <c r="L16" i="5"/>
  <c r="D23" i="7" s="1"/>
  <c r="J16" i="5"/>
  <c r="F23" i="7" s="1"/>
  <c r="I55" i="5"/>
  <c r="C3" i="8"/>
  <c r="C2" i="8"/>
  <c r="Y142" i="9"/>
  <c r="S142" i="9"/>
  <c r="P142" i="9"/>
  <c r="Y141" i="9"/>
  <c r="S141" i="9"/>
  <c r="P141" i="9"/>
  <c r="Y140" i="9"/>
  <c r="S140" i="9"/>
  <c r="P140" i="9"/>
  <c r="Y139" i="9"/>
  <c r="S139" i="9"/>
  <c r="P139" i="9"/>
  <c r="Y123" i="9"/>
  <c r="S123" i="9"/>
  <c r="P123" i="9"/>
  <c r="Y122" i="9"/>
  <c r="S122" i="9"/>
  <c r="P122" i="9"/>
  <c r="Y121" i="9"/>
  <c r="S121" i="9"/>
  <c r="P121" i="9"/>
  <c r="Y120" i="9"/>
  <c r="S120" i="9"/>
  <c r="P120" i="9"/>
  <c r="Y119" i="9"/>
  <c r="S119" i="9"/>
  <c r="P119" i="9"/>
  <c r="G183" i="8"/>
  <c r="Y183" i="8"/>
  <c r="S183" i="8"/>
  <c r="P183" i="8"/>
  <c r="G182" i="8"/>
  <c r="Y182" i="8"/>
  <c r="S182" i="8"/>
  <c r="P182" i="8"/>
  <c r="G181" i="8"/>
  <c r="Y181" i="8"/>
  <c r="S181" i="8"/>
  <c r="P181" i="8"/>
  <c r="Y180" i="8"/>
  <c r="S180" i="8"/>
  <c r="P180" i="8"/>
  <c r="Y179" i="8"/>
  <c r="S179" i="8"/>
  <c r="P179" i="8"/>
  <c r="Y178" i="8"/>
  <c r="S178" i="8"/>
  <c r="P178" i="8"/>
  <c r="Y177" i="8"/>
  <c r="S177" i="8"/>
  <c r="P177" i="8"/>
  <c r="G176" i="8"/>
  <c r="Y176" i="8"/>
  <c r="S176" i="8"/>
  <c r="P176" i="8"/>
  <c r="G175" i="8"/>
  <c r="Y175" i="8"/>
  <c r="S175" i="8"/>
  <c r="P175" i="8"/>
  <c r="G174" i="8"/>
  <c r="Y174" i="8"/>
  <c r="S174" i="8"/>
  <c r="P174" i="8"/>
  <c r="G173" i="8"/>
  <c r="Y173" i="8"/>
  <c r="S173" i="8"/>
  <c r="P173" i="8"/>
  <c r="Y172" i="8"/>
  <c r="S172" i="8"/>
  <c r="P172" i="8"/>
  <c r="Y171" i="8"/>
  <c r="S171" i="8"/>
  <c r="P171" i="8"/>
  <c r="Y170" i="8"/>
  <c r="S170" i="8"/>
  <c r="P170" i="8"/>
  <c r="Y169" i="8"/>
  <c r="S169" i="8"/>
  <c r="P169" i="8"/>
  <c r="G168" i="8"/>
  <c r="Y168" i="8"/>
  <c r="S168" i="8"/>
  <c r="P168" i="8"/>
  <c r="Y83" i="8"/>
  <c r="S83" i="8"/>
  <c r="P83" i="8"/>
  <c r="Y82" i="8"/>
  <c r="S82" i="8"/>
  <c r="P82" i="8"/>
  <c r="Y81" i="8"/>
  <c r="S81" i="8"/>
  <c r="P81" i="8"/>
  <c r="G80" i="8"/>
  <c r="Y80" i="8"/>
  <c r="S80" i="8"/>
  <c r="P80" i="8"/>
  <c r="G79" i="8"/>
  <c r="Y79" i="8"/>
  <c r="S79" i="8"/>
  <c r="P79" i="8"/>
  <c r="G78" i="8"/>
  <c r="Y78" i="8"/>
  <c r="S78" i="8"/>
  <c r="P78" i="8"/>
  <c r="G77" i="8"/>
  <c r="Y77" i="8"/>
  <c r="S77" i="8"/>
  <c r="P77" i="8"/>
  <c r="Y76" i="8"/>
  <c r="S76" i="8"/>
  <c r="P76" i="8"/>
  <c r="Y75" i="8"/>
  <c r="S75" i="8"/>
  <c r="P75" i="8"/>
  <c r="G74" i="8"/>
  <c r="Y74" i="8"/>
  <c r="S74" i="8"/>
  <c r="P74" i="8"/>
  <c r="Y73" i="8"/>
  <c r="S73" i="8"/>
  <c r="P73" i="8"/>
  <c r="G72" i="8"/>
  <c r="Y72" i="8"/>
  <c r="S72" i="8"/>
  <c r="P72" i="8"/>
  <c r="G71" i="8"/>
  <c r="Y71" i="8"/>
  <c r="S71" i="8"/>
  <c r="P71" i="8"/>
  <c r="G70" i="8"/>
  <c r="Y70" i="8"/>
  <c r="S70" i="8"/>
  <c r="P70" i="8"/>
  <c r="G69" i="8"/>
  <c r="Y69" i="8"/>
  <c r="S69" i="8"/>
  <c r="P69" i="8"/>
  <c r="Y68" i="8"/>
  <c r="S68" i="8"/>
  <c r="P68" i="8"/>
  <c r="Y67" i="8"/>
  <c r="S67" i="8"/>
  <c r="P67" i="8"/>
  <c r="Y66" i="8"/>
  <c r="S66" i="8"/>
  <c r="P66" i="8"/>
  <c r="Y65" i="8"/>
  <c r="S65" i="8"/>
  <c r="P65" i="8"/>
  <c r="G64" i="8"/>
  <c r="Y64" i="8"/>
  <c r="S64" i="8"/>
  <c r="P64" i="8"/>
  <c r="G63" i="8"/>
  <c r="Y63" i="8"/>
  <c r="S63" i="8"/>
  <c r="P63" i="8"/>
  <c r="G62" i="8"/>
  <c r="Y62" i="8"/>
  <c r="S62" i="8"/>
  <c r="P62" i="8"/>
  <c r="G61" i="8"/>
  <c r="Y61" i="8"/>
  <c r="S61" i="8"/>
  <c r="P61" i="8"/>
  <c r="Y60" i="8"/>
  <c r="S60" i="8"/>
  <c r="P60" i="8"/>
  <c r="G59" i="8"/>
  <c r="Y59" i="8"/>
  <c r="S59" i="8"/>
  <c r="P59" i="8"/>
  <c r="Y58" i="8"/>
  <c r="S58" i="8"/>
  <c r="P58" i="8"/>
  <c r="Y57" i="8"/>
  <c r="S57" i="8"/>
  <c r="P57" i="8"/>
  <c r="G56" i="8"/>
  <c r="Y56" i="8"/>
  <c r="S56" i="8"/>
  <c r="P56" i="8"/>
  <c r="G55" i="8"/>
  <c r="Y55" i="8"/>
  <c r="S55" i="8"/>
  <c r="P55" i="8"/>
  <c r="G54" i="8"/>
  <c r="Y54" i="8"/>
  <c r="S54" i="8"/>
  <c r="P54" i="8"/>
  <c r="G53" i="8"/>
  <c r="Y53" i="8"/>
  <c r="S53" i="8"/>
  <c r="P53" i="8"/>
  <c r="Y52" i="8"/>
  <c r="S52" i="8"/>
  <c r="P52" i="8"/>
  <c r="Y51" i="8"/>
  <c r="S51" i="8"/>
  <c r="P51" i="8"/>
  <c r="Y50" i="8"/>
  <c r="S50" i="8"/>
  <c r="P50" i="8"/>
  <c r="Y49" i="8"/>
  <c r="S49" i="8"/>
  <c r="P49" i="8"/>
  <c r="G48" i="8"/>
  <c r="Y48" i="8"/>
  <c r="S48" i="8"/>
  <c r="P48" i="8"/>
  <c r="G47" i="8"/>
  <c r="Y47" i="8"/>
  <c r="S47" i="8"/>
  <c r="P47" i="8"/>
  <c r="G46" i="8"/>
  <c r="Y46" i="8"/>
  <c r="S46" i="8"/>
  <c r="P46" i="8"/>
  <c r="G45" i="8"/>
  <c r="Y45" i="8"/>
  <c r="S45" i="8"/>
  <c r="P45" i="8"/>
  <c r="Y44" i="8"/>
  <c r="S44" i="8"/>
  <c r="P44" i="8"/>
  <c r="Z44" i="8" s="1"/>
  <c r="G44" i="8" s="1"/>
  <c r="Y43" i="8"/>
  <c r="S43" i="8"/>
  <c r="P43" i="8"/>
  <c r="Y13" i="8"/>
  <c r="S13" i="8"/>
  <c r="P13" i="8"/>
  <c r="Y12" i="8"/>
  <c r="S12" i="8"/>
  <c r="P12" i="8"/>
  <c r="G32" i="8"/>
  <c r="Y32" i="8"/>
  <c r="S32" i="8"/>
  <c r="P32" i="8"/>
  <c r="Y42" i="8"/>
  <c r="S42" i="8"/>
  <c r="P42" i="8"/>
  <c r="Z42" i="8" s="1"/>
  <c r="G42" i="8" s="1"/>
  <c r="Y41" i="8"/>
  <c r="S41" i="8"/>
  <c r="P41" i="8"/>
  <c r="Y40" i="8"/>
  <c r="S40" i="8"/>
  <c r="Z40" i="8" s="1"/>
  <c r="G40" i="8" s="1"/>
  <c r="P40" i="8"/>
  <c r="Y39" i="8"/>
  <c r="S39" i="8"/>
  <c r="Z39" i="8" s="1"/>
  <c r="G39" i="8" s="1"/>
  <c r="P39" i="8"/>
  <c r="Y38" i="8"/>
  <c r="S38" i="8"/>
  <c r="Z38" i="8" s="1"/>
  <c r="G38" i="8" s="1"/>
  <c r="P38" i="8"/>
  <c r="Y37" i="8"/>
  <c r="S37" i="8"/>
  <c r="Z37" i="8" s="1"/>
  <c r="G37" i="8" s="1"/>
  <c r="P37" i="8"/>
  <c r="Y34" i="8"/>
  <c r="S34" i="8"/>
  <c r="P34" i="8"/>
  <c r="Z34" i="8" s="1"/>
  <c r="G34" i="8" s="1"/>
  <c r="Y33" i="8"/>
  <c r="S33" i="8"/>
  <c r="P33" i="8"/>
  <c r="Y19" i="8"/>
  <c r="S19" i="8"/>
  <c r="P19" i="8"/>
  <c r="Y18" i="8"/>
  <c r="S18" i="8"/>
  <c r="P18" i="8"/>
  <c r="Y17" i="8"/>
  <c r="S17" i="8"/>
  <c r="P17" i="8"/>
  <c r="Y16" i="8"/>
  <c r="S16" i="8"/>
  <c r="P16" i="8"/>
  <c r="Y15" i="8"/>
  <c r="S15" i="8"/>
  <c r="P15" i="8"/>
  <c r="Y14" i="8"/>
  <c r="S14" i="8"/>
  <c r="P14" i="8"/>
  <c r="S9" i="8"/>
  <c r="Z9" i="8" s="1"/>
  <c r="G9" i="8" s="1"/>
  <c r="P9" i="8"/>
  <c r="C8" i="4"/>
  <c r="B6" i="7" s="1"/>
  <c r="C6" i="4"/>
  <c r="B4" i="7" s="1"/>
  <c r="I182" i="8"/>
  <c r="I181" i="8"/>
  <c r="I180" i="8"/>
  <c r="I178" i="8"/>
  <c r="I177" i="8"/>
  <c r="I176" i="8"/>
  <c r="I174" i="8"/>
  <c r="I173" i="8"/>
  <c r="I172" i="8"/>
  <c r="I170" i="8"/>
  <c r="I169" i="8"/>
  <c r="I82" i="8"/>
  <c r="I81" i="8"/>
  <c r="I78" i="8"/>
  <c r="I77" i="8"/>
  <c r="I76" i="8"/>
  <c r="I74" i="8"/>
  <c r="I73" i="8"/>
  <c r="I70" i="8"/>
  <c r="I69" i="8"/>
  <c r="I68" i="8"/>
  <c r="I46" i="8"/>
  <c r="I45" i="8"/>
  <c r="I44" i="8"/>
  <c r="I13" i="8"/>
  <c r="I42" i="8"/>
  <c r="I41" i="8"/>
  <c r="I40" i="8"/>
  <c r="I38" i="8"/>
  <c r="I37" i="8"/>
  <c r="I34" i="8"/>
  <c r="I33" i="8"/>
  <c r="I16" i="8"/>
  <c r="I140" i="9"/>
  <c r="I139" i="9"/>
  <c r="I123" i="9"/>
  <c r="I122" i="9"/>
  <c r="I121" i="9"/>
  <c r="I120" i="9"/>
  <c r="I119" i="9"/>
  <c r="H29" i="4"/>
  <c r="C13" i="3"/>
  <c r="C5" i="3"/>
  <c r="M38" i="14"/>
  <c r="J38" i="14"/>
  <c r="D38" i="14"/>
  <c r="M37" i="14"/>
  <c r="J37" i="14"/>
  <c r="D37" i="14"/>
  <c r="M36" i="14"/>
  <c r="J36" i="14"/>
  <c r="D36" i="14"/>
  <c r="M35" i="14"/>
  <c r="J35" i="14"/>
  <c r="D35" i="14"/>
  <c r="M34" i="14"/>
  <c r="J34" i="14"/>
  <c r="D34" i="14"/>
  <c r="G22" i="14"/>
  <c r="D33" i="6"/>
  <c r="L8" i="12"/>
  <c r="M43" i="12"/>
  <c r="H2" i="13"/>
  <c r="L8" i="13"/>
  <c r="C42" i="6"/>
  <c r="H46" i="4"/>
  <c r="G87" i="11"/>
  <c r="J87" i="11" s="1"/>
  <c r="G70" i="11"/>
  <c r="J70" i="11" s="1"/>
  <c r="H40" i="4"/>
  <c r="G77" i="11"/>
  <c r="J77" i="11" s="1"/>
  <c r="G76" i="11"/>
  <c r="J76" i="11" s="1"/>
  <c r="G75" i="11"/>
  <c r="J75" i="11" s="1"/>
  <c r="G74" i="11"/>
  <c r="J74" i="11" s="1"/>
  <c r="G73" i="11"/>
  <c r="J73" i="11" s="1"/>
  <c r="G72" i="11"/>
  <c r="J72" i="11" s="1"/>
  <c r="G71" i="11"/>
  <c r="J71" i="11" s="1"/>
  <c r="H3" i="7"/>
  <c r="B3" i="7"/>
  <c r="H3" i="6"/>
  <c r="D33" i="15"/>
  <c r="D34" i="15"/>
  <c r="D35" i="15"/>
  <c r="D36" i="15"/>
  <c r="D37" i="15"/>
  <c r="K5" i="11"/>
  <c r="L5" i="11"/>
  <c r="M5" i="11"/>
  <c r="N5" i="11"/>
  <c r="G7" i="11"/>
  <c r="J7" i="11" s="1"/>
  <c r="G16" i="11"/>
  <c r="G17" i="11"/>
  <c r="J17" i="11" s="1"/>
  <c r="G18" i="11"/>
  <c r="G19" i="11"/>
  <c r="J19" i="11" s="1"/>
  <c r="G20" i="11"/>
  <c r="G21" i="11"/>
  <c r="G52" i="11"/>
  <c r="G54" i="11"/>
  <c r="J54" i="11" s="1"/>
  <c r="G61" i="11"/>
  <c r="J61" i="11" s="1"/>
  <c r="G62" i="11"/>
  <c r="J62" i="11" s="1"/>
  <c r="G63" i="11"/>
  <c r="J63" i="11" s="1"/>
  <c r="G64" i="11"/>
  <c r="J64" i="11" s="1"/>
  <c r="G65" i="11"/>
  <c r="J65" i="11" s="1"/>
  <c r="G66" i="11"/>
  <c r="J66" i="11" s="1"/>
  <c r="G67" i="11"/>
  <c r="J67" i="11" s="1"/>
  <c r="G82" i="11"/>
  <c r="J82" i="11" s="1"/>
  <c r="G83" i="11"/>
  <c r="J83" i="11" s="1"/>
  <c r="A5" i="6"/>
  <c r="A4" i="6"/>
  <c r="A3" i="6"/>
  <c r="H5" i="6"/>
  <c r="H4" i="6"/>
  <c r="A5" i="7"/>
  <c r="A4" i="7"/>
  <c r="A3" i="7"/>
  <c r="D31" i="7"/>
  <c r="M17" i="29" s="1"/>
  <c r="N17" i="29" s="1"/>
  <c r="C40" i="7"/>
  <c r="H5" i="7"/>
  <c r="H4" i="7"/>
  <c r="H7" i="4"/>
  <c r="H6" i="4"/>
  <c r="E20" i="15"/>
  <c r="G21" i="15" s="1"/>
  <c r="H13" i="7"/>
  <c r="E24" i="29" l="1"/>
  <c r="E25" i="29" s="1"/>
  <c r="E26" i="29" s="1"/>
  <c r="E27" i="29" s="1"/>
  <c r="E28" i="29" s="1"/>
  <c r="E29" i="29" s="1"/>
  <c r="S115" i="5"/>
  <c r="M8" i="29"/>
  <c r="B74" i="16"/>
  <c r="B82" i="21"/>
  <c r="D14" i="29"/>
  <c r="M6" i="29"/>
  <c r="K8" i="10"/>
  <c r="L8" i="10" s="1"/>
  <c r="D2" i="22"/>
  <c r="N10" i="10"/>
  <c r="M7" i="29"/>
  <c r="P10" i="10"/>
  <c r="P7" i="10"/>
  <c r="M4" i="29"/>
  <c r="O32" i="10"/>
  <c r="M9" i="29"/>
  <c r="D4" i="11"/>
  <c r="D27" i="29"/>
  <c r="F27" i="29" s="1"/>
  <c r="J16" i="29"/>
  <c r="L16" i="29" s="1"/>
  <c r="B86" i="19"/>
  <c r="B86" i="20"/>
  <c r="B73" i="19"/>
  <c r="B74" i="22"/>
  <c r="B86" i="21"/>
  <c r="B73" i="21"/>
  <c r="B74" i="18"/>
  <c r="B86" i="22"/>
  <c r="E32" i="28"/>
  <c r="B73" i="18"/>
  <c r="B74" i="23"/>
  <c r="B86" i="18"/>
  <c r="B73" i="17"/>
  <c r="B77" i="19"/>
  <c r="B73" i="20"/>
  <c r="B86" i="17"/>
  <c r="G7" i="29"/>
  <c r="F5" i="29"/>
  <c r="J20" i="11"/>
  <c r="J18" i="11"/>
  <c r="J27" i="11"/>
  <c r="J35" i="11"/>
  <c r="J43" i="11"/>
  <c r="N32" i="10"/>
  <c r="G8" i="27"/>
  <c r="N2" i="13"/>
  <c r="N7" i="10"/>
  <c r="M44" i="19"/>
  <c r="K49" i="19" s="1"/>
  <c r="G10" i="27"/>
  <c r="O7" i="10"/>
  <c r="J50" i="11"/>
  <c r="J28" i="11"/>
  <c r="J8" i="11"/>
  <c r="J13" i="11"/>
  <c r="J41" i="11"/>
  <c r="J29" i="11"/>
  <c r="J34" i="11"/>
  <c r="J42" i="11"/>
  <c r="J25" i="11"/>
  <c r="T19" i="10"/>
  <c r="T20" i="10" s="1"/>
  <c r="T21" i="10" s="1"/>
  <c r="T22" i="10" s="1"/>
  <c r="T23" i="10" s="1"/>
  <c r="T24" i="10" s="1"/>
  <c r="R19" i="10"/>
  <c r="R20" i="10" s="1"/>
  <c r="R21" i="10" s="1"/>
  <c r="R22" i="10" s="1"/>
  <c r="R23" i="10" s="1"/>
  <c r="R24" i="10" s="1"/>
  <c r="T35" i="10"/>
  <c r="T36" i="10" s="1"/>
  <c r="T37" i="10" s="1"/>
  <c r="T38" i="10" s="1"/>
  <c r="T39" i="10" s="1"/>
  <c r="T40" i="10" s="1"/>
  <c r="T41" i="10" s="1"/>
  <c r="T42" i="10" s="1"/>
  <c r="T43" i="10" s="1"/>
  <c r="T44" i="10" s="1"/>
  <c r="T45" i="10" s="1"/>
  <c r="T46" i="10" s="1"/>
  <c r="T47" i="10" s="1"/>
  <c r="T48" i="10" s="1"/>
  <c r="T34" i="10"/>
  <c r="Q35" i="10"/>
  <c r="Q36" i="10" s="1"/>
  <c r="Q37" i="10" s="1"/>
  <c r="Q38" i="10" s="1"/>
  <c r="P38" i="10" s="1"/>
  <c r="Q34" i="10"/>
  <c r="R35" i="10"/>
  <c r="R36" i="10" s="1"/>
  <c r="R37" i="10" s="1"/>
  <c r="R38" i="10" s="1"/>
  <c r="R39" i="10" s="1"/>
  <c r="R40" i="10" s="1"/>
  <c r="R41" i="10" s="1"/>
  <c r="R42" i="10" s="1"/>
  <c r="R43" i="10" s="1"/>
  <c r="R44" i="10" s="1"/>
  <c r="R45" i="10" s="1"/>
  <c r="R46" i="10" s="1"/>
  <c r="R47" i="10" s="1"/>
  <c r="R48" i="10" s="1"/>
  <c r="R34" i="10"/>
  <c r="S35" i="10"/>
  <c r="S36" i="10" s="1"/>
  <c r="S37" i="10" s="1"/>
  <c r="S38" i="10" s="1"/>
  <c r="S39" i="10" s="1"/>
  <c r="S40" i="10" s="1"/>
  <c r="S41" i="10" s="1"/>
  <c r="S42" i="10" s="1"/>
  <c r="S43" i="10" s="1"/>
  <c r="S44" i="10" s="1"/>
  <c r="S45" i="10" s="1"/>
  <c r="S46" i="10" s="1"/>
  <c r="S47" i="10" s="1"/>
  <c r="S48" i="10" s="1"/>
  <c r="S34" i="10"/>
  <c r="V4" i="8"/>
  <c r="J24" i="13"/>
  <c r="K25" i="13"/>
  <c r="L25" i="13" s="1"/>
  <c r="O25" i="13" s="1"/>
  <c r="J29" i="13"/>
  <c r="J28" i="13"/>
  <c r="J35" i="13"/>
  <c r="I29" i="13"/>
  <c r="C7" i="29"/>
  <c r="F7" i="29" s="1"/>
  <c r="B72" i="23"/>
  <c r="B72" i="17"/>
  <c r="B72" i="19"/>
  <c r="B72" i="16"/>
  <c r="E29" i="2"/>
  <c r="E30" i="2"/>
  <c r="E18" i="2"/>
  <c r="E17" i="2"/>
  <c r="Q15" i="10"/>
  <c r="N15" i="10" s="1"/>
  <c r="P14" i="10"/>
  <c r="B77" i="23"/>
  <c r="B82" i="17"/>
  <c r="F8" i="29"/>
  <c r="K64" i="5"/>
  <c r="T64" i="5" s="1"/>
  <c r="H44" i="20"/>
  <c r="K47" i="20" s="1"/>
  <c r="I54" i="20" s="1"/>
  <c r="K54" i="20" s="1"/>
  <c r="B82" i="23"/>
  <c r="J11" i="11"/>
  <c r="J16" i="11"/>
  <c r="B3" i="6"/>
  <c r="F162" i="5"/>
  <c r="U162" i="5" s="1"/>
  <c r="B82" i="19"/>
  <c r="B79" i="20"/>
  <c r="M88" i="16"/>
  <c r="J31" i="11"/>
  <c r="D4" i="13"/>
  <c r="B82" i="20"/>
  <c r="B79" i="21"/>
  <c r="J33" i="11"/>
  <c r="J39" i="11"/>
  <c r="J44" i="11"/>
  <c r="G6" i="29"/>
  <c r="J44" i="17"/>
  <c r="M66" i="17"/>
  <c r="J44" i="18"/>
  <c r="K48" i="18" s="1"/>
  <c r="H44" i="22"/>
  <c r="K47" i="22" s="1"/>
  <c r="I54" i="22" s="1"/>
  <c r="K54" i="22" s="1"/>
  <c r="M66" i="23"/>
  <c r="P32" i="10"/>
  <c r="H88" i="5"/>
  <c r="Q88" i="5" s="1"/>
  <c r="E34" i="28"/>
  <c r="B82" i="22"/>
  <c r="B79" i="18"/>
  <c r="H126" i="5"/>
  <c r="Q126" i="5" s="1"/>
  <c r="E51" i="10"/>
  <c r="H56" i="5" s="1"/>
  <c r="J56" i="5" s="1"/>
  <c r="G34" i="4"/>
  <c r="H34" i="4" s="1"/>
  <c r="E28" i="28"/>
  <c r="B82" i="18"/>
  <c r="J32" i="11"/>
  <c r="G33" i="4"/>
  <c r="H33" i="4" s="1"/>
  <c r="F44" i="12"/>
  <c r="G44" i="12" s="1"/>
  <c r="F36" i="6" s="1"/>
  <c r="B72" i="22"/>
  <c r="B76" i="23"/>
  <c r="B76" i="16"/>
  <c r="B78" i="19"/>
  <c r="B79" i="23"/>
  <c r="B74" i="17"/>
  <c r="J40" i="11"/>
  <c r="I114" i="5"/>
  <c r="S114" i="5" s="1"/>
  <c r="J44" i="23"/>
  <c r="K48" i="23" s="1"/>
  <c r="F29" i="29"/>
  <c r="I5" i="9"/>
  <c r="M5" i="9" s="1"/>
  <c r="B4" i="6"/>
  <c r="B78" i="20"/>
  <c r="B85" i="16"/>
  <c r="B85" i="21"/>
  <c r="B85" i="17"/>
  <c r="B85" i="20"/>
  <c r="E31" i="28"/>
  <c r="B85" i="19"/>
  <c r="V4" i="9"/>
  <c r="J10" i="11"/>
  <c r="T61" i="5"/>
  <c r="Q125" i="5"/>
  <c r="H44" i="21"/>
  <c r="K47" i="21" s="1"/>
  <c r="M66" i="21"/>
  <c r="B78" i="18"/>
  <c r="B78" i="21"/>
  <c r="B78" i="23"/>
  <c r="B70" i="19"/>
  <c r="B84" i="21"/>
  <c r="E30" i="28"/>
  <c r="O33" i="10"/>
  <c r="N33" i="10"/>
  <c r="P33" i="10"/>
  <c r="H44" i="17"/>
  <c r="K47" i="17" s="1"/>
  <c r="I54" i="17" s="1"/>
  <c r="K54" i="17" s="1"/>
  <c r="M88" i="19"/>
  <c r="M44" i="20"/>
  <c r="J44" i="20"/>
  <c r="K48" i="20" s="1"/>
  <c r="M66" i="20"/>
  <c r="H44" i="23"/>
  <c r="K47" i="23" s="1"/>
  <c r="M44" i="23"/>
  <c r="A53" i="3"/>
  <c r="A51" i="3"/>
  <c r="A54" i="3"/>
  <c r="B70" i="22"/>
  <c r="E24" i="2"/>
  <c r="B78" i="22"/>
  <c r="M66" i="16"/>
  <c r="K23" i="13"/>
  <c r="L23" i="13" s="1"/>
  <c r="O23" i="13" s="1"/>
  <c r="K24" i="13"/>
  <c r="G5" i="9"/>
  <c r="G6" i="9" s="1"/>
  <c r="G7" i="9" s="1"/>
  <c r="F12" i="7" s="1"/>
  <c r="O5" i="29" s="1"/>
  <c r="P5" i="29" s="1"/>
  <c r="B85" i="22"/>
  <c r="O93" i="5"/>
  <c r="F100" i="5"/>
  <c r="O100" i="5" s="1"/>
  <c r="B80" i="17"/>
  <c r="B80" i="22"/>
  <c r="B85" i="23"/>
  <c r="J36" i="11"/>
  <c r="J38" i="11"/>
  <c r="M44" i="18"/>
  <c r="M49" i="18" s="1"/>
  <c r="G27" i="4"/>
  <c r="H27" i="4" s="1"/>
  <c r="B70" i="16"/>
  <c r="B70" i="21"/>
  <c r="B70" i="20"/>
  <c r="B70" i="23"/>
  <c r="B70" i="17"/>
  <c r="B78" i="17"/>
  <c r="B85" i="18"/>
  <c r="E47" i="28"/>
  <c r="F50" i="5"/>
  <c r="O50" i="5" s="1"/>
  <c r="E29" i="28"/>
  <c r="F138" i="5"/>
  <c r="O138" i="5" s="1"/>
  <c r="P13" i="10"/>
  <c r="M88" i="23"/>
  <c r="G38" i="4"/>
  <c r="H38" i="4" s="1"/>
  <c r="J15" i="29" s="1"/>
  <c r="L15" i="29" s="1"/>
  <c r="S198" i="5"/>
  <c r="D15" i="29"/>
  <c r="G5" i="8"/>
  <c r="G6" i="8" s="1"/>
  <c r="G7" i="8" s="1"/>
  <c r="F12" i="6" s="1"/>
  <c r="O11" i="29" s="1"/>
  <c r="P11" i="29" s="1"/>
  <c r="J197" i="5"/>
  <c r="S197" i="5" s="1"/>
  <c r="H44" i="16"/>
  <c r="K47" i="16" s="1"/>
  <c r="I54" i="16" s="1"/>
  <c r="K54" i="16" s="1"/>
  <c r="J30" i="13"/>
  <c r="D13" i="29"/>
  <c r="M66" i="22"/>
  <c r="E33" i="28"/>
  <c r="B72" i="20"/>
  <c r="B76" i="19"/>
  <c r="P4" i="9"/>
  <c r="J44" i="21"/>
  <c r="K48" i="21" s="1"/>
  <c r="M66" i="18"/>
  <c r="S4" i="8"/>
  <c r="B74" i="20"/>
  <c r="J30" i="11"/>
  <c r="J37" i="11"/>
  <c r="H44" i="18"/>
  <c r="K47" i="18" s="1"/>
  <c r="H44" i="19"/>
  <c r="K47" i="19" s="1"/>
  <c r="M66" i="19"/>
  <c r="J44" i="22"/>
  <c r="K48" i="22" s="1"/>
  <c r="F45" i="12"/>
  <c r="G45" i="12" s="1"/>
  <c r="F37" i="6" s="1"/>
  <c r="J47" i="11"/>
  <c r="B74" i="21"/>
  <c r="G24" i="5"/>
  <c r="E27" i="10"/>
  <c r="B24" i="10" s="1"/>
  <c r="C19" i="7"/>
  <c r="H18" i="7"/>
  <c r="B71" i="16"/>
  <c r="B71" i="21"/>
  <c r="B71" i="22"/>
  <c r="B71" i="17"/>
  <c r="B71" i="20"/>
  <c r="B83" i="16"/>
  <c r="B83" i="17"/>
  <c r="B83" i="21"/>
  <c r="B83" i="19"/>
  <c r="B84" i="20"/>
  <c r="B84" i="18"/>
  <c r="B84" i="19"/>
  <c r="J44" i="16"/>
  <c r="J26" i="11"/>
  <c r="C16" i="29"/>
  <c r="B83" i="20"/>
  <c r="B80" i="16"/>
  <c r="B80" i="21"/>
  <c r="B80" i="18"/>
  <c r="B80" i="20"/>
  <c r="B80" i="19"/>
  <c r="B71" i="23"/>
  <c r="B77" i="16"/>
  <c r="B77" i="21"/>
  <c r="B77" i="17"/>
  <c r="B77" i="20"/>
  <c r="B84" i="22"/>
  <c r="Q37" i="5"/>
  <c r="R29" i="5"/>
  <c r="T29" i="5" s="1"/>
  <c r="J34" i="13"/>
  <c r="O207" i="5"/>
  <c r="F209" i="5"/>
  <c r="O209" i="5" s="1"/>
  <c r="L32" i="12"/>
  <c r="O32" i="12" s="1"/>
  <c r="L27" i="13"/>
  <c r="O27" i="13" s="1"/>
  <c r="L22" i="13"/>
  <c r="O22" i="13" s="1"/>
  <c r="L12" i="12"/>
  <c r="C17" i="6"/>
  <c r="H16" i="6"/>
  <c r="B5" i="7"/>
  <c r="B5" i="6"/>
  <c r="Y4" i="8"/>
  <c r="B71" i="19"/>
  <c r="I40" i="13"/>
  <c r="I39" i="13"/>
  <c r="H17" i="7"/>
  <c r="P4" i="8"/>
  <c r="B83" i="23"/>
  <c r="B77" i="18"/>
  <c r="B75" i="16"/>
  <c r="B75" i="18"/>
  <c r="B75" i="20"/>
  <c r="B75" i="17"/>
  <c r="B75" i="19"/>
  <c r="T16" i="5"/>
  <c r="D22" i="6" s="1"/>
  <c r="B84" i="23"/>
  <c r="Y4" i="9"/>
  <c r="S4" i="9"/>
  <c r="E10" i="29"/>
  <c r="E11" i="29" s="1"/>
  <c r="F9" i="29"/>
  <c r="G9" i="29"/>
  <c r="G8" i="29"/>
  <c r="G5" i="29"/>
  <c r="P31" i="10"/>
  <c r="N31" i="10"/>
  <c r="N13" i="10"/>
  <c r="O9" i="10"/>
  <c r="N9" i="10"/>
  <c r="I5" i="8"/>
  <c r="K5" i="8" s="1"/>
  <c r="C19" i="3"/>
  <c r="M44" i="16"/>
  <c r="I33" i="13"/>
  <c r="J9" i="11"/>
  <c r="P9" i="10"/>
  <c r="F6" i="29"/>
  <c r="N35" i="10"/>
  <c r="P8" i="10"/>
  <c r="N8" i="10"/>
  <c r="N12" i="10"/>
  <c r="P12" i="10"/>
  <c r="M88" i="20"/>
  <c r="N37" i="10"/>
  <c r="O71" i="5"/>
  <c r="F76" i="5"/>
  <c r="O76" i="5" s="1"/>
  <c r="O77" i="5"/>
  <c r="G28" i="4"/>
  <c r="H28" i="4" s="1"/>
  <c r="B81" i="21"/>
  <c r="B81" i="16"/>
  <c r="B81" i="22"/>
  <c r="B81" i="23"/>
  <c r="B81" i="20"/>
  <c r="B81" i="19"/>
  <c r="B81" i="18"/>
  <c r="Q16" i="10"/>
  <c r="P15" i="10"/>
  <c r="S11" i="10"/>
  <c r="S12" i="10" s="1"/>
  <c r="O10" i="10"/>
  <c r="F185" i="5"/>
  <c r="O185" i="5" s="1"/>
  <c r="O8" i="10"/>
  <c r="P35" i="10"/>
  <c r="N14" i="10"/>
  <c r="M44" i="17"/>
  <c r="O101" i="5"/>
  <c r="G30" i="4"/>
  <c r="H30" i="4" s="1"/>
  <c r="D28" i="29" s="1"/>
  <c r="F28" i="29" s="1"/>
  <c r="O51" i="5"/>
  <c r="G26" i="4"/>
  <c r="H26" i="4" s="1"/>
  <c r="D24" i="29" s="1"/>
  <c r="F24" i="29" s="1"/>
  <c r="M88" i="18"/>
  <c r="J44" i="19"/>
  <c r="K48" i="19" s="1"/>
  <c r="M88" i="21"/>
  <c r="M88" i="22"/>
  <c r="L82" i="17"/>
  <c r="M82" i="17" s="1"/>
  <c r="M88" i="17" s="1"/>
  <c r="U163" i="5"/>
  <c r="M44" i="21"/>
  <c r="M44" i="22"/>
  <c r="J10" i="6"/>
  <c r="O210" i="5"/>
  <c r="C9" i="27"/>
  <c r="F150" i="5"/>
  <c r="O150" i="5" s="1"/>
  <c r="F174" i="5"/>
  <c r="O174" i="5" s="1"/>
  <c r="G11" i="27"/>
  <c r="N3" i="13"/>
  <c r="F117" i="28"/>
  <c r="O37" i="10"/>
  <c r="N11" i="10"/>
  <c r="K3" i="6"/>
  <c r="K3" i="7"/>
  <c r="H26" i="2"/>
  <c r="K4" i="7"/>
  <c r="H27" i="2"/>
  <c r="P11" i="10"/>
  <c r="D24" i="3"/>
  <c r="C8" i="6"/>
  <c r="C9" i="6" s="1"/>
  <c r="C10" i="6" s="1"/>
  <c r="L50" i="18"/>
  <c r="L50" i="20"/>
  <c r="L50" i="22"/>
  <c r="L50" i="23"/>
  <c r="L50" i="19"/>
  <c r="L50" i="17"/>
  <c r="L50" i="16"/>
  <c r="L50" i="21"/>
  <c r="D66" i="28"/>
  <c r="C8" i="7"/>
  <c r="C9" i="7" s="1"/>
  <c r="D17" i="29" l="1"/>
  <c r="K5" i="7"/>
  <c r="L14" i="7" s="1"/>
  <c r="F14" i="7" s="1"/>
  <c r="H14" i="7" s="1"/>
  <c r="H24" i="10"/>
  <c r="F24" i="10"/>
  <c r="J21" i="11"/>
  <c r="J22" i="11" s="1"/>
  <c r="F19" i="7" s="1"/>
  <c r="H19" i="7" s="1"/>
  <c r="K48" i="17"/>
  <c r="K48" i="16"/>
  <c r="M49" i="19"/>
  <c r="I55" i="17"/>
  <c r="K55" i="17" s="1"/>
  <c r="P37" i="10"/>
  <c r="O35" i="10"/>
  <c r="O36" i="10"/>
  <c r="N36" i="10"/>
  <c r="B48" i="10"/>
  <c r="F48" i="10" s="1"/>
  <c r="P36" i="10"/>
  <c r="E54" i="10"/>
  <c r="N34" i="10"/>
  <c r="O34" i="10"/>
  <c r="P34" i="10"/>
  <c r="H55" i="5"/>
  <c r="J55" i="5" s="1"/>
  <c r="L12" i="13"/>
  <c r="O12" i="13" s="1"/>
  <c r="L24" i="13"/>
  <c r="O24" i="13" s="1"/>
  <c r="J33" i="13"/>
  <c r="L37" i="12"/>
  <c r="O37" i="12" s="1"/>
  <c r="L5" i="9"/>
  <c r="D12" i="7"/>
  <c r="M5" i="29" s="1"/>
  <c r="K5" i="9"/>
  <c r="I55" i="20"/>
  <c r="K55" i="20" s="1"/>
  <c r="E56" i="5"/>
  <c r="G56" i="5" s="1"/>
  <c r="K56" i="5" s="1"/>
  <c r="T56" i="5" s="1"/>
  <c r="E55" i="5"/>
  <c r="G55" i="5" s="1"/>
  <c r="I55" i="22"/>
  <c r="K55" i="22" s="1"/>
  <c r="G10" i="29"/>
  <c r="K28" i="13"/>
  <c r="L28" i="13" s="1"/>
  <c r="O28" i="13" s="1"/>
  <c r="K29" i="13"/>
  <c r="L29" i="13" s="1"/>
  <c r="O29" i="13" s="1"/>
  <c r="K30" i="13"/>
  <c r="L30" i="13" s="1"/>
  <c r="O30" i="13" s="1"/>
  <c r="K49" i="20"/>
  <c r="M50" i="20" s="1"/>
  <c r="M49" i="20"/>
  <c r="K49" i="18"/>
  <c r="M50" i="18" s="1"/>
  <c r="M50" i="19"/>
  <c r="N4" i="13"/>
  <c r="I55" i="16"/>
  <c r="K55" i="16" s="1"/>
  <c r="I55" i="19"/>
  <c r="K55" i="19" s="1"/>
  <c r="I54" i="19"/>
  <c r="K54" i="19" s="1"/>
  <c r="K49" i="23"/>
  <c r="M50" i="23" s="1"/>
  <c r="M49" i="23"/>
  <c r="L13" i="12"/>
  <c r="O13" i="12" s="1"/>
  <c r="L15" i="12"/>
  <c r="O15" i="12" s="1"/>
  <c r="L14" i="12"/>
  <c r="O14" i="12" s="1"/>
  <c r="I54" i="18"/>
  <c r="K54" i="18" s="1"/>
  <c r="I55" i="18"/>
  <c r="K55" i="18" s="1"/>
  <c r="I55" i="23"/>
  <c r="K55" i="23" s="1"/>
  <c r="I54" i="23"/>
  <c r="K54" i="23" s="1"/>
  <c r="I54" i="21"/>
  <c r="K54" i="21" s="1"/>
  <c r="I55" i="21"/>
  <c r="K55" i="21" s="1"/>
  <c r="D12" i="6"/>
  <c r="M11" i="29" s="1"/>
  <c r="K49" i="17"/>
  <c r="M50" i="17" s="1"/>
  <c r="M49" i="17"/>
  <c r="D25" i="29"/>
  <c r="F25" i="29" s="1"/>
  <c r="D26" i="29"/>
  <c r="F26" i="29" s="1"/>
  <c r="J20" i="13"/>
  <c r="M5" i="8"/>
  <c r="E12" i="29"/>
  <c r="F11" i="29"/>
  <c r="G11" i="29"/>
  <c r="H42" i="4"/>
  <c r="C18" i="6"/>
  <c r="H17" i="6"/>
  <c r="N16" i="10"/>
  <c r="L5" i="8"/>
  <c r="K49" i="21"/>
  <c r="M50" i="21" s="1"/>
  <c r="M49" i="21"/>
  <c r="O11" i="10"/>
  <c r="K49" i="16"/>
  <c r="M50" i="16" s="1"/>
  <c r="M49" i="16"/>
  <c r="L37" i="13"/>
  <c r="O37" i="13" s="1"/>
  <c r="J40" i="13"/>
  <c r="J38" i="13"/>
  <c r="J39" i="13"/>
  <c r="O12" i="12"/>
  <c r="F38" i="6"/>
  <c r="L33" i="12"/>
  <c r="O33" i="12" s="1"/>
  <c r="L35" i="12"/>
  <c r="O35" i="12" s="1"/>
  <c r="L34" i="12"/>
  <c r="O34" i="12" s="1"/>
  <c r="K35" i="13"/>
  <c r="L35" i="13" s="1"/>
  <c r="O35" i="13" s="1"/>
  <c r="K34" i="13"/>
  <c r="L34" i="13" s="1"/>
  <c r="O34" i="13" s="1"/>
  <c r="K33" i="13"/>
  <c r="L33" i="13" s="1"/>
  <c r="O33" i="13" s="1"/>
  <c r="L32" i="13"/>
  <c r="O32" i="13" s="1"/>
  <c r="Q17" i="10"/>
  <c r="P16" i="10"/>
  <c r="L14" i="13"/>
  <c r="O14" i="13" s="1"/>
  <c r="L13" i="13"/>
  <c r="O13" i="13" s="1"/>
  <c r="L15" i="13"/>
  <c r="O15" i="13" s="1"/>
  <c r="M49" i="22"/>
  <c r="K49" i="22"/>
  <c r="M50" i="22" s="1"/>
  <c r="S13" i="10"/>
  <c r="O12" i="10"/>
  <c r="Q39" i="10"/>
  <c r="N38" i="10"/>
  <c r="O38" i="10"/>
  <c r="F10" i="29"/>
  <c r="L27" i="12"/>
  <c r="O27" i="12" s="1"/>
  <c r="C20" i="7"/>
  <c r="C21" i="7" s="1"/>
  <c r="N4" i="12"/>
  <c r="J20" i="7"/>
  <c r="L20" i="7" s="1"/>
  <c r="F20" i="7" s="1"/>
  <c r="K5" i="6"/>
  <c r="L13" i="6" s="1"/>
  <c r="F13" i="6" s="1"/>
  <c r="H13" i="6" s="1"/>
  <c r="J15" i="7"/>
  <c r="L15" i="7" s="1"/>
  <c r="F15" i="7" s="1"/>
  <c r="H15" i="7" s="1"/>
  <c r="K6" i="7"/>
  <c r="H28" i="2"/>
  <c r="K6" i="6"/>
  <c r="H29" i="2"/>
  <c r="C11" i="6"/>
  <c r="H11" i="6" s="1"/>
  <c r="C11" i="7"/>
  <c r="C10" i="7"/>
  <c r="F30" i="29" l="1"/>
  <c r="F36" i="7"/>
  <c r="F26" i="10"/>
  <c r="F27" i="10" s="1"/>
  <c r="J48" i="10"/>
  <c r="J51" i="10" s="1"/>
  <c r="D9" i="6" s="1"/>
  <c r="K55" i="5"/>
  <c r="T55" i="5" s="1"/>
  <c r="L22" i="12"/>
  <c r="O22" i="12" s="1"/>
  <c r="L24" i="12"/>
  <c r="O24" i="12" s="1"/>
  <c r="L25" i="12"/>
  <c r="O25" i="12" s="1"/>
  <c r="L23" i="12"/>
  <c r="O23" i="12" s="1"/>
  <c r="L38" i="12"/>
  <c r="O38" i="12" s="1"/>
  <c r="L40" i="12"/>
  <c r="O40" i="12" s="1"/>
  <c r="L39" i="12"/>
  <c r="O39" i="12" s="1"/>
  <c r="F50" i="10"/>
  <c r="F51" i="10" s="1"/>
  <c r="F9" i="6" s="1"/>
  <c r="H20" i="7"/>
  <c r="L20" i="12"/>
  <c r="O20" i="12" s="1"/>
  <c r="L19" i="12"/>
  <c r="O19" i="12" s="1"/>
  <c r="L18" i="12"/>
  <c r="O18" i="12" s="1"/>
  <c r="L17" i="12"/>
  <c r="J24" i="10"/>
  <c r="H27" i="10"/>
  <c r="H21" i="7"/>
  <c r="C22" i="7"/>
  <c r="Q40" i="10"/>
  <c r="N39" i="10"/>
  <c r="P39" i="10"/>
  <c r="O39" i="10"/>
  <c r="H43" i="4"/>
  <c r="L32" i="4" s="1"/>
  <c r="K40" i="13"/>
  <c r="L40" i="13" s="1"/>
  <c r="O40" i="13" s="1"/>
  <c r="K38" i="13"/>
  <c r="L38" i="13" s="1"/>
  <c r="O38" i="13" s="1"/>
  <c r="K39" i="13"/>
  <c r="L39" i="13" s="1"/>
  <c r="O39" i="13" s="1"/>
  <c r="C19" i="6"/>
  <c r="C20" i="6" s="1"/>
  <c r="E13" i="29"/>
  <c r="F12" i="29"/>
  <c r="G12" i="29"/>
  <c r="L20" i="13"/>
  <c r="O20" i="13" s="1"/>
  <c r="L19" i="13"/>
  <c r="O19" i="13" s="1"/>
  <c r="L18" i="13"/>
  <c r="O18" i="13" s="1"/>
  <c r="C12" i="6"/>
  <c r="H12" i="6" s="1"/>
  <c r="L17" i="13"/>
  <c r="L30" i="12"/>
  <c r="O30" i="12" s="1"/>
  <c r="L28" i="12"/>
  <c r="O28" i="12" s="1"/>
  <c r="L29" i="12"/>
  <c r="O29" i="12" s="1"/>
  <c r="S14" i="10"/>
  <c r="O13" i="10"/>
  <c r="Q18" i="10"/>
  <c r="Q19" i="10" s="1"/>
  <c r="P17" i="10"/>
  <c r="N17" i="10"/>
  <c r="L19" i="6"/>
  <c r="F19" i="6" s="1"/>
  <c r="L14" i="6"/>
  <c r="F14" i="6" s="1"/>
  <c r="H14" i="6" s="1"/>
  <c r="K7" i="7"/>
  <c r="K7" i="6"/>
  <c r="K8" i="7"/>
  <c r="K8" i="6"/>
  <c r="H11" i="7"/>
  <c r="C12" i="7"/>
  <c r="H12" i="7" s="1"/>
  <c r="N19" i="10" l="1"/>
  <c r="P19" i="10"/>
  <c r="H51" i="10"/>
  <c r="H54" i="10" s="1"/>
  <c r="H57" i="10" s="1"/>
  <c r="H19" i="6"/>
  <c r="F33" i="6"/>
  <c r="H33" i="6" s="1"/>
  <c r="O17" i="12"/>
  <c r="O43" i="12" s="1"/>
  <c r="D17" i="6"/>
  <c r="D31" i="6" s="1"/>
  <c r="J4" i="5"/>
  <c r="Q4" i="5" s="1"/>
  <c r="F4" i="5" s="1"/>
  <c r="J3" i="5"/>
  <c r="Q3" i="5" s="1"/>
  <c r="F3" i="5" s="1"/>
  <c r="F21" i="6"/>
  <c r="H9" i="6"/>
  <c r="L35" i="6" s="1"/>
  <c r="D93" i="4" s="1"/>
  <c r="H44" i="4"/>
  <c r="C23" i="7"/>
  <c r="F9" i="7"/>
  <c r="F54" i="10"/>
  <c r="F57" i="10" s="1"/>
  <c r="S15" i="10"/>
  <c r="O14" i="10"/>
  <c r="Q41" i="10"/>
  <c r="P40" i="10"/>
  <c r="N40" i="10"/>
  <c r="O40" i="10"/>
  <c r="C21" i="6"/>
  <c r="H20" i="6"/>
  <c r="F31" i="7"/>
  <c r="H31" i="7" s="1"/>
  <c r="O17" i="13"/>
  <c r="O43" i="13" s="1"/>
  <c r="N18" i="10"/>
  <c r="P18" i="10"/>
  <c r="E14" i="29"/>
  <c r="F13" i="29"/>
  <c r="G13" i="29"/>
  <c r="J27" i="10"/>
  <c r="K10" i="6"/>
  <c r="N10" i="6" s="1"/>
  <c r="F10" i="6" s="1"/>
  <c r="K10" i="7"/>
  <c r="N10" i="7" s="1"/>
  <c r="F10" i="7" s="1"/>
  <c r="H10" i="7" s="1"/>
  <c r="D34" i="6" l="1"/>
  <c r="D38" i="6" s="1"/>
  <c r="D42" i="6" s="1"/>
  <c r="H42" i="6" s="1"/>
  <c r="C32" i="6"/>
  <c r="K41" i="6"/>
  <c r="K16" i="4"/>
  <c r="C22" i="6"/>
  <c r="H21" i="6"/>
  <c r="D9" i="7"/>
  <c r="J54" i="10"/>
  <c r="I56" i="10" s="1"/>
  <c r="H83" i="28" s="1"/>
  <c r="S16" i="10"/>
  <c r="O15" i="10"/>
  <c r="H23" i="7"/>
  <c r="C24" i="7"/>
  <c r="Q42" i="10"/>
  <c r="N41" i="10"/>
  <c r="P41" i="10"/>
  <c r="O41" i="10"/>
  <c r="N46" i="13"/>
  <c r="F32" i="7" s="1"/>
  <c r="N48" i="13"/>
  <c r="E15" i="29"/>
  <c r="F14" i="29"/>
  <c r="G14" i="29"/>
  <c r="Q20" i="10"/>
  <c r="N20" i="10" s="1"/>
  <c r="F22" i="7"/>
  <c r="H22" i="7" s="1"/>
  <c r="H9" i="7"/>
  <c r="N33" i="7" s="1"/>
  <c r="D91" i="4" s="1"/>
  <c r="N46" i="12"/>
  <c r="F34" i="6" s="1"/>
  <c r="N48" i="12"/>
  <c r="H10" i="6"/>
  <c r="H38" i="6" l="1"/>
  <c r="H34" i="6"/>
  <c r="F24" i="6" s="1"/>
  <c r="D88" i="4"/>
  <c r="L16" i="4"/>
  <c r="G16" i="4" s="1"/>
  <c r="H16" i="4" s="1"/>
  <c r="L44" i="4" s="1"/>
  <c r="H82" i="28"/>
  <c r="L43" i="6"/>
  <c r="L41" i="6"/>
  <c r="H24" i="7"/>
  <c r="C25" i="7"/>
  <c r="F15" i="29"/>
  <c r="F16" i="29" s="1"/>
  <c r="G15" i="29"/>
  <c r="G17" i="29" s="1"/>
  <c r="I3" i="5"/>
  <c r="D18" i="7"/>
  <c r="D32" i="7" s="1"/>
  <c r="I4" i="5"/>
  <c r="Q21" i="10"/>
  <c r="N21" i="10" s="1"/>
  <c r="P20" i="10"/>
  <c r="Q43" i="10"/>
  <c r="P42" i="10"/>
  <c r="O42" i="10"/>
  <c r="N42" i="10"/>
  <c r="S17" i="10"/>
  <c r="O16" i="10"/>
  <c r="H22" i="6"/>
  <c r="C23" i="6"/>
  <c r="D41" i="6" l="1"/>
  <c r="H41" i="6" s="1"/>
  <c r="D40" i="6"/>
  <c r="H40" i="6" s="1"/>
  <c r="D29" i="7"/>
  <c r="C30" i="7" s="1"/>
  <c r="N5" i="12"/>
  <c r="E86" i="28"/>
  <c r="D90" i="4"/>
  <c r="H32" i="7"/>
  <c r="D36" i="7"/>
  <c r="H23" i="6"/>
  <c r="C24" i="6"/>
  <c r="C25" i="6" s="1"/>
  <c r="P3" i="5"/>
  <c r="L3" i="5"/>
  <c r="N3" i="5" s="1"/>
  <c r="C26" i="7"/>
  <c r="H25" i="7"/>
  <c r="P4" i="5"/>
  <c r="L4" i="5"/>
  <c r="N4" i="5" s="1"/>
  <c r="S18" i="10"/>
  <c r="S19" i="10" s="1"/>
  <c r="O19" i="10" s="1"/>
  <c r="O17" i="10"/>
  <c r="Q44" i="10"/>
  <c r="P43" i="10"/>
  <c r="O43" i="10"/>
  <c r="N43" i="10"/>
  <c r="Q22" i="10"/>
  <c r="N22" i="10" s="1"/>
  <c r="P21" i="10"/>
  <c r="K39" i="7" l="1"/>
  <c r="L39" i="7" s="1"/>
  <c r="K13" i="4"/>
  <c r="L13" i="4" s="1"/>
  <c r="G13" i="4" s="1"/>
  <c r="H13" i="4" s="1"/>
  <c r="L45" i="4" s="1"/>
  <c r="O18" i="10"/>
  <c r="C27" i="7"/>
  <c r="H26" i="7"/>
  <c r="H25" i="6"/>
  <c r="C26" i="6"/>
  <c r="H36" i="7"/>
  <c r="D40" i="7"/>
  <c r="H40" i="7" s="1"/>
  <c r="H24" i="6"/>
  <c r="Q23" i="10"/>
  <c r="N23" i="10" s="1"/>
  <c r="P22" i="10"/>
  <c r="Q45" i="10"/>
  <c r="P44" i="10"/>
  <c r="N44" i="10"/>
  <c r="O44" i="10"/>
  <c r="S4" i="5"/>
  <c r="E4" i="5"/>
  <c r="H4" i="5" s="1"/>
  <c r="E3" i="5"/>
  <c r="H3" i="5" s="1"/>
  <c r="S3" i="5"/>
  <c r="F27" i="7"/>
  <c r="H11" i="5" l="1"/>
  <c r="D87" i="4"/>
  <c r="E82" i="28"/>
  <c r="L41" i="7"/>
  <c r="D89" i="4" s="1"/>
  <c r="H27" i="7"/>
  <c r="D39" i="7"/>
  <c r="H39" i="7" s="1"/>
  <c r="D38" i="7"/>
  <c r="H38" i="7" s="1"/>
  <c r="P45" i="10"/>
  <c r="Q46" i="10"/>
  <c r="O45" i="10"/>
  <c r="N45" i="10"/>
  <c r="Q24" i="10"/>
  <c r="N24" i="10" s="1"/>
  <c r="P23" i="10"/>
  <c r="H26" i="6"/>
  <c r="C27" i="6"/>
  <c r="S20" i="10"/>
  <c r="E85" i="28" l="1"/>
  <c r="N5" i="13"/>
  <c r="P24" i="10"/>
  <c r="P27" i="10" s="1"/>
  <c r="N27" i="10"/>
  <c r="Q47" i="10"/>
  <c r="N46" i="10"/>
  <c r="O46" i="10"/>
  <c r="P46" i="10"/>
  <c r="S21" i="10"/>
  <c r="O20" i="10"/>
  <c r="C28" i="6"/>
  <c r="H27" i="6"/>
  <c r="D33" i="7" l="1"/>
  <c r="H33" i="7" s="1"/>
  <c r="S22" i="10"/>
  <c r="O21" i="10"/>
  <c r="C29" i="6"/>
  <c r="H29" i="6" s="1"/>
  <c r="H28" i="6"/>
  <c r="D35" i="7"/>
  <c r="H35" i="7" s="1"/>
  <c r="Q48" i="10"/>
  <c r="P47" i="10"/>
  <c r="N47" i="10"/>
  <c r="O47" i="10"/>
  <c r="S23" i="10" l="1"/>
  <c r="O22" i="10"/>
  <c r="P48" i="10"/>
  <c r="P51" i="10" s="1"/>
  <c r="N48" i="10"/>
  <c r="N51" i="10" s="1"/>
  <c r="O48" i="10"/>
  <c r="O51" i="10" s="1"/>
  <c r="D36" i="6" s="1"/>
  <c r="H36" i="6" s="1"/>
  <c r="D37" i="6" l="1"/>
  <c r="H37" i="6" s="1"/>
  <c r="P54" i="10"/>
  <c r="D35" i="6"/>
  <c r="H35" i="6" s="1"/>
  <c r="N54" i="10"/>
  <c r="S24" i="10"/>
  <c r="O24" i="10" s="1"/>
  <c r="O23" i="10"/>
  <c r="O27" i="10" l="1"/>
  <c r="D34" i="7" s="1"/>
  <c r="H34" i="7" s="1"/>
  <c r="H39" i="6"/>
  <c r="H44" i="6" s="1"/>
  <c r="O54" i="10" l="1"/>
  <c r="F15" i="6"/>
  <c r="L42" i="6"/>
  <c r="H37" i="7"/>
  <c r="H42" i="7" s="1"/>
  <c r="O44" i="12" l="1"/>
  <c r="N2" i="29"/>
  <c r="F16" i="7"/>
  <c r="L40" i="7"/>
  <c r="D86" i="4"/>
  <c r="H15" i="6"/>
  <c r="N8" i="29" l="1"/>
  <c r="J8" i="29" s="1"/>
  <c r="L8" i="29" s="1"/>
  <c r="N9" i="29"/>
  <c r="J9" i="29" s="1"/>
  <c r="L9" i="29" s="1"/>
  <c r="N10" i="29"/>
  <c r="J10" i="29" s="1"/>
  <c r="L10" i="29" s="1"/>
  <c r="N11" i="29"/>
  <c r="J11" i="29" s="1"/>
  <c r="L11" i="29" s="1"/>
  <c r="N4" i="29"/>
  <c r="J4" i="29" s="1"/>
  <c r="L4" i="29" s="1"/>
  <c r="N5" i="29"/>
  <c r="J5" i="29" s="1"/>
  <c r="L5" i="29" s="1"/>
  <c r="N6" i="29"/>
  <c r="J6" i="29" s="1"/>
  <c r="L6" i="29" s="1"/>
  <c r="N7" i="29"/>
  <c r="J7" i="29" s="1"/>
  <c r="L7" i="29" s="1"/>
  <c r="D85" i="4"/>
  <c r="O44" i="13"/>
  <c r="L47" i="16"/>
  <c r="H16" i="7"/>
  <c r="H29" i="7" s="1"/>
  <c r="F29" i="7"/>
  <c r="L19" i="29" l="1"/>
  <c r="J44" i="7"/>
  <c r="H53" i="7" s="1"/>
  <c r="C66" i="4"/>
  <c r="C67" i="4" s="1"/>
  <c r="K29" i="7"/>
  <c r="L54" i="16"/>
  <c r="L48" i="16"/>
  <c r="M48" i="16" s="1"/>
  <c r="M47" i="16"/>
  <c r="L55" i="7" l="1"/>
  <c r="J57" i="7" s="1"/>
  <c r="L67" i="7"/>
  <c r="J69" i="7" s="1"/>
  <c r="J70" i="7" s="1"/>
  <c r="L75" i="7"/>
  <c r="J77" i="7" s="1"/>
  <c r="H3" i="24"/>
  <c r="M57" i="16"/>
  <c r="M56" i="16"/>
  <c r="M51" i="16"/>
  <c r="L47" i="17"/>
  <c r="L48" i="17" s="1"/>
  <c r="M48" i="17" s="1"/>
  <c r="C68" i="4"/>
  <c r="L47" i="18"/>
  <c r="M54" i="16"/>
  <c r="L55" i="16"/>
  <c r="M55" i="16" s="1"/>
  <c r="I57" i="7" l="1"/>
  <c r="J58" i="7"/>
  <c r="J59" i="7" s="1"/>
  <c r="I77" i="7"/>
  <c r="O77" i="7"/>
  <c r="P77" i="7" s="1"/>
  <c r="Q77" i="7" s="1"/>
  <c r="I69" i="7"/>
  <c r="J71" i="7"/>
  <c r="I70" i="7"/>
  <c r="M47" i="17"/>
  <c r="M56" i="17" s="1"/>
  <c r="L54" i="17"/>
  <c r="L55" i="17" s="1"/>
  <c r="M55" i="17" s="1"/>
  <c r="L47" i="19"/>
  <c r="C69" i="4"/>
  <c r="L54" i="18"/>
  <c r="M47" i="18"/>
  <c r="L48" i="18"/>
  <c r="M48" i="18" s="1"/>
  <c r="I58" i="7" l="1"/>
  <c r="M57" i="18"/>
  <c r="M56" i="18"/>
  <c r="J60" i="7"/>
  <c r="I59" i="7"/>
  <c r="O59" i="7"/>
  <c r="P59" i="7" s="1"/>
  <c r="Q59" i="7" s="1"/>
  <c r="J72" i="7"/>
  <c r="I71" i="7"/>
  <c r="M51" i="17"/>
  <c r="M57" i="17"/>
  <c r="M54" i="17"/>
  <c r="M58" i="17" s="1"/>
  <c r="M58" i="16"/>
  <c r="M91" i="16" s="1"/>
  <c r="H123" i="16" s="1"/>
  <c r="F125" i="16" s="1"/>
  <c r="M51" i="18"/>
  <c r="M54" i="18"/>
  <c r="L55" i="18"/>
  <c r="M55" i="18" s="1"/>
  <c r="C70" i="4"/>
  <c r="L47" i="20"/>
  <c r="L48" i="19"/>
  <c r="M48" i="19" s="1"/>
  <c r="L54" i="19"/>
  <c r="M47" i="19"/>
  <c r="K125" i="16" l="1"/>
  <c r="L125" i="16" s="1"/>
  <c r="M125" i="16" s="1"/>
  <c r="B125" i="16" s="1"/>
  <c r="I197" i="24" s="1"/>
  <c r="E125" i="16"/>
  <c r="H104" i="16"/>
  <c r="I3" i="24" s="1"/>
  <c r="H116" i="16"/>
  <c r="M57" i="19"/>
  <c r="M56" i="19"/>
  <c r="I72" i="7"/>
  <c r="O72" i="7"/>
  <c r="P72" i="7" s="1"/>
  <c r="Q72" i="7" s="1"/>
  <c r="O60" i="7"/>
  <c r="P60" i="7" s="1"/>
  <c r="Q60" i="7" s="1"/>
  <c r="I60" i="7"/>
  <c r="J61" i="7"/>
  <c r="M92" i="16"/>
  <c r="M91" i="17"/>
  <c r="M51" i="19"/>
  <c r="L55" i="19"/>
  <c r="M55" i="19" s="1"/>
  <c r="M54" i="19"/>
  <c r="M47" i="20"/>
  <c r="L54" i="20"/>
  <c r="L48" i="20"/>
  <c r="M48" i="20" s="1"/>
  <c r="L47" i="21"/>
  <c r="C71" i="4"/>
  <c r="H123" i="17" l="1"/>
  <c r="F125" i="17" s="1"/>
  <c r="F77" i="7"/>
  <c r="H197" i="24" s="1"/>
  <c r="F118" i="16"/>
  <c r="F119" i="16" s="1"/>
  <c r="F120" i="16" s="1"/>
  <c r="F121" i="16" s="1"/>
  <c r="K121" i="16" s="1"/>
  <c r="L121" i="16" s="1"/>
  <c r="M121" i="16" s="1"/>
  <c r="H104" i="17"/>
  <c r="J3" i="24" s="1"/>
  <c r="H116" i="17"/>
  <c r="F69" i="7"/>
  <c r="H22" i="24" s="1"/>
  <c r="M57" i="20"/>
  <c r="M56" i="20"/>
  <c r="O61" i="7"/>
  <c r="P61" i="7" s="1"/>
  <c r="Q61" i="7" s="1"/>
  <c r="I61" i="7"/>
  <c r="J62" i="7"/>
  <c r="F106" i="16"/>
  <c r="F107" i="16" s="1"/>
  <c r="F108" i="16" s="1"/>
  <c r="M92" i="17"/>
  <c r="M58" i="18"/>
  <c r="M91" i="18" s="1"/>
  <c r="M51" i="20"/>
  <c r="C72" i="4"/>
  <c r="L47" i="23" s="1"/>
  <c r="L47" i="22"/>
  <c r="L48" i="21"/>
  <c r="M48" i="21" s="1"/>
  <c r="M47" i="21"/>
  <c r="L54" i="21"/>
  <c r="L55" i="20"/>
  <c r="M55" i="20" s="1"/>
  <c r="M54" i="20"/>
  <c r="K125" i="17" l="1"/>
  <c r="L125" i="17" s="1"/>
  <c r="M125" i="17" s="1"/>
  <c r="B125" i="17" s="1"/>
  <c r="J197" i="24" s="1"/>
  <c r="E125" i="17"/>
  <c r="H123" i="18"/>
  <c r="F125" i="18" s="1"/>
  <c r="F118" i="17"/>
  <c r="F119" i="17" s="1"/>
  <c r="F120" i="17" s="1"/>
  <c r="F121" i="17" s="1"/>
  <c r="K121" i="17" s="1"/>
  <c r="L121" i="17" s="1"/>
  <c r="M121" i="17" s="1"/>
  <c r="E118" i="16"/>
  <c r="H116" i="18"/>
  <c r="H104" i="18"/>
  <c r="K3" i="24" s="1"/>
  <c r="M57" i="21"/>
  <c r="M56" i="21"/>
  <c r="I62" i="7"/>
  <c r="J63" i="7"/>
  <c r="O62" i="7"/>
  <c r="P62" i="7" s="1"/>
  <c r="Q62" i="7" s="1"/>
  <c r="F109" i="16"/>
  <c r="K108" i="16"/>
  <c r="L108" i="16" s="1"/>
  <c r="M108" i="16" s="1"/>
  <c r="F106" i="17"/>
  <c r="F107" i="17" s="1"/>
  <c r="F108" i="17" s="1"/>
  <c r="E106" i="16"/>
  <c r="E119" i="16"/>
  <c r="M92" i="18"/>
  <c r="M91" i="19"/>
  <c r="M51" i="21"/>
  <c r="L48" i="23"/>
  <c r="M48" i="23" s="1"/>
  <c r="M47" i="23"/>
  <c r="L54" i="23"/>
  <c r="L55" i="21"/>
  <c r="M55" i="21" s="1"/>
  <c r="M54" i="21"/>
  <c r="M47" i="22"/>
  <c r="L54" i="22"/>
  <c r="L48" i="22"/>
  <c r="M48" i="22" s="1"/>
  <c r="K125" i="18" l="1"/>
  <c r="L125" i="18" s="1"/>
  <c r="M125" i="18" s="1"/>
  <c r="B125" i="18" s="1"/>
  <c r="K197" i="24" s="1"/>
  <c r="E125" i="18"/>
  <c r="H123" i="19"/>
  <c r="F125" i="19" s="1"/>
  <c r="F106" i="18"/>
  <c r="F107" i="18" s="1"/>
  <c r="F108" i="18" s="1"/>
  <c r="F109" i="18" s="1"/>
  <c r="H116" i="19"/>
  <c r="H104" i="19"/>
  <c r="M57" i="23"/>
  <c r="M56" i="23"/>
  <c r="M57" i="22"/>
  <c r="M56" i="22"/>
  <c r="O63" i="7"/>
  <c r="P63" i="7" s="1"/>
  <c r="Q63" i="7" s="1"/>
  <c r="I63" i="7"/>
  <c r="J64" i="7"/>
  <c r="K108" i="17"/>
  <c r="L108" i="17" s="1"/>
  <c r="M108" i="17" s="1"/>
  <c r="F109" i="17"/>
  <c r="F118" i="18"/>
  <c r="F119" i="18" s="1"/>
  <c r="F120" i="18" s="1"/>
  <c r="F121" i="18" s="1"/>
  <c r="K121" i="18" s="1"/>
  <c r="L121" i="18" s="1"/>
  <c r="M121" i="18" s="1"/>
  <c r="F110" i="16"/>
  <c r="K109" i="16"/>
  <c r="L109" i="16" s="1"/>
  <c r="M109" i="16" s="1"/>
  <c r="E118" i="17"/>
  <c r="E106" i="17"/>
  <c r="E107" i="16"/>
  <c r="E120" i="16"/>
  <c r="E108" i="16"/>
  <c r="E107" i="17"/>
  <c r="E119" i="17"/>
  <c r="M92" i="19"/>
  <c r="M51" i="22"/>
  <c r="M58" i="20"/>
  <c r="M91" i="20" s="1"/>
  <c r="L55" i="23"/>
  <c r="M55" i="23" s="1"/>
  <c r="M54" i="23"/>
  <c r="L55" i="22"/>
  <c r="M55" i="22" s="1"/>
  <c r="M54" i="22"/>
  <c r="M51" i="23"/>
  <c r="E106" i="18" l="1"/>
  <c r="K125" i="19"/>
  <c r="L125" i="19" s="1"/>
  <c r="M125" i="19" s="1"/>
  <c r="B125" i="19" s="1"/>
  <c r="L197" i="24" s="1"/>
  <c r="E125" i="19"/>
  <c r="H123" i="20"/>
  <c r="F125" i="20" s="1"/>
  <c r="K108" i="18"/>
  <c r="L108" i="18" s="1"/>
  <c r="M108" i="18" s="1"/>
  <c r="H116" i="20"/>
  <c r="H104" i="20"/>
  <c r="M3" i="24" s="1"/>
  <c r="F106" i="19"/>
  <c r="F107" i="19" s="1"/>
  <c r="F108" i="19" s="1"/>
  <c r="K108" i="19" s="1"/>
  <c r="L108" i="19" s="1"/>
  <c r="M108" i="19" s="1"/>
  <c r="L3" i="24"/>
  <c r="I64" i="7"/>
  <c r="O64" i="7"/>
  <c r="P64" i="7" s="1"/>
  <c r="Q64" i="7" s="1"/>
  <c r="F118" i="19"/>
  <c r="F119" i="19" s="1"/>
  <c r="F120" i="19" s="1"/>
  <c r="F121" i="19" s="1"/>
  <c r="K121" i="19" s="1"/>
  <c r="L121" i="19" s="1"/>
  <c r="M121" i="19" s="1"/>
  <c r="F110" i="17"/>
  <c r="K109" i="17"/>
  <c r="L109" i="17" s="1"/>
  <c r="M109" i="17" s="1"/>
  <c r="F111" i="16"/>
  <c r="K110" i="16"/>
  <c r="L110" i="16" s="1"/>
  <c r="M110" i="16" s="1"/>
  <c r="K109" i="18"/>
  <c r="L109" i="18" s="1"/>
  <c r="M109" i="18" s="1"/>
  <c r="F110" i="18"/>
  <c r="E118" i="18"/>
  <c r="E107" i="18"/>
  <c r="E119" i="18"/>
  <c r="E109" i="16"/>
  <c r="E121" i="16"/>
  <c r="B118" i="16" s="1"/>
  <c r="E120" i="17"/>
  <c r="E108" i="17"/>
  <c r="M92" i="20"/>
  <c r="M58" i="21"/>
  <c r="M91" i="21" s="1"/>
  <c r="F57" i="7" l="1"/>
  <c r="H54" i="24" s="1"/>
  <c r="E125" i="20"/>
  <c r="K125" i="20"/>
  <c r="L125" i="20" s="1"/>
  <c r="M125" i="20" s="1"/>
  <c r="B125" i="20" s="1"/>
  <c r="M197" i="24" s="1"/>
  <c r="H123" i="21"/>
  <c r="F125" i="21" s="1"/>
  <c r="F106" i="20"/>
  <c r="F107" i="20" s="1"/>
  <c r="F108" i="20" s="1"/>
  <c r="F109" i="20" s="1"/>
  <c r="F109" i="19"/>
  <c r="F110" i="19" s="1"/>
  <c r="E106" i="19"/>
  <c r="H116" i="21"/>
  <c r="H104" i="21"/>
  <c r="N3" i="24" s="1"/>
  <c r="F112" i="16"/>
  <c r="K111" i="16"/>
  <c r="L111" i="16" s="1"/>
  <c r="M111" i="16" s="1"/>
  <c r="F118" i="20"/>
  <c r="F119" i="20" s="1"/>
  <c r="F120" i="20" s="1"/>
  <c r="F121" i="20" s="1"/>
  <c r="K121" i="20" s="1"/>
  <c r="L121" i="20" s="1"/>
  <c r="M121" i="20" s="1"/>
  <c r="F111" i="17"/>
  <c r="K110" i="17"/>
  <c r="L110" i="17" s="1"/>
  <c r="M110" i="17" s="1"/>
  <c r="F111" i="18"/>
  <c r="K110" i="18"/>
  <c r="L110" i="18" s="1"/>
  <c r="M110" i="18" s="1"/>
  <c r="E118" i="19"/>
  <c r="H23" i="24"/>
  <c r="H24" i="24"/>
  <c r="E107" i="19"/>
  <c r="E119" i="19"/>
  <c r="E120" i="18"/>
  <c r="E108" i="18"/>
  <c r="E110" i="16"/>
  <c r="E109" i="17"/>
  <c r="E121" i="17"/>
  <c r="M92" i="21"/>
  <c r="M58" i="22"/>
  <c r="M91" i="22" s="1"/>
  <c r="M58" i="23"/>
  <c r="M91" i="23" s="1"/>
  <c r="E106" i="20" l="1"/>
  <c r="K108" i="20"/>
  <c r="L108" i="20" s="1"/>
  <c r="M108" i="20" s="1"/>
  <c r="E125" i="21"/>
  <c r="K125" i="21"/>
  <c r="L125" i="21" s="1"/>
  <c r="M125" i="21" s="1"/>
  <c r="B125" i="21" s="1"/>
  <c r="N197" i="24" s="1"/>
  <c r="H123" i="23"/>
  <c r="F125" i="23" s="1"/>
  <c r="H123" i="22"/>
  <c r="F125" i="22" s="1"/>
  <c r="F106" i="21"/>
  <c r="F107" i="21" s="1"/>
  <c r="F108" i="21" s="1"/>
  <c r="F109" i="21" s="1"/>
  <c r="K109" i="19"/>
  <c r="L109" i="19" s="1"/>
  <c r="M109" i="19" s="1"/>
  <c r="H104" i="23"/>
  <c r="P3" i="24" s="1"/>
  <c r="H116" i="23"/>
  <c r="H116" i="22"/>
  <c r="H104" i="22"/>
  <c r="O3" i="24" s="1"/>
  <c r="F112" i="17"/>
  <c r="K111" i="17"/>
  <c r="L111" i="17" s="1"/>
  <c r="M111" i="17" s="1"/>
  <c r="F111" i="19"/>
  <c r="K110" i="19"/>
  <c r="L110" i="19" s="1"/>
  <c r="M110" i="19" s="1"/>
  <c r="F118" i="21"/>
  <c r="F119" i="21" s="1"/>
  <c r="F120" i="21" s="1"/>
  <c r="F121" i="21" s="1"/>
  <c r="K121" i="21" s="1"/>
  <c r="L121" i="21" s="1"/>
  <c r="M121" i="21" s="1"/>
  <c r="F113" i="16"/>
  <c r="K113" i="16" s="1"/>
  <c r="L113" i="16" s="1"/>
  <c r="M113" i="16" s="1"/>
  <c r="K112" i="16"/>
  <c r="L112" i="16" s="1"/>
  <c r="M112" i="16" s="1"/>
  <c r="K111" i="18"/>
  <c r="L111" i="18" s="1"/>
  <c r="M111" i="18" s="1"/>
  <c r="F112" i="18"/>
  <c r="K109" i="20"/>
  <c r="L109" i="20" s="1"/>
  <c r="M109" i="20" s="1"/>
  <c r="F110" i="20"/>
  <c r="E118" i="20"/>
  <c r="H55" i="24"/>
  <c r="H44" i="7" s="1"/>
  <c r="H56" i="24"/>
  <c r="E108" i="19"/>
  <c r="E107" i="20"/>
  <c r="E119" i="20"/>
  <c r="E120" i="19"/>
  <c r="E109" i="18"/>
  <c r="E121" i="18"/>
  <c r="B118" i="18" s="1"/>
  <c r="E111" i="16"/>
  <c r="B118" i="17"/>
  <c r="E110" i="17"/>
  <c r="M92" i="23"/>
  <c r="M92" i="22"/>
  <c r="E125" i="23" l="1"/>
  <c r="K125" i="23"/>
  <c r="L125" i="23" s="1"/>
  <c r="M125" i="23" s="1"/>
  <c r="B125" i="23" s="1"/>
  <c r="P197" i="24" s="1"/>
  <c r="K125" i="22"/>
  <c r="L125" i="22" s="1"/>
  <c r="M125" i="22" s="1"/>
  <c r="B125" i="22" s="1"/>
  <c r="O197" i="24" s="1"/>
  <c r="E125" i="22"/>
  <c r="F118" i="23"/>
  <c r="F119" i="23" s="1"/>
  <c r="F120" i="23" s="1"/>
  <c r="F121" i="23" s="1"/>
  <c r="K121" i="23" s="1"/>
  <c r="L121" i="23" s="1"/>
  <c r="M121" i="23" s="1"/>
  <c r="K108" i="21"/>
  <c r="L108" i="21" s="1"/>
  <c r="M108" i="21" s="1"/>
  <c r="E106" i="21"/>
  <c r="K27" i="7"/>
  <c r="L27" i="7" s="1"/>
  <c r="F118" i="22"/>
  <c r="F119" i="22" s="1"/>
  <c r="F120" i="22" s="1"/>
  <c r="F121" i="22" s="1"/>
  <c r="K121" i="22" s="1"/>
  <c r="L121" i="22" s="1"/>
  <c r="M121" i="22" s="1"/>
  <c r="J22" i="24"/>
  <c r="J23" i="24"/>
  <c r="J24" i="24"/>
  <c r="K22" i="24"/>
  <c r="K23" i="24"/>
  <c r="K24" i="24"/>
  <c r="F106" i="22"/>
  <c r="F107" i="22" s="1"/>
  <c r="F108" i="22" s="1"/>
  <c r="K108" i="22" s="1"/>
  <c r="L108" i="22" s="1"/>
  <c r="M108" i="22" s="1"/>
  <c r="F106" i="23"/>
  <c r="F107" i="23" s="1"/>
  <c r="F108" i="23" s="1"/>
  <c r="F113" i="18"/>
  <c r="K113" i="18" s="1"/>
  <c r="L113" i="18" s="1"/>
  <c r="M113" i="18" s="1"/>
  <c r="K112" i="18"/>
  <c r="L112" i="18" s="1"/>
  <c r="M112" i="18" s="1"/>
  <c r="F112" i="19"/>
  <c r="K111" i="19"/>
  <c r="L111" i="19" s="1"/>
  <c r="M111" i="19" s="1"/>
  <c r="K112" i="17"/>
  <c r="L112" i="17" s="1"/>
  <c r="M112" i="17" s="1"/>
  <c r="F113" i="17"/>
  <c r="K113" i="17" s="1"/>
  <c r="L113" i="17" s="1"/>
  <c r="M113" i="17" s="1"/>
  <c r="F111" i="20"/>
  <c r="K110" i="20"/>
  <c r="L110" i="20" s="1"/>
  <c r="M110" i="20" s="1"/>
  <c r="F110" i="21"/>
  <c r="K109" i="21"/>
  <c r="L109" i="21" s="1"/>
  <c r="M109" i="21" s="1"/>
  <c r="E118" i="21"/>
  <c r="E108" i="20"/>
  <c r="E119" i="21"/>
  <c r="E109" i="19"/>
  <c r="E121" i="19"/>
  <c r="B118" i="19" s="1"/>
  <c r="E107" i="21"/>
  <c r="E120" i="20"/>
  <c r="E110" i="18"/>
  <c r="E112" i="16"/>
  <c r="E111" i="17"/>
  <c r="E118" i="23" l="1"/>
  <c r="K28" i="7"/>
  <c r="H45" i="7"/>
  <c r="H46" i="7" s="1"/>
  <c r="L42" i="7" s="1"/>
  <c r="D95" i="4" s="1"/>
  <c r="E106" i="23"/>
  <c r="E106" i="22"/>
  <c r="L23" i="24"/>
  <c r="L24" i="24"/>
  <c r="L22" i="24"/>
  <c r="F109" i="22"/>
  <c r="F110" i="22" s="1"/>
  <c r="F113" i="19"/>
  <c r="K113" i="19" s="1"/>
  <c r="L113" i="19" s="1"/>
  <c r="M113" i="19" s="1"/>
  <c r="K112" i="19"/>
  <c r="L112" i="19" s="1"/>
  <c r="M112" i="19" s="1"/>
  <c r="F111" i="21"/>
  <c r="K110" i="21"/>
  <c r="L110" i="21" s="1"/>
  <c r="M110" i="21" s="1"/>
  <c r="K111" i="20"/>
  <c r="L111" i="20" s="1"/>
  <c r="M111" i="20" s="1"/>
  <c r="F112" i="20"/>
  <c r="F109" i="23"/>
  <c r="K108" i="23"/>
  <c r="L108" i="23" s="1"/>
  <c r="M108" i="23" s="1"/>
  <c r="E118" i="22"/>
  <c r="E108" i="21"/>
  <c r="E120" i="21"/>
  <c r="E121" i="20"/>
  <c r="B118" i="20" s="1"/>
  <c r="E109" i="20"/>
  <c r="E110" i="19"/>
  <c r="E111" i="18"/>
  <c r="E113" i="16"/>
  <c r="B106" i="16" s="1"/>
  <c r="E112" i="17"/>
  <c r="E107" i="23"/>
  <c r="E119" i="23"/>
  <c r="E107" i="22"/>
  <c r="E119" i="22"/>
  <c r="L34" i="4" l="1"/>
  <c r="H49" i="7"/>
  <c r="N34" i="7" s="1"/>
  <c r="D92" i="4" s="1"/>
  <c r="L28" i="7"/>
  <c r="M23" i="24"/>
  <c r="M24" i="24"/>
  <c r="M22" i="24"/>
  <c r="K109" i="22"/>
  <c r="L109" i="22" s="1"/>
  <c r="M109" i="22" s="1"/>
  <c r="I55" i="24"/>
  <c r="M93" i="16" s="1"/>
  <c r="I54" i="24"/>
  <c r="I56" i="24"/>
  <c r="K112" i="20"/>
  <c r="L112" i="20" s="1"/>
  <c r="M112" i="20" s="1"/>
  <c r="F113" i="20"/>
  <c r="K113" i="20" s="1"/>
  <c r="L113" i="20" s="1"/>
  <c r="M113" i="20" s="1"/>
  <c r="F111" i="22"/>
  <c r="K110" i="22"/>
  <c r="L110" i="22" s="1"/>
  <c r="M110" i="22" s="1"/>
  <c r="F112" i="21"/>
  <c r="K111" i="21"/>
  <c r="L111" i="21" s="1"/>
  <c r="M111" i="21" s="1"/>
  <c r="F110" i="23"/>
  <c r="K109" i="23"/>
  <c r="L109" i="23" s="1"/>
  <c r="M109" i="23" s="1"/>
  <c r="E121" i="21"/>
  <c r="B118" i="21" s="1"/>
  <c r="E110" i="20"/>
  <c r="E109" i="21"/>
  <c r="E111" i="19"/>
  <c r="E112" i="18"/>
  <c r="E113" i="17"/>
  <c r="B106" i="17" s="1"/>
  <c r="E120" i="23"/>
  <c r="E108" i="23"/>
  <c r="E120" i="22"/>
  <c r="E108" i="22"/>
  <c r="G12" i="4" l="1"/>
  <c r="H12" i="4" s="1"/>
  <c r="H14" i="4" s="1"/>
  <c r="C18" i="29" s="1"/>
  <c r="F20" i="29" s="1"/>
  <c r="N35" i="7"/>
  <c r="N24" i="24"/>
  <c r="N22" i="24"/>
  <c r="N23" i="24"/>
  <c r="J55" i="24"/>
  <c r="J54" i="24"/>
  <c r="J56" i="24"/>
  <c r="I24" i="24"/>
  <c r="I23" i="24"/>
  <c r="I22" i="24"/>
  <c r="K110" i="23"/>
  <c r="L110" i="23" s="1"/>
  <c r="M110" i="23" s="1"/>
  <c r="F111" i="23"/>
  <c r="F113" i="21"/>
  <c r="K113" i="21" s="1"/>
  <c r="L113" i="21" s="1"/>
  <c r="M113" i="21" s="1"/>
  <c r="K112" i="21"/>
  <c r="L112" i="21" s="1"/>
  <c r="M112" i="21" s="1"/>
  <c r="F112" i="22"/>
  <c r="K111" i="22"/>
  <c r="L111" i="22" s="1"/>
  <c r="M111" i="22" s="1"/>
  <c r="E111" i="20"/>
  <c r="E112" i="19"/>
  <c r="E110" i="21"/>
  <c r="E113" i="18"/>
  <c r="B106" i="18" s="1"/>
  <c r="E109" i="23"/>
  <c r="E121" i="23"/>
  <c r="B118" i="23" s="1"/>
  <c r="E109" i="22"/>
  <c r="E121" i="22"/>
  <c r="B118" i="22" s="1"/>
  <c r="K55" i="24" l="1"/>
  <c r="M94" i="18" s="1"/>
  <c r="M95" i="18" s="1"/>
  <c r="K56" i="24"/>
  <c r="K54" i="24"/>
  <c r="M94" i="17"/>
  <c r="M95" i="17" s="1"/>
  <c r="O24" i="24"/>
  <c r="O22" i="24"/>
  <c r="O23" i="24"/>
  <c r="P22" i="24"/>
  <c r="P23" i="24"/>
  <c r="P24" i="24"/>
  <c r="M94" i="16"/>
  <c r="M95" i="16" s="1"/>
  <c r="K112" i="22"/>
  <c r="L112" i="22" s="1"/>
  <c r="M112" i="22" s="1"/>
  <c r="F113" i="22"/>
  <c r="K113" i="22" s="1"/>
  <c r="L113" i="22" s="1"/>
  <c r="M113" i="22" s="1"/>
  <c r="F112" i="23"/>
  <c r="K111" i="23"/>
  <c r="L111" i="23" s="1"/>
  <c r="M111" i="23" s="1"/>
  <c r="E113" i="19"/>
  <c r="B106" i="19" s="1"/>
  <c r="E112" i="20"/>
  <c r="B106" i="20" s="1"/>
  <c r="E111" i="21"/>
  <c r="B106" i="21" s="1"/>
  <c r="E110" i="23"/>
  <c r="E110" i="22"/>
  <c r="L54" i="24" l="1"/>
  <c r="L55" i="24"/>
  <c r="M94" i="19" s="1"/>
  <c r="M95" i="19" s="1"/>
  <c r="L56" i="24"/>
  <c r="D97" i="16"/>
  <c r="E97" i="16" s="1"/>
  <c r="M97" i="16" s="1"/>
  <c r="M98" i="16" s="1"/>
  <c r="D97" i="18"/>
  <c r="E97" i="18" s="1"/>
  <c r="M97" i="18" s="1"/>
  <c r="M98" i="18" s="1"/>
  <c r="D97" i="17"/>
  <c r="E97" i="17" s="1"/>
  <c r="M97" i="17" s="1"/>
  <c r="M98" i="17" s="1"/>
  <c r="N55" i="24"/>
  <c r="N54" i="24"/>
  <c r="N56" i="24"/>
  <c r="M54" i="24"/>
  <c r="M55" i="24"/>
  <c r="M56" i="24"/>
  <c r="K112" i="23"/>
  <c r="L112" i="23" s="1"/>
  <c r="M112" i="23" s="1"/>
  <c r="F113" i="23"/>
  <c r="K113" i="23" s="1"/>
  <c r="L113" i="23" s="1"/>
  <c r="M113" i="23" s="1"/>
  <c r="E113" i="20"/>
  <c r="E112" i="21"/>
  <c r="E111" i="23"/>
  <c r="E111" i="22"/>
  <c r="D97" i="19" l="1"/>
  <c r="E97" i="19" s="1"/>
  <c r="M97" i="19" s="1"/>
  <c r="M98" i="19" s="1"/>
  <c r="M93" i="21"/>
  <c r="M94" i="21" s="1"/>
  <c r="M95" i="21" s="1"/>
  <c r="M93" i="20"/>
  <c r="M94" i="20" s="1"/>
  <c r="M95" i="20" s="1"/>
  <c r="B106" i="23"/>
  <c r="E113" i="21"/>
  <c r="E112" i="23"/>
  <c r="E112" i="22"/>
  <c r="D97" i="21" l="1"/>
  <c r="E97" i="21" s="1"/>
  <c r="M97" i="21" s="1"/>
  <c r="M98" i="21" s="1"/>
  <c r="D97" i="20"/>
  <c r="E97" i="20" s="1"/>
  <c r="M97" i="20" s="1"/>
  <c r="M98" i="20" s="1"/>
  <c r="P55" i="24"/>
  <c r="P56" i="24"/>
  <c r="P54" i="24"/>
  <c r="E113" i="23"/>
  <c r="E113" i="22"/>
  <c r="B106" i="22" s="1"/>
  <c r="M93" i="23" l="1"/>
  <c r="M94" i="23" s="1"/>
  <c r="M95" i="23" s="1"/>
  <c r="D97" i="23" s="1"/>
  <c r="E97" i="23" s="1"/>
  <c r="M97" i="23" s="1"/>
  <c r="O56" i="24"/>
  <c r="O54" i="24"/>
  <c r="O55" i="24"/>
  <c r="M93" i="22" s="1"/>
  <c r="M94" i="22" s="1"/>
  <c r="M95" i="22" s="1"/>
  <c r="D97" i="22" l="1"/>
  <c r="E97" i="22" s="1"/>
  <c r="M97" i="22" s="1"/>
  <c r="M98" i="22" s="1"/>
  <c r="J52" i="11"/>
  <c r="J53" i="11" l="1"/>
  <c r="F18" i="6" l="1"/>
  <c r="J56" i="11"/>
  <c r="F31" i="6" l="1"/>
  <c r="H18" i="6"/>
  <c r="H31" i="6" s="1"/>
  <c r="K31" i="6" l="1"/>
  <c r="J46" i="6"/>
  <c r="L58" i="6" l="1"/>
  <c r="L77" i="6"/>
  <c r="J79" i="6" s="1"/>
  <c r="L70" i="6"/>
  <c r="J72" i="6" s="1"/>
  <c r="O79" i="6" l="1"/>
  <c r="P79" i="6" s="1"/>
  <c r="Q79" i="6" s="1"/>
  <c r="I79" i="6"/>
  <c r="G3" i="24"/>
  <c r="J60" i="6"/>
  <c r="I72" i="6"/>
  <c r="J73" i="6"/>
  <c r="F79" i="6" l="1"/>
  <c r="I73" i="6"/>
  <c r="J74" i="6"/>
  <c r="J61" i="6"/>
  <c r="I60" i="6"/>
  <c r="I74" i="6" l="1"/>
  <c r="J75" i="6"/>
  <c r="J62" i="6"/>
  <c r="I61" i="6"/>
  <c r="I62" i="6" l="1"/>
  <c r="J63" i="6"/>
  <c r="O62" i="6"/>
  <c r="P62" i="6" s="1"/>
  <c r="Q62" i="6" s="1"/>
  <c r="O75" i="6"/>
  <c r="P75" i="6" s="1"/>
  <c r="Q75" i="6" s="1"/>
  <c r="I75" i="6"/>
  <c r="F72" i="6" l="1"/>
  <c r="G23" i="24" s="1"/>
  <c r="J64" i="6"/>
  <c r="I63" i="6"/>
  <c r="O63" i="6"/>
  <c r="P63" i="6" s="1"/>
  <c r="Q63" i="6" s="1"/>
  <c r="G22" i="24" l="1"/>
  <c r="G24" i="24"/>
  <c r="O64" i="6"/>
  <c r="P64" i="6" s="1"/>
  <c r="Q64" i="6" s="1"/>
  <c r="J65" i="6"/>
  <c r="I64" i="6"/>
  <c r="I65" i="6" l="1"/>
  <c r="J66" i="6"/>
  <c r="O65" i="6"/>
  <c r="P65" i="6" s="1"/>
  <c r="Q65" i="6" s="1"/>
  <c r="O66" i="6" l="1"/>
  <c r="P66" i="6" s="1"/>
  <c r="Q66" i="6" s="1"/>
  <c r="J67" i="6"/>
  <c r="I66" i="6"/>
  <c r="I67" i="6" l="1"/>
  <c r="O67" i="6"/>
  <c r="P67" i="6" s="1"/>
  <c r="Q67" i="6" s="1"/>
  <c r="F60" i="6" s="1"/>
  <c r="G54" i="24" l="1"/>
  <c r="G56" i="24"/>
  <c r="G55" i="24"/>
  <c r="H46" i="6" s="1"/>
  <c r="H47" i="6" s="1"/>
  <c r="H48" i="6" l="1"/>
  <c r="K30" i="6"/>
  <c r="L30" i="6" s="1"/>
  <c r="K29" i="6"/>
  <c r="L29" i="6" s="1"/>
  <c r="L33" i="4" l="1"/>
  <c r="L44" i="6"/>
  <c r="D96" i="4" s="1"/>
  <c r="H51" i="6"/>
  <c r="L36" i="6" l="1"/>
  <c r="D94" i="4" s="1"/>
  <c r="G15" i="4"/>
  <c r="H15" i="4" s="1"/>
  <c r="H17" i="4" s="1"/>
  <c r="H19" i="4" l="1"/>
  <c r="H47" i="4" s="1"/>
  <c r="D19" i="29"/>
  <c r="F21" i="29" s="1"/>
  <c r="E10" i="14" l="1"/>
  <c r="E10" i="15"/>
  <c r="M27" i="14" l="1"/>
  <c r="M18" i="14"/>
  <c r="M16" i="14"/>
  <c r="M17" i="14"/>
  <c r="M15" i="14"/>
  <c r="G13" i="14"/>
  <c r="G14" i="14"/>
  <c r="G15" i="14"/>
  <c r="M23" i="14"/>
  <c r="M24" i="14"/>
  <c r="G18" i="14"/>
  <c r="M14" i="14"/>
  <c r="M13" i="14"/>
  <c r="M25" i="14"/>
  <c r="G16" i="14"/>
  <c r="G17" i="14"/>
  <c r="M26" i="14"/>
  <c r="M28" i="14"/>
  <c r="G16" i="15"/>
  <c r="G13" i="15"/>
  <c r="G15" i="15"/>
  <c r="G17" i="15"/>
  <c r="G14" i="15"/>
  <c r="G20" i="14" l="1"/>
  <c r="G27" i="14" s="1"/>
  <c r="G29" i="14" s="1"/>
  <c r="B76" i="4" s="1"/>
  <c r="D48" i="4" s="1"/>
  <c r="G19" i="15"/>
  <c r="G25" i="15" s="1"/>
  <c r="G28" i="15" s="1"/>
  <c r="M20" i="14"/>
  <c r="M30" i="14"/>
  <c r="O30" i="14" l="1"/>
  <c r="O40" i="14" s="1"/>
  <c r="O20" i="14"/>
  <c r="P20" i="14" s="1"/>
  <c r="C76" i="4" s="1"/>
  <c r="E48" i="4"/>
  <c r="G48" i="4" s="1"/>
  <c r="H48" i="4" s="1"/>
  <c r="P30" i="14" l="1"/>
  <c r="D76" i="4" s="1"/>
  <c r="R30" i="14"/>
  <c r="H62" i="4"/>
  <c r="D82" i="4" s="1"/>
  <c r="H52" i="4"/>
  <c r="J48" i="4" s="1"/>
  <c r="P40" i="14"/>
  <c r="E76" i="4" s="1"/>
  <c r="O50" i="14"/>
  <c r="P50" i="14" s="1"/>
  <c r="F76" i="4" s="1"/>
  <c r="L96" i="23" l="1"/>
  <c r="M96" i="23" s="1"/>
  <c r="M98" i="23" s="1"/>
  <c r="M99" i="23" s="1"/>
  <c r="H72" i="4" s="1"/>
  <c r="K72" i="4" s="1"/>
  <c r="F126" i="3" s="1"/>
  <c r="L96" i="22"/>
  <c r="M96" i="22" s="1"/>
  <c r="M99" i="22" s="1"/>
  <c r="H71" i="4" s="1"/>
  <c r="K71" i="4" s="1"/>
  <c r="F125" i="3" s="1"/>
  <c r="L96" i="21"/>
  <c r="M96" i="21" s="1"/>
  <c r="M99" i="21" s="1"/>
  <c r="H70" i="4" s="1"/>
  <c r="K70" i="4" s="1"/>
  <c r="F124" i="3" s="1"/>
  <c r="L96" i="20"/>
  <c r="M96" i="20" s="1"/>
  <c r="M99" i="20" s="1"/>
  <c r="H69" i="4" s="1"/>
  <c r="K69" i="4" s="1"/>
  <c r="F123" i="3" s="1"/>
  <c r="L96" i="19"/>
  <c r="M96" i="19" s="1"/>
  <c r="M99" i="19" s="1"/>
  <c r="H68" i="4" s="1"/>
  <c r="K68" i="4" s="1"/>
  <c r="F122" i="3" s="1"/>
  <c r="L96" i="18"/>
  <c r="M96" i="18" s="1"/>
  <c r="M99" i="18" s="1"/>
  <c r="H67" i="4" s="1"/>
  <c r="K67" i="4" s="1"/>
  <c r="F121" i="3" s="1"/>
  <c r="L96" i="17"/>
  <c r="M96" i="17" s="1"/>
  <c r="M99" i="17" s="1"/>
  <c r="H66" i="4" s="1"/>
  <c r="K66" i="4" s="1"/>
  <c r="F120" i="3" s="1"/>
  <c r="L96" i="16"/>
  <c r="M96" i="16" s="1"/>
  <c r="M99" i="16" s="1"/>
  <c r="H65" i="4" s="1"/>
  <c r="K65" i="4" s="1"/>
  <c r="F119" i="3" s="1"/>
  <c r="F115" i="3"/>
  <c r="E53" i="4"/>
  <c r="F53" i="4" s="1"/>
  <c r="H53" i="4" s="1"/>
  <c r="H54" i="4" l="1"/>
  <c r="L35" i="4" s="1"/>
  <c r="L36" i="4" s="1"/>
  <c r="J17" i="29" s="1"/>
  <c r="J19" i="29" s="1"/>
  <c r="F32" i="29" l="1"/>
  <c r="F34" i="29" s="1"/>
  <c r="L43" i="4"/>
  <c r="D97" i="4"/>
  <c r="H55" i="4"/>
  <c r="D83" i="4" l="1"/>
  <c r="G34" i="29"/>
  <c r="L62" i="4"/>
  <c r="S56" i="4"/>
  <c r="L59" i="4"/>
  <c r="L56" i="4"/>
  <c r="F35" i="29"/>
  <c r="H61" i="4"/>
  <c r="L42" i="4"/>
  <c r="L47" i="4" s="1"/>
  <c r="L49" i="4" s="1"/>
  <c r="H60" i="4"/>
  <c r="L52" i="4"/>
  <c r="D98" i="4" s="1"/>
  <c r="F36" i="29" l="1"/>
  <c r="G35" i="29"/>
  <c r="D84" i="4"/>
  <c r="F113" i="3"/>
  <c r="D81" i="4"/>
  <c r="F37" i="29"/>
  <c r="F38" i="29" l="1"/>
  <c r="G37" i="29" s="1"/>
  <c r="L22" i="29"/>
  <c r="J2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E3" authorId="0" shapeId="0" xr:uid="{00000000-0006-0000-0100-000001000000}">
      <text>
        <r>
          <rPr>
            <b/>
            <sz val="9"/>
            <color indexed="81"/>
            <rFont val="Tahoma"/>
            <family val="2"/>
          </rPr>
          <t xml:space="preserve">INPUT ALL INFORMATION IN CAP LETTERS
</t>
        </r>
        <r>
          <rPr>
            <sz val="9"/>
            <color indexed="81"/>
            <rFont val="Tahoma"/>
            <family val="2"/>
          </rPr>
          <t xml:space="preserve">
</t>
        </r>
      </text>
    </comment>
    <comment ref="E5" authorId="0" shapeId="0" xr:uid="{00000000-0006-0000-0100-000002000000}">
      <text>
        <r>
          <rPr>
            <b/>
            <sz val="9"/>
            <color indexed="81"/>
            <rFont val="Tahoma"/>
            <family val="2"/>
          </rPr>
          <t xml:space="preserve">INPUT ALL INFORMATION IN CAP LETTERS
</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400-000001000000}">
      <text>
        <r>
          <rPr>
            <sz val="8"/>
            <color indexed="81"/>
            <rFont val="Tahoma"/>
            <family val="2"/>
          </rPr>
          <t>Includes the following:
 - Backhoe Operator
 - Backhoe Rental
 - Tamper Rental
 - Fuel Costs
 - Bedding</t>
        </r>
      </text>
    </comment>
    <comment ref="L81" authorId="0" shapeId="0" xr:uid="{00000000-0006-0000-1400-000002000000}">
      <text>
        <r>
          <rPr>
            <sz val="8"/>
            <color indexed="81"/>
            <rFont val="Tahoma"/>
            <family val="2"/>
          </rPr>
          <t>Includes the following:
 - Backhoe Operator
 - Backhoe Rental
 - Tamper Rental
 - Fuel Costs
 - Bedding</t>
        </r>
      </text>
    </comment>
    <comment ref="M93" authorId="1" shapeId="0" xr:uid="{83795F26-9125-402A-8766-CC0A89F39D90}">
      <text>
        <r>
          <rPr>
            <sz val="9"/>
            <color indexed="81"/>
            <rFont val="Tahoma"/>
            <family val="2"/>
          </rPr>
          <t xml:space="preserve">If Permits are not required, input 0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500-000001000000}">
      <text>
        <r>
          <rPr>
            <sz val="8"/>
            <color indexed="81"/>
            <rFont val="Tahoma"/>
            <family val="2"/>
          </rPr>
          <t>Includes the following:
 - Backhoe Operator
 - Backhoe Rental
 - Tamper Rental
 - Fuel Costs
 - Bedding</t>
        </r>
      </text>
    </comment>
    <comment ref="L81" authorId="0" shapeId="0" xr:uid="{00000000-0006-0000-1500-000002000000}">
      <text>
        <r>
          <rPr>
            <sz val="8"/>
            <color indexed="81"/>
            <rFont val="Tahoma"/>
            <family val="2"/>
          </rPr>
          <t>Includes the following:
 - Backhoe Operator
 - Backhoe Rental
 - Tamper Rental
 - Fuel Costs
 - Bedding</t>
        </r>
      </text>
    </comment>
    <comment ref="M93" authorId="1" shapeId="0" xr:uid="{E87F3091-BFC8-4757-B4EC-F7FD4A1123EF}">
      <text>
        <r>
          <rPr>
            <sz val="9"/>
            <color indexed="81"/>
            <rFont val="Tahoma"/>
            <family val="2"/>
          </rPr>
          <t xml:space="preserve">If Permits are not required, input 0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600-000001000000}">
      <text>
        <r>
          <rPr>
            <sz val="8"/>
            <color indexed="81"/>
            <rFont val="Tahoma"/>
            <family val="2"/>
          </rPr>
          <t>Includes the following:
 - Backhoe Operator
 - Backhoe Rental
 - Tamper Rental
 - Fuel Costs
 - Bedding</t>
        </r>
      </text>
    </comment>
    <comment ref="L81" authorId="0" shapeId="0" xr:uid="{00000000-0006-0000-1600-000002000000}">
      <text>
        <r>
          <rPr>
            <sz val="8"/>
            <color indexed="81"/>
            <rFont val="Tahoma"/>
            <family val="2"/>
          </rPr>
          <t>Includes the following:
 - Backhoe Operator
 - Backhoe Rental
 - Tamper Rental
 - Fuel Costs
 - Bedding</t>
        </r>
      </text>
    </comment>
    <comment ref="M93" authorId="1" shapeId="0" xr:uid="{9946018D-08ED-4A73-9F7E-878B023C66E2}">
      <text>
        <r>
          <rPr>
            <sz val="9"/>
            <color indexed="81"/>
            <rFont val="Tahoma"/>
            <family val="2"/>
          </rPr>
          <t xml:space="preserve">If Permits are not required, input 0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700-000001000000}">
      <text>
        <r>
          <rPr>
            <sz val="8"/>
            <color indexed="81"/>
            <rFont val="Tahoma"/>
            <family val="2"/>
          </rPr>
          <t>Includes the following:
 - Backhoe Operator
 - Backhoe Rental
 - Tamper Rental
 - Fuel Costs
 - Bedding</t>
        </r>
      </text>
    </comment>
    <comment ref="L81" authorId="0" shapeId="0" xr:uid="{00000000-0006-0000-1700-000002000000}">
      <text>
        <r>
          <rPr>
            <sz val="8"/>
            <color indexed="81"/>
            <rFont val="Tahoma"/>
            <family val="2"/>
          </rPr>
          <t>Includes the following:
 - Backhoe Operator
 - Backhoe Rental
 - Tamper Rental
 - Fuel Costs
 - Bedding</t>
        </r>
      </text>
    </comment>
    <comment ref="M93" authorId="1" shapeId="0" xr:uid="{B154E860-702D-4498-A9BE-F80F815AE0B1}">
      <text>
        <r>
          <rPr>
            <sz val="9"/>
            <color indexed="81"/>
            <rFont val="Tahoma"/>
            <family val="2"/>
          </rPr>
          <t xml:space="preserve">If Permits are not required, input 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Pywell</author>
    <author>Paul Dense</author>
  </authors>
  <commentList>
    <comment ref="H3" authorId="0" shapeId="0" xr:uid="{00000000-0006-0000-0400-000001000000}">
      <text>
        <r>
          <rPr>
            <b/>
            <sz val="9"/>
            <color indexed="81"/>
            <rFont val="Tahoma"/>
            <family val="2"/>
          </rPr>
          <t>DELETE THIS CELL IF USING A SUB-CONTRACTOR</t>
        </r>
      </text>
    </comment>
    <comment ref="H4" authorId="0" shapeId="0" xr:uid="{00000000-0006-0000-0400-000002000000}">
      <text>
        <r>
          <rPr>
            <b/>
            <sz val="9"/>
            <color indexed="81"/>
            <rFont val="Tahoma"/>
            <family val="2"/>
          </rPr>
          <t>DELETE THIS CELL IF USING A SUB-CONTRACTOR</t>
        </r>
        <r>
          <rPr>
            <sz val="9"/>
            <color indexed="81"/>
            <rFont val="Tahoma"/>
            <family val="2"/>
          </rPr>
          <t xml:space="preserve">
</t>
        </r>
      </text>
    </comment>
    <comment ref="G16" authorId="0" shapeId="0" xr:uid="{00000000-0006-0000-0400-000003000000}">
      <text>
        <r>
          <rPr>
            <b/>
            <sz val="9"/>
            <color indexed="81"/>
            <rFont val="Tahoma"/>
            <family val="2"/>
          </rPr>
          <t>Robert Pywell:</t>
        </r>
        <r>
          <rPr>
            <sz val="9"/>
            <color indexed="81"/>
            <rFont val="Tahoma"/>
            <family val="2"/>
          </rPr>
          <t xml:space="preserve">
DELETE THIS CELL IF USING A SUB-CONTRACTOR</t>
        </r>
      </text>
    </comment>
    <comment ref="H16" authorId="0" shapeId="0" xr:uid="{00000000-0006-0000-0400-000004000000}">
      <text>
        <r>
          <rPr>
            <b/>
            <sz val="9"/>
            <color indexed="81"/>
            <rFont val="Tahoma"/>
            <family val="2"/>
          </rPr>
          <t>ENTER # OF FIXTURES</t>
        </r>
        <r>
          <rPr>
            <sz val="9"/>
            <color indexed="81"/>
            <rFont val="Tahoma"/>
            <family val="2"/>
          </rPr>
          <t xml:space="preserve">
</t>
        </r>
      </text>
    </comment>
    <comment ref="M16" authorId="0" shapeId="0" xr:uid="{00000000-0006-0000-0400-000005000000}">
      <text>
        <r>
          <rPr>
            <b/>
            <sz val="9"/>
            <color indexed="81"/>
            <rFont val="Tahoma"/>
            <family val="2"/>
          </rPr>
          <t>ENTER SYSTEM VOLUME</t>
        </r>
      </text>
    </comment>
    <comment ref="O16" authorId="0" shapeId="0" xr:uid="{00000000-0006-0000-0400-000006000000}">
      <text>
        <r>
          <rPr>
            <b/>
            <sz val="9"/>
            <color indexed="81"/>
            <rFont val="Tahoma"/>
            <family val="2"/>
          </rPr>
          <t>ADJUST % OF RATIO FOR GLYCOL</t>
        </r>
      </text>
    </comment>
    <comment ref="K55" authorId="0" shapeId="0" xr:uid="{00000000-0006-0000-0400-000007000000}">
      <text>
        <r>
          <rPr>
            <b/>
            <sz val="9"/>
            <color indexed="81"/>
            <rFont val="Tahoma"/>
            <family val="2"/>
          </rPr>
          <t>Robert Pywell:</t>
        </r>
        <r>
          <rPr>
            <sz val="9"/>
            <color indexed="81"/>
            <rFont val="Tahoma"/>
            <family val="2"/>
          </rPr>
          <t xml:space="preserve">
DELETE CELL IF USING DEEP INSTALLATION OR SUB-CONTRACTOR
</t>
        </r>
      </text>
    </comment>
    <comment ref="K56" authorId="0" shapeId="0" xr:uid="{00000000-0006-0000-0400-000008000000}">
      <text>
        <r>
          <rPr>
            <b/>
            <sz val="9"/>
            <color indexed="81"/>
            <rFont val="Tahoma"/>
            <family val="2"/>
          </rPr>
          <t>Robert Pywell:</t>
        </r>
        <r>
          <rPr>
            <sz val="9"/>
            <color indexed="81"/>
            <rFont val="Tahoma"/>
            <family val="2"/>
          </rPr>
          <t xml:space="preserve">
DELETE CELL IF USING SUB-CONTRACTOR</t>
        </r>
      </text>
    </comment>
    <comment ref="E156" authorId="1" shapeId="0" xr:uid="{5E693CF4-AD0E-4F54-BE0C-67504E926DA8}">
      <text>
        <r>
          <rPr>
            <b/>
            <sz val="9"/>
            <color indexed="81"/>
            <rFont val="Tahoma"/>
            <family val="2"/>
          </rPr>
          <t>Paul Dense:</t>
        </r>
        <r>
          <rPr>
            <sz val="9"/>
            <color indexed="81"/>
            <rFont val="Tahoma"/>
            <family val="2"/>
          </rPr>
          <t xml:space="preserve">
VE and SM package deducted</t>
        </r>
      </text>
    </comment>
    <comment ref="E181" authorId="1" shapeId="0" xr:uid="{C3DACA55-E807-464A-BE09-A54C1AD4546C}">
      <text>
        <r>
          <rPr>
            <b/>
            <sz val="9"/>
            <color indexed="81"/>
            <rFont val="Tahoma"/>
            <family val="2"/>
          </rPr>
          <t>Paul Dense:</t>
        </r>
        <r>
          <rPr>
            <sz val="9"/>
            <color indexed="81"/>
            <rFont val="Tahoma"/>
            <family val="2"/>
          </rPr>
          <t xml:space="preserve">
less patio heaters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8" authorId="0" shapeId="0" xr:uid="{00000000-0006-0000-0500-000001000000}">
      <text>
        <r>
          <rPr>
            <sz val="9"/>
            <color indexed="81"/>
            <rFont val="Tahoma"/>
            <family val="2"/>
          </rPr>
          <t xml:space="preserve">***- ENTER MINIMUM 40 HOURS FOR TAKEOFF
</t>
        </r>
      </text>
    </comment>
    <comment ref="H46" authorId="0" shapeId="0" xr:uid="{6F36C4B3-6378-4407-A97F-DF5CA18E0394}">
      <text>
        <r>
          <rPr>
            <sz val="9"/>
            <color indexed="81"/>
            <rFont val="Tahoma"/>
            <family val="2"/>
          </rPr>
          <t xml:space="preserve">If Permits are not required, input 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6" authorId="0" shapeId="0" xr:uid="{00000000-0006-0000-0600-000001000000}">
      <text>
        <r>
          <rPr>
            <sz val="9"/>
            <color indexed="81"/>
            <rFont val="Tahoma"/>
            <family val="2"/>
          </rPr>
          <t xml:space="preserve">***- ENTER MINIMUM 40 HOURS FOR TAKEOFF
</t>
        </r>
      </text>
    </comment>
    <comment ref="H44" authorId="0" shapeId="0" xr:uid="{33FCC102-CAF8-4B8E-BEE9-6E4DB08C4015}">
      <text>
        <r>
          <rPr>
            <sz val="9"/>
            <color indexed="81"/>
            <rFont val="Tahoma"/>
            <family val="2"/>
          </rPr>
          <t xml:space="preserve">If Permits are not required, input 0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 Dense</author>
  </authors>
  <commentList>
    <comment ref="F9" authorId="0" shapeId="0" xr:uid="{66CD7B47-7E6D-4B63-BB65-A866E18C262F}">
      <text>
        <r>
          <rPr>
            <b/>
            <sz val="9"/>
            <color indexed="81"/>
            <rFont val="Tahoma"/>
            <family val="2"/>
          </rPr>
          <t>Paul Dense:</t>
        </r>
        <r>
          <rPr>
            <sz val="9"/>
            <color indexed="81"/>
            <rFont val="Tahoma"/>
            <family val="2"/>
          </rPr>
          <t xml:space="preserve">
includes changing to pvc in garage</t>
        </r>
      </text>
    </comment>
    <comment ref="H9" authorId="0" shapeId="0" xr:uid="{E3BA0010-C357-440B-8AAF-3ECBB0A6496A}">
      <text>
        <r>
          <rPr>
            <b/>
            <sz val="9"/>
            <color indexed="81"/>
            <rFont val="Tahoma"/>
            <family val="2"/>
          </rPr>
          <t>Paul Dense:</t>
        </r>
        <r>
          <rPr>
            <sz val="9"/>
            <color indexed="81"/>
            <rFont val="Tahoma"/>
            <family val="2"/>
          </rPr>
          <t xml:space="preserve">
includes pvc adjustment</t>
        </r>
      </text>
    </comment>
    <comment ref="F11" authorId="0" shapeId="0" xr:uid="{3BEF2D44-B838-48AD-81CB-EA60415CA79F}">
      <text>
        <r>
          <rPr>
            <b/>
            <sz val="9"/>
            <color indexed="81"/>
            <rFont val="Tahoma"/>
            <family val="2"/>
          </rPr>
          <t>Paul Dense:</t>
        </r>
        <r>
          <rPr>
            <sz val="9"/>
            <color indexed="81"/>
            <rFont val="Tahoma"/>
            <family val="2"/>
          </rPr>
          <t xml:space="preserve">
includes changing to PVC on overflow and in garage</t>
        </r>
      </text>
    </comment>
    <comment ref="H11" authorId="0" shapeId="0" xr:uid="{FA354299-40DD-44C5-8BEC-A5CA7E390D51}">
      <text>
        <r>
          <rPr>
            <b/>
            <sz val="9"/>
            <color indexed="81"/>
            <rFont val="Tahoma"/>
            <family val="2"/>
          </rPr>
          <t>Paul Dense:</t>
        </r>
        <r>
          <rPr>
            <sz val="9"/>
            <color indexed="81"/>
            <rFont val="Tahoma"/>
            <family val="2"/>
          </rPr>
          <t xml:space="preserve">
includes pvc adjustment</t>
        </r>
      </text>
    </comment>
    <comment ref="H24" authorId="0" shapeId="0" xr:uid="{83503E50-57CE-4481-9EA1-58996E0FD710}">
      <text>
        <r>
          <rPr>
            <b/>
            <sz val="9"/>
            <color indexed="81"/>
            <rFont val="Tahoma"/>
            <family val="2"/>
          </rPr>
          <t>Paul Dense:</t>
        </r>
        <r>
          <rPr>
            <sz val="9"/>
            <color indexed="81"/>
            <rFont val="Tahoma"/>
            <family val="2"/>
          </rPr>
          <t xml:space="preserve">
Review jobsite conditions</t>
        </r>
      </text>
    </comment>
    <comment ref="H41" authorId="0" shapeId="0" xr:uid="{5C6EBD5C-2FFC-4126-9635-513AECDFF866}">
      <text>
        <r>
          <rPr>
            <b/>
            <sz val="9"/>
            <color indexed="81"/>
            <rFont val="Tahoma"/>
            <family val="2"/>
          </rPr>
          <t>Paul Dense:</t>
        </r>
        <r>
          <rPr>
            <sz val="9"/>
            <color indexed="81"/>
            <rFont val="Tahoma"/>
            <family val="2"/>
          </rPr>
          <t xml:space="preserve">
ADDED for mains exgtended through elec rooms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0F00-000001000000}">
      <text>
        <r>
          <rPr>
            <sz val="8"/>
            <color indexed="81"/>
            <rFont val="Tahoma"/>
            <family val="2"/>
          </rPr>
          <t>Includes the following:
 - Backhoe Operator
 - Backhoe Rental
 - Tamper Rental
 - Fuel Costs
 - Bedding</t>
        </r>
      </text>
    </comment>
    <comment ref="L81" authorId="0" shapeId="0" xr:uid="{00000000-0006-0000-0F00-000002000000}">
      <text>
        <r>
          <rPr>
            <sz val="8"/>
            <color indexed="81"/>
            <rFont val="Tahoma"/>
            <family val="2"/>
          </rPr>
          <t>Includes the following:
 - Backhoe Operator
 - Backhoe Rental
 - Tamper Rental
 - Fuel Costs
 - Bedding</t>
        </r>
      </text>
    </comment>
    <comment ref="M93" authorId="1" shapeId="0" xr:uid="{F6495E42-B2BE-435D-AFD6-FBA6F92934C0}">
      <text>
        <r>
          <rPr>
            <sz val="9"/>
            <color indexed="81"/>
            <rFont val="Tahoma"/>
            <family val="2"/>
          </rPr>
          <t xml:space="preserve">If Permits are not required, input 0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100-000001000000}">
      <text>
        <r>
          <rPr>
            <sz val="8"/>
            <color indexed="81"/>
            <rFont val="Tahoma"/>
            <family val="2"/>
          </rPr>
          <t>Includes the following:
 - Backhoe Operator
 - Backhoe Rental
 - Tamper Rental
 - Fuel Costs
 - Bedding</t>
        </r>
      </text>
    </comment>
    <comment ref="L81" authorId="0" shapeId="0" xr:uid="{00000000-0006-0000-1100-000002000000}">
      <text>
        <r>
          <rPr>
            <sz val="8"/>
            <color indexed="81"/>
            <rFont val="Tahoma"/>
            <family val="2"/>
          </rPr>
          <t>Includes the following:
 - Backhoe Operator
 - Backhoe Rental
 - Tamper Rental
 - Fuel Costs
 - Bedding</t>
        </r>
      </text>
    </comment>
    <comment ref="M93" authorId="1" shapeId="0" xr:uid="{2CA39871-E10F-4CD2-9C09-ECFCB2E497D0}">
      <text>
        <r>
          <rPr>
            <sz val="9"/>
            <color indexed="81"/>
            <rFont val="Tahoma"/>
            <family val="2"/>
          </rPr>
          <t xml:space="preserve">If Permits are not required, input 0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200-000001000000}">
      <text>
        <r>
          <rPr>
            <sz val="8"/>
            <color indexed="81"/>
            <rFont val="Tahoma"/>
            <family val="2"/>
          </rPr>
          <t>Includes the following:
 - Backhoe Operator
 - Backhoe Rental
 - Tamper Rental
 - Fuel Costs
 - Bedding</t>
        </r>
      </text>
    </comment>
    <comment ref="L81" authorId="0" shapeId="0" xr:uid="{00000000-0006-0000-1200-000002000000}">
      <text>
        <r>
          <rPr>
            <sz val="8"/>
            <color indexed="81"/>
            <rFont val="Tahoma"/>
            <family val="2"/>
          </rPr>
          <t>Includes the following:
 - Backhoe Operator
 - Backhoe Rental
 - Tamper Rental
 - Fuel Costs
 - Bedding</t>
        </r>
      </text>
    </comment>
    <comment ref="M93" authorId="1" shapeId="0" xr:uid="{F76941BC-6781-4FF4-9B31-FE4353AFBBE6}">
      <text>
        <r>
          <rPr>
            <sz val="9"/>
            <color indexed="81"/>
            <rFont val="Tahoma"/>
            <family val="2"/>
          </rPr>
          <t xml:space="preserve">If Permits are not required, input 0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300-000001000000}">
      <text>
        <r>
          <rPr>
            <sz val="8"/>
            <color indexed="81"/>
            <rFont val="Tahoma"/>
            <family val="2"/>
          </rPr>
          <t>Includes the following:
 - Backhoe Operator
 - Backhoe Rental
 - Tamper Rental
 - Fuel Costs
 - Bedding</t>
        </r>
      </text>
    </comment>
    <comment ref="L81" authorId="0" shapeId="0" xr:uid="{00000000-0006-0000-1300-000002000000}">
      <text>
        <r>
          <rPr>
            <sz val="8"/>
            <color indexed="81"/>
            <rFont val="Tahoma"/>
            <family val="2"/>
          </rPr>
          <t>Includes the following:
 - Backhoe Operator
 - Backhoe Rental
 - Tamper Rental
 - Fuel Costs
 - Bedding</t>
        </r>
      </text>
    </comment>
    <comment ref="M93" authorId="1" shapeId="0" xr:uid="{55CB0BA7-323B-4430-BD5A-FB3BE19017C1}">
      <text>
        <r>
          <rPr>
            <sz val="9"/>
            <color indexed="81"/>
            <rFont val="Tahoma"/>
            <family val="2"/>
          </rPr>
          <t xml:space="preserve">If Permits are not required, input 0  
</t>
        </r>
      </text>
    </comment>
  </commentList>
</comments>
</file>

<file path=xl/sharedStrings.xml><?xml version="1.0" encoding="utf-8"?>
<sst xmlns="http://schemas.openxmlformats.org/spreadsheetml/2006/main" count="5418" uniqueCount="2604">
  <si>
    <t>Project Cost Recap</t>
  </si>
  <si>
    <t>Project Name:</t>
  </si>
  <si>
    <t>Location:</t>
  </si>
  <si>
    <t>Time:</t>
  </si>
  <si>
    <t>Bid Date:</t>
  </si>
  <si>
    <t>Date:</t>
  </si>
  <si>
    <t>Plumbing &amp; Heating Costs</t>
  </si>
  <si>
    <t>Costs</t>
  </si>
  <si>
    <t>Totals</t>
  </si>
  <si>
    <t>Plumbing Cost</t>
  </si>
  <si>
    <t>Adjustments</t>
  </si>
  <si>
    <t xml:space="preserve">    Final Plumbing Costs</t>
  </si>
  <si>
    <t xml:space="preserve">    Final Heating Cost</t>
  </si>
  <si>
    <t>Subcontractors</t>
  </si>
  <si>
    <t>Test &amp; Balance</t>
  </si>
  <si>
    <t xml:space="preserve">    Sub Total</t>
  </si>
  <si>
    <t>O&amp;P%</t>
  </si>
  <si>
    <t>Total Cost</t>
  </si>
  <si>
    <t>Bond Cost%</t>
  </si>
  <si>
    <t>TOTAL BID</t>
  </si>
  <si>
    <t xml:space="preserve">     Total Plumbing &amp; Heating</t>
  </si>
  <si>
    <t xml:space="preserve">    Total Cost</t>
  </si>
  <si>
    <t>Equipment</t>
  </si>
  <si>
    <t>Fixtures</t>
  </si>
  <si>
    <t>Heating Estimate Recap Sheet</t>
  </si>
  <si>
    <t>Braconier Plumbing &amp; Heating Co., Inc.</t>
  </si>
  <si>
    <t>Items</t>
  </si>
  <si>
    <t>Pipe, Valves &amp; Fittings</t>
  </si>
  <si>
    <t>PV&amp;F Adjustments</t>
  </si>
  <si>
    <t>Office\Trailer</t>
  </si>
  <si>
    <t>Telephone</t>
  </si>
  <si>
    <t>Small Tools</t>
  </si>
  <si>
    <t>Shop Drawings</t>
  </si>
  <si>
    <t>Hoisting</t>
  </si>
  <si>
    <t>Trucks</t>
  </si>
  <si>
    <t>Operator Instructions</t>
  </si>
  <si>
    <t>Valve Tags\Pipe ID</t>
  </si>
  <si>
    <t>Equipment Rental</t>
  </si>
  <si>
    <t>Safety Equipment</t>
  </si>
  <si>
    <t>Vibration Isolation</t>
  </si>
  <si>
    <t>Starters</t>
  </si>
  <si>
    <t>Project Manager</t>
  </si>
  <si>
    <t>Takeoff</t>
  </si>
  <si>
    <t>Mobilization</t>
  </si>
  <si>
    <t>Cost</t>
  </si>
  <si>
    <t>Labor</t>
  </si>
  <si>
    <t>Material</t>
  </si>
  <si>
    <t>Total</t>
  </si>
  <si>
    <t>Tax %</t>
  </si>
  <si>
    <t>Fitter Foreman</t>
  </si>
  <si>
    <t>Fitter</t>
  </si>
  <si>
    <t>Escalation</t>
  </si>
  <si>
    <t>Supervision %</t>
  </si>
  <si>
    <t>Insurance %</t>
  </si>
  <si>
    <t>Fitter Fringe</t>
  </si>
  <si>
    <t>Supervision Fringe %</t>
  </si>
  <si>
    <t>Permits</t>
  </si>
  <si>
    <t>Overhead &amp; Profit %</t>
  </si>
  <si>
    <t>Shop Drawing</t>
  </si>
  <si>
    <t>Saftey Equipment</t>
  </si>
  <si>
    <t>Plumber Foreman</t>
  </si>
  <si>
    <t>Plumber</t>
  </si>
  <si>
    <t>Plumber Fringe</t>
  </si>
  <si>
    <t>Plumbing Estimate Recap Sheet</t>
  </si>
  <si>
    <t>Quantity</t>
  </si>
  <si>
    <t>Description</t>
  </si>
  <si>
    <t>ea.</t>
  </si>
  <si>
    <t>ttl HRS</t>
  </si>
  <si>
    <t xml:space="preserve">LABOR:                 </t>
  </si>
  <si>
    <t>TOTAL</t>
  </si>
  <si>
    <t xml:space="preserve"> </t>
  </si>
  <si>
    <t>Heating Cost</t>
  </si>
  <si>
    <t>hours</t>
  </si>
  <si>
    <t>150 TON</t>
  </si>
  <si>
    <t>50 TON</t>
  </si>
  <si>
    <t>22 TON</t>
  </si>
  <si>
    <t>ALL TERRAIN</t>
  </si>
  <si>
    <t>TOTAL:</t>
  </si>
  <si>
    <t xml:space="preserve">GRAND </t>
  </si>
  <si>
    <t>GRAND TOTAL PLUMBING + HVAC</t>
  </si>
  <si>
    <t>SUBTOTAL:</t>
  </si>
  <si>
    <t>HVAC</t>
  </si>
  <si>
    <t>FUEL SURCHARGE</t>
  </si>
  <si>
    <t>PLUMBING</t>
  </si>
  <si>
    <t>STATUS</t>
  </si>
  <si>
    <t>TOTAL COST</t>
  </si>
  <si>
    <t>UNIT PRICE</t>
  </si>
  <si>
    <t>CRANE SIZE</t>
  </si>
  <si>
    <t>TOTAL HRS.</t>
  </si>
  <si>
    <t>HRS. EA.</t>
  </si>
  <si>
    <t>QTY EQP</t>
  </si>
  <si>
    <t>DESCRIPTION:</t>
  </si>
  <si>
    <t>SUMMARY BY:</t>
  </si>
  <si>
    <t>ENGINEER:</t>
  </si>
  <si>
    <t>LOCATION:</t>
  </si>
  <si>
    <t>PROJECT:</t>
  </si>
  <si>
    <t>PER HR</t>
  </si>
  <si>
    <t>PRODUCTIVE CREW RATE</t>
  </si>
  <si>
    <t>AVERAGE CREW RATE</t>
  </si>
  <si>
    <t>DT</t>
  </si>
  <si>
    <t>1.5 OT</t>
  </si>
  <si>
    <t>ST</t>
  </si>
  <si>
    <t>50% APPRENTICE</t>
  </si>
  <si>
    <t>70% APPRENTICE</t>
  </si>
  <si>
    <t>JOURNEYMAN</t>
  </si>
  <si>
    <t>FOREMAN</t>
  </si>
  <si>
    <t>GENERAL FOREMAN</t>
  </si>
  <si>
    <t># MEN</t>
  </si>
  <si>
    <t>AVG YRS</t>
  </si>
  <si>
    <t>PIPEFITTERS</t>
  </si>
  <si>
    <t>TOTAL DURATION</t>
  </si>
  <si>
    <t>MONTHS</t>
  </si>
  <si>
    <t>WAGE INCREASE</t>
  </si>
  <si>
    <t>RATES = BASE + VACATION ONLY</t>
  </si>
  <si>
    <t>BID NO.</t>
  </si>
  <si>
    <t xml:space="preserve">PROJECT: </t>
  </si>
  <si>
    <t>PLUMBERS</t>
  </si>
  <si>
    <t>Size</t>
  </si>
  <si>
    <t>REG</t>
  </si>
  <si>
    <t>PIPING</t>
  </si>
  <si>
    <t>PIPEFITTER</t>
  </si>
  <si>
    <t>FACTOR</t>
  </si>
  <si>
    <t>PLBG</t>
  </si>
  <si>
    <t>SHEET METAL</t>
  </si>
  <si>
    <t>QTY</t>
  </si>
  <si>
    <t>Months</t>
  </si>
  <si>
    <t>Over First</t>
  </si>
  <si>
    <t>First</t>
  </si>
  <si>
    <t xml:space="preserve"> Per  $1,000</t>
  </si>
  <si>
    <t>Plus</t>
  </si>
  <si>
    <t>Denver Permit Costs</t>
  </si>
  <si>
    <t>Warranty</t>
  </si>
  <si>
    <t>PLBG COST</t>
  </si>
  <si>
    <t>TOTAL HOURS</t>
  </si>
  <si>
    <t>Sales Tax</t>
  </si>
  <si>
    <t>PROFIT</t>
  </si>
  <si>
    <t>COST</t>
  </si>
  <si>
    <t>CFM</t>
  </si>
  <si>
    <t>BOND RATE THIS PROJECT</t>
  </si>
  <si>
    <t>BOND THIS PROJECT (Plan &amp; Spec Rates)</t>
  </si>
  <si>
    <t xml:space="preserve"> --------</t>
  </si>
  <si>
    <t>OVER</t>
  </si>
  <si>
    <t>PREMIUM PER MONTH</t>
  </si>
  <si>
    <t xml:space="preserve"> MONTHS</t>
  </si>
  <si>
    <t>LENGTH OF JOB</t>
  </si>
  <si>
    <t>TOTAL JOB BOND</t>
  </si>
  <si>
    <t>NEXT</t>
  </si>
  <si>
    <t>1st</t>
  </si>
  <si>
    <t>- BOND AMOUNT -</t>
  </si>
  <si>
    <t>RATE/$1000</t>
  </si>
  <si>
    <t>BRACKETS</t>
  </si>
  <si>
    <t>SELL PRICE</t>
  </si>
  <si>
    <t>=</t>
  </si>
  <si>
    <t>Estimate Number:</t>
  </si>
  <si>
    <t>Job Name:</t>
  </si>
  <si>
    <t>PERFORMANCE BOND CALCULATION</t>
  </si>
  <si>
    <t>DESIGN BUILD PERFORMANCE BOND CALCULATION</t>
  </si>
  <si>
    <t>Contract Type</t>
  </si>
  <si>
    <t>Laboratory</t>
  </si>
  <si>
    <t>Hotel</t>
  </si>
  <si>
    <t>Hospital</t>
  </si>
  <si>
    <t>Data Center</t>
  </si>
  <si>
    <t>Casino</t>
  </si>
  <si>
    <t>Budget</t>
  </si>
  <si>
    <t>Addition</t>
  </si>
  <si>
    <t>GMP</t>
  </si>
  <si>
    <t>Owner</t>
  </si>
  <si>
    <t>Construction Type</t>
  </si>
  <si>
    <t>QP REPORTS</t>
  </si>
  <si>
    <t>MATL</t>
  </si>
  <si>
    <t>PLUMBING TOTAL</t>
  </si>
  <si>
    <t>PIPEFITTER TOTAL</t>
  </si>
  <si>
    <t>PLBR &amp; PF TOTAL</t>
  </si>
  <si>
    <t>BASE BID</t>
  </si>
  <si>
    <t>LABOR COVERAGE</t>
  </si>
  <si>
    <t>SCISSOR</t>
  </si>
  <si>
    <t>FORKLIFT</t>
  </si>
  <si>
    <t>MRF</t>
  </si>
  <si>
    <t>MH</t>
  </si>
  <si>
    <t>MAX</t>
  </si>
  <si>
    <t>CAP</t>
  </si>
  <si>
    <t>Project</t>
  </si>
  <si>
    <t>TOTAL O&amp;P</t>
  </si>
  <si>
    <t>SUBS</t>
  </si>
  <si>
    <t>HTG</t>
  </si>
  <si>
    <t>LESS O&amp;P</t>
  </si>
  <si>
    <t>LESS MRF</t>
  </si>
  <si>
    <t>LESS CAP</t>
  </si>
  <si>
    <t>MARKUP</t>
  </si>
  <si>
    <t>Misc Cost</t>
  </si>
  <si>
    <t>MARGIN</t>
  </si>
  <si>
    <t>ADD</t>
  </si>
  <si>
    <t>BRACONIER</t>
  </si>
  <si>
    <t>Misc $/T. Cost</t>
  </si>
  <si>
    <t>PERMITCOST</t>
  </si>
  <si>
    <t>PERMIT COST</t>
  </si>
  <si>
    <t>ttl MATL $</t>
  </si>
  <si>
    <t>DELTA</t>
  </si>
  <si>
    <t>DESCRIPTION</t>
  </si>
  <si>
    <t>40% PIPE TRADESMAN</t>
  </si>
  <si>
    <t>40% PIPE TRADES</t>
  </si>
  <si>
    <t>Man Days</t>
  </si>
  <si>
    <t>HYDRAULIC MOBILE CRANE</t>
  </si>
  <si>
    <t>30 TON</t>
  </si>
  <si>
    <t>40 TON</t>
  </si>
  <si>
    <t>60 TON</t>
  </si>
  <si>
    <t>70 TON</t>
  </si>
  <si>
    <t>120 TON</t>
  </si>
  <si>
    <t>Start</t>
  </si>
  <si>
    <t>Complete</t>
  </si>
  <si>
    <t>Weeks</t>
  </si>
  <si>
    <t>Calendar Days</t>
  </si>
  <si>
    <t>Working Days</t>
  </si>
  <si>
    <t>SCAFFOLDING</t>
  </si>
  <si>
    <t>2nd YEAR</t>
  </si>
  <si>
    <t>2nd YEAR JOB BOND</t>
  </si>
  <si>
    <t>State Plumbing Permit</t>
  </si>
  <si>
    <t>Tax</t>
  </si>
  <si>
    <t>90 TON*</t>
  </si>
  <si>
    <t>120 TON*</t>
  </si>
  <si>
    <t>* Additional Trucks Required for boom</t>
  </si>
  <si>
    <t>&amp; counterweights, jibs</t>
  </si>
  <si>
    <t>170 TON*</t>
  </si>
  <si>
    <t>220 TON*</t>
  </si>
  <si>
    <t>300 TON*</t>
  </si>
  <si>
    <t>400 TON*  On Request</t>
  </si>
  <si>
    <t>WINSLOW 1.28.13:</t>
  </si>
  <si>
    <t>CONVENTIONAL</t>
  </si>
  <si>
    <t>75 TON*</t>
  </si>
  <si>
    <t>200 TON* On Request</t>
  </si>
  <si>
    <t>TRUCKING</t>
  </si>
  <si>
    <t>400 TON*</t>
  </si>
  <si>
    <t>SWING</t>
  </si>
  <si>
    <t>2.0 OT</t>
  </si>
  <si>
    <t>Pipe Trademen Fringe</t>
  </si>
  <si>
    <t>PTM % - Crew</t>
  </si>
  <si>
    <t>MH-Pipe,Eqp</t>
  </si>
  <si>
    <t>PTM MH</t>
  </si>
  <si>
    <t>Material Handling</t>
  </si>
  <si>
    <t>FABRICATION</t>
  </si>
  <si>
    <t>STATE GAS PERMIT</t>
  </si>
  <si>
    <t>16,17,18,19,20</t>
  </si>
  <si>
    <t>PIPEFITTERS LABOR CREW RATE THRU YR 2020</t>
  </si>
  <si>
    <t>PLUMBERS LABOR CREW RATE THRU YR 2020</t>
  </si>
  <si>
    <t>3rd YEAR</t>
  </si>
  <si>
    <t>3rd YEAR JOB BOND</t>
  </si>
  <si>
    <t>O&amp;P % on TEXTURA</t>
  </si>
  <si>
    <t>TOTAL BID WITH TEXTURA</t>
  </si>
  <si>
    <t>TEXTURA</t>
  </si>
  <si>
    <t xml:space="preserve">PROJECT &amp; ESTIMATE INFORMATION </t>
  </si>
  <si>
    <t>Project Name</t>
  </si>
  <si>
    <t>Proposal Due Date</t>
  </si>
  <si>
    <t>Project Number</t>
  </si>
  <si>
    <t>Proposal Due Time</t>
  </si>
  <si>
    <t>Address</t>
  </si>
  <si>
    <t>Award off Proposal</t>
  </si>
  <si>
    <t>City / State / Zip</t>
  </si>
  <si>
    <t xml:space="preserve">Lead </t>
  </si>
  <si>
    <t>Job Walk</t>
  </si>
  <si>
    <t>Client #1 Name</t>
  </si>
  <si>
    <t>Mandatory</t>
  </si>
  <si>
    <t xml:space="preserve">Yes  </t>
  </si>
  <si>
    <t>Contact Name</t>
  </si>
  <si>
    <t>Bid Form Required</t>
  </si>
  <si>
    <t>Email</t>
  </si>
  <si>
    <t>Municipality</t>
  </si>
  <si>
    <t>Tax Exempt</t>
  </si>
  <si>
    <t>Client #2 Name</t>
  </si>
  <si>
    <t>Permit Fees</t>
  </si>
  <si>
    <t>OCIP / CCIP</t>
  </si>
  <si>
    <t>Davis Bacon Wages</t>
  </si>
  <si>
    <t>OT / Shift Work</t>
  </si>
  <si>
    <t>Client #3 Name</t>
  </si>
  <si>
    <t>Construction Start Date</t>
  </si>
  <si>
    <t>Construction Finish Date</t>
  </si>
  <si>
    <t>Total Months Duration</t>
  </si>
  <si>
    <t>Total Weeks Duration</t>
  </si>
  <si>
    <t>Client #4 Name</t>
  </si>
  <si>
    <t>Type of Facility</t>
  </si>
  <si>
    <t># of Units</t>
  </si>
  <si>
    <t># of Stories</t>
  </si>
  <si>
    <t># of Buildings</t>
  </si>
  <si>
    <t>Phasing Required</t>
  </si>
  <si>
    <t>Client #5 Name</t>
  </si>
  <si>
    <t>Leed Certification</t>
  </si>
  <si>
    <t>Core Drills Required</t>
  </si>
  <si>
    <t>X-Ray/GPR Required</t>
  </si>
  <si>
    <t>CAD / BIM Required</t>
  </si>
  <si>
    <t>Engineer</t>
  </si>
  <si>
    <t>Quick Ship Required</t>
  </si>
  <si>
    <t>Drawings Dated</t>
  </si>
  <si>
    <t>Addenda</t>
  </si>
  <si>
    <t>Addenda Date</t>
  </si>
  <si>
    <t>Competitor #1</t>
  </si>
  <si>
    <t>Competitor #2</t>
  </si>
  <si>
    <t>Competitor #3</t>
  </si>
  <si>
    <t>Competitor #4</t>
  </si>
  <si>
    <t>Competitor #5</t>
  </si>
  <si>
    <t>Competitor #6</t>
  </si>
  <si>
    <t>Data Sheet</t>
  </si>
  <si>
    <t>Client List</t>
  </si>
  <si>
    <t>Engineers</t>
  </si>
  <si>
    <t>Taxes</t>
  </si>
  <si>
    <t>Included/Not included</t>
  </si>
  <si>
    <t>Competitor</t>
  </si>
  <si>
    <t>Able Consulting Group, LLC</t>
  </si>
  <si>
    <t>Included</t>
  </si>
  <si>
    <t>One Year</t>
  </si>
  <si>
    <t>Apollo</t>
  </si>
  <si>
    <t>BCER Engineering, Inc.</t>
  </si>
  <si>
    <t>Core &amp; Shell</t>
  </si>
  <si>
    <t>Not Included</t>
  </si>
  <si>
    <t>Two Years</t>
  </si>
  <si>
    <t>Colorado Mechanical</t>
  </si>
  <si>
    <t>Beaudin Ganze Consulting Engineers</t>
  </si>
  <si>
    <t>Ground-Up</t>
  </si>
  <si>
    <t>Three Years</t>
  </si>
  <si>
    <t>Design Mechanical</t>
  </si>
  <si>
    <t>Belfay Engineering</t>
  </si>
  <si>
    <t>Renovation</t>
  </si>
  <si>
    <t>PROPOSAL DUE TIME</t>
  </si>
  <si>
    <t>Four Years</t>
  </si>
  <si>
    <t>Edge Mechanical Systems</t>
  </si>
  <si>
    <t>Cator Ruma and Associates, Co.</t>
  </si>
  <si>
    <t>Renovation / Ground-Up</t>
  </si>
  <si>
    <t>Five Years</t>
  </si>
  <si>
    <t>CCRD</t>
  </si>
  <si>
    <t>Service</t>
  </si>
  <si>
    <t>Legacy Mechanical</t>
  </si>
  <si>
    <t>Envision Mechanical Engineers, Inc.</t>
  </si>
  <si>
    <t>Tenant Finish</t>
  </si>
  <si>
    <t>Mai Mechanical</t>
  </si>
  <si>
    <t>JJ Blank Engineering Co.</t>
  </si>
  <si>
    <t>Midlands Mechanical</t>
  </si>
  <si>
    <t>McGrath, Inc.</t>
  </si>
  <si>
    <t>By Owner/General Contractor</t>
  </si>
  <si>
    <t>M-Tech Mechanical</t>
  </si>
  <si>
    <t>M-E Engineers, Inc.</t>
  </si>
  <si>
    <t>Yes / No</t>
  </si>
  <si>
    <t>By Braconier</t>
  </si>
  <si>
    <t>NM Industrial Services</t>
  </si>
  <si>
    <t>MEP</t>
  </si>
  <si>
    <t>Pro-Craft</t>
  </si>
  <si>
    <t>MKK Consulting Engineers, Inc.</t>
  </si>
  <si>
    <t>RK Mechanical</t>
  </si>
  <si>
    <t>Priest Engineering</t>
  </si>
  <si>
    <t>No</t>
  </si>
  <si>
    <t>Rocky Mountain Mechanical Services</t>
  </si>
  <si>
    <t>RMH Group</t>
  </si>
  <si>
    <t>Rogers &amp; Sons</t>
  </si>
  <si>
    <t>Rocky Mountain Group</t>
  </si>
  <si>
    <t>Applicable/Not Applicable</t>
  </si>
  <si>
    <t>Tolin Mechanical</t>
  </si>
  <si>
    <t>Trautman &amp; Shreve</t>
  </si>
  <si>
    <t>The Ballard Group, Inc.</t>
  </si>
  <si>
    <t xml:space="preserve">Applicable  </t>
  </si>
  <si>
    <t>EOD</t>
  </si>
  <si>
    <t>US Engineering</t>
  </si>
  <si>
    <t>Not Applicable</t>
  </si>
  <si>
    <t>Lead PreCon Assignment</t>
  </si>
  <si>
    <t>LEAD SIGNATURE</t>
  </si>
  <si>
    <t>Paul Dense</t>
  </si>
  <si>
    <t>SIGNATURES</t>
  </si>
  <si>
    <t>Date</t>
  </si>
  <si>
    <t>To</t>
  </si>
  <si>
    <t>Attention</t>
  </si>
  <si>
    <t>E-Mail</t>
  </si>
  <si>
    <t>City/State/Zip</t>
  </si>
  <si>
    <t>Plans Dated</t>
  </si>
  <si>
    <t>CLARIFICATIONS</t>
  </si>
  <si>
    <t>Warranty is included on our furnished parts and labor as follows:</t>
  </si>
  <si>
    <t>Our proposal is based on a contract mutually agreeable that is no less favorable than the Contractor’s contract with the Owner.</t>
  </si>
  <si>
    <t>INCLUSIONS</t>
  </si>
  <si>
    <t>Plumbing Piping, Fixtures &amp; Equipment</t>
  </si>
  <si>
    <t>Excavation and backfill of plumbing piping</t>
  </si>
  <si>
    <t>Refrigerant Piping</t>
  </si>
  <si>
    <t>Natural Gas Piping</t>
  </si>
  <si>
    <t>Sheet Metal Ductwork</t>
  </si>
  <si>
    <t>Hydronic Piping &amp; Equipment</t>
  </si>
  <si>
    <t>Medical Gas Systems</t>
  </si>
  <si>
    <t>Medical Gas Certification</t>
  </si>
  <si>
    <t>Temperature Controls</t>
  </si>
  <si>
    <t>Insulation for Mechanical systems</t>
  </si>
  <si>
    <t>Assist in Commissioning</t>
  </si>
  <si>
    <t>Textura Fees</t>
  </si>
  <si>
    <t>EXCLUSIONS</t>
  </si>
  <si>
    <t>Seismic Restraints for piping &amp; equipment</t>
  </si>
  <si>
    <t>Fire Suppression, Division 21</t>
  </si>
  <si>
    <t>Formed or Poured Concrete</t>
  </si>
  <si>
    <t>Independent Commission Agent</t>
  </si>
  <si>
    <t>Weather Protection of Roof Curbs and Roof Caps</t>
  </si>
  <si>
    <t>Painting</t>
  </si>
  <si>
    <t>Roofing or Repair</t>
  </si>
  <si>
    <t>Soil Testing</t>
  </si>
  <si>
    <t>Hazardous Material Testing, Identification, Removal and Abatement</t>
  </si>
  <si>
    <t>Temporary Barriers, Fences or Partitions</t>
  </si>
  <si>
    <t>Structural Steel for openings</t>
  </si>
  <si>
    <t>Startup and Warranty of Equipment Furnished by Others</t>
  </si>
  <si>
    <t>Supply &amp; Setting of Kitchen Equipment</t>
  </si>
  <si>
    <t>Foundation or Perimeter Drain piping</t>
  </si>
  <si>
    <t xml:space="preserve">Meters </t>
  </si>
  <si>
    <t>Sewer, Water, and Gas Tap Fees</t>
  </si>
  <si>
    <t>Development or Plant Investment Fees</t>
  </si>
  <si>
    <t>Snow Removal</t>
  </si>
  <si>
    <t>Specified mechanical and plumbing equipment noted in the specifications that were not identified or located on the drawings</t>
  </si>
  <si>
    <t>Demolition of Plumbing and HVAC Equipment, Piping, Ductwork and Hauling</t>
  </si>
  <si>
    <t>Plan Review Fees</t>
  </si>
  <si>
    <t>Base Bid for Mechanical work per the above scope:</t>
  </si>
  <si>
    <t>Sincerely,</t>
  </si>
  <si>
    <t>Smart Taps Required</t>
  </si>
  <si>
    <t>AMI Mechanical, Inc.</t>
  </si>
  <si>
    <t>CDM</t>
  </si>
  <si>
    <t>CH2M HILL CONSTRUCTORS, INC.</t>
  </si>
  <si>
    <t>EJCM LLC</t>
  </si>
  <si>
    <t>THE WEITZ COMPANY</t>
  </si>
  <si>
    <t>Client Address</t>
  </si>
  <si>
    <t>Client City/State/Zip</t>
  </si>
  <si>
    <t>EXCAVATION</t>
  </si>
  <si>
    <t>TEST &amp; BALANCE</t>
  </si>
  <si>
    <t>TEMPERATURE CONTROLS</t>
  </si>
  <si>
    <t>ELECTRICAL CONTRACTOR</t>
  </si>
  <si>
    <t>GENERAL CONTRACTOR</t>
  </si>
  <si>
    <t>CORE-DRILLING/SAWCUT &amp; REMOVAL</t>
  </si>
  <si>
    <t>INSULATION</t>
  </si>
  <si>
    <t>FIRE PROTECTION</t>
  </si>
  <si>
    <t>CHEMICAL TREATMENT</t>
  </si>
  <si>
    <t>REFRIGERATION</t>
  </si>
  <si>
    <t>MISCELLANEOUS</t>
  </si>
  <si>
    <t>COMPANY</t>
  </si>
  <si>
    <t>APPROVED YES/NO</t>
  </si>
  <si>
    <t>HYDRONIC</t>
  </si>
  <si>
    <t>GLYCOL - GALLONS</t>
  </si>
  <si>
    <t>COST PER GAL</t>
  </si>
  <si>
    <t>SYSTEM VOLUME GALLONS</t>
  </si>
  <si>
    <t>% OF MIXTURE</t>
  </si>
  <si>
    <t>GLYCOL COST</t>
  </si>
  <si>
    <t>LABOR INSTALL</t>
  </si>
  <si>
    <t>LABOR PER GALLON</t>
  </si>
  <si>
    <t>LOW OR CHOSEN CONTRACTOR</t>
  </si>
  <si>
    <t>PLUMBING VENDORS</t>
  </si>
  <si>
    <t>Rampart Supply</t>
  </si>
  <si>
    <t>Ferguson</t>
  </si>
  <si>
    <t>GT Sanders</t>
  </si>
  <si>
    <t>Keenan</t>
  </si>
  <si>
    <t>Water Technology Group</t>
  </si>
  <si>
    <t>Boyer Sales</t>
  </si>
  <si>
    <t>Copeland</t>
  </si>
  <si>
    <t xml:space="preserve">Kenko Co. </t>
  </si>
  <si>
    <t>Braconier Budget</t>
  </si>
  <si>
    <t>Aurora Winnelson</t>
  </si>
  <si>
    <t>SELECTED</t>
  </si>
  <si>
    <t>UNIT COST</t>
  </si>
  <si>
    <t>TOTAL OF BELOW</t>
  </si>
  <si>
    <t>MATERIAL</t>
  </si>
  <si>
    <t>Ace</t>
  </si>
  <si>
    <t>Air Purification</t>
  </si>
  <si>
    <t>Captive Aire</t>
  </si>
  <si>
    <t>Carrier</t>
  </si>
  <si>
    <t>E3MS</t>
  </si>
  <si>
    <t>Engineered Air</t>
  </si>
  <si>
    <t>Empire</t>
  </si>
  <si>
    <t>Hercules</t>
  </si>
  <si>
    <t>JCI</t>
  </si>
  <si>
    <t>Long</t>
  </si>
  <si>
    <t>Lennox</t>
  </si>
  <si>
    <t>Rheem</t>
  </si>
  <si>
    <t>Trane</t>
  </si>
  <si>
    <t>PASSWORD = bph</t>
  </si>
  <si>
    <t>Estimate #:</t>
  </si>
  <si>
    <t>Base Bid:</t>
  </si>
  <si>
    <t>Tag ID</t>
  </si>
  <si>
    <t>PLUMBING SYSTEMS</t>
  </si>
  <si>
    <t>DEMOLITION</t>
  </si>
  <si>
    <t>SANITARY DWV UG</t>
  </si>
  <si>
    <t>SANITARY DWV AG</t>
  </si>
  <si>
    <t>STORM UG</t>
  </si>
  <si>
    <t>STORM AG</t>
  </si>
  <si>
    <t>DOMESTIC WATER UG</t>
  </si>
  <si>
    <t>DOMESTIC WATER AG</t>
  </si>
  <si>
    <t>CONDENSATE DRAINS</t>
  </si>
  <si>
    <t>NATURAL GAS UG</t>
  </si>
  <si>
    <t>PUMPED DRAINS</t>
  </si>
  <si>
    <t>PLUMBING MATERIAL</t>
  </si>
  <si>
    <t>ALUMINUM</t>
  </si>
  <si>
    <t>AQTRM</t>
  </si>
  <si>
    <t>AQTRM/PEX</t>
  </si>
  <si>
    <t>BLACK STEEL</t>
  </si>
  <si>
    <t>CI NH</t>
  </si>
  <si>
    <t>CI NH HSKY</t>
  </si>
  <si>
    <t>CI SV</t>
  </si>
  <si>
    <t>CPVC</t>
  </si>
  <si>
    <t>CPVC/PEX</t>
  </si>
  <si>
    <t>DI/KSCPR</t>
  </si>
  <si>
    <t>L CPR</t>
  </si>
  <si>
    <t>L CPR ACR</t>
  </si>
  <si>
    <t>L CPR/CPVC/PEX</t>
  </si>
  <si>
    <t>L CPR/PEX</t>
  </si>
  <si>
    <t>LINE SETS</t>
  </si>
  <si>
    <t>M CPR</t>
  </si>
  <si>
    <t>PEX</t>
  </si>
  <si>
    <t>PVC</t>
  </si>
  <si>
    <t>PVDF</t>
  </si>
  <si>
    <t>STL/CPR</t>
  </si>
  <si>
    <t>K CPR</t>
  </si>
  <si>
    <t>K CPR-CLEANED/CAPPED</t>
  </si>
  <si>
    <t>L CPR-CLEANED/CAPPED</t>
  </si>
  <si>
    <t>MATERIAL TYPE</t>
  </si>
  <si>
    <t>CHILLED WATER</t>
  </si>
  <si>
    <t>HEATING WATER</t>
  </si>
  <si>
    <t>LF EXCAVATION</t>
  </si>
  <si>
    <t>Estimate#</t>
  </si>
  <si>
    <t>Plumbing IDs</t>
  </si>
  <si>
    <t>WC-1</t>
  </si>
  <si>
    <t>WC-2</t>
  </si>
  <si>
    <t>WC-3</t>
  </si>
  <si>
    <t>L-1</t>
  </si>
  <si>
    <t>L-2</t>
  </si>
  <si>
    <t>L-3</t>
  </si>
  <si>
    <t>L-4</t>
  </si>
  <si>
    <t>L-5</t>
  </si>
  <si>
    <t>S-1</t>
  </si>
  <si>
    <t>S-2</t>
  </si>
  <si>
    <t>S-3</t>
  </si>
  <si>
    <t>S-4</t>
  </si>
  <si>
    <t>S-5</t>
  </si>
  <si>
    <t>S-6</t>
  </si>
  <si>
    <t>EWC-1</t>
  </si>
  <si>
    <t>EWC-2</t>
  </si>
  <si>
    <t>DF-1</t>
  </si>
  <si>
    <t>DF-2</t>
  </si>
  <si>
    <t>ET-1</t>
  </si>
  <si>
    <t>ET-2</t>
  </si>
  <si>
    <t>WHA-A</t>
  </si>
  <si>
    <t>WHA-B</t>
  </si>
  <si>
    <t>WHA-C</t>
  </si>
  <si>
    <t>WHA-D</t>
  </si>
  <si>
    <t>FD-1</t>
  </si>
  <si>
    <t>PLBG SIZES</t>
  </si>
  <si>
    <t>1/2"</t>
  </si>
  <si>
    <t>3/4"</t>
  </si>
  <si>
    <t>1"</t>
  </si>
  <si>
    <t>1-1/4"</t>
  </si>
  <si>
    <t>1-1/2"</t>
  </si>
  <si>
    <t>2"</t>
  </si>
  <si>
    <t>2-1/2"</t>
  </si>
  <si>
    <t>3"</t>
  </si>
  <si>
    <t>4"</t>
  </si>
  <si>
    <t>5"</t>
  </si>
  <si>
    <t>6"</t>
  </si>
  <si>
    <t>8"</t>
  </si>
  <si>
    <t>10"</t>
  </si>
  <si>
    <t>12"</t>
  </si>
  <si>
    <t>14"</t>
  </si>
  <si>
    <t>16"</t>
  </si>
  <si>
    <t>18"</t>
  </si>
  <si>
    <t>20"</t>
  </si>
  <si>
    <t>22"</t>
  </si>
  <si>
    <t>24"</t>
  </si>
  <si>
    <t>30"</t>
  </si>
  <si>
    <t>36"</t>
  </si>
  <si>
    <t>42"</t>
  </si>
  <si>
    <t>48"</t>
  </si>
  <si>
    <t>60"</t>
  </si>
  <si>
    <t>ENTER AMOUNT(S) OF ABOVE</t>
  </si>
  <si>
    <t>HYDRONIC LINEAL FT</t>
  </si>
  <si>
    <t>COST PER LINEAL FT</t>
  </si>
  <si>
    <t>BRACONIER BUDGET</t>
  </si>
  <si>
    <t>PLUMBING EXCAVATION</t>
  </si>
  <si>
    <t>HYDRONIC EXCAVATION</t>
  </si>
  <si>
    <t># OF FIXTURES</t>
  </si>
  <si>
    <t>AMOUNT PER FIXTURE</t>
  </si>
  <si>
    <t>$ FOR STERLIZATION</t>
  </si>
  <si>
    <t>LABOR PER FIXTURE</t>
  </si>
  <si>
    <t>TOTAL LABOR FOR STERILIZATION</t>
  </si>
  <si>
    <t>TOTALS</t>
  </si>
  <si>
    <t>BRACONIER BUDGET-NORMAL</t>
  </si>
  <si>
    <t>BRACONIER BUDGET-DEEP</t>
  </si>
  <si>
    <t>ELECTRICAL SUBS</t>
  </si>
  <si>
    <t>SITE UTILITIES</t>
  </si>
  <si>
    <t>FIRE STOPPING</t>
  </si>
  <si>
    <t>CADD / BIM DOCUMENTATION</t>
  </si>
  <si>
    <t>PLUMBING HOURS</t>
  </si>
  <si>
    <t>HYDRONIC HOURS</t>
  </si>
  <si>
    <t>HVAC HOURS</t>
  </si>
  <si>
    <t>BOND COST</t>
  </si>
  <si>
    <t>TOTAL HOURS FOR CAD</t>
  </si>
  <si>
    <t>% OF HOURS-LEAD</t>
  </si>
  <si>
    <t>ADJUSTED HOURS</t>
  </si>
  <si>
    <t>HOURLY RATE</t>
  </si>
  <si>
    <t>TOTAL BUDGET</t>
  </si>
  <si>
    <t>BRACONIER BUDGET-CAD ONLY</t>
  </si>
  <si>
    <t>BRACONIER BUDGET-CAD LEAD</t>
  </si>
  <si>
    <t>HYDRONIC TOTAL</t>
  </si>
  <si>
    <t>HVAC TOTAL</t>
  </si>
  <si>
    <t>TP-1</t>
  </si>
  <si>
    <t>EWH-1</t>
  </si>
  <si>
    <t>EWH-2</t>
  </si>
  <si>
    <t>WCO-1</t>
  </si>
  <si>
    <t>FCO-1</t>
  </si>
  <si>
    <t>DSN-1</t>
  </si>
  <si>
    <t>FS-1</t>
  </si>
  <si>
    <t>MS-1</t>
  </si>
  <si>
    <t>AAV-1</t>
  </si>
  <si>
    <t>SH-1</t>
  </si>
  <si>
    <t>SH-2</t>
  </si>
  <si>
    <t>HB-1</t>
  </si>
  <si>
    <t>GD-1</t>
  </si>
  <si>
    <t>DW-1</t>
  </si>
  <si>
    <t>CM-1</t>
  </si>
  <si>
    <t>IMB-1</t>
  </si>
  <si>
    <t>CWB-1</t>
  </si>
  <si>
    <t>GCO-1</t>
  </si>
  <si>
    <t>RD-1</t>
  </si>
  <si>
    <t>OD-1</t>
  </si>
  <si>
    <t>AD-1</t>
  </si>
  <si>
    <t>PD-1</t>
  </si>
  <si>
    <t>TD-1</t>
  </si>
  <si>
    <t>RPBP W/AG</t>
  </si>
  <si>
    <t>PRV</t>
  </si>
  <si>
    <t>DCVA</t>
  </si>
  <si>
    <t>VP-1</t>
  </si>
  <si>
    <t xml:space="preserve">SELECTED </t>
  </si>
  <si>
    <t xml:space="preserve">BRACONIER BUDGET </t>
  </si>
  <si>
    <t>Wholesale Specialtes</t>
  </si>
  <si>
    <t>PVC Specialties</t>
  </si>
  <si>
    <t>Total Calendar Days</t>
  </si>
  <si>
    <t>Total Working Days</t>
  </si>
  <si>
    <t>MCA LABOR</t>
  </si>
  <si>
    <t>ADJUSTED LABOR</t>
  </si>
  <si>
    <t>LF/PCS DAY LABOR</t>
  </si>
  <si>
    <t>LF/PCS HRS LABOR</t>
  </si>
  <si>
    <t xml:space="preserve">****  INSERT INFORMATION INTO CELLS AS HIGHLIGHTED IN THIS COLOR  **** SELECT ITEM AS SELECTED FOR INPUT OF FINAL MATERIAL </t>
  </si>
  <si>
    <t>PLUMBING EQUIPMENT DESCRIPTION</t>
  </si>
  <si>
    <t>PROJECT #</t>
  </si>
  <si>
    <t>HVAC EQUIPMENT DESCRIPTION</t>
  </si>
  <si>
    <t>PLUMBING EQUIPMENT / FIXTURES</t>
  </si>
  <si>
    <t>MANUAL INPUT</t>
  </si>
  <si>
    <t>Bid #</t>
  </si>
  <si>
    <t>CHILLED WATER UG</t>
  </si>
  <si>
    <t>HEATING WATER UG</t>
  </si>
  <si>
    <t>PLBG/PIPING LINEAL FT</t>
  </si>
  <si>
    <t>Certified</t>
  </si>
  <si>
    <t>Silver</t>
  </si>
  <si>
    <t>Gold</t>
  </si>
  <si>
    <t>Platinum</t>
  </si>
  <si>
    <t>LEED CERTIFICATION</t>
  </si>
  <si>
    <t>ENTER CONTRACTOR ABOVE</t>
  </si>
  <si>
    <t>Total Core Value</t>
  </si>
  <si>
    <t>TRIP CHARGE (IF REQ'D)</t>
  </si>
  <si>
    <t>Total X-Ray Value</t>
  </si>
  <si>
    <t>X-Ray Qty</t>
  </si>
  <si>
    <t>Cost Per Core/Scope</t>
  </si>
  <si>
    <t>Cost per X-Ray/Scope</t>
  </si>
  <si>
    <t>Glycol-(ENTER IN SUBS)</t>
  </si>
  <si>
    <t>Chlorination (ENTER IN SUBS)</t>
  </si>
  <si>
    <t>BASE COST</t>
  </si>
  <si>
    <t>Qty of Cores/Scope</t>
  </si>
  <si>
    <t>SCOPE OF WORK</t>
  </si>
  <si>
    <t>ADJUSTMENTS</t>
  </si>
  <si>
    <t>COSTS</t>
  </si>
  <si>
    <t>SUB-CONTRACTOR ADJUSTMENTS (ALL)</t>
  </si>
  <si>
    <t>SUB-TOTAL</t>
  </si>
  <si>
    <t>TOTAL SUBCONTRACTORS</t>
  </si>
  <si>
    <t>SUBCONTRACTORS (CARRIED FROM SUBS WORKSHEET)</t>
  </si>
  <si>
    <t>Building Square Foot</t>
  </si>
  <si>
    <t>Garage Square Foot</t>
  </si>
  <si>
    <t>Airport</t>
  </si>
  <si>
    <t>Ambulatory Center</t>
  </si>
  <si>
    <t>Aquatic Center</t>
  </si>
  <si>
    <t>Assisted Living</t>
  </si>
  <si>
    <t>Aviation Maintenance</t>
  </si>
  <si>
    <t>Bank</t>
  </si>
  <si>
    <t>Barracks</t>
  </si>
  <si>
    <t>Bowling Center</t>
  </si>
  <si>
    <t>Box Retail</t>
  </si>
  <si>
    <t>Brewery</t>
  </si>
  <si>
    <t>Central Plant</t>
  </si>
  <si>
    <t>Church</t>
  </si>
  <si>
    <t>Clubhouse</t>
  </si>
  <si>
    <t>Community Center</t>
  </si>
  <si>
    <t>Day Care</t>
  </si>
  <si>
    <t>Distribution Center</t>
  </si>
  <si>
    <t>Educational Facility</t>
  </si>
  <si>
    <t>Field House</t>
  </si>
  <si>
    <t>Fire Station</t>
  </si>
  <si>
    <t>Fire Training Facility</t>
  </si>
  <si>
    <t>Grocery Store</t>
  </si>
  <si>
    <t>Grow Facility</t>
  </si>
  <si>
    <t>Hangar</t>
  </si>
  <si>
    <t>Hotel &amp; Convention Center</t>
  </si>
  <si>
    <t>Ice Arena</t>
  </si>
  <si>
    <t>Independent Living</t>
  </si>
  <si>
    <t>Industrial Facility</t>
  </si>
  <si>
    <t>Inline Retail</t>
  </si>
  <si>
    <t>Jail</t>
  </si>
  <si>
    <t>Junior College</t>
  </si>
  <si>
    <t>Justice Center</t>
  </si>
  <si>
    <t>Liquor Store</t>
  </si>
  <si>
    <t>Maintenance Facility</t>
  </si>
  <si>
    <t>Mall Retail</t>
  </si>
  <si>
    <t>Manufacturing Facility</t>
  </si>
  <si>
    <t>Medical Facility</t>
  </si>
  <si>
    <t>Military Facility</t>
  </si>
  <si>
    <t>Mixed-Use</t>
  </si>
  <si>
    <t>Motel</t>
  </si>
  <si>
    <t>Movie Theater</t>
  </si>
  <si>
    <t>Multi-Family Apts</t>
  </si>
  <si>
    <t>Multi-Family Condos</t>
  </si>
  <si>
    <t>Multi-Family Lofts</t>
  </si>
  <si>
    <t>Museum / Arts Complex</t>
  </si>
  <si>
    <t>Office / Data Center</t>
  </si>
  <si>
    <t>Office / High Rise</t>
  </si>
  <si>
    <t>Office / Low Rise</t>
  </si>
  <si>
    <t>Office / Medical (MOB)</t>
  </si>
  <si>
    <t>Office / Mid Rise</t>
  </si>
  <si>
    <t>Office / Warehouse</t>
  </si>
  <si>
    <t>Parking Garage</t>
  </si>
  <si>
    <t>Penitentiary</t>
  </si>
  <si>
    <t>Pool Facility</t>
  </si>
  <si>
    <t>Post Office</t>
  </si>
  <si>
    <t>Recreation Center</t>
  </si>
  <si>
    <t>Restaurant / Inline</t>
  </si>
  <si>
    <t>Restaurant / Mall</t>
  </si>
  <si>
    <t>Restaurant / Standalone</t>
  </si>
  <si>
    <t>School / Charter</t>
  </si>
  <si>
    <t>School / Elementary</t>
  </si>
  <si>
    <t>School / K-8</t>
  </si>
  <si>
    <t>School / PK-12</t>
  </si>
  <si>
    <t>School / Middle</t>
  </si>
  <si>
    <t>School / Senior High</t>
  </si>
  <si>
    <t>Science Bldg / Lab</t>
  </si>
  <si>
    <t>Single Family</t>
  </si>
  <si>
    <t>Skilled Nursing</t>
  </si>
  <si>
    <t>Stadium</t>
  </si>
  <si>
    <t>Storage Facility</t>
  </si>
  <si>
    <t>Student Housing</t>
  </si>
  <si>
    <t>Surgery Center</t>
  </si>
  <si>
    <t>Tennis Facility</t>
  </si>
  <si>
    <t>Theater</t>
  </si>
  <si>
    <t>University</t>
  </si>
  <si>
    <t>Veterinary Clinic/Hospital</t>
  </si>
  <si>
    <t>Warehouse</t>
  </si>
  <si>
    <t>Zoo</t>
  </si>
  <si>
    <t>Cost Plus Fee</t>
  </si>
  <si>
    <t>Fixed Lump Sum</t>
  </si>
  <si>
    <t>T &amp; M</t>
  </si>
  <si>
    <t>T &amp; M Not to Exceed</t>
  </si>
  <si>
    <t>Unit Price</t>
  </si>
  <si>
    <t>Type of Construction</t>
  </si>
  <si>
    <t>EQUIPMENT TAG ID</t>
  </si>
  <si>
    <t>Total Square Foot</t>
  </si>
  <si>
    <t>VENDOR NAME BELOW (DROP-DOWN)</t>
  </si>
  <si>
    <t>Textura Required</t>
  </si>
  <si>
    <t>L CPR/PROPRESS</t>
  </si>
  <si>
    <t>FLUE PIPING</t>
  </si>
  <si>
    <t>SS/CPR</t>
  </si>
  <si>
    <t>SS/CPVC/PEX</t>
  </si>
  <si>
    <t>STL/CPR PROPRESS</t>
  </si>
  <si>
    <t>RADIANT UG</t>
  </si>
  <si>
    <t>SNOWMELT UG</t>
  </si>
  <si>
    <t>O&amp;P TOTAL</t>
  </si>
  <si>
    <t>Thomas Mansfield</t>
  </si>
  <si>
    <t>AC Systems</t>
  </si>
  <si>
    <t>IDC Associates</t>
  </si>
  <si>
    <t>Kenko Company</t>
  </si>
  <si>
    <t>EQUIPMENT</t>
  </si>
  <si>
    <t>HOISTING</t>
  </si>
  <si>
    <t>REEFER + LABOR</t>
  </si>
  <si>
    <t xml:space="preserve">REEFER PIPING </t>
  </si>
  <si>
    <t>Demolition</t>
  </si>
  <si>
    <t>PRICING SCHEDULE</t>
  </si>
  <si>
    <t>REEFER</t>
  </si>
  <si>
    <t>TESTING OF EXISTING SYSTEM(S)</t>
  </si>
  <si>
    <t>Frontier Mechanical</t>
  </si>
  <si>
    <t>Ferguson Enterprises</t>
  </si>
  <si>
    <t>Wholesale Specialties</t>
  </si>
  <si>
    <t>Western Mechanical Solutions</t>
  </si>
  <si>
    <t>ADAMS CO REMAINDER</t>
  </si>
  <si>
    <t>ADAMS CO REMAINDER CULTUR</t>
  </si>
  <si>
    <t>AKRON</t>
  </si>
  <si>
    <t>ALAMOSA</t>
  </si>
  <si>
    <t>ALAMOSA COUNTY</t>
  </si>
  <si>
    <t>ALMA</t>
  </si>
  <si>
    <t>ARAPAHOE CO REMAIND CULTU</t>
  </si>
  <si>
    <t>ARCHULETA COUNTY</t>
  </si>
  <si>
    <t>ARVADA (JEFFERSON CO)</t>
  </si>
  <si>
    <t>ASPEN</t>
  </si>
  <si>
    <t>AURORA (ADAMS CO)</t>
  </si>
  <si>
    <t>AURORA (ARAPAHOE CO)</t>
  </si>
  <si>
    <t>AURORA CD ONLY</t>
  </si>
  <si>
    <t>AVON</t>
  </si>
  <si>
    <t>BASALT (EAGLE CO)</t>
  </si>
  <si>
    <t>BENT COUNTY</t>
  </si>
  <si>
    <t>BOULDER</t>
  </si>
  <si>
    <t>BOULDER CO NIWOT LID</t>
  </si>
  <si>
    <t>BOULDER CO REMAINDER</t>
  </si>
  <si>
    <t>BRECKENRIDGE</t>
  </si>
  <si>
    <t>BRIGHTON (ADAMS CO)</t>
  </si>
  <si>
    <t>BROOMFIELD</t>
  </si>
  <si>
    <t>BRUSH</t>
  </si>
  <si>
    <t>BURLINGTON</t>
  </si>
  <si>
    <t>CANON</t>
  </si>
  <si>
    <t>CARBONDALE</t>
  </si>
  <si>
    <t>CASTLE ROCK</t>
  </si>
  <si>
    <t>CENTENNIAL</t>
  </si>
  <si>
    <t>CENTRAL</t>
  </si>
  <si>
    <t>CHAFFEE COUNTY</t>
  </si>
  <si>
    <t>CLEAR CREEK COUNTY</t>
  </si>
  <si>
    <t>COLORADO SPRINGS</t>
  </si>
  <si>
    <t>COMMERCE</t>
  </si>
  <si>
    <t>CORTEZ</t>
  </si>
  <si>
    <t>COSTILLA COUNTY</t>
  </si>
  <si>
    <t>CRAIG</t>
  </si>
  <si>
    <t>CRESTED BUTTE</t>
  </si>
  <si>
    <t>CROWLEY COUNTY</t>
  </si>
  <si>
    <t>DACONO</t>
  </si>
  <si>
    <t>DEL NORTE</t>
  </si>
  <si>
    <t>DELTA COUNTY</t>
  </si>
  <si>
    <t>DOUGLAS CO REMAINDER</t>
  </si>
  <si>
    <t>DOUGLAS COUNTY / CD</t>
  </si>
  <si>
    <t>DURANGO</t>
  </si>
  <si>
    <t>EAGLE</t>
  </si>
  <si>
    <t>EAGLE COUNTY</t>
  </si>
  <si>
    <t>EATON</t>
  </si>
  <si>
    <t>EDWARDS METRO DISTRICT</t>
  </si>
  <si>
    <t>EL PASO COUNTY / RTA</t>
  </si>
  <si>
    <t>ELBERT COUNTY</t>
  </si>
  <si>
    <t>EMPIRE</t>
  </si>
  <si>
    <t>ENGLEWOOD</t>
  </si>
  <si>
    <t>ERIE (WELD CO)</t>
  </si>
  <si>
    <t>ESTES PARK</t>
  </si>
  <si>
    <t>EVANS</t>
  </si>
  <si>
    <t>FEDERAL HEIGHTS</t>
  </si>
  <si>
    <t>FIRESTONE</t>
  </si>
  <si>
    <t>FLORENCE</t>
  </si>
  <si>
    <t>FORT COLLINS</t>
  </si>
  <si>
    <t>FORT LUPTON</t>
  </si>
  <si>
    <t>FORT MORGAN</t>
  </si>
  <si>
    <t>FOUNTAIN</t>
  </si>
  <si>
    <t>FOWLER</t>
  </si>
  <si>
    <t>FRASER</t>
  </si>
  <si>
    <t>FREDERICK</t>
  </si>
  <si>
    <t>FREMONT COUNTY</t>
  </si>
  <si>
    <t>FRISCO</t>
  </si>
  <si>
    <t>FRUITA</t>
  </si>
  <si>
    <t>GARFIELD COUNTY</t>
  </si>
  <si>
    <t>GEORGETOWN</t>
  </si>
  <si>
    <t>GILCREST</t>
  </si>
  <si>
    <t>GLENDALE</t>
  </si>
  <si>
    <t>GLENWOOD SPRINGS</t>
  </si>
  <si>
    <t>GOLDEN</t>
  </si>
  <si>
    <t>GRAND COUNTY</t>
  </si>
  <si>
    <t>GRAND JUNCTION</t>
  </si>
  <si>
    <t>GREELEY</t>
  </si>
  <si>
    <t>GREEN MTN FALLS (EL PASO CO)</t>
  </si>
  <si>
    <t>GREENWOOD VILLAGE</t>
  </si>
  <si>
    <t>GUNNISON</t>
  </si>
  <si>
    <t>GUNNISON COUNTY/ RTA</t>
  </si>
  <si>
    <t>HAXTUN</t>
  </si>
  <si>
    <t>HIGHLANDS RANCH</t>
  </si>
  <si>
    <t>HOLYOKE</t>
  </si>
  <si>
    <t>HOT SULPHUR SPGS</t>
  </si>
  <si>
    <t>HUERFANO COUNTY</t>
  </si>
  <si>
    <t>JACKSON COUNTY</t>
  </si>
  <si>
    <t>JEFFERSON CO REMAINDER</t>
  </si>
  <si>
    <t>JEFFERSON CO S E LID</t>
  </si>
  <si>
    <t>JOHNSTOWN</t>
  </si>
  <si>
    <t>JULESBURG</t>
  </si>
  <si>
    <t>LA JUNTA</t>
  </si>
  <si>
    <t>LA PLATA COUNTY</t>
  </si>
  <si>
    <t>LAFAYETTE</t>
  </si>
  <si>
    <t>LAKE COUNTY</t>
  </si>
  <si>
    <t>LAKEWOOD</t>
  </si>
  <si>
    <t>LAMAR</t>
  </si>
  <si>
    <t>LARIMER COUNTY</t>
  </si>
  <si>
    <t>LAS ANIMAS</t>
  </si>
  <si>
    <t>LIMON</t>
  </si>
  <si>
    <t>LINCOLN COUNTY</t>
  </si>
  <si>
    <t>LITTLETON (ARAPAHOE CO)</t>
  </si>
  <si>
    <t>LOG LANE VILLAGE</t>
  </si>
  <si>
    <t>LOGAN COUNTY</t>
  </si>
  <si>
    <t>LONE TREE</t>
  </si>
  <si>
    <t>LONGMONT</t>
  </si>
  <si>
    <t>LOUISVILLE</t>
  </si>
  <si>
    <t>LOVELAND</t>
  </si>
  <si>
    <t>MANASSA</t>
  </si>
  <si>
    <t>MANITOU SPRINGS</t>
  </si>
  <si>
    <t>MEAD</t>
  </si>
  <si>
    <t>MESA COUNTY</t>
  </si>
  <si>
    <t>MILLIKEN</t>
  </si>
  <si>
    <t>MINERAL COUNTY</t>
  </si>
  <si>
    <t>MINTURN</t>
  </si>
  <si>
    <t>MOFFAT COUNTY</t>
  </si>
  <si>
    <t>MONTE VISTA</t>
  </si>
  <si>
    <t>MONTEZUMA COUNTY</t>
  </si>
  <si>
    <t>MONTROSE</t>
  </si>
  <si>
    <t>MONTROSE COUNTY</t>
  </si>
  <si>
    <t>MOUNTAIN VILLAGE</t>
  </si>
  <si>
    <t>NATURITA</t>
  </si>
  <si>
    <t>NORTHGLENN (ADAMS CO)</t>
  </si>
  <si>
    <t>NORWOOD</t>
  </si>
  <si>
    <t>NUNN</t>
  </si>
  <si>
    <t>OTERO COUNTY</t>
  </si>
  <si>
    <t>OURAY</t>
  </si>
  <si>
    <t>OURAY COUNTY</t>
  </si>
  <si>
    <t>PALMER LAKE</t>
  </si>
  <si>
    <t>PARK COUNTY</t>
  </si>
  <si>
    <t>PARKER</t>
  </si>
  <si>
    <t>PHILLIPS COUNTY</t>
  </si>
  <si>
    <t>PITKIN</t>
  </si>
  <si>
    <t>PITKIN CO REMAINDER</t>
  </si>
  <si>
    <t>PONCHA SPRINGS</t>
  </si>
  <si>
    <t>PROWERS COUNTY</t>
  </si>
  <si>
    <t>PUEBLO</t>
  </si>
  <si>
    <t>PUEBLO COUNTY</t>
  </si>
  <si>
    <t>RED CLIFF</t>
  </si>
  <si>
    <t>RICO</t>
  </si>
  <si>
    <t>RIFLE</t>
  </si>
  <si>
    <t>ROCKY FORD</t>
  </si>
  <si>
    <t>ROUTT COUNTY</t>
  </si>
  <si>
    <t>SAGUACHE COUNTY</t>
  </si>
  <si>
    <t>SALIDA</t>
  </si>
  <si>
    <t>SAN MIGUEL CO RTA</t>
  </si>
  <si>
    <t>SEDGWICK COUNTY</t>
  </si>
  <si>
    <t>SEVERANCE</t>
  </si>
  <si>
    <t>SILT</t>
  </si>
  <si>
    <t>SILVER PLUME</t>
  </si>
  <si>
    <t>SILVERTHORNE</t>
  </si>
  <si>
    <t>SILVERTON</t>
  </si>
  <si>
    <t>SNOWMASS VILLAGE</t>
  </si>
  <si>
    <t>SPRINGFIELD</t>
  </si>
  <si>
    <t>STEAMBOAT SPRINGS</t>
  </si>
  <si>
    <t>STERLING</t>
  </si>
  <si>
    <t>SUMMIT COUNTY</t>
  </si>
  <si>
    <t>TELLER COUNTY</t>
  </si>
  <si>
    <t>THORNTON</t>
  </si>
  <si>
    <t>TIMNATH</t>
  </si>
  <si>
    <t>TRINIDAD</t>
  </si>
  <si>
    <t>VAIL</t>
  </si>
  <si>
    <t>VICTOR</t>
  </si>
  <si>
    <t>WALSENBURG</t>
  </si>
  <si>
    <t>WASHINGTON COUNTY</t>
  </si>
  <si>
    <t>WESTMINSTER (ADAMS CO)</t>
  </si>
  <si>
    <t>WESTMINSTER (JEFFERSON CO)</t>
  </si>
  <si>
    <t>WHEAT RIDGE</t>
  </si>
  <si>
    <t>WINDSOR</t>
  </si>
  <si>
    <t>WINTER PARK</t>
  </si>
  <si>
    <t>WOODLAND PARK</t>
  </si>
  <si>
    <t>WRAY</t>
  </si>
  <si>
    <t>YAMPA</t>
  </si>
  <si>
    <t>YUMA</t>
  </si>
  <si>
    <t>MED GAS CERTIFICATION &amp; SMART TAPS</t>
  </si>
  <si>
    <t>Smart Taps for Live Tie-Ins to Medical Gas Systems</t>
  </si>
  <si>
    <t>ROBERT PYWELL</t>
  </si>
  <si>
    <t>PAUL DENSE</t>
  </si>
  <si>
    <t>PREFERRED CLIENTS</t>
  </si>
  <si>
    <t>ADOLFSON &amp; PETERSON CONSTRUCTION</t>
  </si>
  <si>
    <t>AHW CONSTRUCTION</t>
  </si>
  <si>
    <t>ALBERICI CONSTRUCTORS</t>
  </si>
  <si>
    <t>ALEUT MANAGEMENT SERUICES, LLC ALASKA NATIVE COMPANY</t>
  </si>
  <si>
    <t>ALLIANCE CONSTRUCTION SOLUTIONS LLC</t>
  </si>
  <si>
    <t>ASLAN CONSTRUCTION, INC.</t>
  </si>
  <si>
    <t>AZTEC GENERAL CONTRACTORS, LLC.</t>
  </si>
  <si>
    <t>B &amp; M CONSTRUCTION, INC.</t>
  </si>
  <si>
    <t>BARBA &amp; SONS CONSTRUCTION, INC.</t>
  </si>
  <si>
    <t>BASE BUILDING SOLUTIONS, INC.</t>
  </si>
  <si>
    <t>BASSETT AND ASSOCIATES, INC.</t>
  </si>
  <si>
    <t>BECK GROUP</t>
  </si>
  <si>
    <t>BIG-D CONSTRUCTION</t>
  </si>
  <si>
    <t>BLACK &amp; VEATCH</t>
  </si>
  <si>
    <t>BOSCO CONSTRUCTORS, INC.</t>
  </si>
  <si>
    <t>BOUMA CONSTRUCTION</t>
  </si>
  <si>
    <t>BRINKMAN CONSTRUCTION</t>
  </si>
  <si>
    <t>BROE COMPANIES, THE</t>
  </si>
  <si>
    <t>BROWN-SCHREPFERMAN &amp; CO.</t>
  </si>
  <si>
    <t>BRYAN CONSTRUCTION, INC</t>
  </si>
  <si>
    <t>BURLSTONE, INC.</t>
  </si>
  <si>
    <t>CALCON CONSTRUCTORS</t>
  </si>
  <si>
    <t>CATAMOUNT CONSTRUCTORS, INC.</t>
  </si>
  <si>
    <t>CENTERRE CONSTRUCTION, INC.</t>
  </si>
  <si>
    <t>CITY AND COUNTY OF DENVER</t>
  </si>
  <si>
    <t>CRESTMOOR MANAGEMENT COMPANY</t>
  </si>
  <si>
    <t>DC III CONSTRUCTION, INC.</t>
  </si>
  <si>
    <t>DENEUVE CONSTRUCTION SERVICES</t>
  </si>
  <si>
    <t>DRAKE GENERAL CONTRACTORS</t>
  </si>
  <si>
    <t>DRG CONSTRUCTION</t>
  </si>
  <si>
    <t>DS CONSTRUCTORS</t>
  </si>
  <si>
    <t>E&amp;S CONSTRUCTION ENGINEERS, INC.</t>
  </si>
  <si>
    <t>E-CORP</t>
  </si>
  <si>
    <t>EVANS CHAFFEE CONSTRUCTION GROUP, INC.</t>
  </si>
  <si>
    <t>EVERGREEN INDUSTRIAL, LTD.</t>
  </si>
  <si>
    <t>FAR NORTH CONSTRUCTION</t>
  </si>
  <si>
    <t>FCI CONSTRUCTORS, INC.</t>
  </si>
  <si>
    <t>FIORE &amp; SONS, INC.</t>
  </si>
  <si>
    <t>GAMMA CONSTRUCTION CO.</t>
  </si>
  <si>
    <t>GARNEY CONSTRUCTION</t>
  </si>
  <si>
    <t>GE JOHNSON CONSTRUCTION COMPANY</t>
  </si>
  <si>
    <t>GILMORE CONSTRUCTION CORPORATION</t>
  </si>
  <si>
    <t>GLACIER CONSTRUCTION</t>
  </si>
  <si>
    <t>GLOBAL CONSTRUCTION SERVICES, INC.</t>
  </si>
  <si>
    <t>GOLDEN TRIANGLE CONSTRUCTION</t>
  </si>
  <si>
    <t>GREYSTAR CONSTRUCTION WEST ,LLC.</t>
  </si>
  <si>
    <t>GRIMM CONSTRUCTION CO</t>
  </si>
  <si>
    <t>GROWLING BEAR CO. INC.</t>
  </si>
  <si>
    <t>HASELDEN CONSTRUCTION, INC.</t>
  </si>
  <si>
    <t>HEADWATERS CONSTRUCTION COMPANY</t>
  </si>
  <si>
    <t>HENSEL PHELPS CONSTRUCTION CO.</t>
  </si>
  <si>
    <t>HIMMELMAN CONSTRUCTION, INC.</t>
  </si>
  <si>
    <t>HINES</t>
  </si>
  <si>
    <t>HITT CONTRACTING INC.</t>
  </si>
  <si>
    <t>HOLDER CONSTRUCTION COMPANY</t>
  </si>
  <si>
    <t>HOLLADAY CONSTRUCTION CO.</t>
  </si>
  <si>
    <t>HOWELL CONSTRUCTION</t>
  </si>
  <si>
    <t>HYDER CONSTRUCTION, INC.</t>
  </si>
  <si>
    <t>I-2 CONSTRUCTION</t>
  </si>
  <si>
    <t>I-KOTA</t>
  </si>
  <si>
    <t>INTEGRATED BUILDERS INC.</t>
  </si>
  <si>
    <t>INTERIOR ALTERATIONS, INC.</t>
  </si>
  <si>
    <t>INTERLOCK CONSTRUCTION CORP.</t>
  </si>
  <si>
    <t>IRON MIKE CONSTRUCTION</t>
  </si>
  <si>
    <t>J.E. DUNN CONSTRUCTION</t>
  </si>
  <si>
    <t>JE HURLEY CONSTRUCTION, INC.</t>
  </si>
  <si>
    <t>JENNISON CONSTRUCTION</t>
  </si>
  <si>
    <t>JHL CONSTRUCTORS,  INC.</t>
  </si>
  <si>
    <t>JORDY AND COMPANY</t>
  </si>
  <si>
    <t>KAHN CONSTRUCTION</t>
  </si>
  <si>
    <t>KIEWIT BUILDING GROUP</t>
  </si>
  <si>
    <t xml:space="preserve">KRISCHE CONSTRUCTION INC. </t>
  </si>
  <si>
    <t>LAYTON CONSTRUCTION CO., INC,</t>
  </si>
  <si>
    <t>LEDCOR CONSTRUCTION, INC.</t>
  </si>
  <si>
    <t>M.A. MORTENSON COMPANY</t>
  </si>
  <si>
    <t>MARK YOUNG CONSTRUCTION, INC.</t>
  </si>
  <si>
    <t>MCCAULEY CONSTRUCTORS INC.</t>
  </si>
  <si>
    <t>MILLENDER WHITE CONSTRUCTION</t>
  </si>
  <si>
    <t>MPB CONTRACTORS, INC.</t>
  </si>
  <si>
    <t>MW GOLDEN CONSTRUCTORS</t>
  </si>
  <si>
    <t>MWH CONSTRUCTORS</t>
  </si>
  <si>
    <t>NEWCASTLE CONSTRUCTION SERVICES</t>
  </si>
  <si>
    <t>NEWSTROM-DAVIS CONSTRUCTION COMPANY</t>
  </si>
  <si>
    <t>NUNN CONSTRUCTION</t>
  </si>
  <si>
    <t>PALACE CONSTRUCTION</t>
  </si>
  <si>
    <t>PCL CONSTRUCTION SERVICES, INC.</t>
  </si>
  <si>
    <t>PINKARD CONSTRUCTION</t>
  </si>
  <si>
    <t>R.A. NELSON</t>
  </si>
  <si>
    <t>RAND CONSTRUCTION</t>
  </si>
  <si>
    <t>RAW CONSTRUCTION INC.</t>
  </si>
  <si>
    <t>RB CONSTRUCTION</t>
  </si>
  <si>
    <t>RHINOTRAX CONSTRUCTION</t>
  </si>
  <si>
    <t>ROCHE CONSTRUCTORS, INC.</t>
  </si>
  <si>
    <t>ROCKY MOUNTAIN STRUCTURES, INC.</t>
  </si>
  <si>
    <t>SAMPSON CONSTRUCTION CO., INC.</t>
  </si>
  <si>
    <t>SAUNDERS CONSTRUCTION COMPANY</t>
  </si>
  <si>
    <t>SCHAUER CONSTRUCTION COMPANY INC.</t>
  </si>
  <si>
    <t>SHAW CONSTRUCTION</t>
  </si>
  <si>
    <t>SNYDER BUIDLING CONSTRUCTION</t>
  </si>
  <si>
    <t>STANEK CONTRUCTORS, INC.</t>
  </si>
  <si>
    <t>SUN CONSTRUCTION</t>
  </si>
  <si>
    <t>SWINERTON BUILDERS</t>
  </si>
  <si>
    <t>TC2 CONSTRUCTION COMPANY</t>
  </si>
  <si>
    <t>TCD GENERAL CONTRACTOR</t>
  </si>
  <si>
    <t>THOMAS GENERAL CONTRACTORS</t>
  </si>
  <si>
    <t>TOWER ONE CONSTRUCTION</t>
  </si>
  <si>
    <t>TURNER CONSTRUCTION COMPANY</t>
  </si>
  <si>
    <t>VELOCITY CONSTRUCTORS, INC</t>
  </si>
  <si>
    <t>VERTIX BUILDERS, INC.</t>
  </si>
  <si>
    <t>W.O. DANIELSON CONSTRUCTION CO., LTD.</t>
  </si>
  <si>
    <t>W.V.C. CONSTRUCTION COMPANY</t>
  </si>
  <si>
    <t>WARD CONSTRUCTION</t>
  </si>
  <si>
    <t>WEAVER GENERAL CONSTRUCTION CO.</t>
  </si>
  <si>
    <t>WESTERN SUMMIT CONSTRUCTORS, INC.</t>
  </si>
  <si>
    <t>WHITE CONSTRUCTION GROUP</t>
  </si>
  <si>
    <t>WM BROWN CONSTRUCTION CORP.</t>
  </si>
  <si>
    <t>Maxson Engineering</t>
  </si>
  <si>
    <t>HYDRONIC PIPING</t>
  </si>
  <si>
    <t>EXHAUST FAN</t>
  </si>
  <si>
    <t>ADK</t>
  </si>
  <si>
    <t xml:space="preserve">BRACONIER  </t>
  </si>
  <si>
    <t>SHEET METAL SUB</t>
  </si>
  <si>
    <t>RESPONSIBILITY FOR SUPPLY</t>
  </si>
  <si>
    <t>RESPONSIBILITY FOR INSTALL</t>
  </si>
  <si>
    <t>BASEBOARD - COVERS</t>
  </si>
  <si>
    <t>FAN POWER BOX</t>
  </si>
  <si>
    <t>RESPONSIBILITY OF SUPPLY</t>
  </si>
  <si>
    <t>RESPONSIBILITY OF INSTALL</t>
  </si>
  <si>
    <t xml:space="preserve">OWNER </t>
  </si>
  <si>
    <t>DATE:</t>
  </si>
  <si>
    <t>TYPE OF MATERIAL</t>
  </si>
  <si>
    <t>B-VENT</t>
  </si>
  <si>
    <t>AL-29C</t>
  </si>
  <si>
    <t xml:space="preserve">PVC  </t>
  </si>
  <si>
    <t>AHU</t>
  </si>
  <si>
    <t>RTU</t>
  </si>
  <si>
    <t>COMPOSITE CREW</t>
  </si>
  <si>
    <t>VAV BOX</t>
  </si>
  <si>
    <t>CABINET UNIT HEATER</t>
  </si>
  <si>
    <t>COIL</t>
  </si>
  <si>
    <t>UNIT HEATER</t>
  </si>
  <si>
    <t>INFRARED HEATERS</t>
  </si>
  <si>
    <t>STAINLESS STEEL</t>
  </si>
  <si>
    <t>KITCHEN SUB</t>
  </si>
  <si>
    <t>OTHER</t>
  </si>
  <si>
    <t>COPPER</t>
  </si>
  <si>
    <t>CHILLER</t>
  </si>
  <si>
    <t>COOLING TOWER</t>
  </si>
  <si>
    <t>HYDRONIC EQUIPMENT</t>
  </si>
  <si>
    <t>BOILER</t>
  </si>
  <si>
    <t>BASEBOARD</t>
  </si>
  <si>
    <t>GC / OWNER</t>
  </si>
  <si>
    <t>TC SUBCONTRACTOR</t>
  </si>
  <si>
    <t>RESPONSIBILITY FOR HOISTING</t>
  </si>
  <si>
    <t>T&amp;B SUBCONTRACTOR</t>
  </si>
  <si>
    <t>ACID WASTE PIPING</t>
  </si>
  <si>
    <t>COMPRESSED AIR</t>
  </si>
  <si>
    <t>ALL SYSTEMS</t>
  </si>
  <si>
    <t>CHECK FOR TOTALS MATCH</t>
  </si>
  <si>
    <t>DIFFERENCE FROM SYSTEMS INPUT</t>
  </si>
  <si>
    <t>Fire stopping for Mechanical Installations</t>
  </si>
  <si>
    <t>Parking Fees</t>
  </si>
  <si>
    <t># of Vehicles</t>
  </si>
  <si>
    <t>Cost/Day</t>
  </si>
  <si>
    <t>Enter 1 Abv</t>
  </si>
  <si>
    <t>Central Mechanical</t>
  </si>
  <si>
    <t>Cobb Mechanical Contractors</t>
  </si>
  <si>
    <t>Shaffer Baucom Engineering &amp; Consulting</t>
  </si>
  <si>
    <t>CHERRY CREEK SCHOOLS</t>
  </si>
  <si>
    <t>9301 EAST UNION AVENUE</t>
  </si>
  <si>
    <t>GREENWOOD VILLAGE, CO 80111</t>
  </si>
  <si>
    <t>ADD 25% FOR FITTINGS</t>
  </si>
  <si>
    <t>Infection Control Equipment, Requirements, Barriers, Temporary Partitions, Attire</t>
  </si>
  <si>
    <t xml:space="preserve">Braconier appreciates this opportunity to submit our proposal. If you have any questions, please email or call our Preconstruction Staff for assistance. </t>
  </si>
  <si>
    <t>HEATH CONSTRUCTION</t>
  </si>
  <si>
    <t>141 RACQUETTE DRIVE</t>
  </si>
  <si>
    <t>FORT COLLINS, CO 80524</t>
  </si>
  <si>
    <t>TAYLOR KOHRS</t>
  </si>
  <si>
    <t>12160 PENNSYLVANIA STREET</t>
  </si>
  <si>
    <t>THORNTON, CO 80241</t>
  </si>
  <si>
    <t>CENTENNIAL, CO 80112</t>
  </si>
  <si>
    <t>797 VENTURA STREET</t>
  </si>
  <si>
    <t>AURORA, CO 80011</t>
  </si>
  <si>
    <t>5995 GREENWOOD PLAZA, SUITE 100</t>
  </si>
  <si>
    <t>202 6TH STREET #200</t>
  </si>
  <si>
    <t>CASTLE ROCK, CO 80104</t>
  </si>
  <si>
    <t>PARKWAY CONSTRUCTION</t>
  </si>
  <si>
    <t>1000 CIVIC CIRCLE</t>
  </si>
  <si>
    <t>LEWISVILLE, TX 75067</t>
  </si>
  <si>
    <t>WHITING-TURNER CONTRACTING COMPANY</t>
  </si>
  <si>
    <t>SIZE</t>
  </si>
  <si>
    <t>TOTAL LABOR</t>
  </si>
  <si>
    <t>TOTAL START-UP</t>
  </si>
  <si>
    <t>SUB-TOTALS</t>
  </si>
  <si>
    <t>RATE</t>
  </si>
  <si>
    <t>START-UP LABOR</t>
  </si>
  <si>
    <t>TOTAL COSTS</t>
  </si>
  <si>
    <t>OVERHEAD</t>
  </si>
  <si>
    <t>ALTERNATE &amp; UNIT PRICING</t>
  </si>
  <si>
    <t>PROJECT NAME:</t>
  </si>
  <si>
    <t>TREND LOG ITEM #:</t>
  </si>
  <si>
    <t>ESTIMATE #:</t>
  </si>
  <si>
    <t>ALTERNATE /UNIT PRICE #:</t>
  </si>
  <si>
    <t>EQUIPMENT / FIXTURES / MATERIAL</t>
  </si>
  <si>
    <t>LABOR PER UNIT</t>
  </si>
  <si>
    <t>START-UP HRS PER UNIT</t>
  </si>
  <si>
    <t>VENDOR OR SUB</t>
  </si>
  <si>
    <t>EQUIPMENT / FIXTURES / MATERIAL - RECAP</t>
  </si>
  <si>
    <t>MATERIAL / HOURS</t>
  </si>
  <si>
    <t>EQUIPMENT / FIXTURES / ROUGH-IN LABOR - TOTAL</t>
  </si>
  <si>
    <t>TAXES</t>
  </si>
  <si>
    <t>EQUIPMENT / FIXTURES / MATERIAL - TOTAL</t>
  </si>
  <si>
    <t>MISCELLANEOUS LABOR COSTS - RECAP</t>
  </si>
  <si>
    <t xml:space="preserve">HOURS </t>
  </si>
  <si>
    <t>% HOURS DEFAULT</t>
  </si>
  <si>
    <t>HOURS</t>
  </si>
  <si>
    <t>TAKE-OFFS</t>
  </si>
  <si>
    <t>SUPERVISION / PROJECT MANAGER</t>
  </si>
  <si>
    <t xml:space="preserve">SAFETY SUPPLIES  </t>
  </si>
  <si>
    <t>SMALL TOOLS</t>
  </si>
  <si>
    <t>MISCELLANEOUS LABOR / COSTS - TOTAL</t>
  </si>
  <si>
    <t>RENTAL EQUIPMENT - RECAP</t>
  </si>
  <si>
    <t>QTY REQ'D</t>
  </si>
  <si>
    <t>QTY HOURS  OR MONTHS</t>
  </si>
  <si>
    <t>RATE MONTH  /HOURLY</t>
  </si>
  <si>
    <t>EXT COST</t>
  </si>
  <si>
    <t>SCISSOR LIFTS</t>
  </si>
  <si>
    <t>N/A</t>
  </si>
  <si>
    <t xml:space="preserve">CRANE </t>
  </si>
  <si>
    <t>MOBILIZATION</t>
  </si>
  <si>
    <t>TRUCK</t>
  </si>
  <si>
    <t>RENTAL EQUIPMENT - TOTAL</t>
  </si>
  <si>
    <t>SUB-CONTRACTORS - RECAP</t>
  </si>
  <si>
    <t>MEASURE</t>
  </si>
  <si>
    <t>QUANTITY</t>
  </si>
  <si>
    <t>COST PER UNIT</t>
  </si>
  <si>
    <t>LUMP SUM</t>
  </si>
  <si>
    <t># OF UNITS</t>
  </si>
  <si>
    <t>ENGINEERING</t>
  </si>
  <si>
    <t>COST RECAP</t>
  </si>
  <si>
    <t>TOTAL COST + OVERHEAD &amp; PROFIT</t>
  </si>
  <si>
    <t>PERFORMANCE &amp; PAYMENT BOND</t>
  </si>
  <si>
    <t xml:space="preserve">   TOTAL</t>
  </si>
  <si>
    <t>TOTAL W/EQUIPMENT HOISTING REEFER</t>
  </si>
  <si>
    <t>CREW AVERAGE</t>
  </si>
  <si>
    <t>McCARTHY BUILDING COMPANIES, INC.</t>
  </si>
  <si>
    <t>LAKEWOOD, CO 80228</t>
  </si>
  <si>
    <t>Avg. Labor Less Supervision</t>
  </si>
  <si>
    <t>Murphy Co Mechanical Contractors</t>
  </si>
  <si>
    <t>SWING NIGHT</t>
  </si>
  <si>
    <t>GH PHIPPS CONSTRUCTION COMPANIES</t>
  </si>
  <si>
    <t>Yes</t>
  </si>
  <si>
    <t>MULTIPLIERS</t>
  </si>
  <si>
    <t>HYDRONIC / HVAC EQUIPMENT</t>
  </si>
  <si>
    <t>Parking Required</t>
  </si>
  <si>
    <t>CALIENTE CONSTRUCTION, INC.</t>
  </si>
  <si>
    <t>485 W. VAUGHN STREET</t>
  </si>
  <si>
    <t>TEMPE, AZ 85283</t>
  </si>
  <si>
    <t>Storm Water Detention Systems</t>
  </si>
  <si>
    <t>MULTIPLY</t>
  </si>
  <si>
    <t>Turpin &amp; Rattan Engineering, Inc.</t>
  </si>
  <si>
    <t>361 71ST AVENUE</t>
  </si>
  <si>
    <t>GREELEY, CO 80634</t>
  </si>
  <si>
    <t>6950 S. POTOMAC STREET</t>
  </si>
  <si>
    <t>7076 SOUTH ALTON WAY, BLDG H</t>
  </si>
  <si>
    <t>BAB BUILDERS</t>
  </si>
  <si>
    <t>4251 NATCHES CT., UNIT A</t>
  </si>
  <si>
    <t>ENGLEWOOD, CO 80110</t>
  </si>
  <si>
    <t>1527 COLE BLVD., SUITE 100</t>
  </si>
  <si>
    <t>LAKEWOOD, CO 80401</t>
  </si>
  <si>
    <t>4th YEAR APPRENTICE</t>
  </si>
  <si>
    <t>2ND YEAR APPRENTICE</t>
  </si>
  <si>
    <t>FIELD LEADERSHIP PROJECT TURNOVER MEETING</t>
  </si>
  <si>
    <t>Project No.:</t>
  </si>
  <si>
    <t>Project Address:</t>
  </si>
  <si>
    <t>Section I.</t>
  </si>
  <si>
    <t>Contacts</t>
  </si>
  <si>
    <t>Section II.</t>
  </si>
  <si>
    <t xml:space="preserve">Estimate </t>
  </si>
  <si>
    <t>Section III.</t>
  </si>
  <si>
    <t>Section IV.</t>
  </si>
  <si>
    <t>Buyout</t>
  </si>
  <si>
    <t>Section V.</t>
  </si>
  <si>
    <t>Schedule</t>
  </si>
  <si>
    <t>Section VI.</t>
  </si>
  <si>
    <t>Fabrication</t>
  </si>
  <si>
    <t>Section VII.</t>
  </si>
  <si>
    <t>Safety</t>
  </si>
  <si>
    <t>Section VIII.</t>
  </si>
  <si>
    <t>Custom Requirements</t>
  </si>
  <si>
    <t>Section I.  -  CONTACTS</t>
  </si>
  <si>
    <t>Owner:</t>
  </si>
  <si>
    <t>General Contractor Supt.:</t>
  </si>
  <si>
    <t>General Contractor PM:</t>
  </si>
  <si>
    <t>Design Engineer:</t>
  </si>
  <si>
    <t>HVAC Sheetmetal:</t>
  </si>
  <si>
    <t>Mechanical Insulation:</t>
  </si>
  <si>
    <t>DDC Temperature Controls:</t>
  </si>
  <si>
    <t>Test and Balance:</t>
  </si>
  <si>
    <t>Electrical:</t>
  </si>
  <si>
    <t>Excavation:</t>
  </si>
  <si>
    <t>Medical Gas</t>
  </si>
  <si>
    <t>Section II.  -  ESTIMATE</t>
  </si>
  <si>
    <t>A.</t>
  </si>
  <si>
    <t>Review Status of Contract and any Extraordinary Provisions</t>
  </si>
  <si>
    <t>B.</t>
  </si>
  <si>
    <t>Review Scope Inclusions and Exclusions in Detail</t>
  </si>
  <si>
    <t>C.</t>
  </si>
  <si>
    <t>Review Plans and Specifications in Detail</t>
  </si>
  <si>
    <t>1.</t>
  </si>
  <si>
    <t xml:space="preserve">Are there any known engineering errors and/or omissions? </t>
  </si>
  <si>
    <t>2.</t>
  </si>
  <si>
    <t>Who is responsible for obtaining additional plans and specifications?</t>
  </si>
  <si>
    <t>3.</t>
  </si>
  <si>
    <t>Does the customer provide an online plan room?</t>
  </si>
  <si>
    <t>o</t>
  </si>
  <si>
    <t>D.</t>
  </si>
  <si>
    <t>Review Pre-bid Addenda and Applicable Pre-bid RFIs in Detail</t>
  </si>
  <si>
    <t>E.</t>
  </si>
  <si>
    <t>Review Bid Alternates in Detail</t>
  </si>
  <si>
    <t>F.</t>
  </si>
  <si>
    <t>Known Estimate Errors and/or Omissions - Identify all errors, omissions, and problems with the estimate</t>
  </si>
  <si>
    <t>G.</t>
  </si>
  <si>
    <t>Tax Status/Rate:</t>
  </si>
  <si>
    <t>H.</t>
  </si>
  <si>
    <t>Permit Requirements and Jurisdiction</t>
  </si>
  <si>
    <t>I.</t>
  </si>
  <si>
    <t>Review General Conditions applicable to Customer or Jobsite</t>
  </si>
  <si>
    <t>J.</t>
  </si>
  <si>
    <t>Section III.  -  BUDGET</t>
  </si>
  <si>
    <t>What is the estimated quantity of Manhours and Respective System Codes</t>
  </si>
  <si>
    <t>What is the estimated MCA Labor Factor?</t>
  </si>
  <si>
    <t>What is the estimated Average Crew Mix?</t>
  </si>
  <si>
    <t>4.</t>
  </si>
  <si>
    <t>Is overtime or shift work required and included?</t>
  </si>
  <si>
    <t>5.</t>
  </si>
  <si>
    <t>Any other special Labor Concerns or Considerations?</t>
  </si>
  <si>
    <t>Materials and Equipment</t>
  </si>
  <si>
    <t>Rental Equipment</t>
  </si>
  <si>
    <t>Tools</t>
  </si>
  <si>
    <t>Safety Equipment and Consumables</t>
  </si>
  <si>
    <t>Section IV.  -  BUYOUT</t>
  </si>
  <si>
    <t>Review any major equipment or material Purchase Orders already executed and scopes of each.</t>
  </si>
  <si>
    <t>Review any Subcontracts already executed and scopes of each.</t>
  </si>
  <si>
    <t>Identify Procedure for the Balance of Materials to be ordered.</t>
  </si>
  <si>
    <t>Discuss Deliveries, ship-to locations, and availability of Distributors to warehouse orders until needed.</t>
  </si>
  <si>
    <t>Review Rental Equipment and Tool Requirements.</t>
  </si>
  <si>
    <t>Review Submittal Status and Submittal Log to Date.</t>
  </si>
  <si>
    <t>Turn Over any Submittals "in hand."</t>
  </si>
  <si>
    <t>Discuss Logistics of Deliveries:  Shipment to the Jobsite vs. the Fabshop.</t>
  </si>
  <si>
    <t>Section V.  -  SCHEDULE</t>
  </si>
  <si>
    <t>Review the GC's or Owner's preliminary Schedule Information</t>
  </si>
  <si>
    <t>Start Date</t>
  </si>
  <si>
    <t>Major Milestones</t>
  </si>
  <si>
    <t>Levels of Phasing</t>
  </si>
  <si>
    <t>End Date</t>
  </si>
  <si>
    <t>Any Equipment with a Long Lead Time?</t>
  </si>
  <si>
    <t>Review Six Week Short Interval Planning - Develop Initial 6-Week Look Ahead Schedule</t>
  </si>
  <si>
    <t>Develop Manpower Loading Chart / Projection</t>
  </si>
  <si>
    <t>Review Initial Six-Week Look Ahead Schedule and Short Interval Planning Procedures.</t>
  </si>
  <si>
    <t>Section VI.  -  FABRICATION</t>
  </si>
  <si>
    <t>What portions of the work were estimated to be fabricated?</t>
  </si>
  <si>
    <t>What portions of the work should be and could be fabricated?</t>
  </si>
  <si>
    <t>Schedule Fabrication Meeting</t>
  </si>
  <si>
    <t>Section VII.  -  SAFETY</t>
  </si>
  <si>
    <t>Are there any Specific Safety Issues or Hazards Associated with this Project?</t>
  </si>
  <si>
    <t>Does the Owner Require any Specific Safety Training for our Employees?</t>
  </si>
  <si>
    <t>Does the Owner Require any Drug Testing for our Employees?</t>
  </si>
  <si>
    <t>Develop Site Specific Safety Plan</t>
  </si>
  <si>
    <t>Review Aviation Occupational &amp; Health Information and Jobsite Emergency Response Document</t>
  </si>
  <si>
    <t>Section VIII.  -  CUSTOM REQUIREMENTS</t>
  </si>
  <si>
    <t>Does the Owner Require any Background Investigations or Implement any Contractor Badging Procedures?</t>
  </si>
  <si>
    <t>Identify Jobsite Logistics and Optimal Jobsite Laydown Areas/Procedures.</t>
  </si>
  <si>
    <t>Identify and Plan for Hoisting Requirements.</t>
  </si>
  <si>
    <t>Identify Material Handling Requirements and Develop Plan.</t>
  </si>
  <si>
    <t>Are there any Special or Unusual Tools Required to Complete the Project.</t>
  </si>
  <si>
    <t>Is Weld Examination or Certified Welder Documentation Required?</t>
  </si>
  <si>
    <t>AVERAGE MCA FACTOR</t>
  </si>
  <si>
    <t>Date of Plans during Bidding Process</t>
  </si>
  <si>
    <t>Estimate #</t>
  </si>
  <si>
    <t>605 WEAVER PARK ROAD</t>
  </si>
  <si>
    <t>LONGMONT, CO 80501</t>
  </si>
  <si>
    <t>12655 W. 54TH DRIVE</t>
  </si>
  <si>
    <t>ARVADA, CO 80002</t>
  </si>
  <si>
    <t>UNIT A, 3155 CHAMBERS ROAD</t>
  </si>
  <si>
    <t>1700 PARK STREET</t>
  </si>
  <si>
    <t>CASTLE ROCK, CO 80109</t>
  </si>
  <si>
    <t>1621 18TH STREET, #400</t>
  </si>
  <si>
    <t>DENVER, CO 80202</t>
  </si>
  <si>
    <t>6669 COLORADO BOULEVARD</t>
  </si>
  <si>
    <t>COMMERCE CITY, CO 80022</t>
  </si>
  <si>
    <t>8800 PAGE AVENUE</t>
  </si>
  <si>
    <t>ST. LOUIS, MO 63114</t>
  </si>
  <si>
    <t>5540 TECH CENTER DRIVE, #100</t>
  </si>
  <si>
    <t>COLORADO SPRINGS, CO 80919</t>
  </si>
  <si>
    <t>120 BUNYAN AVENUE, #200</t>
  </si>
  <si>
    <t>BERTHOUD, CO 80513</t>
  </si>
  <si>
    <t>4004 MARK DABLING BOULEVARD</t>
  </si>
  <si>
    <t>COLORADO SPRINGS, CO 80907</t>
  </si>
  <si>
    <t>3134 BEACON STREET</t>
  </si>
  <si>
    <t>15269 NAVAJO STREET</t>
  </si>
  <si>
    <t>BROOMFIELD, CO 80023</t>
  </si>
  <si>
    <t>1808 AIRPORT ROAD</t>
  </si>
  <si>
    <t>BRECKENRIDGE, CO 80424</t>
  </si>
  <si>
    <t>1001 17TH STREET, #100</t>
  </si>
  <si>
    <t>404 WEST 400 SOUTH</t>
  </si>
  <si>
    <t>SALT LAKE CITY, UT 84101</t>
  </si>
  <si>
    <t>4600 S. SYRACUSE STREET, #800</t>
  </si>
  <si>
    <t>DENVER, CO 80237</t>
  </si>
  <si>
    <t>BLEEKER VIGESAA GENERAL CONTRACTORS</t>
  </si>
  <si>
    <t>4700 BROMLEY LANE</t>
  </si>
  <si>
    <t>BRIGHTON, CO 80601</t>
  </si>
  <si>
    <t>1860 BLAKE STREET, SUITE 170</t>
  </si>
  <si>
    <t>4101 ROGER B CHAFFEE MEMORIAL BLVD SE</t>
  </si>
  <si>
    <t>GRAND RAPIDS, MI 49548</t>
  </si>
  <si>
    <t>3528 PRECISION DRIVE, SUITE 100</t>
  </si>
  <si>
    <t>FORT COLLINS, CO 80528</t>
  </si>
  <si>
    <t>252 CLAYTON STREET</t>
  </si>
  <si>
    <t>DENVER, CO 80206</t>
  </si>
  <si>
    <t>2380 S. TEJON STREET</t>
  </si>
  <si>
    <t>5575 DTC PARKWAY, #240</t>
  </si>
  <si>
    <t>BURGESS SERVICES LLC</t>
  </si>
  <si>
    <t>5500 E. YALE AVENUE, #201</t>
  </si>
  <si>
    <t>DENVER, CO 80222</t>
  </si>
  <si>
    <t>165 S. UNION BOULEVARD, #1030</t>
  </si>
  <si>
    <t>2270 W. BATES AVENUE</t>
  </si>
  <si>
    <t>CAPACITY BUILDERS INC</t>
  </si>
  <si>
    <t>1150 W. LITTLETON BOULEVARD</t>
  </si>
  <si>
    <t>LITTLETON, CO 80120</t>
  </si>
  <si>
    <t>4100 E. MISSISSIPPI AVENUE, SUITE 1225</t>
  </si>
  <si>
    <t>DENVER, CO 80246</t>
  </si>
  <si>
    <t>DCB CONSTRUCTION CO. INC.</t>
  </si>
  <si>
    <t>909 E. 62ND AVENUE</t>
  </si>
  <si>
    <t>DENVER, CO 80216</t>
  </si>
  <si>
    <t>2344 SPRUCE STREET, SUITE B</t>
  </si>
  <si>
    <t>BOULDER, CO 80302</t>
  </si>
  <si>
    <t>DLIN CONSTRUCTION SVC</t>
  </si>
  <si>
    <t>1629 S. OGDEN STREET</t>
  </si>
  <si>
    <t>DENVER, CO 80210</t>
  </si>
  <si>
    <t>1660 PINNACLE RIDGE LANE</t>
  </si>
  <si>
    <t>550 S. WADSWORTH BLVD, SUITE 540</t>
  </si>
  <si>
    <t>LAKEWOOD, CO 80226</t>
  </si>
  <si>
    <t>3780 N. GARFIELD AVENUE, #101</t>
  </si>
  <si>
    <t>LOVELAND, CO 80538</t>
  </si>
  <si>
    <t>3232 JELLISON STREET</t>
  </si>
  <si>
    <t>WHEAT RIDGE, CO 80033-5761</t>
  </si>
  <si>
    <t>CY CONSTRUCTION INC.</t>
  </si>
  <si>
    <t>4900 SW 74TH COURT</t>
  </si>
  <si>
    <t>MIAMI, FL 33155</t>
  </si>
  <si>
    <t>6940 S. OLIVE WAY</t>
  </si>
  <si>
    <t>4015 CORIOLIS WAY</t>
  </si>
  <si>
    <t>FREDERICK, CO 80504</t>
  </si>
  <si>
    <t>730 W. 62ND AVENUE</t>
  </si>
  <si>
    <t>FRANSEN PITTMAN GENERAL CONTRACTORS</t>
  </si>
  <si>
    <t>9563 S. KINGSTON COURT, SUITE 200</t>
  </si>
  <si>
    <t>ENGLEWOOD, CO 80112</t>
  </si>
  <si>
    <t>5613 DTC PARKWAY, #450</t>
  </si>
  <si>
    <t>501 LINCOLN STREET</t>
  </si>
  <si>
    <t>DENVER, CO 80203</t>
  </si>
  <si>
    <t>12560 W. CEDAR DRIVE</t>
  </si>
  <si>
    <t>4949 IRONTON STREET</t>
  </si>
  <si>
    <t>DENVER, CO 80239</t>
  </si>
  <si>
    <t>5460 S. QUEBEC STREET, #200</t>
  </si>
  <si>
    <t>5711 E. EVANS AVENUE</t>
  </si>
  <si>
    <t>700 WEAVER PARK ROAD</t>
  </si>
  <si>
    <t>7911 SHAFFER PARKWAY</t>
  </si>
  <si>
    <t>LITTLETON, CO 80127</t>
  </si>
  <si>
    <t>2330 4TH AVENUE</t>
  </si>
  <si>
    <t>GREELEY, CO 80631</t>
  </si>
  <si>
    <t>15000 WEST 6TH AVENUE</t>
  </si>
  <si>
    <t>GOLDEN, CO 80401</t>
  </si>
  <si>
    <t>8085 E. HARVARD AVENUE</t>
  </si>
  <si>
    <t>DENVER, CO 80231</t>
  </si>
  <si>
    <t>HW HOUSTON CONSTRUCTION</t>
  </si>
  <si>
    <t>210 S. VICTORIA AVENUE</t>
  </si>
  <si>
    <t>PUEBLO, CO 81003</t>
  </si>
  <si>
    <t>DENVER, CO 80204</t>
  </si>
  <si>
    <t>9900 51ST AVENUE</t>
  </si>
  <si>
    <t>DENVER, CO 80238</t>
  </si>
  <si>
    <t>90 GALAPAGO STREET</t>
  </si>
  <si>
    <t>DENVER, CO 80223</t>
  </si>
  <si>
    <t>165 VALLEJO STREET</t>
  </si>
  <si>
    <t>2492 WEST 2ND AVENUE</t>
  </si>
  <si>
    <t>6950 S. TUCSON WAY, SUITE A</t>
  </si>
  <si>
    <t>2000 S. COLORADO BLVD, #12000</t>
  </si>
  <si>
    <t>JC BROOKS &amp; CO INC.</t>
  </si>
  <si>
    <t>6474 EVERETT STREET</t>
  </si>
  <si>
    <t>ARVADA, CO 80004-3137</t>
  </si>
  <si>
    <t>1212 S. BROADWAY, #100</t>
  </si>
  <si>
    <t>7342 S. ALTON WAY, #7A</t>
  </si>
  <si>
    <t>160 INVERNESS DRIVE WEST, #110</t>
  </si>
  <si>
    <t xml:space="preserve">2000 S. COLORADO BLVD  </t>
  </si>
  <si>
    <t>9195 W. 6TH AVENUE</t>
  </si>
  <si>
    <t>LAKEWOOD, CO 80215</t>
  </si>
  <si>
    <t>6890 WEST 52ND AVENUE</t>
  </si>
  <si>
    <t>4725 S. MONACO STREET, #100</t>
  </si>
  <si>
    <t>3762 PURITAN WAY, UNIT #1</t>
  </si>
  <si>
    <t>FREDERICK, CO 80516</t>
  </si>
  <si>
    <t>229 VALLEJO STREET</t>
  </si>
  <si>
    <t>2970 S. FOX STREET</t>
  </si>
  <si>
    <t>3440 W. 71ST PLACE</t>
  </si>
  <si>
    <t>WESTMINSTER, CO 80030</t>
  </si>
  <si>
    <t>300 KALAMATH STREET</t>
  </si>
  <si>
    <t>7200 MILLER PLACE</t>
  </si>
  <si>
    <t>2750 S. SHOSHONE STREET, #215</t>
  </si>
  <si>
    <t>3679 S. HURON STREET, #404</t>
  </si>
  <si>
    <t>51 EAGLE ROAD, #2</t>
  </si>
  <si>
    <t>AVON, CO 81620</t>
  </si>
  <si>
    <t>2319 E. COLFAX AVENUE, #200</t>
  </si>
  <si>
    <t>15261 E. MONTVIEW BLVD.</t>
  </si>
  <si>
    <t>1035 COFFMAN STREET</t>
  </si>
  <si>
    <t>6541 WASHINGTON STREET</t>
  </si>
  <si>
    <t>DENVER, CO 80229</t>
  </si>
  <si>
    <t>RQ CONSTRUCTION, LLC</t>
  </si>
  <si>
    <t>3194 LIONSHEAD AVENUE</t>
  </si>
  <si>
    <t>CARLSBAD, CA 92010</t>
  </si>
  <si>
    <t>7791 HIGHLAND MEADOWS PARKWAY, #E</t>
  </si>
  <si>
    <t>7 GALAPAGO STREET</t>
  </si>
  <si>
    <t>925 ELKTON DRIVE</t>
  </si>
  <si>
    <t>13949 W.COLFAX AVENUE</t>
  </si>
  <si>
    <t>650 INNOVATION CIRCLE</t>
  </si>
  <si>
    <t>WINDSOR, CO 80550</t>
  </si>
  <si>
    <t>6405 MIRA MESA BLVD, #100</t>
  </si>
  <si>
    <t>SAN DIEGO, CA 92121</t>
  </si>
  <si>
    <t>5409 MARYLAND WAY, #100</t>
  </si>
  <si>
    <t>BRENTWOOD, TN 37027</t>
  </si>
  <si>
    <t>8122 SOUTHPARK LANE, #210</t>
  </si>
  <si>
    <t>4602 NORTHPARK DRIVE</t>
  </si>
  <si>
    <t>COLORADO SPRINGS, CO 80918</t>
  </si>
  <si>
    <t>3333 RIVERWOOD PKWY, SUITE 400</t>
  </si>
  <si>
    <t>ATLANTA, GA 30339</t>
  </si>
  <si>
    <t>2800 POST OAK BLVD</t>
  </si>
  <si>
    <t>HOUSTON, TX 77056-6188</t>
  </si>
  <si>
    <t>639 W. 9500 S., SUITE 1</t>
  </si>
  <si>
    <t>VICTOR, ID 83455</t>
  </si>
  <si>
    <t>7535 E. HAMPDEN AVENUE, #400</t>
  </si>
  <si>
    <t>651 CORPORATE CIRCLE, #108</t>
  </si>
  <si>
    <t>1232 BOSTON AVENUE</t>
  </si>
  <si>
    <t>447 CO ROAD 65</t>
  </si>
  <si>
    <t>EVERGREEN, CO 80439</t>
  </si>
  <si>
    <t>1285 W. BYERS PLACE, #A</t>
  </si>
  <si>
    <t>1230 TENDERFOOT HILL ROAD, #250</t>
  </si>
  <si>
    <t>COLORADO SPRINGS, CO 80906</t>
  </si>
  <si>
    <t>1330 S. CHEROKEE STREET</t>
  </si>
  <si>
    <t>9780 PYRAMID COURT</t>
  </si>
  <si>
    <t>5445 DTC PARKWAY</t>
  </si>
  <si>
    <t>GREENWOOD VILLAGE, CO 80111-3045</t>
  </si>
  <si>
    <t>4490 E. VIRGINIA AVENUE</t>
  </si>
  <si>
    <t>206 EAST 4TH STREET, SUITE 210</t>
  </si>
  <si>
    <t>LOVELAND, CO 80537</t>
  </si>
  <si>
    <t>77 METCALF ROAD, #301</t>
  </si>
  <si>
    <t>111 KALAMATH STREET</t>
  </si>
  <si>
    <t>201 35TH STREET SW</t>
  </si>
  <si>
    <t>4326 MOUNTAIN ROAD</t>
  </si>
  <si>
    <t>PASADENA, MD 21122</t>
  </si>
  <si>
    <t>1110 ELKTON DRIVE, SUITE F</t>
  </si>
  <si>
    <t>PONDEROSA CONSTRUCTION, INC.</t>
  </si>
  <si>
    <t>7325 S. REVERE PARKWAY, #501</t>
  </si>
  <si>
    <t>Cost per Lineal Foot</t>
  </si>
  <si>
    <t>Lineal FT of Sawcut w/cuts</t>
  </si>
  <si>
    <t>Cost for Sawcut</t>
  </si>
  <si>
    <t>Removal SQ FT</t>
  </si>
  <si>
    <t>Cost per Sq Ft-Remove</t>
  </si>
  <si>
    <t>Lin Ft Concrete Cut/Remove</t>
  </si>
  <si>
    <t>Total Sawcut &amp; Removal</t>
  </si>
  <si>
    <t>Total for Removal</t>
  </si>
  <si>
    <t>DELTA CONSTRUCTION CO. INC.</t>
  </si>
  <si>
    <t>7000 BROADWAY, UNIT 107</t>
  </si>
  <si>
    <t>DENVER, CO 80221</t>
  </si>
  <si>
    <t>HPM CONTRACTING, INC.</t>
  </si>
  <si>
    <t>9200 E. MINERAL AVENUE, SUITE 355</t>
  </si>
  <si>
    <t>All Work Associated with an Emergency Generator</t>
  </si>
  <si>
    <t>SQ FT COST</t>
  </si>
  <si>
    <t>SQ FT</t>
  </si>
  <si>
    <t>Labor Hrs</t>
  </si>
  <si>
    <t>2401 15TH STREET, SUITE 350</t>
  </si>
  <si>
    <t>MCA FACTOR</t>
  </si>
  <si>
    <t>INSULATION SUBS</t>
  </si>
  <si>
    <t>CMI</t>
  </si>
  <si>
    <t>FORTUNATO</t>
  </si>
  <si>
    <t>BLAZER CONSTRUCTION</t>
  </si>
  <si>
    <t>RELIANT ENERGY</t>
  </si>
  <si>
    <t>SYSTEMS UNDERCOVER</t>
  </si>
  <si>
    <t>SHEET METAL SUBS</t>
  </si>
  <si>
    <t>HORIZON</t>
  </si>
  <si>
    <t>PARKER SHEET METAL</t>
  </si>
  <si>
    <t>AIR SYSTEMS</t>
  </si>
  <si>
    <t>KUCK MECHANICAL</t>
  </si>
  <si>
    <t>A &amp; L</t>
  </si>
  <si>
    <t>SKYLINE HEATING</t>
  </si>
  <si>
    <t>DENVER HEATING</t>
  </si>
  <si>
    <t>TEST &amp; BALANCE SUBS</t>
  </si>
  <si>
    <t>FINN &amp; ASSOCIATES</t>
  </si>
  <si>
    <t>AIR-RIGHT</t>
  </si>
  <si>
    <t>TAB</t>
  </si>
  <si>
    <t>JPG</t>
  </si>
  <si>
    <t>GRIFFITH ENGINEERING</t>
  </si>
  <si>
    <t>JEDI</t>
  </si>
  <si>
    <t>DENVER TEST &amp; BALANCE</t>
  </si>
  <si>
    <t>CARRIER</t>
  </si>
  <si>
    <t>JOHNSON CONTROLS</t>
  </si>
  <si>
    <t>LONG BUILDING TECHNOLOGIES</t>
  </si>
  <si>
    <t>ATS</t>
  </si>
  <si>
    <t>TRANE</t>
  </si>
  <si>
    <t>SETPOINT</t>
  </si>
  <si>
    <t>CENTENNIAL CONTROLS</t>
  </si>
  <si>
    <t>CSI</t>
  </si>
  <si>
    <t>SIEMENS</t>
  </si>
  <si>
    <t>CHECKPOINT BALANCE, LLC</t>
  </si>
  <si>
    <t>COMPLETE MECHANICAL BALANCING</t>
  </si>
  <si>
    <t>DOUBLE T BALANCING</t>
  </si>
  <si>
    <t>SUPERIOR BALANCE &amp; COMMISSIONING</t>
  </si>
  <si>
    <t>WESTOVER</t>
  </si>
  <si>
    <t>HONEYWELL</t>
  </si>
  <si>
    <t>ADVANCED CONTROL SYSTEMS</t>
  </si>
  <si>
    <t>ROCKY MOUNTAIN CONTROLS</t>
  </si>
  <si>
    <t>INTEGRATED CONTROL SYSTEM</t>
  </si>
  <si>
    <t>AUTOCON, INC.</t>
  </si>
  <si>
    <t>ARKAY SERVICES CO</t>
  </si>
  <si>
    <t>DR ASSOCIATES</t>
  </si>
  <si>
    <t>BUILDING TECHNOLOGY SYSTEMS</t>
  </si>
  <si>
    <t>NALCO</t>
  </si>
  <si>
    <t>ROCKY MTN AQUA-TECH</t>
  </si>
  <si>
    <t>CHEM-AQUA</t>
  </si>
  <si>
    <t>MILE HI WATER TECH, INC.</t>
  </si>
  <si>
    <t>PREFERRED WATER SOLUTIONS</t>
  </si>
  <si>
    <t>CALCIUM CONTROL, INC.</t>
  </si>
  <si>
    <t>LOREN &amp; ASSOCIATES, INC.</t>
  </si>
  <si>
    <t>ATLAS INDUSTRIES</t>
  </si>
  <si>
    <t>86 INVERNESS PLACE NORTH</t>
  </si>
  <si>
    <t>Schedule - Provided</t>
  </si>
  <si>
    <t>Schedule - Date</t>
  </si>
  <si>
    <t>We have reviewed the construction schedule as part of the bid document package.  We acknowledge the overall start and completion dates, but will need additional time to evaluate in detail the individual construction activities and their duration and logic to arrive at a mutually agreeable schedule.</t>
  </si>
  <si>
    <t>Crew Size</t>
  </si>
  <si>
    <t>UPDATED:</t>
  </si>
  <si>
    <t>Add for Payment &amp; Performance Bond for Base Bid</t>
  </si>
  <si>
    <t>30LF/DAY/1 MAN</t>
  </si>
  <si>
    <t>MANUAL EXCAVATION</t>
  </si>
  <si>
    <t>INPUT 1 FOR MANUAL</t>
  </si>
  <si>
    <t>CONTINGENCY ADD</t>
  </si>
  <si>
    <t>SCOTT CALAHAN</t>
  </si>
  <si>
    <t>CD SPECIALTY CONTRACTORS</t>
  </si>
  <si>
    <t>MEDICAL GAS SUPPLIERS/SUBS</t>
  </si>
  <si>
    <t>COMPLIANCE PLUS</t>
  </si>
  <si>
    <t>MEDICAL AIR SYSTEMS</t>
  </si>
  <si>
    <t xml:space="preserve">EXCAVATION </t>
  </si>
  <si>
    <t>MINIMUM CHARGE-BUDGET</t>
  </si>
  <si>
    <t>Smith Seckman Reid, Inc.</t>
  </si>
  <si>
    <t>HVAC - BASE BID</t>
  </si>
  <si>
    <t>BASE BID TOTAL</t>
  </si>
  <si>
    <t>ALTERNATE - WORK SHEET</t>
  </si>
  <si>
    <t>DESCRIPTION OF ALTERNATE</t>
  </si>
  <si>
    <t>ADD / DEDUCT</t>
  </si>
  <si>
    <t>DEDUCT</t>
  </si>
  <si>
    <t>HYDRONIC - BASE BID</t>
  </si>
  <si>
    <t>TEMP CONTROL BASE BID</t>
  </si>
  <si>
    <t>DUCT AIR LEAK TEST - BASE BID</t>
  </si>
  <si>
    <t>GC BASE BID</t>
  </si>
  <si>
    <t>CERTIFICATION BASE BID</t>
  </si>
  <si>
    <t>SMART TAPS - BASE BID</t>
  </si>
  <si>
    <t>Fire Protection Base Bid</t>
  </si>
  <si>
    <t>ELECTRICAL BASE BID</t>
  </si>
  <si>
    <t>ALTERNATES</t>
  </si>
  <si>
    <t>#</t>
  </si>
  <si>
    <t>BOND COST ADD</t>
  </si>
  <si>
    <t>DIFFERENCE</t>
  </si>
  <si>
    <t>SELL</t>
  </si>
  <si>
    <t>HYDRONIC BASE BID</t>
  </si>
  <si>
    <t>HVAC BASE BID</t>
  </si>
  <si>
    <t>PLUMBING BASE BID</t>
  </si>
  <si>
    <t>HTG COST</t>
  </si>
  <si>
    <t>RECAP SHEET - PLUMBING</t>
  </si>
  <si>
    <t>RECAP SHEET - HEATING</t>
  </si>
  <si>
    <t>HEATING</t>
  </si>
  <si>
    <t>BREAKOUT ALLOWANCES - BASE BID ONLY</t>
  </si>
  <si>
    <t xml:space="preserve">BASE BID </t>
  </si>
  <si>
    <t>BASE MATL</t>
  </si>
  <si>
    <t>BASE LF</t>
  </si>
  <si>
    <t>BASE MCA LBR</t>
  </si>
  <si>
    <t>MECHONE</t>
  </si>
  <si>
    <t>CAD DOCUMENTATION</t>
  </si>
  <si>
    <t>ASPEN HILLS CONSULTING</t>
  </si>
  <si>
    <t>SEND OUT NOTICE FOR REQUEST OF INFORMATION (BELOW):</t>
  </si>
  <si>
    <t xml:space="preserve">Thank you for your assistance that allows us to give you our best effort and look after your mechanical needs. </t>
  </si>
  <si>
    <t>SQ. FT:</t>
  </si>
  <si>
    <t>PROJECT ADDRESS:</t>
  </si>
  <si>
    <t>PROJECT CITY / STATE / POSTAL :</t>
  </si>
  <si>
    <t>BID DUE DATE</t>
  </si>
  <si>
    <t>BID DUE TIME:</t>
  </si>
  <si>
    <t>PROJECT LEAD:</t>
  </si>
  <si>
    <t>AWARD ROUND :</t>
  </si>
  <si>
    <t>DATE OF DRAWINGS</t>
  </si>
  <si>
    <t>MECHANICAL ENGINEER:</t>
  </si>
  <si>
    <t>Is it their job/project?</t>
  </si>
  <si>
    <t>COMPETITION:</t>
  </si>
  <si>
    <t>HVAC VENDORS:</t>
  </si>
  <si>
    <t>PLUMBING VENDORS:</t>
  </si>
  <si>
    <t>YES/NO</t>
  </si>
  <si>
    <t>COMPETITION</t>
  </si>
  <si>
    <t>BIDDING</t>
  </si>
  <si>
    <t>M &amp; N Plumbing Supply</t>
  </si>
  <si>
    <t>South Denver Windustrial</t>
  </si>
  <si>
    <t>BIDDING  YES/NO</t>
  </si>
  <si>
    <t>APPRV'D</t>
  </si>
  <si>
    <t>CONSTRUCTION START</t>
  </si>
  <si>
    <t>CONSTRUCTION FINISH</t>
  </si>
  <si>
    <t>BASIS OF DESIGN - 1ST LINE BELOW</t>
  </si>
  <si>
    <t xml:space="preserve">  In an effort to match our current Pre-construction / Construction schedule to the projects that best fit our workload and the viability of an award, we ask for your assistance with the following information:</t>
  </si>
  <si>
    <r>
      <t xml:space="preserve">  1)</t>
    </r>
    <r>
      <rPr>
        <sz val="7"/>
        <color theme="1"/>
        <rFont val="Times New Roman"/>
        <family val="1"/>
      </rPr>
      <t xml:space="preserve">    </t>
    </r>
    <r>
      <rPr>
        <sz val="11"/>
        <color theme="1"/>
        <rFont val="Tahoma"/>
        <family val="2"/>
      </rPr>
      <t>Is this your project or are you bidding against other GC’s?</t>
    </r>
  </si>
  <si>
    <r>
      <t xml:space="preserve">  2)</t>
    </r>
    <r>
      <rPr>
        <sz val="7"/>
        <color theme="1"/>
        <rFont val="Times New Roman"/>
        <family val="1"/>
      </rPr>
      <t xml:space="preserve">    </t>
    </r>
    <r>
      <rPr>
        <sz val="11"/>
        <color theme="1"/>
        <rFont val="Tahoma"/>
        <family val="2"/>
      </rPr>
      <t>If you are competing for this, who is your competition?</t>
    </r>
  </si>
  <si>
    <r>
      <t xml:space="preserve">  3)</t>
    </r>
    <r>
      <rPr>
        <sz val="7"/>
        <color theme="1"/>
        <rFont val="Times New Roman"/>
        <family val="1"/>
      </rPr>
      <t xml:space="preserve">    </t>
    </r>
    <r>
      <rPr>
        <sz val="11"/>
        <color theme="1"/>
        <rFont val="Tahoma"/>
        <family val="2"/>
      </rPr>
      <t>What is the construction schedule for this project?</t>
    </r>
  </si>
  <si>
    <r>
      <t xml:space="preserve">  4)</t>
    </r>
    <r>
      <rPr>
        <sz val="7"/>
        <color theme="1"/>
        <rFont val="Times New Roman"/>
        <family val="1"/>
      </rPr>
      <t xml:space="preserve">    </t>
    </r>
    <r>
      <rPr>
        <sz val="11"/>
        <color theme="1"/>
        <rFont val="Tahoma"/>
        <family val="2"/>
      </rPr>
      <t>Are there liquidated damages?</t>
    </r>
  </si>
  <si>
    <r>
      <t xml:space="preserve">  5)</t>
    </r>
    <r>
      <rPr>
        <sz val="7"/>
        <color theme="1"/>
        <rFont val="Times New Roman"/>
        <family val="1"/>
      </rPr>
      <t xml:space="preserve">    </t>
    </r>
    <r>
      <rPr>
        <sz val="11"/>
        <color theme="1"/>
        <rFont val="Tahoma"/>
        <family val="2"/>
      </rPr>
      <t>Are there prevailing wages required?</t>
    </r>
  </si>
  <si>
    <r>
      <t xml:space="preserve">  6)</t>
    </r>
    <r>
      <rPr>
        <sz val="7"/>
        <color theme="1"/>
        <rFont val="Times New Roman"/>
        <family val="1"/>
      </rPr>
      <t xml:space="preserve">    </t>
    </r>
    <r>
      <rPr>
        <sz val="11"/>
        <color theme="1"/>
        <rFont val="Tahoma"/>
        <family val="2"/>
      </rPr>
      <t>What mechanical contractors have been asked to bid this project by you or your company?</t>
    </r>
  </si>
  <si>
    <r>
      <t xml:space="preserve">  7)</t>
    </r>
    <r>
      <rPr>
        <sz val="7"/>
        <color theme="1"/>
        <rFont val="Times New Roman"/>
        <family val="1"/>
      </rPr>
      <t xml:space="preserve">    </t>
    </r>
    <r>
      <rPr>
        <sz val="11"/>
        <color theme="1"/>
        <rFont val="Tahoma"/>
        <family val="2"/>
      </rPr>
      <t>Who is confirmed to bid for above?</t>
    </r>
  </si>
  <si>
    <r>
      <t xml:space="preserve">  8)</t>
    </r>
    <r>
      <rPr>
        <sz val="7"/>
        <color theme="1"/>
        <rFont val="Times New Roman"/>
        <family val="1"/>
      </rPr>
      <t xml:space="preserve">    </t>
    </r>
    <r>
      <rPr>
        <sz val="11"/>
        <color theme="1"/>
        <rFont val="Tahoma"/>
        <family val="2"/>
      </rPr>
      <t>What is the tax rate for this project?</t>
    </r>
  </si>
  <si>
    <t>Paul Dense, P. E.
Vice President of Preconstruction</t>
  </si>
  <si>
    <t>ALLOCATION FOR PLUMBING &amp; HEATING</t>
  </si>
  <si>
    <t xml:space="preserve"> PLBG/HTG SUBCONTRACTORS </t>
  </si>
  <si>
    <t>O &amp; P %</t>
  </si>
  <si>
    <t>OTHER SUBCONTRACTORS</t>
  </si>
  <si>
    <t>HYDRONICS</t>
  </si>
  <si>
    <t>PLUMBING COST</t>
  </si>
  <si>
    <t>HEATING COST</t>
  </si>
  <si>
    <t>SUB-TOTAL OF SUB-CONTRACTORS W/MARK UP</t>
  </si>
  <si>
    <t>COST W/MUP</t>
  </si>
  <si>
    <t>SUB-TOTAL OF SUB-CONTRACTORS (PLBG)</t>
  </si>
  <si>
    <t>SUB-TOTAL OF SUB-CONTRACTORS (HTG)</t>
  </si>
  <si>
    <t>TEXTURA ADD</t>
  </si>
  <si>
    <t>PLUMBING COST WITH TEXTURA</t>
  </si>
  <si>
    <t>HEATING COST WITH TEXTURA</t>
  </si>
  <si>
    <t>BASE CONTRACT WITH TEXTURA</t>
  </si>
  <si>
    <t>TOTAL - BREAKOUTS</t>
  </si>
  <si>
    <t xml:space="preserve">TOTAL  </t>
  </si>
  <si>
    <t xml:space="preserve">TOTAL   </t>
  </si>
  <si>
    <t>ADJ %</t>
  </si>
  <si>
    <t>NATURAL GAS AG</t>
  </si>
  <si>
    <t>Description of Alternate in this location</t>
  </si>
  <si>
    <t>TOTAL - MATERIAL W/CONTINGENCY</t>
  </si>
  <si>
    <t>BOB DEMPSEY</t>
  </si>
  <si>
    <t>Our proposal is based on current market conditions.  We reserve the right to revisit our pricing due to unforeseen cost impacts as a result of changes in taxes, tariffs or other similar charges that are enacted after the date of this proposal including, but not limited to, escalation, delay damages, costs to reprocure, costs to change suppliers, costs of manufactured equipment or goods, or other costs of any kind resulting from the changes.</t>
  </si>
  <si>
    <t>SHAWN O'NEILL</t>
  </si>
  <si>
    <t>NELSON INSULATION</t>
  </si>
  <si>
    <t>GENERAL CONSTRUCTION</t>
  </si>
  <si>
    <t>ROOFING CONTRACTOR</t>
  </si>
  <si>
    <t>BIDDING CONTRACTOR(S):</t>
  </si>
  <si>
    <t>ROOFING BASE BID</t>
  </si>
  <si>
    <t>Yes BC</t>
  </si>
  <si>
    <t>% of Premium</t>
  </si>
  <si>
    <t>INPUT 1 BELOW</t>
  </si>
  <si>
    <t>PERCENTAGE - PREMIUM</t>
  </si>
  <si>
    <t>COMMISSION BASE BID</t>
  </si>
  <si>
    <t>****  INSERT INFORMATION INTO CELLS AS HIGHLIGHTED IN THIS COLOR  **** BASE BID BELOW</t>
  </si>
  <si>
    <t>RENTALS</t>
  </si>
  <si>
    <t>PRICE PER MONTH</t>
  </si>
  <si>
    <t>FUSION MACHINE</t>
  </si>
  <si>
    <t>TRUCKS</t>
  </si>
  <si>
    <t>OFFICE\TRAILER</t>
  </si>
  <si>
    <t>TELEPHONE</t>
  </si>
  <si>
    <t>ADD OR DEDUCT</t>
  </si>
  <si>
    <t>ALT #1</t>
  </si>
  <si>
    <t>ALT #2</t>
  </si>
  <si>
    <t>ALT #3</t>
  </si>
  <si>
    <t>ALT #4</t>
  </si>
  <si>
    <t>ALT #5</t>
  </si>
  <si>
    <t>ALT #6</t>
  </si>
  <si>
    <t>ALT #7</t>
  </si>
  <si>
    <t>ALT #8</t>
  </si>
  <si>
    <t>SUB-CONTRACTORS - TOTAL</t>
  </si>
  <si>
    <t>ROOFING</t>
  </si>
  <si>
    <t>TOTAL W/ALTS</t>
  </si>
  <si>
    <t>MED GAS, CERTIFICATION,SMART TAPS</t>
  </si>
  <si>
    <t>DIFFERENCE FROM ABOVE (REASON)</t>
  </si>
  <si>
    <t>ADD BOND COST</t>
  </si>
  <si>
    <t>M/UP</t>
  </si>
  <si>
    <t>BOND W/MUP</t>
  </si>
  <si>
    <t>WSP USA</t>
  </si>
  <si>
    <t>MISCELLANEOUS (CHANGE TO SUIT)</t>
  </si>
  <si>
    <t>ALVARADO CONTRUCTION INC.</t>
  </si>
  <si>
    <t>1266 SANTA FE DRIVE</t>
  </si>
  <si>
    <t>ROOFING CONTRACTORS</t>
  </si>
  <si>
    <t>ARAPAHOE FIRE</t>
  </si>
  <si>
    <t>EMPIRE FIRE</t>
  </si>
  <si>
    <t>FRONT RANGE FIRE</t>
  </si>
  <si>
    <t>ALPINE ROOFING</t>
  </si>
  <si>
    <t>ARAPAHOE ROOFING &amp; SHEET METAL</t>
  </si>
  <si>
    <t>B &amp; M ROOFING</t>
  </si>
  <si>
    <t>FLYNN SOUTHWEST ROOFING</t>
  </si>
  <si>
    <t>SUPERIOR ROOFING</t>
  </si>
  <si>
    <t>TURNER MORRIS ROOFING</t>
  </si>
  <si>
    <t>Engineered Products Co.</t>
  </si>
  <si>
    <t>M &amp; N Plumbing Supply Co.</t>
  </si>
  <si>
    <t>HVAC VENDORS (Go-No-Go)</t>
  </si>
  <si>
    <t>State Rate</t>
  </si>
  <si>
    <t>Estimated County Rate</t>
  </si>
  <si>
    <t>Estimated City Rate</t>
  </si>
  <si>
    <t>Estimated Special Rate</t>
  </si>
  <si>
    <t>ARRIBA</t>
  </si>
  <si>
    <t>BACA COUNTY</t>
  </si>
  <si>
    <t>CHERAW</t>
  </si>
  <si>
    <t>CHEYENNE COUNTY</t>
  </si>
  <si>
    <t>CHEYENNE WELLS</t>
  </si>
  <si>
    <t>COAL CREEK</t>
  </si>
  <si>
    <t>CONEJOS COUNTY</t>
  </si>
  <si>
    <t>CROWLEY</t>
  </si>
  <si>
    <t>DOLORES COUNTY</t>
  </si>
  <si>
    <t>FAIRPLAY</t>
  </si>
  <si>
    <t>FLAGLER</t>
  </si>
  <si>
    <t>GILPIN COUNTY</t>
  </si>
  <si>
    <t>GRANBY</t>
  </si>
  <si>
    <t>HARTMAN</t>
  </si>
  <si>
    <t>HILLROSE</t>
  </si>
  <si>
    <t>KIOWA COUNTY</t>
  </si>
  <si>
    <t>KIT CARSON COUNTY</t>
  </si>
  <si>
    <t>LAKE CITY</t>
  </si>
  <si>
    <t>LAS ANIMAS COUNTY</t>
  </si>
  <si>
    <t>MEEKER</t>
  </si>
  <si>
    <t>MORGAN COUNTY</t>
  </si>
  <si>
    <t>NUCLA</t>
  </si>
  <si>
    <t>ORCHARD CITY</t>
  </si>
  <si>
    <t>ORDWAY</t>
  </si>
  <si>
    <t>PAGOSA SPRINGS</t>
  </si>
  <si>
    <t>PALISADE</t>
  </si>
  <si>
    <t>PAOLI</t>
  </si>
  <si>
    <t>PARACHUTE</t>
  </si>
  <si>
    <t>PARK CO SOUTH PARK HSD</t>
  </si>
  <si>
    <t>RANGELY</t>
  </si>
  <si>
    <t>RIO GRANDE COUNTY</t>
  </si>
  <si>
    <t>ROCKVALE</t>
  </si>
  <si>
    <t>SAN MIGUEL COUNTY</t>
  </si>
  <si>
    <t>SANFORD</t>
  </si>
  <si>
    <t>SWINK</t>
  </si>
  <si>
    <t>TWO BUTTES</t>
  </si>
  <si>
    <t>VILAS</t>
  </si>
  <si>
    <t>WELD COUNTY</t>
  </si>
  <si>
    <t>WELLINGTON</t>
  </si>
  <si>
    <t>YUMA COUNTY</t>
  </si>
  <si>
    <t>Tax Region Name</t>
  </si>
  <si>
    <t>Total Taxes</t>
  </si>
  <si>
    <t>Tax to Carry</t>
  </si>
  <si>
    <t>Plumbing Description</t>
  </si>
  <si>
    <t>Air Admittance Valve</t>
  </si>
  <si>
    <t>Area Drain</t>
  </si>
  <si>
    <t>GENERAL  CONSTRUCTION</t>
  </si>
  <si>
    <t>M A MEYER CONSTRUCTION, INC.</t>
  </si>
  <si>
    <t>Coffee Maker Hook/Up</t>
  </si>
  <si>
    <t>Clothes Washer Wall Box</t>
  </si>
  <si>
    <t>Double Check Valve Assembly</t>
  </si>
  <si>
    <t>Drinking Fountain</t>
  </si>
  <si>
    <t>Drinking Fountain w/Bottle Filler</t>
  </si>
  <si>
    <t>Downspout Nozzle</t>
  </si>
  <si>
    <t>Dishwasher Hook-Up</t>
  </si>
  <si>
    <t>Expansion Tank</t>
  </si>
  <si>
    <t>Electric Water Cooler</t>
  </si>
  <si>
    <t>Electric Water Heater</t>
  </si>
  <si>
    <t>Floor Cleanout</t>
  </si>
  <si>
    <t>Floor Drain</t>
  </si>
  <si>
    <t>Floor Sink</t>
  </si>
  <si>
    <t>Grade Cleanout</t>
  </si>
  <si>
    <t>Garbage Disposal</t>
  </si>
  <si>
    <t>Hose Bibb-Interior</t>
  </si>
  <si>
    <t xml:space="preserve">Ice Maker Wall Box </t>
  </si>
  <si>
    <t xml:space="preserve">Lavatory </t>
  </si>
  <si>
    <t xml:space="preserve">Mop Service Basin </t>
  </si>
  <si>
    <t>Overflow Drain</t>
  </si>
  <si>
    <t>Planter Drain</t>
  </si>
  <si>
    <t>Pressure Reducing Valve</t>
  </si>
  <si>
    <t>Roof Drain</t>
  </si>
  <si>
    <t>Reduced Pressure Backflow Preventer</t>
  </si>
  <si>
    <t xml:space="preserve">Sink </t>
  </si>
  <si>
    <t xml:space="preserve">Shower </t>
  </si>
  <si>
    <t>Trench Drain</t>
  </si>
  <si>
    <t>Trap Primer</t>
  </si>
  <si>
    <t>Vacuum Pump</t>
  </si>
  <si>
    <t>Water Closet</t>
  </si>
  <si>
    <t>Wall Cleanout</t>
  </si>
  <si>
    <t>Water Hammer Arrestor</t>
  </si>
  <si>
    <t>EWC-C</t>
  </si>
  <si>
    <t>Carrier for Electric Water Cooler</t>
  </si>
  <si>
    <t>L-C</t>
  </si>
  <si>
    <t>Carrier for Wall Hung Lavatory</t>
  </si>
  <si>
    <t>WC-C</t>
  </si>
  <si>
    <t>Carrier for Wall Hung Water Closet</t>
  </si>
  <si>
    <t>UR-1</t>
  </si>
  <si>
    <t>Urinal Wall Hung w/Flush Valve</t>
  </si>
  <si>
    <t>UR-2</t>
  </si>
  <si>
    <t>UR-C</t>
  </si>
  <si>
    <t>Carrier for Wall Hung Urinal</t>
  </si>
  <si>
    <t>……………………………………………………….</t>
  </si>
  <si>
    <t>……….</t>
  </si>
  <si>
    <t>Heating IDs</t>
  </si>
  <si>
    <t>Equipment  Description</t>
  </si>
  <si>
    <t>VAV CP</t>
  </si>
  <si>
    <t>Coil Package</t>
  </si>
  <si>
    <t>FCU CP</t>
  </si>
  <si>
    <t>BS</t>
  </si>
  <si>
    <t>Branch Selector</t>
  </si>
  <si>
    <t>VRV</t>
  </si>
  <si>
    <t>VRV Install &amp; Hook-Up</t>
  </si>
  <si>
    <t>CU-1</t>
  </si>
  <si>
    <t>Condensing Unit</t>
  </si>
  <si>
    <t>ACCU-1</t>
  </si>
  <si>
    <t>Air Conditioning Unit</t>
  </si>
  <si>
    <t>CU/ACCU</t>
  </si>
  <si>
    <t>Purge/Charge/Refrigeration/Specialties</t>
  </si>
  <si>
    <t>IB</t>
  </si>
  <si>
    <t>Inertia Base</t>
  </si>
  <si>
    <t>B-1</t>
  </si>
  <si>
    <t>Condensing Boiler</t>
  </si>
  <si>
    <t>VFD</t>
  </si>
  <si>
    <t>Variable Frequency Drive</t>
  </si>
  <si>
    <t>CWP-1</t>
  </si>
  <si>
    <t>Chilled Water End Suction Pump</t>
  </si>
  <si>
    <t>SD</t>
  </si>
  <si>
    <t>Suction Diffuser</t>
  </si>
  <si>
    <t>CH-1</t>
  </si>
  <si>
    <t>Chiller Water Cooled</t>
  </si>
  <si>
    <t>AS-1</t>
  </si>
  <si>
    <t>Air Separator</t>
  </si>
  <si>
    <t>Starter</t>
  </si>
  <si>
    <t>Manual Starter</t>
  </si>
  <si>
    <t>VFD StartUp</t>
  </si>
  <si>
    <t>Factory Start Up for VFD</t>
  </si>
  <si>
    <t>GF-1</t>
  </si>
  <si>
    <t>Glycol Feeder</t>
  </si>
  <si>
    <t>PF-1</t>
  </si>
  <si>
    <t>Pot Feeder</t>
  </si>
  <si>
    <t>HWP-1</t>
  </si>
  <si>
    <t>Heating Water End Suction Pump</t>
  </si>
  <si>
    <t>AHU-1</t>
  </si>
  <si>
    <t>UH-1</t>
  </si>
  <si>
    <t>Unit Heater Hot Water</t>
  </si>
  <si>
    <t>FCU-1</t>
  </si>
  <si>
    <t>Fan Coil Unit Hot Water</t>
  </si>
  <si>
    <t>UH CP</t>
  </si>
  <si>
    <t>D-AHU</t>
  </si>
  <si>
    <t>Demo Air Handling Unit</t>
  </si>
  <si>
    <t>D-CU</t>
  </si>
  <si>
    <t>Demo Condensing Unit</t>
  </si>
  <si>
    <t>D-UH</t>
  </si>
  <si>
    <t>Demo Unit Heater</t>
  </si>
  <si>
    <t>D-FCU</t>
  </si>
  <si>
    <t>Demo Fan Coil Unit</t>
  </si>
  <si>
    <t>D-HWP</t>
  </si>
  <si>
    <t>Demo End Suction Pump</t>
  </si>
  <si>
    <t>D-CHWP</t>
  </si>
  <si>
    <t>D-ET</t>
  </si>
  <si>
    <t>Demo Expansion Tank</t>
  </si>
  <si>
    <t>D-VFD</t>
  </si>
  <si>
    <t>Demo VFD</t>
  </si>
  <si>
    <t>D-ACCU</t>
  </si>
  <si>
    <t>Demo Split System Unit</t>
  </si>
  <si>
    <t>DEDUCT FOR DEMO MATL</t>
  </si>
  <si>
    <t>TG-1</t>
  </si>
  <si>
    <t>Trap Guard</t>
  </si>
  <si>
    <t>AP-1</t>
  </si>
  <si>
    <t>Access Panel</t>
  </si>
  <si>
    <t>SO-1</t>
  </si>
  <si>
    <t>Sand/Oil Interceptor</t>
  </si>
  <si>
    <t>Grease Interceptor</t>
  </si>
  <si>
    <t>GI-1</t>
  </si>
  <si>
    <t>TEXTURA FEE  .22%</t>
  </si>
  <si>
    <t>DVL Group</t>
  </si>
  <si>
    <t>3 GEN EXCAVATION</t>
  </si>
  <si>
    <t>COLORADO MECHANICAL INSULATION</t>
  </si>
  <si>
    <t>INCLUDED YES OR NO</t>
  </si>
  <si>
    <t>RESPONSIBILITY OF HOISTING</t>
  </si>
  <si>
    <t>YES</t>
  </si>
  <si>
    <t xml:space="preserve">NO </t>
  </si>
  <si>
    <t xml:space="preserve">WARRANTY </t>
  </si>
  <si>
    <t>DESCRIPTION OF EQUIPMENT - SUPPLY &amp; INSTALL</t>
  </si>
  <si>
    <t>DESCRIPTION OF ITEM</t>
  </si>
  <si>
    <t>LENGTH OF WARRANTY</t>
  </si>
  <si>
    <t>RESPONSIBILITY FOR WARRANTY</t>
  </si>
  <si>
    <t>INSULATION REQUIREMENTS</t>
  </si>
  <si>
    <t>DUCT CLEANING</t>
  </si>
  <si>
    <t>START OR WORK</t>
  </si>
  <si>
    <t>SHEET METAL  - INTERNALLY LINED</t>
  </si>
  <si>
    <t>SHEET METAL - WRAP</t>
  </si>
  <si>
    <t>SHEET METAL - EXTERIOR WRAP</t>
  </si>
  <si>
    <t>LOUVERS, VAV's</t>
  </si>
  <si>
    <t>SEISMIC RESTRAINTS</t>
  </si>
  <si>
    <t>MATERIAL - SPECIFY</t>
  </si>
  <si>
    <t>PLUMBING-DOMESTIC WATER</t>
  </si>
  <si>
    <t>PLUMBING-STORM/OF PIPING</t>
  </si>
  <si>
    <t>PLUMBING-SANITARY DWV</t>
  </si>
  <si>
    <t>WARRANTY - DURATION</t>
  </si>
  <si>
    <t>PROJECT SPECIFIC ITEMS</t>
  </si>
  <si>
    <t>CORE-DRILLS FOR SCOPE OF WORK</t>
  </si>
  <si>
    <t>MANUFACTURER</t>
  </si>
  <si>
    <t>REEFER PIPING</t>
  </si>
  <si>
    <t xml:space="preserve">INSULATION  </t>
  </si>
  <si>
    <t>LIQUIDATED DAMAGES-ACKNOWLEDGE</t>
  </si>
  <si>
    <t>EQUIPMENT &amp; SCOPE OF WORK MATRIX</t>
  </si>
  <si>
    <t>REQUIRED                  YES OR NO</t>
  </si>
  <si>
    <t>NOTES / COMMENTS</t>
  </si>
  <si>
    <t xml:space="preserve">X-RAY / GPR </t>
  </si>
  <si>
    <t>MAKE UP AIR UNITS</t>
  </si>
  <si>
    <t>BRACONIER PLUMBING &amp; HEATING, CO., INC.</t>
  </si>
  <si>
    <t>ALTERNATE #/NAME</t>
  </si>
  <si>
    <t>DEMOLITION - REMOVAL &amp; SAFE-OFF</t>
  </si>
  <si>
    <t>DEMOLITION - CAP OFF/NO REMOVAL</t>
  </si>
  <si>
    <t>PENETRATIONS FOR SCOPE OF WORK</t>
  </si>
  <si>
    <t>SCAFFOLD/LIFT FOR SCOPE OF WORK</t>
  </si>
  <si>
    <t>SAWCUT / REMOVAL OF CONCRETE</t>
  </si>
  <si>
    <t>Siesmic Required</t>
  </si>
  <si>
    <t>OVERTIME/SHIFT WORK-SPECIFY</t>
  </si>
  <si>
    <t>BIM / CAD DOCUMENTS</t>
  </si>
  <si>
    <t>PHASING OF PROJECT</t>
  </si>
  <si>
    <t>PARKING FEES</t>
  </si>
  <si>
    <t>BOND - PERFORMANCE/PAYMENT</t>
  </si>
  <si>
    <t>PERMIT FEES</t>
  </si>
  <si>
    <t>Demolition - Cut/Cap/Make Safe</t>
  </si>
  <si>
    <t>Demolition - Cut &amp; Removal</t>
  </si>
  <si>
    <t>PREVAILING/DAVIS BACON WAGES</t>
  </si>
  <si>
    <t>Alternates</t>
  </si>
  <si>
    <t>ADDENDA</t>
  </si>
  <si>
    <t>EXCAVATION FOR SCOPE OF WORK</t>
  </si>
  <si>
    <t>Liquidated Damages</t>
  </si>
  <si>
    <t>Performance Bond Required</t>
  </si>
  <si>
    <t>Bid Bond Required</t>
  </si>
  <si>
    <t>LEAD ESTIMATOR:</t>
  </si>
  <si>
    <t>FIXTURES</t>
  </si>
  <si>
    <t xml:space="preserve">INSULATION </t>
  </si>
  <si>
    <t>ALL DISCIPLINES</t>
  </si>
  <si>
    <t>ELECTRICAL</t>
  </si>
  <si>
    <t>COMPLETION OF WORK</t>
  </si>
  <si>
    <t>INSULATION SUB</t>
  </si>
  <si>
    <t>DATE OF ADDENDA</t>
  </si>
  <si>
    <t>TEST &amp; BALANCE REQUIREMENTS</t>
  </si>
  <si>
    <t>HYDRONIC BALANCE</t>
  </si>
  <si>
    <t>HVAC BALANCE (DRY SIDE)</t>
  </si>
  <si>
    <t>COMMISSIONING</t>
  </si>
  <si>
    <t>DUCT AIR - LEAK TEST</t>
  </si>
  <si>
    <t>TESTING OF EXISTING SYSTEMS</t>
  </si>
  <si>
    <t>PLUMBING BALANCE</t>
  </si>
  <si>
    <t>ALL ITEMS IN YELLOW NEED TO BE COMPLETED</t>
  </si>
  <si>
    <t>ALL ITEMS IN GREEN ARE OPTIONAL</t>
  </si>
  <si>
    <t>ALL ITEMS IN BLUE ARE FILLED IN AUTOMATICALLY FROM GO-NO-GO</t>
  </si>
  <si>
    <t>CHECK ADDRESSES FOR CORRECTNESS</t>
  </si>
  <si>
    <t xml:space="preserve">SHEET METAL </t>
  </si>
  <si>
    <t>SHEET METAL REQUIREMENTS</t>
  </si>
  <si>
    <t>HOISTING FOR EQUIPMENT</t>
  </si>
  <si>
    <t>DUCT COLLECTION SYSTEM</t>
  </si>
  <si>
    <t>REQUIRED YES OR NO</t>
  </si>
  <si>
    <t>INTERIOR DUCT LINER</t>
  </si>
  <si>
    <t>EXTERIOR DUCT SUPPORTS-SPECIFY</t>
  </si>
  <si>
    <t xml:space="preserve">OTHER </t>
  </si>
  <si>
    <t>ITEMS REQ'D FOR INSULATION-SPECIFY</t>
  </si>
  <si>
    <t xml:space="preserve"> HVAC EQUIPMENT - SUPPLY &amp; INSTALL</t>
  </si>
  <si>
    <t>GREASE DUCT WRAP</t>
  </si>
  <si>
    <t>PLUMBING-CONDENSATE DRAIN</t>
  </si>
  <si>
    <t>RESPONSIBILITY TO CARRY</t>
  </si>
  <si>
    <t xml:space="preserve">GREASE DUCT  </t>
  </si>
  <si>
    <t>FLUE/COMBUSTION PIPING - BOILER</t>
  </si>
  <si>
    <t>FLUE/COMBUSTION PIPING-DOM WH</t>
  </si>
  <si>
    <t>NONE</t>
  </si>
  <si>
    <t>McCoy Sales</t>
  </si>
  <si>
    <t>McNevin Sales</t>
  </si>
  <si>
    <t>EDIFICE BUILDERS</t>
  </si>
  <si>
    <t>5455 E. EVANS PLACE</t>
  </si>
  <si>
    <t>Lockheed Martin Space</t>
  </si>
  <si>
    <t>HALCYON CONSTRUCTION</t>
  </si>
  <si>
    <t>Removal of Excavation Spoils from Site</t>
  </si>
  <si>
    <t>DARRELL BRUMFIELD</t>
  </si>
  <si>
    <t>Darrell Brumfield</t>
  </si>
  <si>
    <t xml:space="preserve">Darrell Brumfield
Estimator
Mobile 720.788.0217
Email darrellb@braconier.com
</t>
  </si>
  <si>
    <t>13750 EAST BRIARWOOD AVENUE</t>
  </si>
  <si>
    <t>Mazzetti, Inc.</t>
  </si>
  <si>
    <t>360o Engineering</t>
  </si>
  <si>
    <t>SKYLINE HEATING AIR CONDITIONING &amp; SHEET METAL INC.</t>
  </si>
  <si>
    <t>4234 THOMPSON COURT</t>
  </si>
  <si>
    <t>LOCKHEED MARTIN (WATERTON CANYON)</t>
  </si>
  <si>
    <t>Basis of Design</t>
  </si>
  <si>
    <t>HVAC EQUIPMENT (BASIS OF DESIGN)</t>
  </si>
  <si>
    <t>AAON</t>
  </si>
  <si>
    <t>ANNEX AIR</t>
  </si>
  <si>
    <t>DAIKIN</t>
  </si>
  <si>
    <t>SAMSUNG</t>
  </si>
  <si>
    <t>LG</t>
  </si>
  <si>
    <t>BELL &amp; GOSSETT</t>
  </si>
  <si>
    <t>ARMSTRONG</t>
  </si>
  <si>
    <t>ENGINEERED AIR</t>
  </si>
  <si>
    <t>MAMMOTH</t>
  </si>
  <si>
    <t>LOCHINVAR</t>
  </si>
  <si>
    <t>BRADFORD WHITE</t>
  </si>
  <si>
    <t>STATE</t>
  </si>
  <si>
    <t>RHEEM</t>
  </si>
  <si>
    <t>CLIMATE MASTER</t>
  </si>
  <si>
    <t>DANFOSS</t>
  </si>
  <si>
    <t>CLIMATE CRAFT</t>
  </si>
  <si>
    <t>CLIMA COOL</t>
  </si>
  <si>
    <t>DUNHAM BUSH</t>
  </si>
  <si>
    <t>CLIMATE SOLUTIONS</t>
  </si>
  <si>
    <t>ABB</t>
  </si>
  <si>
    <t>SEASONS 4</t>
  </si>
  <si>
    <t>IEC</t>
  </si>
  <si>
    <t>APV</t>
  </si>
  <si>
    <t>AMTROL</t>
  </si>
  <si>
    <t>BUDERUS</t>
  </si>
  <si>
    <t>SUSSMAN</t>
  </si>
  <si>
    <t>TACO</t>
  </si>
  <si>
    <t>PACO</t>
  </si>
  <si>
    <t>BALTIMORE AIR COMPANY</t>
  </si>
  <si>
    <t>MITSUBISHI</t>
  </si>
  <si>
    <t>PANASONIC</t>
  </si>
  <si>
    <t>PVI</t>
  </si>
  <si>
    <t>BURNHAM</t>
  </si>
  <si>
    <t>RBI</t>
  </si>
  <si>
    <t>PATTERSON-KELLY</t>
  </si>
  <si>
    <t>THERMAFLO</t>
  </si>
  <si>
    <t>WILLIAMS IPS</t>
  </si>
  <si>
    <t>DESCRIPTION - HVAC EQUIPMENT WITH HOISTING</t>
  </si>
  <si>
    <t>DESCRIPTION - HVAC EQUIPMENT</t>
  </si>
  <si>
    <t>Englewood Winsupply</t>
  </si>
  <si>
    <t xml:space="preserve">  I look forward to your responses that will assist us in a decision for providing a proposal for this project. </t>
  </si>
  <si>
    <t>WARRANTY DURATION</t>
  </si>
  <si>
    <t>2nd YEAR BOND COST</t>
  </si>
  <si>
    <t>%</t>
  </si>
  <si>
    <t>1 YR WARR</t>
  </si>
  <si>
    <t>2 YR WARR</t>
  </si>
  <si>
    <t>3 YR WARR</t>
  </si>
  <si>
    <t>4 YR WARR</t>
  </si>
  <si>
    <t>5 YR WARR</t>
  </si>
  <si>
    <t>3rd YEAR BOND COST</t>
  </si>
  <si>
    <t>4th YEAR BOND COST</t>
  </si>
  <si>
    <t>5th YEAR BOND COST</t>
  </si>
  <si>
    <t>Upcharge from 3rd Year</t>
  </si>
  <si>
    <t>Upcharge from 4th Year</t>
  </si>
  <si>
    <t>WARRANTY / BOND CALCULATOR</t>
  </si>
  <si>
    <t>COMPETITORS</t>
  </si>
  <si>
    <t xml:space="preserve">Warranty </t>
  </si>
  <si>
    <t>W.E. O'NEIL CONSTRUCTION</t>
  </si>
  <si>
    <t>BASE BID COST</t>
  </si>
  <si>
    <t>PLUMBING CREW RATE</t>
  </si>
  <si>
    <t>PIPEFITTING CREW RATE</t>
  </si>
  <si>
    <t>PLUMBING CREW SIZE</t>
  </si>
  <si>
    <t>PIPEFITTING CREW SIZE</t>
  </si>
  <si>
    <t>PIPEFITTING HOURS</t>
  </si>
  <si>
    <t>TOTAL O &amp; P AMOUNT</t>
  </si>
  <si>
    <t>ESTIMATE SNAPSHOT</t>
  </si>
  <si>
    <t>LABOR COVERAGE-PLUMBING</t>
  </si>
  <si>
    <t>LABOR COVERAGE-PIPEFITTING</t>
  </si>
  <si>
    <t>PLUMBING LABOR COST</t>
  </si>
  <si>
    <t>PIPEFITTING LABOR COST</t>
  </si>
  <si>
    <t>PLUMBING MATERIAL W/TAXES</t>
  </si>
  <si>
    <t>PIPEFITTING MATERIAL W/TAXES</t>
  </si>
  <si>
    <t>MATERIAL COST W/TAXES</t>
  </si>
  <si>
    <t>LABOR COST</t>
  </si>
  <si>
    <t>password = bph</t>
  </si>
  <si>
    <t>BRICKER WILSON</t>
  </si>
  <si>
    <t>OMNI SHEET METAL</t>
  </si>
  <si>
    <t>TRIMBLE</t>
  </si>
  <si>
    <t xml:space="preserve">COSTS &amp; SELECTIONS - HVAC EQUIPMENT </t>
  </si>
  <si>
    <t>COSTS &amp; SELECTIONS - HVAC EQUIPMENT WITH HOISTING</t>
  </si>
  <si>
    <t>DESCRIPTION - PLUMBING EQUIPMENT REQUIRING HOISTING</t>
  </si>
  <si>
    <t xml:space="preserve">DESCRIPTION - PLUMBING EQUIPMENT </t>
  </si>
  <si>
    <t>COSTS &amp; SELECTIONS - PLUMBING EQUIPMENT / FIXTURES</t>
  </si>
  <si>
    <t>COSTS &amp; SELECTIONS - PLUMBING EQUIPMENT REQUIRING HOISTING</t>
  </si>
  <si>
    <t>BOBBY CULLEN</t>
  </si>
  <si>
    <t xml:space="preserve">Bobby Cullen </t>
  </si>
  <si>
    <t>Total Square Feet</t>
  </si>
  <si>
    <t>Bobby Cullen
Preconstruction Manager
Mobile 720.592.9221
Email BobbyC@braconier.com</t>
  </si>
  <si>
    <t>Precision Mechanical Inc.</t>
  </si>
  <si>
    <t>COMANCHE'S CONSTRUCTION, INC.</t>
  </si>
  <si>
    <t>ALLIED POWER SERVICES</t>
  </si>
  <si>
    <t>DEAN ELECTRIC</t>
  </si>
  <si>
    <t>DURO ELECTRIC COMPANY</t>
  </si>
  <si>
    <t>E-LIGHT</t>
  </si>
  <si>
    <t>ELECTRICAL DYNAMICS &amp; CONROLS</t>
  </si>
  <si>
    <t>ENCORE ELECTRIC</t>
  </si>
  <si>
    <t>GUARANTEE ELECTRIC</t>
  </si>
  <si>
    <t>INTEGRITY ELECTRICAL SOLUTIONS</t>
  </si>
  <si>
    <t>KELLY ELECTRIC</t>
  </si>
  <si>
    <t>KENNY ELECTRIC</t>
  </si>
  <si>
    <t xml:space="preserve">LAKEWOOD ELECTRIC CO., INC. </t>
  </si>
  <si>
    <t>LUDVIK ELECTRIC</t>
  </si>
  <si>
    <t>WAYNE'S ELECTRIC</t>
  </si>
  <si>
    <t>WEIFIELD GROUP</t>
  </si>
  <si>
    <t>HAROLD'S EXCAVATING SVCES</t>
  </si>
  <si>
    <t xml:space="preserve">PROVIDENT CONSTRUCTION, CO. </t>
  </si>
  <si>
    <t>12424 EAST WEAVER PLACE</t>
  </si>
  <si>
    <t>CENTENNIAL, CO 80111</t>
  </si>
  <si>
    <t>4627 W. 20TH STREET RD., SUITE B</t>
  </si>
  <si>
    <t>1401 ZUNI STREET, SUITE 301</t>
  </si>
  <si>
    <t>6.</t>
  </si>
  <si>
    <t xml:space="preserve">Are there Prevailing or Davis Bacon Wages for this project? </t>
  </si>
  <si>
    <t>Taft Engineering</t>
  </si>
  <si>
    <t>LIEBERT</t>
  </si>
  <si>
    <t>STULTZ</t>
  </si>
  <si>
    <t>H2O INDUSTRIES</t>
  </si>
  <si>
    <t>NEW POLAR SERVICES</t>
  </si>
  <si>
    <t>1031 SANTA FE DRIVE, SUITE 300</t>
  </si>
  <si>
    <t>12789 EMERSON STREET</t>
  </si>
  <si>
    <t>DENVER (CITY ONLY)</t>
  </si>
  <si>
    <t>DENVER (COMBINED)</t>
  </si>
  <si>
    <t>Braconier is pleased to submit our plumbing and mechanical proposal for the above referenced project.  Our proposal is based on plans, specifications, documents and addenda as mentioned below:</t>
  </si>
  <si>
    <t>CAD / BIM Modeling</t>
  </si>
  <si>
    <t>Provide for crane service lifting and hoisting of our own supplied equipment and material.</t>
  </si>
  <si>
    <t>Sales Taxes included as follows:</t>
  </si>
  <si>
    <t>Our proposal is based on power, lighting and water being made available to us at our installation locations at no charge for our installation needs.</t>
  </si>
  <si>
    <t>Include latest Addendum Date Only</t>
  </si>
  <si>
    <t>We reserve our rights to an equitable adjustment for any and all cost &amp; time impacts resultant, consequential and/or otherwise associated with changed conditions.</t>
  </si>
  <si>
    <t>Dumpsters and trash removal from the site</t>
  </si>
  <si>
    <t>Temporary heating, cooling, plumbing, piping or ductwork</t>
  </si>
  <si>
    <t>Additional Glycol for Existing System(s)</t>
  </si>
  <si>
    <t>BASE</t>
  </si>
  <si>
    <t>MISC-CHANGE TO SUIT</t>
  </si>
  <si>
    <t>OFFLOAD EQUIPMENT @ CRANE YARD</t>
  </si>
  <si>
    <t>TRUCKING EQUIPMENT TO JOBSITE</t>
  </si>
  <si>
    <t>BASED ON AVERAGE CREW RATE BELOW</t>
  </si>
  <si>
    <t>RATES ARE BASED ON (1) FOREMAN, (1) JOURNEYMEN, (1) 70% APPRENTICE, (1) 50% APPRENTICE</t>
  </si>
  <si>
    <t>DENVER PERMIT CALCULATOR</t>
  </si>
  <si>
    <t>VALUATION OF WORK</t>
  </si>
  <si>
    <t>MINIMUM</t>
  </si>
  <si>
    <t>MAXIMUM</t>
  </si>
  <si>
    <t>FEE</t>
  </si>
  <si>
    <t>FEE PER EACH $1,000</t>
  </si>
  <si>
    <t>HEATING AMOUNT FOR PERMIT</t>
  </si>
  <si>
    <t># OF $1000</t>
  </si>
  <si>
    <t>TOTAL PERMIT FEE</t>
  </si>
  <si>
    <t>CHOOSE PERMIT FEE FOR APPROPRIATE PERMIT COST LEVEL</t>
  </si>
  <si>
    <t>Roof Top Unit (Comp Labor)</t>
  </si>
  <si>
    <t>RTU-1</t>
  </si>
  <si>
    <t>Air Handling Unit (Comp Labor)</t>
  </si>
  <si>
    <t>BOULDER PERMIT CALCULATOR</t>
  </si>
  <si>
    <t xml:space="preserve">BOULDER                                         </t>
  </si>
  <si>
    <t>DENVER</t>
  </si>
  <si>
    <t>DENVER PERMIT FEE</t>
  </si>
  <si>
    <t>BOULDER PERMIT FEE</t>
  </si>
  <si>
    <t>Removal/Replacement/Sawcutting of Ceilings, Walls, Floors, Concrete, Asphalt</t>
  </si>
  <si>
    <t>MCAA Man Hours</t>
  </si>
  <si>
    <t>Factor</t>
  </si>
  <si>
    <t>Plumbing Fixtures, Fixtures &amp; Accessories</t>
  </si>
  <si>
    <t>Item Description</t>
  </si>
  <si>
    <t>Bath Tub, Cast Iron</t>
  </si>
  <si>
    <t>Bath Tub, Fiberglass or Plastic</t>
  </si>
  <si>
    <t>Bath Tub, Hydrotherapy (includes tempering valve)</t>
  </si>
  <si>
    <t>Bath Tub, Whirlpool</t>
  </si>
  <si>
    <t>Drinking Fountain, Dual Level</t>
  </si>
  <si>
    <t>Drinking Fountain, Single Level</t>
  </si>
  <si>
    <t>Electric Water Cooler, Flush Mount, Dual Level</t>
  </si>
  <si>
    <t>Electric Water Cooler, Flush Mount, Single Level</t>
  </si>
  <si>
    <t>Electric Water Cooler, Recessed Mount, Dual Level</t>
  </si>
  <si>
    <t>Electric Water Cooler, Recessed Mount, Single Level</t>
  </si>
  <si>
    <t>Emergency,  Eyewash</t>
  </si>
  <si>
    <t>Emergency, Eyewash &amp; Shower (floor mounted)</t>
  </si>
  <si>
    <t>Emergency, Shower</t>
  </si>
  <si>
    <t>Laboratory, Fume Hood Sink Faucet</t>
  </si>
  <si>
    <t>Laboratory, Sink Faucet</t>
  </si>
  <si>
    <t>Lavatory, Carrier Only</t>
  </si>
  <si>
    <t>Lavatory, Countertop</t>
  </si>
  <si>
    <t>Lavatory, Wall Hung</t>
  </si>
  <si>
    <t>Penal Fixtures, Bubbler Assembly</t>
  </si>
  <si>
    <t>Penal Fixtures, Drinking Fountain</t>
  </si>
  <si>
    <t>Penal Fixtures, Lavatories, Wall Hung</t>
  </si>
  <si>
    <t>Penal Fixtures, Lavatory &amp; Water Closet Combination</t>
  </si>
  <si>
    <t>Penal Fixtures, Modular Service Centers (WC, Lav, Cabinet, Recept, Light, Mirror)</t>
  </si>
  <si>
    <t>Penal Fixtures, Security Showers</t>
  </si>
  <si>
    <t>Penal Fixtures, Urinal Stall</t>
  </si>
  <si>
    <t>Penal Fixtures, Urinal, Multi-Person, Wall Hung</t>
  </si>
  <si>
    <t>Penal Fixtures, Urinal, Single Wall Hung</t>
  </si>
  <si>
    <t>Penal Fixtures, Water Closets, Floor Mounted</t>
  </si>
  <si>
    <t>Penal Fixtures, Water Closets, Wall Mounted</t>
  </si>
  <si>
    <t>Shower Base, PVC or Plastic</t>
  </si>
  <si>
    <t>Shower, Pan, EPDM</t>
  </si>
  <si>
    <t>Shower, Pan, Lead</t>
  </si>
  <si>
    <t>Shower, Stall Only (Three-Piece)</t>
  </si>
  <si>
    <t>Shower, Valve &amp; Head Assembly</t>
  </si>
  <si>
    <t>Shower, Valve &amp; Head Assembly, ADA Compliant</t>
  </si>
  <si>
    <t>Sink, Double Compartment</t>
  </si>
  <si>
    <t>Sink, Mop</t>
  </si>
  <si>
    <t>Sink, Single Compartment</t>
  </si>
  <si>
    <t>Sink, Surgical Scrub</t>
  </si>
  <si>
    <t>Sink, Three Compartment</t>
  </si>
  <si>
    <t>Urinal, Carrier Only</t>
  </si>
  <si>
    <t>Urinal, Floor Mounted w/Flush Valve</t>
  </si>
  <si>
    <t>Urinal, Floor Mounted w/Flush Valve &amp; Sensor</t>
  </si>
  <si>
    <t>Urinal, Wall Hung w/Flush Valve</t>
  </si>
  <si>
    <t>Urinal, Wall Hung w/Flush Valve &amp; Sensor</t>
  </si>
  <si>
    <t>Urinal, Waterless</t>
  </si>
  <si>
    <t>Wash Basin, Circular</t>
  </si>
  <si>
    <t>Wash Basin, Semi Circular</t>
  </si>
  <si>
    <t>Water Closet, Carrier, Double</t>
  </si>
  <si>
    <t>Water Closet, Carrier, Single</t>
  </si>
  <si>
    <t>Water Closet, Floor Mounted w/Flush Valve</t>
  </si>
  <si>
    <t>Water Closet, Floor Mounted w/Flush Valve &amp; Sensor</t>
  </si>
  <si>
    <t>Water Closet, Floor Mounted w/Tank</t>
  </si>
  <si>
    <t>Water Closet, Wall Hung w/Flush Valve</t>
  </si>
  <si>
    <t>Water Closet, Wall Hung w/Flush Valve &amp; Sensor</t>
  </si>
  <si>
    <t>Highlighted elements have been updated within the last 12 months.</t>
  </si>
  <si>
    <t>Note: Labor hours for plumbing fixtures includes the installation of angle stops, supply tubes, traps, tail pieces, strainers, and faucets. Date last updated 02/29/2008</t>
  </si>
  <si>
    <t>Adjusted Labor</t>
  </si>
  <si>
    <t>Actual Labor</t>
  </si>
  <si>
    <t>TAG ID</t>
  </si>
  <si>
    <t>Coffe Maker</t>
  </si>
  <si>
    <t>Clothes Washer Box</t>
  </si>
  <si>
    <t>BT-CI</t>
  </si>
  <si>
    <t>BT-FIB</t>
  </si>
  <si>
    <t>BT-WP</t>
  </si>
  <si>
    <t>BT-HYDRO</t>
  </si>
  <si>
    <t>DF-S</t>
  </si>
  <si>
    <t>DF-D</t>
  </si>
  <si>
    <t>EWC-S</t>
  </si>
  <si>
    <t>EWC-D</t>
  </si>
  <si>
    <t>EEW</t>
  </si>
  <si>
    <t>EEWS</t>
  </si>
  <si>
    <t>ESH</t>
  </si>
  <si>
    <t>LAB-FH</t>
  </si>
  <si>
    <t>S-LABFCT</t>
  </si>
  <si>
    <t>L-CT</t>
  </si>
  <si>
    <t>L-WH</t>
  </si>
  <si>
    <t>PEN-BUBB</t>
  </si>
  <si>
    <t>PEN-DF</t>
  </si>
  <si>
    <t>PEN-LAV</t>
  </si>
  <si>
    <t>PEN-COMB</t>
  </si>
  <si>
    <t>PEN-COMBOA</t>
  </si>
  <si>
    <t>PEN-SH</t>
  </si>
  <si>
    <t>PEN-UR</t>
  </si>
  <si>
    <t>PEN-URMULTI</t>
  </si>
  <si>
    <t>PEN-WC</t>
  </si>
  <si>
    <t>SH-BASE</t>
  </si>
  <si>
    <t>SH-PAN</t>
  </si>
  <si>
    <t>SH-GC</t>
  </si>
  <si>
    <t>SH-ST</t>
  </si>
  <si>
    <t>SH-ADA</t>
  </si>
  <si>
    <t>S-DBL</t>
  </si>
  <si>
    <t>MSB</t>
  </si>
  <si>
    <t>S-SGL</t>
  </si>
  <si>
    <t>SS</t>
  </si>
  <si>
    <t>S-3 COMP</t>
  </si>
  <si>
    <t>UR-FM</t>
  </si>
  <si>
    <t>UR-FMS</t>
  </si>
  <si>
    <t>UR-WH</t>
  </si>
  <si>
    <t>UR-WHS</t>
  </si>
  <si>
    <t>UR-WL</t>
  </si>
  <si>
    <t>WB-CIRC</t>
  </si>
  <si>
    <t>WB-SEMIC</t>
  </si>
  <si>
    <t>WC-CD</t>
  </si>
  <si>
    <t>WC-CS</t>
  </si>
  <si>
    <t>WC-FMFV</t>
  </si>
  <si>
    <t>WC-FMFVS</t>
  </si>
  <si>
    <t>WC-FMTT</t>
  </si>
  <si>
    <t>WC-WHFV</t>
  </si>
  <si>
    <t>WC-WHFVS</t>
  </si>
  <si>
    <t>FCO</t>
  </si>
  <si>
    <t>GCO</t>
  </si>
  <si>
    <t>FD</t>
  </si>
  <si>
    <t>FS</t>
  </si>
  <si>
    <t>GI</t>
  </si>
  <si>
    <t>HB</t>
  </si>
  <si>
    <t>Hose Bibb</t>
  </si>
  <si>
    <t>IMB</t>
  </si>
  <si>
    <t>Ice Maker Box</t>
  </si>
  <si>
    <t>OD</t>
  </si>
  <si>
    <t>PD</t>
  </si>
  <si>
    <t>TD</t>
  </si>
  <si>
    <t>Trench Drain (Per Foot)</t>
  </si>
  <si>
    <t>SO</t>
  </si>
  <si>
    <t>Sand Oil Interceptor</t>
  </si>
  <si>
    <t>WCO</t>
  </si>
  <si>
    <t>RD</t>
  </si>
  <si>
    <t>DSN</t>
  </si>
  <si>
    <t>WHA</t>
  </si>
  <si>
    <t>DENVER (STATE ONLY)</t>
  </si>
  <si>
    <t>Additional Fixtures</t>
  </si>
  <si>
    <t>CHANGE FOR STATE PERMITS</t>
  </si>
  <si>
    <t>PERMIT FEE SHOWN IN COLUMN WITH 1 FOR APPROPRIATE PERMIT COST LEVEL</t>
  </si>
  <si>
    <t>PER $100 FEE</t>
  </si>
  <si>
    <t>45 TON</t>
  </si>
  <si>
    <t>100 TON</t>
  </si>
  <si>
    <t>110 TON</t>
  </si>
  <si>
    <t>140 TON</t>
  </si>
  <si>
    <t>170 TON</t>
  </si>
  <si>
    <t>200 TON</t>
  </si>
  <si>
    <t>275 TON</t>
  </si>
  <si>
    <t>300 TON</t>
  </si>
  <si>
    <t>360 TON</t>
  </si>
  <si>
    <t>450 TON</t>
  </si>
  <si>
    <t>500 TON</t>
  </si>
  <si>
    <t>400 TON</t>
  </si>
  <si>
    <t>220 TON</t>
  </si>
  <si>
    <t>…............</t>
  </si>
  <si>
    <t>MOBILIZATION (120 TON TO 500 TON ONLY)</t>
  </si>
  <si>
    <t>CRANE RATES</t>
  </si>
  <si>
    <t>TAMPER</t>
  </si>
  <si>
    <t xml:space="preserve">DESCRIPTION </t>
  </si>
  <si>
    <t>PER $1,000 FEE</t>
  </si>
  <si>
    <t>HTG/PLBG AMOUNT FOR PERMIT</t>
  </si>
  <si>
    <t>PLUMBING AMOUNT FOR PERMIT</t>
  </si>
  <si>
    <t>FEE PER EACH $100</t>
  </si>
  <si>
    <t># OF $100's</t>
  </si>
  <si>
    <r>
      <t xml:space="preserve">Thank you for the opportunity you have presented to </t>
    </r>
    <r>
      <rPr>
        <b/>
        <sz val="11"/>
        <color theme="1"/>
        <rFont val="Tahoma"/>
        <family val="2"/>
      </rPr>
      <t>Braconier</t>
    </r>
  </si>
  <si>
    <t>Lohr Design Group</t>
  </si>
  <si>
    <t>MECHANICAL SOLUTIONS, INC.</t>
  </si>
  <si>
    <t>PERMITS</t>
  </si>
  <si>
    <t>ADJUST FOR STATE</t>
  </si>
  <si>
    <t>CITY</t>
  </si>
  <si>
    <t>Base Heating Permit Amount</t>
  </si>
  <si>
    <t>Base Plumbing Permit Amount</t>
  </si>
  <si>
    <t>PERMIT CALCULATOR(S) HIDDEN IN CELLS BELOW</t>
  </si>
  <si>
    <t>SINGLE TRACK CONSTRUCTION</t>
  </si>
  <si>
    <t>P.O. BOX 369</t>
  </si>
  <si>
    <t>GOLDEN, CO 80402</t>
  </si>
  <si>
    <t>SCS, INC.</t>
  </si>
  <si>
    <t>ARVADA, CO 80007</t>
  </si>
  <si>
    <t>LIFT PLAN</t>
  </si>
  <si>
    <t>OFFICE / TRAILER</t>
  </si>
  <si>
    <t>EMPLOYEE TRUCKS</t>
  </si>
  <si>
    <t>STATE PERMIT CALCULATOR</t>
  </si>
  <si>
    <t># OF $1,000's</t>
  </si>
  <si>
    <t>PERMIT FEE AMOUNT FOR ALL LEVELS</t>
  </si>
  <si>
    <t>STATE OF COLORADO</t>
  </si>
  <si>
    <t>IF NO PLUMBING COSTS FOR THIS PROPOSAL USE THIS CALCULATOR FOR PERMIT COST FOR STATE</t>
  </si>
  <si>
    <t>STATE PERMIT FEE</t>
  </si>
  <si>
    <t>Overtime or Off-Hours Work</t>
  </si>
  <si>
    <t>IMEG</t>
  </si>
  <si>
    <t xml:space="preserve">A.D. MILLER CONSTRUCTION SERVICES INC. </t>
  </si>
  <si>
    <t>7006 S. ALTON WAY,  BLDG E, SUITE 100</t>
  </si>
  <si>
    <t>PG ARNOLD CONSTRUCTION</t>
  </si>
  <si>
    <t>3109 28TH STREET</t>
  </si>
  <si>
    <t>BOULDER, CO 80301</t>
  </si>
  <si>
    <t>18672 WEST 95TH PLACE</t>
  </si>
  <si>
    <t>7800 EAST UNION AVENUE, SUITE 100</t>
  </si>
  <si>
    <t>Klok Group</t>
  </si>
  <si>
    <t>Columbine Engineering, Inc.</t>
  </si>
  <si>
    <t>MSI Mechanical Solutions, Inc.</t>
  </si>
  <si>
    <t>JCOR Mechanical</t>
  </si>
  <si>
    <t>JONATHAN PAVONE</t>
  </si>
  <si>
    <t>Jonathan Pavone</t>
  </si>
  <si>
    <t>Jonathan Pavone
Estimator
Mobile 720.731.6951
Email jonathanp@braconier.com</t>
  </si>
  <si>
    <t>PATTONS MEDICAL</t>
  </si>
  <si>
    <t>DISCOUNT</t>
  </si>
  <si>
    <t>DISCOUNTED RATE PER HOUR</t>
  </si>
  <si>
    <t>TEXTURA $</t>
  </si>
  <si>
    <t>MAX TEXTURA</t>
  </si>
  <si>
    <t>HEATING RECAP LABOR RATE</t>
  </si>
  <si>
    <t>PLUMBING RECAP LABOR RATE</t>
  </si>
  <si>
    <t>#1</t>
  </si>
  <si>
    <t>#2</t>
  </si>
  <si>
    <t>#3</t>
  </si>
  <si>
    <t>#4</t>
  </si>
  <si>
    <t>#5</t>
  </si>
  <si>
    <t>#6</t>
  </si>
  <si>
    <t>#7</t>
  </si>
  <si>
    <t>#8</t>
  </si>
  <si>
    <t>1 HR MINIMUM</t>
  </si>
  <si>
    <t>UNLOAD/RELOAD EQUIPMENT @ CRANE YARD</t>
  </si>
  <si>
    <t>STORAGE FEES</t>
  </si>
  <si>
    <t>BORDER</t>
  </si>
  <si>
    <t>LENGTH (FT)</t>
  </si>
  <si>
    <t>WIDTH (FT)</t>
  </si>
  <si>
    <t>HEIGHT (FT)</t>
  </si>
  <si>
    <t>RATE/SQ FT</t>
  </si>
  <si>
    <t>TOTAL PER MONTH</t>
  </si>
  <si>
    <t>TOTAL SQ FT</t>
  </si>
  <si>
    <t>INPUT LENGTH, WIDTH AND HEIGHT ABOVE (BORDER IS ADDED IN THE CALCULATION)</t>
  </si>
  <si>
    <t>EQUIPMENT ID DESCRIPTION</t>
  </si>
  <si>
    <t>TOTAL STORAGE</t>
  </si>
  <si>
    <t>EXAMPLE ONLY - RTU-1</t>
  </si>
  <si>
    <t>STORAGE FEES (ENTER # OF MONTHS STORAGE IN F49</t>
  </si>
  <si>
    <t>EXAMPLE 2 - INPUT 1 IN BORDER AND LENGTH, WIDTH</t>
  </si>
  <si>
    <t>Electrical Work including Interlock Wiring/Controls between Remote Panels &amp; Equipment</t>
  </si>
  <si>
    <t>Estimator Notes</t>
  </si>
  <si>
    <t>PINNACLE</t>
  </si>
  <si>
    <t>CHAMBERS</t>
  </si>
  <si>
    <t>OMNI</t>
  </si>
  <si>
    <t>VIATECHNIK</t>
  </si>
  <si>
    <t>CLIENT BREAKOUT</t>
  </si>
  <si>
    <t>Demo</t>
  </si>
  <si>
    <t>Roof drain</t>
  </si>
  <si>
    <t>Domestic Water</t>
  </si>
  <si>
    <t>Waste and Vent</t>
  </si>
  <si>
    <t>Sheet metal</t>
  </si>
  <si>
    <t>Insulation</t>
  </si>
  <si>
    <t>Test and Balance</t>
  </si>
  <si>
    <t>Fee, GC's</t>
  </si>
  <si>
    <t>HVAC Equipment</t>
  </si>
  <si>
    <t>Gas piping</t>
  </si>
  <si>
    <t>Hydronic piping</t>
  </si>
  <si>
    <t>FULLY LOADED PRICE</t>
  </si>
  <si>
    <t>LABOR $</t>
  </si>
  <si>
    <t>TAX, OTHER</t>
  </si>
  <si>
    <t>Plumbing fixtures, equip</t>
  </si>
  <si>
    <t>Misc subs</t>
  </si>
  <si>
    <t>Difference</t>
  </si>
  <si>
    <t>New openings in existing walls/floors for new duct</t>
  </si>
  <si>
    <t>Louvers not scheduled on M drawings</t>
  </si>
  <si>
    <t>CAD / BIM modeling is based on design having been spatially coordinated.</t>
  </si>
  <si>
    <t xml:space="preserve">ADD  </t>
  </si>
  <si>
    <t>Rock or frost removal for trenches</t>
  </si>
  <si>
    <t>Dewatering of trenches</t>
  </si>
  <si>
    <t>3rd party Duct Cleaning (SMACNA Build Clean Protocol is included)</t>
  </si>
  <si>
    <t>Any work shown on civil drawings</t>
  </si>
  <si>
    <t>Professional or other Specialty Liability Insurance Coverage</t>
  </si>
  <si>
    <t>Builders Risk insurance and any deductible</t>
  </si>
  <si>
    <t>Protection of existing surfaces</t>
  </si>
  <si>
    <t>X-raying or GPR for Floor or Wall Penetrations not made by Braconier</t>
  </si>
  <si>
    <t>Blocking, raised and/or level surface for rooftop equipment curbs</t>
  </si>
  <si>
    <t>DUMPSTERS monthly</t>
  </si>
  <si>
    <t>Beam penetrations</t>
  </si>
  <si>
    <t>Sound or acoustic caulking</t>
  </si>
  <si>
    <t>Braconier Bid #</t>
  </si>
  <si>
    <t>Ryan O'Connor</t>
  </si>
  <si>
    <t>RYAN O'CONNOR</t>
  </si>
  <si>
    <t>Ryan O'Connor
Estimator
Mobile 303.434.0732
Email Ryano@braconier.com</t>
  </si>
  <si>
    <t>Insulation or Drywall inside roof curbs</t>
  </si>
  <si>
    <t>We reserve our rights to an equitable adjustment for any and all cost &amp; time impacts resultant, consequential and/or otherwise associated with owner or governmental requirements for COVID Safety Protocols.</t>
  </si>
  <si>
    <t>GANTRY</t>
  </si>
  <si>
    <t>Site Restoration, Landscaping Protection and Repair, Concrete or Asphalt repair</t>
  </si>
  <si>
    <t xml:space="preserve">REVIEW SPECIFIC </t>
  </si>
  <si>
    <t>HANGERS</t>
  </si>
  <si>
    <t>LF/HANGER</t>
  </si>
  <si>
    <t>300 University Boulevard</t>
  </si>
  <si>
    <t>Denver, CO 80206</t>
  </si>
  <si>
    <t>5888</t>
  </si>
  <si>
    <t>MSB-1</t>
  </si>
  <si>
    <t>RD-2</t>
  </si>
  <si>
    <t>WH-1</t>
  </si>
  <si>
    <t>TV-1</t>
  </si>
  <si>
    <t>Point of Use Tempering Valve</t>
  </si>
  <si>
    <t>Hose Bib</t>
  </si>
  <si>
    <t>Wall Hydrant</t>
  </si>
  <si>
    <t>Down Spout Nozzle</t>
  </si>
  <si>
    <t>Roof Drain (Cornice Drain)</t>
  </si>
  <si>
    <t>Wall Mounted Water Closet</t>
  </si>
  <si>
    <t>Wall Mounted Water Closet (ADA)</t>
  </si>
  <si>
    <t>Water Closet Carrier Single</t>
  </si>
  <si>
    <t>Water Closet Carrier Back to Back</t>
  </si>
  <si>
    <t xml:space="preserve">Urinal </t>
  </si>
  <si>
    <t>Urinal Carrier</t>
  </si>
  <si>
    <t>Lavatory</t>
  </si>
  <si>
    <t>Mop Sink Basin</t>
  </si>
  <si>
    <t>Garage Drain</t>
  </si>
  <si>
    <t>AO Smith</t>
  </si>
  <si>
    <t>30gal</t>
  </si>
  <si>
    <t>DWCP-1</t>
  </si>
  <si>
    <t>Bell &amp; Gossett</t>
  </si>
  <si>
    <t>2 GPM</t>
  </si>
  <si>
    <t>Domestic Water Circ Pump</t>
  </si>
  <si>
    <t xml:space="preserve">WHA </t>
  </si>
  <si>
    <t>Water Service RPZ BFP</t>
  </si>
  <si>
    <t>RPZ BFP</t>
  </si>
  <si>
    <t>Irrigation RPZ BFP</t>
  </si>
  <si>
    <t>SE-1,2</t>
  </si>
  <si>
    <t>SP-1,2</t>
  </si>
  <si>
    <t>ESP-1</t>
  </si>
  <si>
    <t>ESP-2</t>
  </si>
  <si>
    <t>Weil</t>
  </si>
  <si>
    <t>Sewage Ejector</t>
  </si>
  <si>
    <t xml:space="preserve">Sump Pump </t>
  </si>
  <si>
    <t>Elevator Sump Pump</t>
  </si>
  <si>
    <t>Kohler</t>
  </si>
  <si>
    <t>Bradley</t>
  </si>
  <si>
    <t>Elkay</t>
  </si>
  <si>
    <t>Fiat</t>
  </si>
  <si>
    <t>Zurn</t>
  </si>
  <si>
    <t>JR Smith</t>
  </si>
  <si>
    <t>Chicago</t>
  </si>
  <si>
    <t>5hp</t>
  </si>
  <si>
    <t>1.5hp</t>
  </si>
  <si>
    <t>.5hp</t>
  </si>
  <si>
    <t>1hp</t>
  </si>
  <si>
    <t>Storm Overflow Drain in PVC</t>
  </si>
  <si>
    <t>CU 1-01</t>
  </si>
  <si>
    <t>Daikin</t>
  </si>
  <si>
    <t>VRF Condensing Unit</t>
  </si>
  <si>
    <t>AC 1-01</t>
  </si>
  <si>
    <t>AC B2-01</t>
  </si>
  <si>
    <t xml:space="preserve">290 CFM </t>
  </si>
  <si>
    <t>BS-1-01</t>
  </si>
  <si>
    <t>VRF Branch Selector</t>
  </si>
  <si>
    <t>CU B2-01</t>
  </si>
  <si>
    <t>CU B1-01</t>
  </si>
  <si>
    <t>REEFER MAINS</t>
  </si>
  <si>
    <t>Furnish and Install 12 VRF Condensing Units</t>
  </si>
  <si>
    <t>2-WAY CO</t>
  </si>
  <si>
    <t>2-Way Cleanout</t>
  </si>
  <si>
    <t>AP</t>
  </si>
  <si>
    <t xml:space="preserve">Access Panel </t>
  </si>
  <si>
    <t>TS-1</t>
  </si>
  <si>
    <t>Trap Seal</t>
  </si>
  <si>
    <t>Basin</t>
  </si>
  <si>
    <t>Pump Start</t>
  </si>
  <si>
    <t>FCU 1.01</t>
  </si>
  <si>
    <t>FCU 1.02</t>
  </si>
  <si>
    <t>FCU 1.03</t>
  </si>
  <si>
    <t>FCU 2.01</t>
  </si>
  <si>
    <t>1st Floor</t>
  </si>
  <si>
    <t>2nd Floor Lobby and Restrooms</t>
  </si>
  <si>
    <t>Evacuate Charge and Start</t>
  </si>
  <si>
    <t>Split System Fan Coil Data Entry</t>
  </si>
  <si>
    <t>Split System Condensing Unit Data Entry</t>
  </si>
  <si>
    <t>Split System Fan Coil Electrical Room</t>
  </si>
  <si>
    <t>Split System Condensing Unit Electrical Room</t>
  </si>
  <si>
    <t>ERV 1-01</t>
  </si>
  <si>
    <t>Rooftop Energy Recovery</t>
  </si>
  <si>
    <t>OI</t>
  </si>
  <si>
    <t>1260 CFM</t>
  </si>
  <si>
    <t>300 CFM</t>
  </si>
  <si>
    <t>1100 CFM</t>
  </si>
  <si>
    <t>600 CFM</t>
  </si>
  <si>
    <t>7600 CFM</t>
  </si>
  <si>
    <t>Overflow Storm PVC</t>
  </si>
  <si>
    <t>Overflow Storm CI Husky</t>
  </si>
  <si>
    <t>Express drain for fire protection system</t>
  </si>
  <si>
    <t xml:space="preserve">Heat Trace Garage </t>
  </si>
  <si>
    <t>Water Meter</t>
  </si>
  <si>
    <t>Roof Supports for Reefer Piping</t>
  </si>
  <si>
    <t>We have assumed using GEJ's tower crane for lifting HVAC and plumbing equipment and excavation equipment.</t>
  </si>
  <si>
    <t>Prev 10/21</t>
  </si>
  <si>
    <t>Trend 11/22/21</t>
  </si>
  <si>
    <t>Diff</t>
  </si>
  <si>
    <t>Condensing units</t>
  </si>
  <si>
    <t>Garage</t>
  </si>
  <si>
    <t>Excavation</t>
  </si>
  <si>
    <t>Plbg fixt</t>
  </si>
  <si>
    <t>UG pipe</t>
  </si>
  <si>
    <t>garage pipe</t>
  </si>
  <si>
    <t>plbg labor</t>
  </si>
  <si>
    <t>Subt</t>
  </si>
  <si>
    <t>markup</t>
  </si>
  <si>
    <t>incl</t>
  </si>
  <si>
    <t>Install Irrigation Line</t>
  </si>
  <si>
    <t>PVF</t>
  </si>
  <si>
    <t>Submeter</t>
  </si>
  <si>
    <t>Flow Sensor</t>
  </si>
  <si>
    <t>Master Valve</t>
  </si>
  <si>
    <t>Boiler Drain Valve</t>
  </si>
  <si>
    <t>BIM</t>
  </si>
  <si>
    <t>Prev</t>
  </si>
  <si>
    <t>FINAL CONTRACT</t>
  </si>
  <si>
    <t>CONTRACT</t>
  </si>
  <si>
    <t>Garage san storm AG PVC</t>
  </si>
  <si>
    <t>Storm CI</t>
  </si>
  <si>
    <t>Storm PVC</t>
  </si>
  <si>
    <t>San CI</t>
  </si>
  <si>
    <t>San PVC</t>
  </si>
  <si>
    <t>neoprene isolators for CU's</t>
  </si>
  <si>
    <t>VRF Condensing unit</t>
  </si>
  <si>
    <t>FUTURE VRF MAINS</t>
  </si>
  <si>
    <t>Additional stands for future VRF CU's</t>
  </si>
  <si>
    <t>w/ BPH buying AD</t>
  </si>
  <si>
    <t>diff</t>
  </si>
  <si>
    <t>SF</t>
  </si>
  <si>
    <t>Office $/SF</t>
  </si>
  <si>
    <t>Gar $/sf</t>
  </si>
  <si>
    <t>or with cont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</si>
</sst>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quot;$&quot;* #,##0_);_(&quot;$&quot;* \(#,##0\);_(&quot;$&quot;* &quot;-&quot;??_);_(@_)"/>
    <numFmt numFmtId="166" formatCode="0.0%"/>
    <numFmt numFmtId="167" formatCode="_(* #,##0_);_(* \(#,##0\);_(* &quot;-&quot;??_);_(@_)"/>
    <numFmt numFmtId="168" formatCode="&quot;$&quot;#,##0.00"/>
    <numFmt numFmtId="169" formatCode="&quot;$&quot;#,##0"/>
    <numFmt numFmtId="170" formatCode="0.0"/>
    <numFmt numFmtId="171" formatCode="0.00_);\(0.00\)"/>
    <numFmt numFmtId="172" formatCode="0_);\(0\)"/>
    <numFmt numFmtId="173" formatCode="&quot;$&quot;#,##0.00\ ;\(&quot;$&quot;#,##0.00\)"/>
    <numFmt numFmtId="174" formatCode="0_)"/>
    <numFmt numFmtId="175" formatCode="dd\-mmm\-yy_)"/>
    <numFmt numFmtId="176" formatCode="hh:mm\ AM/PM_)"/>
    <numFmt numFmtId="177" formatCode="m/d/yyyy;@"/>
    <numFmt numFmtId="178" formatCode="[$-409]h:mm\ AM/PM;@"/>
    <numFmt numFmtId="179" formatCode="[$-409]mmmm\ d\,\ yyyy;@"/>
    <numFmt numFmtId="180" formatCode="[$-409]d\-mmm\-yy;@"/>
    <numFmt numFmtId="181" formatCode="[$-409]d\-mmm\-yyyy;@"/>
    <numFmt numFmtId="182" formatCode="mm/dd/yy;@"/>
    <numFmt numFmtId="183" formatCode="_(&quot;$&quot;* #,##0.00_);_(&quot;$&quot;* \(#,##0.00\);_(&quot;$&quot;* &quot;-&quot;_);_(@_)"/>
    <numFmt numFmtId="184" formatCode="_(* #,##0.00_);_(* \(#,##0.00\);_(* &quot;-&quot;_);_(@_)"/>
    <numFmt numFmtId="185" formatCode="[$-F800]dddd\,\ mmmm\ dd\,\ yyyy"/>
    <numFmt numFmtId="186" formatCode="###0.00;###0.00"/>
    <numFmt numFmtId="187" formatCode="_(* #,##0.0_);_(* \(#,##0.0\);_(* &quot;-&quot;??_);_(@_)"/>
  </numFmts>
  <fonts count="74" x14ac:knownFonts="1">
    <font>
      <sz val="10"/>
      <name val="Arial"/>
    </font>
    <font>
      <sz val="11"/>
      <color theme="1"/>
      <name val="Calibri"/>
      <family val="2"/>
      <scheme val="minor"/>
    </font>
    <font>
      <sz val="10"/>
      <name val="Arial"/>
      <family val="2"/>
    </font>
    <font>
      <b/>
      <sz val="14"/>
      <color indexed="8"/>
      <name val="Times New Roman"/>
      <family val="1"/>
    </font>
    <font>
      <b/>
      <sz val="10"/>
      <name val="Times New Roman"/>
      <family val="1"/>
    </font>
    <font>
      <b/>
      <sz val="12"/>
      <name val="Arial"/>
      <family val="2"/>
    </font>
    <font>
      <b/>
      <sz val="10"/>
      <name val="Arial"/>
      <family val="2"/>
    </font>
    <font>
      <i/>
      <sz val="12"/>
      <name val="Times New Roman"/>
      <family val="1"/>
    </font>
    <font>
      <b/>
      <i/>
      <sz val="12"/>
      <color indexed="10"/>
      <name val="Times New Roman"/>
      <family val="1"/>
    </font>
    <font>
      <b/>
      <i/>
      <sz val="10"/>
      <color indexed="16"/>
      <name val="Times New Roman"/>
      <family val="1"/>
    </font>
    <font>
      <b/>
      <i/>
      <sz val="10"/>
      <color indexed="10"/>
      <name val="Times New Roman"/>
      <family val="1"/>
    </font>
    <font>
      <sz val="10"/>
      <name val="Times New Roman"/>
      <family val="1"/>
    </font>
    <font>
      <b/>
      <sz val="10"/>
      <color indexed="63"/>
      <name val="Times New Roman"/>
      <family val="1"/>
    </font>
    <font>
      <b/>
      <sz val="10"/>
      <color indexed="16"/>
      <name val="Times New Roman"/>
      <family val="1"/>
    </font>
    <font>
      <b/>
      <sz val="10"/>
      <name val="Arial"/>
      <family val="2"/>
    </font>
    <font>
      <b/>
      <sz val="10"/>
      <color indexed="8"/>
      <name val="Times New Roman"/>
      <family val="1"/>
    </font>
    <font>
      <sz val="10"/>
      <color indexed="8"/>
      <name val="Times New Roman"/>
      <family val="1"/>
    </font>
    <font>
      <b/>
      <i/>
      <sz val="10"/>
      <name val="Times New Roman"/>
      <family val="1"/>
    </font>
    <font>
      <sz val="12"/>
      <name val="Arial"/>
      <family val="2"/>
    </font>
    <font>
      <sz val="10"/>
      <name val="Arial"/>
      <family val="2"/>
    </font>
    <font>
      <b/>
      <sz val="13.5"/>
      <color indexed="8"/>
      <name val="Times New Roman"/>
      <family val="1"/>
    </font>
    <font>
      <b/>
      <u/>
      <sz val="10"/>
      <name val="Arial"/>
      <family val="2"/>
    </font>
    <font>
      <u/>
      <sz val="7"/>
      <color indexed="12"/>
      <name val="Helv"/>
    </font>
    <font>
      <sz val="10"/>
      <name val="Arial"/>
      <family val="2"/>
    </font>
    <font>
      <b/>
      <i/>
      <sz val="10"/>
      <name val="Arial"/>
      <family val="2"/>
    </font>
    <font>
      <b/>
      <sz val="14"/>
      <name val="Arial"/>
      <family val="2"/>
    </font>
    <font>
      <sz val="14"/>
      <name val="Arial"/>
      <family val="2"/>
    </font>
    <font>
      <u/>
      <sz val="10"/>
      <name val="Arial"/>
      <family val="2"/>
    </font>
    <font>
      <sz val="7"/>
      <name val="Small Fonts"/>
      <family val="2"/>
    </font>
    <font>
      <sz val="9"/>
      <name val="Arial"/>
      <family val="2"/>
    </font>
    <font>
      <sz val="10"/>
      <color indexed="24"/>
      <name val="Helv"/>
    </font>
    <font>
      <sz val="10"/>
      <color indexed="8"/>
      <name val="Helv"/>
    </font>
    <font>
      <b/>
      <sz val="10"/>
      <color indexed="8"/>
      <name val="Helv"/>
    </font>
    <font>
      <sz val="10"/>
      <name val="Helv"/>
    </font>
    <font>
      <b/>
      <sz val="8"/>
      <name val="Arial"/>
      <family val="2"/>
    </font>
    <font>
      <sz val="10"/>
      <color indexed="12"/>
      <name val="Helv"/>
    </font>
    <font>
      <sz val="10"/>
      <name val="Arial"/>
      <family val="2"/>
    </font>
    <font>
      <b/>
      <sz val="9"/>
      <color indexed="81"/>
      <name val="Tahoma"/>
      <family val="2"/>
    </font>
    <font>
      <sz val="9"/>
      <color indexed="81"/>
      <name val="Tahoma"/>
      <family val="2"/>
    </font>
    <font>
      <b/>
      <sz val="11"/>
      <color theme="1"/>
      <name val="Calibri"/>
      <family val="2"/>
      <scheme val="minor"/>
    </font>
    <font>
      <sz val="10"/>
      <name val="Tahoma"/>
      <family val="2"/>
    </font>
    <font>
      <u/>
      <sz val="10"/>
      <color indexed="12"/>
      <name val="Arial"/>
      <family val="2"/>
    </font>
    <font>
      <b/>
      <sz val="8"/>
      <name val="Cambria"/>
      <family val="1"/>
      <scheme val="major"/>
    </font>
    <font>
      <sz val="11"/>
      <name val="Tahoma"/>
      <family val="2"/>
    </font>
    <font>
      <b/>
      <u/>
      <sz val="11"/>
      <color theme="1"/>
      <name val="Tahoma"/>
      <family val="2"/>
    </font>
    <font>
      <sz val="11"/>
      <color indexed="8"/>
      <name val="Tahoma"/>
      <family val="2"/>
    </font>
    <font>
      <b/>
      <sz val="11"/>
      <name val="Tahoma"/>
      <family val="2"/>
    </font>
    <font>
      <b/>
      <u val="singleAccounting"/>
      <sz val="11"/>
      <name val="Tahoma"/>
      <family val="2"/>
    </font>
    <font>
      <b/>
      <sz val="16"/>
      <name val="Arial"/>
      <family val="2"/>
    </font>
    <font>
      <b/>
      <u/>
      <sz val="11"/>
      <name val="Tahoma"/>
      <family val="2"/>
    </font>
    <font>
      <b/>
      <sz val="11"/>
      <color theme="1"/>
      <name val="Tahoma"/>
      <family val="2"/>
    </font>
    <font>
      <u/>
      <sz val="11"/>
      <name val="Tahoma"/>
      <family val="2"/>
    </font>
    <font>
      <sz val="8"/>
      <color indexed="81"/>
      <name val="Tahoma"/>
      <family val="2"/>
    </font>
    <font>
      <sz val="11"/>
      <color rgb="FFFF0000"/>
      <name val="Tahoma"/>
      <family val="2"/>
    </font>
    <font>
      <sz val="11"/>
      <color theme="1"/>
      <name val="Tahoma"/>
      <family val="2"/>
    </font>
    <font>
      <sz val="10"/>
      <color rgb="FFFF0000"/>
      <name val="Arial"/>
      <family val="2"/>
    </font>
    <font>
      <b/>
      <sz val="10"/>
      <name val="Tahoma"/>
      <family val="2"/>
    </font>
    <font>
      <b/>
      <sz val="12"/>
      <color theme="1"/>
      <name val="Book Antiqua"/>
      <family val="1"/>
    </font>
    <font>
      <sz val="8"/>
      <color theme="1"/>
      <name val="Book Antiqua"/>
      <family val="1"/>
    </font>
    <font>
      <b/>
      <u/>
      <sz val="12"/>
      <color theme="1"/>
      <name val="Book Antiqua"/>
      <family val="1"/>
    </font>
    <font>
      <sz val="8"/>
      <color rgb="FFFF0000"/>
      <name val="Book Antiqua"/>
      <family val="1"/>
    </font>
    <font>
      <sz val="8"/>
      <name val="Book Antiqua"/>
      <family val="1"/>
    </font>
    <font>
      <u/>
      <sz val="8"/>
      <color theme="1"/>
      <name val="Book Antiqua"/>
      <family val="1"/>
    </font>
    <font>
      <b/>
      <u val="singleAccounting"/>
      <sz val="10"/>
      <name val="Arial"/>
      <family val="2"/>
    </font>
    <font>
      <sz val="11"/>
      <name val="Arial"/>
      <family val="2"/>
    </font>
    <font>
      <sz val="7"/>
      <color theme="1"/>
      <name val="Times New Roman"/>
      <family val="1"/>
    </font>
    <font>
      <sz val="14"/>
      <color theme="3" tint="-0.24994659260841701"/>
      <name val="Cambria"/>
      <family val="1"/>
      <scheme val="major"/>
    </font>
    <font>
      <b/>
      <sz val="9"/>
      <name val="Arial"/>
      <family val="2"/>
    </font>
    <font>
      <sz val="18"/>
      <name val="Arial"/>
      <family val="2"/>
    </font>
    <font>
      <sz val="10"/>
      <color rgb="FF000000"/>
      <name val="Arial"/>
      <family val="2"/>
    </font>
    <font>
      <b/>
      <sz val="10"/>
      <name val="Helv"/>
    </font>
    <font>
      <sz val="8"/>
      <name val="Arial"/>
      <family val="2"/>
    </font>
    <font>
      <sz val="16"/>
      <name val="Tahoma"/>
      <family val="2"/>
    </font>
    <font>
      <sz val="8"/>
      <name val="Arial"/>
      <family val="2"/>
    </font>
  </fonts>
  <fills count="3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1"/>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
      <patternFill patternType="solid">
        <fgColor theme="6"/>
        <bgColor indexed="64"/>
      </patternFill>
    </fill>
    <fill>
      <patternFill patternType="solid">
        <fgColor rgb="FF9BBB59"/>
        <bgColor indexed="64"/>
      </patternFill>
    </fill>
    <fill>
      <patternFill patternType="solid">
        <fgColor rgb="FFFFC000"/>
        <bgColor indexed="64"/>
      </patternFill>
    </fill>
    <fill>
      <patternFill patternType="solid">
        <fgColor rgb="FFCCFF99"/>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76933C"/>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6795556505021"/>
        <bgColor indexed="64"/>
      </patternFill>
    </fill>
    <fill>
      <patternFill patternType="solid">
        <fgColor theme="2"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patternFill>
    </fill>
    <fill>
      <patternFill patternType="solid">
        <fgColor theme="6" tint="0.39997558519241921"/>
        <bgColor indexed="64"/>
      </patternFill>
    </fill>
    <fill>
      <patternFill patternType="solid">
        <fgColor theme="2" tint="-0.249977111117893"/>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top style="thick">
        <color indexed="64"/>
      </top>
      <bottom style="thick">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thick">
        <color indexed="64"/>
      </right>
      <top style="thick">
        <color indexed="64"/>
      </top>
      <bottom style="thick">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diagonal/>
    </border>
    <border>
      <left/>
      <right style="thin">
        <color auto="1"/>
      </right>
      <top style="thin">
        <color auto="1"/>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right style="thin">
        <color indexed="64"/>
      </right>
      <top style="thin">
        <color indexed="64"/>
      </top>
      <bottom style="double">
        <color indexed="64"/>
      </bottom>
      <diagonal/>
    </border>
    <border>
      <left/>
      <right/>
      <top style="thin">
        <color indexed="64"/>
      </top>
      <bottom/>
      <diagonal/>
    </border>
    <border>
      <left style="thin">
        <color indexed="64"/>
      </left>
      <right style="thin">
        <color indexed="64"/>
      </right>
      <top style="medium">
        <color indexed="64"/>
      </top>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medium">
        <color auto="1"/>
      </bottom>
      <diagonal/>
    </border>
    <border>
      <left style="medium">
        <color auto="1"/>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style="medium">
        <color auto="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auto="1"/>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auto="1"/>
      </right>
      <top/>
      <bottom style="thin">
        <color theme="0" tint="-0.34998626667073579"/>
      </bottom>
      <diagonal/>
    </border>
    <border>
      <left style="thin">
        <color theme="0" tint="-0.249977111117893"/>
      </left>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medium">
        <color indexed="64"/>
      </left>
      <right style="mediumDashed">
        <color indexed="64"/>
      </right>
      <top style="medium">
        <color indexed="64"/>
      </top>
      <bottom style="medium">
        <color indexed="64"/>
      </bottom>
      <diagonal/>
    </border>
    <border>
      <left style="mediumDashed">
        <color indexed="64"/>
      </left>
      <right style="mediumDashed">
        <color indexed="64"/>
      </right>
      <top style="medium">
        <color indexed="64"/>
      </top>
      <bottom style="medium">
        <color indexed="64"/>
      </bottom>
      <diagonal/>
    </border>
    <border>
      <left style="mediumDashed">
        <color indexed="64"/>
      </left>
      <right style="medium">
        <color indexed="64"/>
      </right>
      <top style="medium">
        <color indexed="64"/>
      </top>
      <bottom style="medium">
        <color indexed="64"/>
      </bottom>
      <diagonal/>
    </border>
    <border>
      <left style="medium">
        <color indexed="64"/>
      </left>
      <right style="mediumDashed">
        <color indexed="64"/>
      </right>
      <top style="medium">
        <color indexed="64"/>
      </top>
      <bottom style="thin">
        <color indexed="64"/>
      </bottom>
      <diagonal/>
    </border>
    <border>
      <left style="mediumDashed">
        <color indexed="64"/>
      </left>
      <right style="mediumDashed">
        <color indexed="64"/>
      </right>
      <top style="medium">
        <color indexed="64"/>
      </top>
      <bottom style="thin">
        <color indexed="64"/>
      </bottom>
      <diagonal/>
    </border>
    <border>
      <left style="medium">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
        <color indexed="64"/>
      </left>
      <right style="mediumDashed">
        <color indexed="64"/>
      </right>
      <top style="thin">
        <color indexed="64"/>
      </top>
      <bottom style="medium">
        <color indexed="64"/>
      </bottom>
      <diagonal/>
    </border>
    <border>
      <left style="mediumDashed">
        <color indexed="64"/>
      </left>
      <right style="mediumDashed">
        <color indexed="64"/>
      </right>
      <top style="thin">
        <color indexed="64"/>
      </top>
      <bottom/>
      <diagonal/>
    </border>
    <border>
      <left style="medium">
        <color indexed="64"/>
      </left>
      <right style="mediumDashed">
        <color indexed="64"/>
      </right>
      <top/>
      <bottom style="thin">
        <color indexed="64"/>
      </bottom>
      <diagonal/>
    </border>
    <border>
      <left/>
      <right style="thin">
        <color indexed="64"/>
      </right>
      <top style="medium">
        <color indexed="64"/>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Dashed">
        <color auto="1"/>
      </left>
      <right style="mediumDashed">
        <color auto="1"/>
      </right>
      <top style="mediumDashed">
        <color auto="1"/>
      </top>
      <bottom style="mediumDashed">
        <color auto="1"/>
      </bottom>
      <diagonal/>
    </border>
    <border>
      <left style="dashDotDot">
        <color auto="1"/>
      </left>
      <right style="dashDotDot">
        <color auto="1"/>
      </right>
      <top style="dashDotDot">
        <color auto="1"/>
      </top>
      <bottom/>
      <diagonal/>
    </border>
    <border>
      <left style="dashDotDot">
        <color auto="1"/>
      </left>
      <right style="dashDotDot">
        <color auto="1"/>
      </right>
      <top/>
      <bottom/>
      <diagonal/>
    </border>
    <border>
      <left style="dashDotDot">
        <color auto="1"/>
      </left>
      <right style="dashDotDot">
        <color auto="1"/>
      </right>
      <top/>
      <bottom style="dashDotDot">
        <color auto="1"/>
      </bottom>
      <diagonal/>
    </border>
    <border>
      <left style="thin">
        <color indexed="64"/>
      </left>
      <right/>
      <top style="medium">
        <color indexed="64"/>
      </top>
      <bottom style="medium">
        <color indexed="64"/>
      </bottom>
      <diagonal/>
    </border>
    <border>
      <left style="mediumDashed">
        <color indexed="64"/>
      </left>
      <right style="mediumDashed">
        <color indexed="64"/>
      </right>
      <top style="thin">
        <color indexed="64"/>
      </top>
      <bottom style="medium">
        <color indexed="64"/>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medium">
        <color auto="1"/>
      </right>
      <top style="thin">
        <color indexed="64"/>
      </top>
      <bottom/>
      <diagonal/>
    </border>
    <border>
      <left/>
      <right style="thin">
        <color indexed="64"/>
      </right>
      <top style="medium">
        <color indexed="64"/>
      </top>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diagonal/>
    </border>
    <border>
      <left/>
      <right style="medium">
        <color indexed="64"/>
      </right>
      <top/>
      <bottom style="thin">
        <color indexed="64"/>
      </bottom>
      <diagonal/>
    </border>
    <border>
      <left style="thin">
        <color indexed="64"/>
      </left>
      <right style="medium">
        <color indexed="64"/>
      </right>
      <top/>
      <bottom/>
      <diagonal/>
    </border>
    <border>
      <left style="mediumDashed">
        <color indexed="64"/>
      </left>
      <right/>
      <top style="medium">
        <color indexed="64"/>
      </top>
      <bottom style="medium">
        <color indexed="64"/>
      </bottom>
      <diagonal/>
    </border>
    <border>
      <left style="medium">
        <color indexed="64"/>
      </left>
      <right style="mediumDashed">
        <color indexed="64"/>
      </right>
      <top style="thin">
        <color indexed="64"/>
      </top>
      <bottom/>
      <diagonal/>
    </border>
    <border>
      <left/>
      <right/>
      <top style="medium">
        <color indexed="64"/>
      </top>
      <bottom style="thin">
        <color indexed="64"/>
      </bottom>
      <diagonal/>
    </border>
    <border>
      <left/>
      <right style="mediumDashed">
        <color indexed="64"/>
      </right>
      <top style="medium">
        <color indexed="64"/>
      </top>
      <bottom style="thin">
        <color indexed="64"/>
      </bottom>
      <diagonal/>
    </border>
    <border>
      <left/>
      <right style="mediumDashed">
        <color indexed="64"/>
      </right>
      <top style="thin">
        <color indexed="64"/>
      </top>
      <bottom style="thin">
        <color indexed="64"/>
      </bottom>
      <diagonal/>
    </border>
    <border>
      <left/>
      <right style="mediumDashed">
        <color indexed="64"/>
      </right>
      <top style="thin">
        <color indexed="64"/>
      </top>
      <bottom style="medium">
        <color indexed="64"/>
      </bottom>
      <diagonal/>
    </border>
    <border>
      <left style="mediumDashed">
        <color indexed="64"/>
      </left>
      <right style="medium">
        <color indexed="64"/>
      </right>
      <top style="medium">
        <color indexed="64"/>
      </top>
      <bottom style="thin">
        <color indexed="64"/>
      </bottom>
      <diagonal/>
    </border>
    <border>
      <left style="mediumDashed">
        <color indexed="64"/>
      </left>
      <right style="medium">
        <color indexed="64"/>
      </right>
      <top style="thin">
        <color indexed="64"/>
      </top>
      <bottom style="thin">
        <color indexed="64"/>
      </bottom>
      <diagonal/>
    </border>
    <border>
      <left style="mediumDashed">
        <color indexed="64"/>
      </left>
      <right style="medium">
        <color indexed="64"/>
      </right>
      <top style="thin">
        <color indexed="64"/>
      </top>
      <bottom/>
      <diagonal/>
    </border>
    <border>
      <left style="mediumDashed">
        <color indexed="64"/>
      </left>
      <right style="medium">
        <color indexed="64"/>
      </right>
      <top style="thin">
        <color indexed="64"/>
      </top>
      <bottom style="medium">
        <color indexed="64"/>
      </bottom>
      <diagonal/>
    </border>
    <border>
      <left/>
      <right style="mediumDashed">
        <color indexed="64"/>
      </right>
      <top style="medium">
        <color indexed="64"/>
      </top>
      <bottom style="medium">
        <color indexed="64"/>
      </bottom>
      <diagonal/>
    </border>
    <border>
      <left style="mediumDashed">
        <color indexed="64"/>
      </left>
      <right style="medium">
        <color indexed="64"/>
      </right>
      <top/>
      <bottom style="thin">
        <color indexed="64"/>
      </bottom>
      <diagonal/>
    </border>
    <border>
      <left style="mediumDashed">
        <color indexed="64"/>
      </left>
      <right/>
      <top style="thin">
        <color indexed="64"/>
      </top>
      <bottom style="thin">
        <color indexed="64"/>
      </bottom>
      <diagonal/>
    </border>
    <border>
      <left style="mediumDashed">
        <color indexed="64"/>
      </left>
      <right/>
      <top style="thin">
        <color indexed="64"/>
      </top>
      <bottom style="medium">
        <color indexed="64"/>
      </bottom>
      <diagonal/>
    </border>
    <border>
      <left/>
      <right/>
      <top style="dashDotDot">
        <color auto="1"/>
      </top>
      <bottom/>
      <diagonal/>
    </border>
    <border>
      <left style="medium">
        <color indexed="64"/>
      </left>
      <right/>
      <top style="medium">
        <color indexed="64"/>
      </top>
      <bottom style="thin">
        <color indexed="64"/>
      </bottom>
      <diagonal/>
    </border>
    <border>
      <left/>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medium">
        <color indexed="64"/>
      </top>
      <bottom style="thin">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style="thick">
        <color auto="1"/>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theme="0" tint="-0.24994659260841701"/>
      </left>
      <right style="thin">
        <color theme="0" tint="-0.24994659260841701"/>
      </right>
      <top style="thin">
        <color theme="0" tint="-0.24994659260841701"/>
      </top>
      <bottom/>
      <diagonal/>
    </border>
    <border>
      <left/>
      <right style="medium">
        <color indexed="64"/>
      </right>
      <top style="thin">
        <color theme="0" tint="-0.249977111117893"/>
      </top>
      <bottom/>
      <diagonal/>
    </border>
    <border>
      <left style="thin">
        <color theme="0" tint="-0.249977111117893"/>
      </left>
      <right style="medium">
        <color indexed="64"/>
      </right>
      <top style="thin">
        <color theme="0" tint="-0.249977111117893"/>
      </top>
      <bottom/>
      <diagonal/>
    </border>
    <border>
      <left/>
      <right style="medium">
        <color indexed="64"/>
      </right>
      <top style="medium">
        <color indexed="64"/>
      </top>
      <bottom style="thin">
        <color indexed="64"/>
      </bottom>
      <diagonal/>
    </border>
    <border>
      <left/>
      <right style="thick">
        <color auto="1"/>
      </right>
      <top style="medium">
        <color indexed="64"/>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style="thin">
        <color theme="0" tint="-0.249977111117893"/>
      </top>
      <bottom style="thin">
        <color theme="0" tint="-0.249977111117893"/>
      </bottom>
      <diagonal/>
    </border>
    <border>
      <left style="thin">
        <color theme="0" tint="-0.249977111117893"/>
      </left>
      <right style="medium">
        <color theme="1"/>
      </right>
      <top style="thin">
        <color theme="0" tint="-0.249977111117893"/>
      </top>
      <bottom style="thin">
        <color theme="0" tint="-0.249977111117893"/>
      </bottom>
      <diagonal/>
    </border>
    <border>
      <left style="medium">
        <color theme="1"/>
      </left>
      <right/>
      <top style="thin">
        <color theme="0" tint="-0.249977111117893"/>
      </top>
      <bottom/>
      <diagonal/>
    </border>
    <border>
      <left style="medium">
        <color theme="1"/>
      </left>
      <right/>
      <top/>
      <bottom style="thin">
        <color theme="0" tint="-0.249977111117893"/>
      </bottom>
      <diagonal/>
    </border>
    <border>
      <left/>
      <right style="medium">
        <color theme="1"/>
      </right>
      <top style="thin">
        <color theme="0" tint="-0.249977111117893"/>
      </top>
      <bottom style="thin">
        <color theme="0" tint="-0.249977111117893"/>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medium">
        <color indexed="64"/>
      </right>
      <top style="medium">
        <color indexed="64"/>
      </top>
      <bottom/>
      <diagonal/>
    </border>
    <border>
      <left style="medium">
        <color auto="1"/>
      </left>
      <right style="thin">
        <color auto="1"/>
      </right>
      <top style="thin">
        <color auto="1"/>
      </top>
      <bottom/>
      <diagonal/>
    </border>
    <border>
      <left style="medium">
        <color indexed="64"/>
      </left>
      <right style="medium">
        <color auto="1"/>
      </right>
      <top style="medium">
        <color indexed="64"/>
      </top>
      <bottom style="thin">
        <color indexed="64"/>
      </bottom>
      <diagonal/>
    </border>
  </borders>
  <cellStyleXfs count="20">
    <xf numFmtId="0" fontId="0" fillId="0" borderId="0"/>
    <xf numFmtId="43" fontId="2" fillId="0" borderId="0" applyFont="0" applyFill="0" applyBorder="0" applyAlignment="0" applyProtection="0"/>
    <xf numFmtId="4" fontId="30" fillId="0" borderId="0" applyFont="0" applyFill="0" applyBorder="0" applyAlignment="0" applyProtection="0"/>
    <xf numFmtId="44" fontId="2" fillId="0" borderId="0" applyFont="0" applyFill="0" applyBorder="0" applyAlignment="0" applyProtection="0"/>
    <xf numFmtId="173" fontId="30" fillId="0" borderId="0" applyFont="0" applyFill="0" applyBorder="0" applyAlignment="0" applyProtection="0"/>
    <xf numFmtId="0" fontId="22" fillId="0" borderId="0" applyNumberFormat="0" applyFill="0" applyBorder="0" applyAlignment="0" applyProtection="0">
      <alignment vertical="top"/>
      <protection locked="0"/>
    </xf>
    <xf numFmtId="37" fontId="28" fillId="0" borderId="0"/>
    <xf numFmtId="0" fontId="30" fillId="0" borderId="0"/>
    <xf numFmtId="0" fontId="19" fillId="0" borderId="0"/>
    <xf numFmtId="0" fontId="19" fillId="0" borderId="0"/>
    <xf numFmtId="0" fontId="19" fillId="0" borderId="0"/>
    <xf numFmtId="0" fontId="19" fillId="0" borderId="0"/>
    <xf numFmtId="9" fontId="2" fillId="0" borderId="0" applyFont="0" applyFill="0" applyBorder="0" applyAlignment="0" applyProtection="0"/>
    <xf numFmtId="9" fontId="30" fillId="0" borderId="0" applyFont="0" applyFill="0" applyBorder="0" applyAlignment="0" applyProtection="0"/>
    <xf numFmtId="0" fontId="2" fillId="0" borderId="0"/>
    <xf numFmtId="49" fontId="2" fillId="0" borderId="0" applyNumberFormat="0"/>
    <xf numFmtId="49" fontId="2" fillId="0" borderId="0" applyFont="0" applyFill="0" applyBorder="0" applyAlignment="0" applyProtection="0"/>
    <xf numFmtId="44" fontId="2" fillId="0" borderId="0" applyFont="0" applyFill="0" applyBorder="0" applyAlignment="0" applyProtection="0"/>
    <xf numFmtId="5" fontId="2" fillId="0" borderId="0" applyFont="0" applyFill="0" applyBorder="0" applyAlignment="0" applyProtection="0"/>
    <xf numFmtId="0" fontId="66" fillId="28" borderId="1">
      <alignment horizontal="center" vertical="center"/>
    </xf>
  </cellStyleXfs>
  <cellXfs count="1863">
    <xf numFmtId="0" fontId="0" fillId="0" borderId="0" xfId="0"/>
    <xf numFmtId="164" fontId="4" fillId="2" borderId="0" xfId="0" applyNumberFormat="1" applyFont="1" applyFill="1" applyAlignment="1" applyProtection="1">
      <alignment horizontal="left"/>
      <protection hidden="1"/>
    </xf>
    <xf numFmtId="0" fontId="2" fillId="2" borderId="0" xfId="0" applyFont="1" applyFill="1" applyProtection="1">
      <protection hidden="1"/>
    </xf>
    <xf numFmtId="0" fontId="0" fillId="2" borderId="0" xfId="0" applyFill="1" applyProtection="1">
      <protection hidden="1"/>
    </xf>
    <xf numFmtId="0" fontId="0" fillId="0" borderId="0" xfId="0" applyProtection="1"/>
    <xf numFmtId="164" fontId="4" fillId="2" borderId="0" xfId="0" applyNumberFormat="1" applyFont="1"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4" fillId="2" borderId="0" xfId="0" applyFont="1" applyFill="1" applyAlignment="1" applyProtection="1">
      <alignment horizontal="right"/>
      <protection hidden="1"/>
    </xf>
    <xf numFmtId="18" fontId="4" fillId="2" borderId="0" xfId="0" applyNumberFormat="1" applyFont="1" applyFill="1" applyBorder="1" applyProtection="1">
      <protection hidden="1"/>
    </xf>
    <xf numFmtId="0" fontId="4" fillId="2" borderId="0" xfId="0" applyFont="1" applyFill="1" applyAlignment="1" applyProtection="1">
      <alignment horizontal="left"/>
      <protection hidden="1"/>
    </xf>
    <xf numFmtId="14" fontId="4" fillId="2" borderId="0" xfId="0" applyNumberFormat="1" applyFont="1" applyFill="1" applyProtection="1">
      <protection hidden="1"/>
    </xf>
    <xf numFmtId="164" fontId="6" fillId="2" borderId="0" xfId="0" applyNumberFormat="1" applyFont="1" applyFill="1" applyAlignment="1" applyProtection="1">
      <alignment horizontal="left"/>
      <protection hidden="1"/>
    </xf>
    <xf numFmtId="0" fontId="9" fillId="2" borderId="0" xfId="0" applyFont="1" applyFill="1" applyBorder="1" applyAlignment="1" applyProtection="1">
      <alignment horizontal="center"/>
      <protection hidden="1"/>
    </xf>
    <xf numFmtId="0" fontId="9" fillId="2" borderId="0" xfId="0" applyFont="1" applyFill="1" applyAlignment="1" applyProtection="1">
      <alignment horizontal="center"/>
      <protection hidden="1"/>
    </xf>
    <xf numFmtId="164" fontId="4" fillId="2" borderId="0" xfId="0" applyNumberFormat="1" applyFont="1" applyFill="1" applyAlignment="1" applyProtection="1">
      <alignment horizontal="center"/>
      <protection hidden="1"/>
    </xf>
    <xf numFmtId="164" fontId="11" fillId="2" borderId="0" xfId="0" applyNumberFormat="1" applyFont="1" applyFill="1" applyAlignment="1" applyProtection="1">
      <alignment horizontal="left" indent="1"/>
      <protection hidden="1"/>
    </xf>
    <xf numFmtId="0" fontId="4" fillId="2" borderId="0" xfId="0" applyFont="1" applyFill="1" applyProtection="1">
      <protection hidden="1"/>
    </xf>
    <xf numFmtId="165" fontId="11" fillId="2" borderId="0" xfId="3" quotePrefix="1" applyNumberFormat="1" applyFont="1" applyFill="1" applyProtection="1">
      <protection hidden="1"/>
    </xf>
    <xf numFmtId="165" fontId="11" fillId="3" borderId="1" xfId="3" applyNumberFormat="1" applyFont="1" applyFill="1" applyBorder="1" applyProtection="1">
      <protection locked="0"/>
    </xf>
    <xf numFmtId="165" fontId="11" fillId="2" borderId="0" xfId="3" applyNumberFormat="1" applyFont="1" applyFill="1" applyProtection="1">
      <protection hidden="1"/>
    </xf>
    <xf numFmtId="164" fontId="12" fillId="2" borderId="0" xfId="0" applyNumberFormat="1" applyFont="1" applyFill="1" applyAlignment="1" applyProtection="1">
      <alignment horizontal="left" indent="1"/>
      <protection hidden="1"/>
    </xf>
    <xf numFmtId="165" fontId="4" fillId="2" borderId="0" xfId="3" applyNumberFormat="1" applyFont="1" applyFill="1" applyProtection="1">
      <protection hidden="1"/>
    </xf>
    <xf numFmtId="10" fontId="4" fillId="2" borderId="0" xfId="0" applyNumberFormat="1" applyFont="1" applyFill="1" applyProtection="1">
      <protection hidden="1"/>
    </xf>
    <xf numFmtId="10" fontId="11" fillId="3" borderId="1" xfId="0" applyNumberFormat="1" applyFont="1" applyFill="1" applyBorder="1" applyProtection="1">
      <protection locked="0"/>
    </xf>
    <xf numFmtId="166" fontId="11" fillId="2" borderId="0" xfId="0" applyNumberFormat="1" applyFont="1" applyFill="1" applyAlignment="1" applyProtection="1">
      <alignment horizontal="center"/>
      <protection hidden="1"/>
    </xf>
    <xf numFmtId="5" fontId="4" fillId="2" borderId="0" xfId="0" applyNumberFormat="1" applyFont="1" applyFill="1" applyBorder="1" applyAlignment="1" applyProtection="1">
      <alignment horizontal="center"/>
      <protection hidden="1"/>
    </xf>
    <xf numFmtId="0" fontId="11" fillId="2" borderId="0" xfId="0" applyFont="1" applyFill="1" applyBorder="1" applyProtection="1">
      <protection hidden="1"/>
    </xf>
    <xf numFmtId="164" fontId="17" fillId="2" borderId="0" xfId="0" applyNumberFormat="1" applyFont="1" applyFill="1" applyBorder="1" applyAlignment="1" applyProtection="1">
      <alignment horizontal="center"/>
      <protection hidden="1"/>
    </xf>
    <xf numFmtId="44" fontId="11" fillId="3" borderId="1" xfId="3" applyNumberFormat="1" applyFont="1" applyFill="1" applyBorder="1" applyProtection="1">
      <protection locked="0"/>
    </xf>
    <xf numFmtId="44" fontId="11" fillId="2" borderId="0" xfId="3" applyNumberFormat="1" applyFont="1" applyFill="1" applyProtection="1">
      <protection hidden="1"/>
    </xf>
    <xf numFmtId="39" fontId="4" fillId="2" borderId="0" xfId="0" applyNumberFormat="1" applyFont="1" applyFill="1" applyProtection="1">
      <protection hidden="1"/>
    </xf>
    <xf numFmtId="43" fontId="11" fillId="2" borderId="0" xfId="1" applyFont="1" applyFill="1" applyAlignment="1" applyProtection="1">
      <alignment horizontal="center"/>
      <protection hidden="1"/>
    </xf>
    <xf numFmtId="43" fontId="11" fillId="3" borderId="1" xfId="1" applyFont="1" applyFill="1" applyBorder="1" applyProtection="1">
      <protection locked="0"/>
    </xf>
    <xf numFmtId="165" fontId="11" fillId="2" borderId="0" xfId="3" applyNumberFormat="1" applyFont="1" applyFill="1" applyAlignment="1" applyProtection="1">
      <alignment horizontal="left"/>
      <protection hidden="1"/>
    </xf>
    <xf numFmtId="39" fontId="11" fillId="2" borderId="0" xfId="0" applyNumberFormat="1" applyFont="1" applyFill="1" applyBorder="1" applyProtection="1">
      <protection hidden="1"/>
    </xf>
    <xf numFmtId="44" fontId="11" fillId="2" borderId="0" xfId="0" applyNumberFormat="1" applyFont="1" applyFill="1" applyBorder="1" applyProtection="1">
      <protection hidden="1"/>
    </xf>
    <xf numFmtId="44" fontId="11" fillId="2" borderId="0" xfId="3" applyFont="1" applyFill="1" applyBorder="1" applyProtection="1">
      <protection hidden="1"/>
    </xf>
    <xf numFmtId="44" fontId="4" fillId="2" borderId="0" xfId="3" applyNumberFormat="1" applyFont="1" applyFill="1" applyProtection="1">
      <protection hidden="1"/>
    </xf>
    <xf numFmtId="166" fontId="11" fillId="3" borderId="1" xfId="0" applyNumberFormat="1" applyFont="1" applyFill="1" applyBorder="1" applyProtection="1">
      <protection locked="0"/>
    </xf>
    <xf numFmtId="44" fontId="6" fillId="2" borderId="0" xfId="3" applyNumberFormat="1" applyFont="1" applyFill="1" applyProtection="1">
      <protection hidden="1"/>
    </xf>
    <xf numFmtId="0" fontId="19" fillId="2" borderId="0" xfId="0" applyFont="1" applyFill="1" applyBorder="1" applyProtection="1">
      <protection hidden="1"/>
    </xf>
    <xf numFmtId="44" fontId="0" fillId="0" borderId="0" xfId="0" applyNumberFormat="1"/>
    <xf numFmtId="0" fontId="6" fillId="0" borderId="0" xfId="0" applyFont="1"/>
    <xf numFmtId="0" fontId="19" fillId="0" borderId="0" xfId="9"/>
    <xf numFmtId="0" fontId="6" fillId="0" borderId="6" xfId="9" applyFont="1" applyBorder="1"/>
    <xf numFmtId="0" fontId="6" fillId="0" borderId="7" xfId="9" applyFont="1" applyBorder="1"/>
    <xf numFmtId="0" fontId="6" fillId="0" borderId="8" xfId="9" applyFont="1" applyBorder="1"/>
    <xf numFmtId="2" fontId="6" fillId="0" borderId="10" xfId="9" applyNumberFormat="1" applyFont="1" applyBorder="1"/>
    <xf numFmtId="0" fontId="6" fillId="0" borderId="10" xfId="9" applyFont="1" applyBorder="1"/>
    <xf numFmtId="0" fontId="6" fillId="0" borderId="10" xfId="9" applyFont="1" applyBorder="1" applyAlignment="1">
      <alignment horizontal="center"/>
    </xf>
    <xf numFmtId="0" fontId="19" fillId="0" borderId="0" xfId="10"/>
    <xf numFmtId="0" fontId="6" fillId="0" borderId="6" xfId="10" applyFont="1" applyBorder="1"/>
    <xf numFmtId="0" fontId="6" fillId="0" borderId="7" xfId="10" applyFont="1" applyBorder="1"/>
    <xf numFmtId="0" fontId="6" fillId="0" borderId="8" xfId="10" applyFont="1" applyBorder="1"/>
    <xf numFmtId="2" fontId="6" fillId="0" borderId="10" xfId="10" applyNumberFormat="1" applyFont="1" applyBorder="1"/>
    <xf numFmtId="0" fontId="6" fillId="0" borderId="10" xfId="10" applyFont="1" applyBorder="1"/>
    <xf numFmtId="0" fontId="6" fillId="0" borderId="10" xfId="10" applyFont="1" applyBorder="1" applyAlignment="1">
      <alignment horizontal="center"/>
    </xf>
    <xf numFmtId="0" fontId="30" fillId="0" borderId="0" xfId="7"/>
    <xf numFmtId="0" fontId="30" fillId="0" borderId="6" xfId="7" applyBorder="1"/>
    <xf numFmtId="173" fontId="33" fillId="0" borderId="1" xfId="4" applyFont="1" applyBorder="1"/>
    <xf numFmtId="169" fontId="33" fillId="0" borderId="5" xfId="7" applyNumberFormat="1" applyFont="1" applyBorder="1"/>
    <xf numFmtId="168" fontId="33" fillId="0" borderId="14" xfId="7" applyNumberFormat="1" applyFont="1" applyBorder="1"/>
    <xf numFmtId="169" fontId="33" fillId="0" borderId="1" xfId="7" applyNumberFormat="1" applyFont="1" applyBorder="1"/>
    <xf numFmtId="168" fontId="33" fillId="0" borderId="8" xfId="7" applyNumberFormat="1" applyFont="1" applyBorder="1"/>
    <xf numFmtId="0" fontId="33" fillId="0" borderId="1" xfId="7" applyFont="1" applyBorder="1" applyAlignment="1">
      <alignment horizontal="right"/>
    </xf>
    <xf numFmtId="0" fontId="30" fillId="0" borderId="8" xfId="7" applyBorder="1"/>
    <xf numFmtId="0" fontId="30" fillId="0" borderId="6" xfId="7" applyBorder="1" applyAlignment="1">
      <alignment horizontal="left"/>
    </xf>
    <xf numFmtId="0" fontId="33" fillId="0" borderId="8" xfId="7" applyFont="1" applyBorder="1" applyAlignment="1">
      <alignment horizontal="left"/>
    </xf>
    <xf numFmtId="0" fontId="33" fillId="0" borderId="1" xfId="7" applyFont="1" applyBorder="1" applyAlignment="1">
      <alignment horizontal="center"/>
    </xf>
    <xf numFmtId="0" fontId="19" fillId="0" borderId="0" xfId="8"/>
    <xf numFmtId="5" fontId="19" fillId="0" borderId="0" xfId="8" applyNumberFormat="1" applyProtection="1"/>
    <xf numFmtId="0" fontId="35" fillId="0" borderId="0" xfId="8" applyFont="1" applyProtection="1">
      <protection locked="0"/>
    </xf>
    <xf numFmtId="10" fontId="6" fillId="0" borderId="0" xfId="8" applyNumberFormat="1" applyFont="1"/>
    <xf numFmtId="0" fontId="19" fillId="0" borderId="0" xfId="8" applyAlignment="1" applyProtection="1">
      <alignment horizontal="left"/>
    </xf>
    <xf numFmtId="0" fontId="19" fillId="0" borderId="0" xfId="8" applyAlignment="1" applyProtection="1">
      <alignment horizontal="right"/>
    </xf>
    <xf numFmtId="10" fontId="35" fillId="0" borderId="0" xfId="8" applyNumberFormat="1" applyFont="1" applyProtection="1">
      <protection locked="0"/>
    </xf>
    <xf numFmtId="174" fontId="35" fillId="0" borderId="0" xfId="8" applyNumberFormat="1" applyFont="1" applyProtection="1">
      <protection locked="0"/>
    </xf>
    <xf numFmtId="7" fontId="35" fillId="0" borderId="0" xfId="8" applyNumberFormat="1" applyFont="1" applyProtection="1">
      <protection locked="0"/>
    </xf>
    <xf numFmtId="5" fontId="35" fillId="0" borderId="0" xfId="8" applyNumberFormat="1" applyFont="1" applyProtection="1">
      <protection locked="0"/>
    </xf>
    <xf numFmtId="5" fontId="19" fillId="0" borderId="0" xfId="8" applyNumberFormat="1" applyAlignment="1" applyProtection="1">
      <alignment horizontal="left"/>
    </xf>
    <xf numFmtId="0" fontId="19" fillId="0" borderId="0" xfId="8" applyAlignment="1" applyProtection="1">
      <alignment horizontal="fill"/>
    </xf>
    <xf numFmtId="174" fontId="19" fillId="0" borderId="0" xfId="8" applyNumberFormat="1" applyAlignment="1" applyProtection="1">
      <alignment horizontal="fill"/>
    </xf>
    <xf numFmtId="0" fontId="19" fillId="0" borderId="0" xfId="8" applyProtection="1"/>
    <xf numFmtId="175" fontId="19" fillId="0" borderId="0" xfId="8" applyNumberFormat="1" applyProtection="1"/>
    <xf numFmtId="0" fontId="6" fillId="0" borderId="0" xfId="8" applyFont="1" applyProtection="1"/>
    <xf numFmtId="0" fontId="19" fillId="0" borderId="0" xfId="8" applyFont="1" applyAlignment="1" applyProtection="1">
      <alignment horizontal="right"/>
    </xf>
    <xf numFmtId="176" fontId="19" fillId="0" borderId="0" xfId="8" applyNumberFormat="1" applyProtection="1"/>
    <xf numFmtId="0" fontId="6" fillId="0" borderId="0" xfId="8" applyFont="1" applyAlignment="1" applyProtection="1">
      <alignment horizontal="left"/>
    </xf>
    <xf numFmtId="0" fontId="6" fillId="0" borderId="0" xfId="0" applyFont="1" applyProtection="1"/>
    <xf numFmtId="169" fontId="0" fillId="0" borderId="0" xfId="0" applyNumberFormat="1"/>
    <xf numFmtId="0" fontId="19" fillId="0" borderId="0" xfId="0" applyFont="1"/>
    <xf numFmtId="10" fontId="0" fillId="0" borderId="0" xfId="0" applyNumberFormat="1"/>
    <xf numFmtId="168" fontId="0" fillId="0" borderId="0" xfId="0" applyNumberFormat="1"/>
    <xf numFmtId="39" fontId="0" fillId="0" borderId="0" xfId="0" applyNumberFormat="1"/>
    <xf numFmtId="0" fontId="0" fillId="0" borderId="0" xfId="0" applyAlignment="1">
      <alignment horizontal="right"/>
    </xf>
    <xf numFmtId="168" fontId="0" fillId="6" borderId="0" xfId="0" applyNumberFormat="1" applyFill="1"/>
    <xf numFmtId="0" fontId="0" fillId="2" borderId="0" xfId="0" applyFill="1" applyBorder="1" applyAlignment="1" applyProtection="1">
      <alignment horizontal="left"/>
      <protection hidden="1"/>
    </xf>
    <xf numFmtId="10" fontId="17" fillId="2" borderId="0" xfId="0" applyNumberFormat="1" applyFont="1" applyFill="1" applyAlignment="1" applyProtection="1">
      <alignment horizontal="center"/>
      <protection hidden="1"/>
    </xf>
    <xf numFmtId="10" fontId="11" fillId="2" borderId="0" xfId="0" applyNumberFormat="1" applyFont="1" applyFill="1" applyAlignment="1" applyProtection="1">
      <alignment horizontal="center"/>
      <protection hidden="1"/>
    </xf>
    <xf numFmtId="2" fontId="0" fillId="0" borderId="0" xfId="0" applyNumberFormat="1"/>
    <xf numFmtId="170" fontId="0" fillId="2" borderId="0" xfId="0" applyNumberFormat="1" applyFill="1" applyBorder="1" applyProtection="1">
      <protection hidden="1"/>
    </xf>
    <xf numFmtId="14" fontId="0" fillId="0" borderId="0" xfId="0" applyNumberFormat="1"/>
    <xf numFmtId="5" fontId="19" fillId="8" borderId="0" xfId="8" applyNumberFormat="1" applyFill="1"/>
    <xf numFmtId="5" fontId="19" fillId="8" borderId="0" xfId="8" applyNumberFormat="1" applyFill="1" applyProtection="1"/>
    <xf numFmtId="0" fontId="4" fillId="2" borderId="0" xfId="0" applyNumberFormat="1" applyFont="1" applyFill="1" applyProtection="1">
      <protection hidden="1"/>
    </xf>
    <xf numFmtId="43" fontId="11" fillId="2" borderId="0" xfId="0" applyNumberFormat="1" applyFont="1" applyFill="1" applyBorder="1" applyProtection="1">
      <protection hidden="1"/>
    </xf>
    <xf numFmtId="2" fontId="11" fillId="2" borderId="0" xfId="0" applyNumberFormat="1" applyFont="1" applyFill="1" applyBorder="1" applyProtection="1">
      <protection hidden="1"/>
    </xf>
    <xf numFmtId="10" fontId="0" fillId="6" borderId="0" xfId="0" applyNumberFormat="1" applyFill="1"/>
    <xf numFmtId="43" fontId="11" fillId="10" borderId="1" xfId="1" applyFont="1" applyFill="1" applyBorder="1" applyProtection="1">
      <protection locked="0"/>
    </xf>
    <xf numFmtId="43" fontId="11" fillId="10" borderId="0" xfId="1" applyFont="1" applyFill="1" applyAlignment="1" applyProtection="1">
      <alignment horizontal="center"/>
      <protection hidden="1"/>
    </xf>
    <xf numFmtId="43" fontId="11" fillId="11" borderId="0" xfId="1" applyFont="1" applyFill="1" applyAlignment="1" applyProtection="1">
      <alignment horizontal="center"/>
      <protection hidden="1"/>
    </xf>
    <xf numFmtId="43" fontId="0" fillId="11" borderId="0" xfId="0" applyNumberFormat="1" applyFill="1"/>
    <xf numFmtId="5" fontId="19" fillId="12" borderId="28" xfId="8" applyNumberFormat="1" applyFill="1" applyBorder="1"/>
    <xf numFmtId="5" fontId="19" fillId="12" borderId="0" xfId="8" applyNumberFormat="1" applyFill="1" applyProtection="1"/>
    <xf numFmtId="0" fontId="0" fillId="0" borderId="0" xfId="0" applyProtection="1">
      <protection locked="0"/>
    </xf>
    <xf numFmtId="0" fontId="19" fillId="0" borderId="0" xfId="0" applyFont="1" applyProtection="1">
      <protection locked="0"/>
    </xf>
    <xf numFmtId="0" fontId="6" fillId="0" borderId="0" xfId="0" applyFont="1" applyProtection="1">
      <protection locked="0"/>
    </xf>
    <xf numFmtId="164" fontId="4" fillId="2" borderId="0" xfId="0" applyNumberFormat="1" applyFont="1" applyFill="1" applyBorder="1" applyProtection="1">
      <protection locked="0"/>
    </xf>
    <xf numFmtId="0" fontId="2" fillId="2" borderId="0" xfId="0" applyFont="1" applyFill="1" applyBorder="1" applyProtection="1">
      <protection locked="0"/>
    </xf>
    <xf numFmtId="0" fontId="0" fillId="2" borderId="0" xfId="0" applyFill="1" applyBorder="1" applyProtection="1">
      <protection locked="0"/>
    </xf>
    <xf numFmtId="0" fontId="6" fillId="2" borderId="0" xfId="0" applyFont="1" applyFill="1" applyBorder="1" applyProtection="1">
      <protection locked="0"/>
    </xf>
    <xf numFmtId="164" fontId="4" fillId="2" borderId="0" xfId="0" applyNumberFormat="1" applyFont="1" applyFill="1" applyBorder="1" applyAlignment="1" applyProtection="1">
      <alignment horizontal="left"/>
      <protection locked="0"/>
    </xf>
    <xf numFmtId="0" fontId="6" fillId="0" borderId="0" xfId="0" applyFont="1" applyBorder="1" applyAlignment="1" applyProtection="1">
      <alignment horizontal="right"/>
      <protection locked="0"/>
    </xf>
    <xf numFmtId="0" fontId="6" fillId="2" borderId="0" xfId="0" applyFont="1" applyFill="1" applyBorder="1" applyAlignment="1" applyProtection="1">
      <alignment horizontal="left"/>
      <protection locked="0"/>
    </xf>
    <xf numFmtId="14" fontId="6" fillId="2" borderId="0" xfId="0" applyNumberFormat="1" applyFont="1" applyFill="1" applyBorder="1" applyProtection="1">
      <protection locked="0"/>
    </xf>
    <xf numFmtId="18" fontId="0" fillId="2" borderId="0" xfId="0" applyNumberFormat="1" applyFill="1" applyBorder="1" applyProtection="1">
      <protection locked="0"/>
    </xf>
    <xf numFmtId="5" fontId="4" fillId="2" borderId="0" xfId="0" applyNumberFormat="1" applyFont="1" applyFill="1" applyBorder="1" applyAlignment="1" applyProtection="1">
      <alignment horizontal="right"/>
      <protection locked="0"/>
    </xf>
    <xf numFmtId="0" fontId="4" fillId="2" borderId="0" xfId="0" applyFont="1" applyFill="1" applyBorder="1" applyAlignment="1" applyProtection="1">
      <alignment horizontal="right"/>
      <protection locked="0"/>
    </xf>
    <xf numFmtId="0" fontId="7" fillId="2" borderId="0" xfId="0" applyFont="1" applyFill="1" applyBorder="1" applyProtection="1">
      <protection locked="0"/>
    </xf>
    <xf numFmtId="0" fontId="8" fillId="2" borderId="0" xfId="0" applyFont="1" applyFill="1" applyBorder="1" applyProtection="1">
      <protection locked="0"/>
    </xf>
    <xf numFmtId="0" fontId="9" fillId="2" borderId="0" xfId="0" applyFont="1" applyFill="1" applyBorder="1" applyAlignment="1" applyProtection="1">
      <alignment horizontal="center"/>
      <protection locked="0"/>
    </xf>
    <xf numFmtId="0" fontId="4" fillId="2" borderId="0" xfId="0" applyFont="1" applyFill="1" applyBorder="1" applyProtection="1">
      <protection locked="0"/>
    </xf>
    <xf numFmtId="5" fontId="4" fillId="2" borderId="0" xfId="0" applyNumberFormat="1" applyFont="1" applyFill="1" applyBorder="1" applyProtection="1">
      <protection locked="0"/>
    </xf>
    <xf numFmtId="0" fontId="0" fillId="0" borderId="0" xfId="0" applyFill="1" applyProtection="1">
      <protection locked="0"/>
    </xf>
    <xf numFmtId="165" fontId="11" fillId="2" borderId="14" xfId="3" applyNumberFormat="1" applyFont="1" applyFill="1" applyBorder="1" applyProtection="1">
      <protection locked="0"/>
    </xf>
    <xf numFmtId="165" fontId="0" fillId="0" borderId="0" xfId="0" applyNumberFormat="1" applyProtection="1">
      <protection locked="0"/>
    </xf>
    <xf numFmtId="165" fontId="0" fillId="0" borderId="0" xfId="0" applyNumberFormat="1" applyBorder="1" applyProtection="1">
      <protection locked="0"/>
    </xf>
    <xf numFmtId="0" fontId="0" fillId="2" borderId="1" xfId="0" applyFill="1" applyBorder="1" applyProtection="1">
      <protection locked="0"/>
    </xf>
    <xf numFmtId="165" fontId="0" fillId="2" borderId="0" xfId="0" applyNumberFormat="1" applyFill="1" applyBorder="1" applyProtection="1">
      <protection locked="0"/>
    </xf>
    <xf numFmtId="0" fontId="18" fillId="2" borderId="0" xfId="0" applyFont="1" applyFill="1" applyBorder="1" applyProtection="1">
      <protection locked="0"/>
    </xf>
    <xf numFmtId="10" fontId="0" fillId="2" borderId="0" xfId="0" applyNumberFormat="1" applyFill="1" applyBorder="1" applyProtection="1">
      <protection locked="0"/>
    </xf>
    <xf numFmtId="44" fontId="36" fillId="2" borderId="0" xfId="0" applyNumberFormat="1" applyFont="1" applyFill="1" applyBorder="1" applyProtection="1">
      <protection locked="0"/>
    </xf>
    <xf numFmtId="44" fontId="0" fillId="2" borderId="0" xfId="0" applyNumberFormat="1" applyFill="1" applyBorder="1" applyProtection="1">
      <protection locked="0"/>
    </xf>
    <xf numFmtId="0" fontId="36" fillId="2" borderId="0" xfId="0" applyFont="1" applyFill="1" applyBorder="1" applyProtection="1">
      <protection locked="0"/>
    </xf>
    <xf numFmtId="10" fontId="36" fillId="2" borderId="0" xfId="0" applyNumberFormat="1" applyFont="1" applyFill="1" applyBorder="1" applyProtection="1">
      <protection locked="0"/>
    </xf>
    <xf numFmtId="165" fontId="5" fillId="0" borderId="1" xfId="0" applyNumberFormat="1" applyFont="1" applyBorder="1" applyProtection="1">
      <protection locked="0"/>
    </xf>
    <xf numFmtId="0" fontId="0" fillId="0" borderId="0" xfId="0" applyAlignment="1" applyProtection="1">
      <alignment vertical="center"/>
      <protection locked="0"/>
    </xf>
    <xf numFmtId="0" fontId="0" fillId="0" borderId="0" xfId="0" applyAlignment="1" applyProtection="1">
      <alignment horizontal="center"/>
      <protection locked="0"/>
    </xf>
    <xf numFmtId="2" fontId="0" fillId="0" borderId="0" xfId="0" applyNumberFormat="1" applyAlignment="1" applyProtection="1">
      <alignment horizontal="center"/>
      <protection locked="0"/>
    </xf>
    <xf numFmtId="0" fontId="21" fillId="0" borderId="0" xfId="0" applyFont="1" applyProtection="1">
      <protection locked="0"/>
    </xf>
    <xf numFmtId="169" fontId="0" fillId="0" borderId="3" xfId="0" applyNumberFormat="1" applyBorder="1" applyProtection="1">
      <protection locked="0"/>
    </xf>
    <xf numFmtId="2" fontId="0" fillId="0" borderId="2" xfId="0" applyNumberFormat="1" applyBorder="1" applyProtection="1">
      <protection locked="0"/>
    </xf>
    <xf numFmtId="170" fontId="0" fillId="0" borderId="3" xfId="0" applyNumberFormat="1" applyBorder="1" applyProtection="1">
      <protection locked="0"/>
    </xf>
    <xf numFmtId="0" fontId="0" fillId="4" borderId="0" xfId="0" applyFill="1" applyProtection="1">
      <protection locked="0"/>
    </xf>
    <xf numFmtId="44" fontId="0" fillId="0" borderId="0" xfId="3" applyFont="1" applyProtection="1">
      <protection locked="0"/>
    </xf>
    <xf numFmtId="169" fontId="21" fillId="0" borderId="3" xfId="0" applyNumberFormat="1" applyFont="1" applyBorder="1" applyProtection="1">
      <protection locked="0"/>
    </xf>
    <xf numFmtId="2" fontId="21" fillId="0" borderId="2" xfId="0" applyNumberFormat="1" applyFont="1" applyBorder="1" applyProtection="1">
      <protection locked="0"/>
    </xf>
    <xf numFmtId="170" fontId="21" fillId="0" borderId="3" xfId="0" applyNumberFormat="1" applyFont="1" applyBorder="1" applyProtection="1">
      <protection locked="0"/>
    </xf>
    <xf numFmtId="170" fontId="21" fillId="0" borderId="29" xfId="0" applyNumberFormat="1" applyFont="1" applyBorder="1" applyProtection="1">
      <protection locked="0"/>
    </xf>
    <xf numFmtId="170" fontId="21" fillId="0" borderId="10" xfId="0" applyNumberFormat="1" applyFont="1" applyBorder="1" applyProtection="1">
      <protection locked="0"/>
    </xf>
    <xf numFmtId="44" fontId="21" fillId="0" borderId="30" xfId="3" applyFont="1" applyBorder="1" applyAlignment="1" applyProtection="1">
      <protection locked="0"/>
    </xf>
    <xf numFmtId="2" fontId="6" fillId="0" borderId="2" xfId="0" applyNumberFormat="1" applyFont="1" applyBorder="1" applyAlignment="1" applyProtection="1">
      <alignment horizontal="right"/>
      <protection locked="0"/>
    </xf>
    <xf numFmtId="0" fontId="21" fillId="0" borderId="29" xfId="0" applyFont="1" applyBorder="1" applyProtection="1">
      <protection locked="0"/>
    </xf>
    <xf numFmtId="0" fontId="21" fillId="0" borderId="10" xfId="0" applyFont="1" applyBorder="1" applyProtection="1">
      <protection locked="0"/>
    </xf>
    <xf numFmtId="2" fontId="0" fillId="0" borderId="4" xfId="0" applyNumberFormat="1" applyBorder="1" applyProtection="1">
      <protection locked="0"/>
    </xf>
    <xf numFmtId="0" fontId="0" fillId="0" borderId="0" xfId="0" applyAlignment="1" applyProtection="1">
      <alignment wrapText="1"/>
      <protection locked="0"/>
    </xf>
    <xf numFmtId="0" fontId="19" fillId="0" borderId="0" xfId="0" applyFont="1" applyAlignment="1" applyProtection="1">
      <alignment wrapText="1"/>
      <protection locked="0"/>
    </xf>
    <xf numFmtId="2" fontId="0" fillId="0" borderId="0" xfId="0" applyNumberFormat="1" applyAlignment="1" applyProtection="1">
      <alignment wrapText="1"/>
      <protection locked="0"/>
    </xf>
    <xf numFmtId="3" fontId="19" fillId="0" borderId="0" xfId="0" applyNumberFormat="1" applyFont="1" applyAlignment="1" applyProtection="1">
      <alignment wrapText="1"/>
      <protection locked="0"/>
    </xf>
    <xf numFmtId="2" fontId="19" fillId="0" borderId="0" xfId="0" applyNumberFormat="1" applyFont="1" applyAlignment="1" applyProtection="1">
      <alignment wrapText="1"/>
      <protection locked="0"/>
    </xf>
    <xf numFmtId="0" fontId="6" fillId="0" borderId="0" xfId="0" applyFont="1" applyAlignment="1" applyProtection="1">
      <alignment horizontal="center" wrapText="1"/>
      <protection locked="0"/>
    </xf>
    <xf numFmtId="0" fontId="6" fillId="0" borderId="0" xfId="0" applyFont="1" applyAlignment="1" applyProtection="1">
      <alignment vertical="center" wrapText="1"/>
      <protection locked="0"/>
    </xf>
    <xf numFmtId="3" fontId="6" fillId="0" borderId="0" xfId="0" applyNumberFormat="1" applyFont="1" applyAlignment="1" applyProtection="1">
      <alignment horizontal="center" wrapText="1"/>
      <protection locked="0"/>
    </xf>
    <xf numFmtId="169" fontId="6" fillId="0" borderId="3" xfId="3" applyNumberFormat="1" applyFont="1" applyBorder="1" applyProtection="1"/>
    <xf numFmtId="2" fontId="0" fillId="0" borderId="0" xfId="0" applyNumberFormat="1" applyProtection="1">
      <protection locked="0"/>
    </xf>
    <xf numFmtId="165" fontId="0" fillId="0" borderId="0" xfId="3" applyNumberFormat="1" applyFont="1" applyAlignment="1" applyProtection="1">
      <alignment wrapText="1"/>
      <protection locked="0"/>
    </xf>
    <xf numFmtId="42" fontId="19" fillId="15" borderId="1" xfId="0" applyNumberFormat="1" applyFont="1" applyFill="1" applyBorder="1" applyAlignment="1" applyProtection="1">
      <protection locked="0"/>
    </xf>
    <xf numFmtId="42" fontId="19" fillId="0" borderId="0" xfId="0" applyNumberFormat="1" applyFont="1" applyFill="1" applyBorder="1" applyAlignment="1" applyProtection="1">
      <protection locked="0"/>
    </xf>
    <xf numFmtId="42" fontId="19" fillId="0" borderId="35" xfId="0" applyNumberFormat="1" applyFont="1" applyFill="1" applyBorder="1" applyAlignment="1" applyProtection="1">
      <protection locked="0"/>
    </xf>
    <xf numFmtId="165" fontId="0" fillId="0" borderId="0" xfId="3" applyNumberFormat="1" applyFont="1" applyFill="1" applyBorder="1" applyAlignment="1" applyProtection="1">
      <alignment wrapText="1"/>
      <protection locked="0"/>
    </xf>
    <xf numFmtId="165" fontId="19" fillId="0" borderId="0" xfId="3" applyNumberFormat="1" applyFont="1" applyFill="1" applyBorder="1" applyAlignment="1" applyProtection="1">
      <alignment wrapText="1"/>
      <protection locked="0"/>
    </xf>
    <xf numFmtId="165" fontId="19" fillId="0" borderId="35" xfId="3" applyNumberFormat="1" applyFont="1" applyFill="1" applyBorder="1" applyAlignment="1" applyProtection="1">
      <protection locked="0"/>
    </xf>
    <xf numFmtId="165" fontId="0" fillId="15" borderId="1" xfId="3" applyNumberFormat="1" applyFont="1" applyFill="1" applyBorder="1" applyAlignment="1" applyProtection="1">
      <alignment horizontal="center" wrapText="1"/>
      <protection locked="0"/>
    </xf>
    <xf numFmtId="165" fontId="19" fillId="0" borderId="34" xfId="3" applyNumberFormat="1" applyFont="1" applyFill="1" applyBorder="1" applyAlignment="1" applyProtection="1">
      <protection locked="0"/>
    </xf>
    <xf numFmtId="2" fontId="0" fillId="15" borderId="1" xfId="0" applyNumberFormat="1" applyFill="1" applyBorder="1" applyAlignment="1" applyProtection="1">
      <alignment horizontal="center" wrapText="1"/>
      <protection locked="0"/>
    </xf>
    <xf numFmtId="10" fontId="0" fillId="0" borderId="0" xfId="12" applyNumberFormat="1" applyFont="1" applyAlignment="1" applyProtection="1">
      <alignment horizontal="center"/>
      <protection locked="0"/>
    </xf>
    <xf numFmtId="0" fontId="2" fillId="0" borderId="0" xfId="0" applyFont="1" applyProtection="1">
      <protection locked="0"/>
    </xf>
    <xf numFmtId="2" fontId="31" fillId="0" borderId="0" xfId="7" applyNumberFormat="1" applyFont="1" applyBorder="1" applyAlignment="1">
      <alignment horizontal="center"/>
    </xf>
    <xf numFmtId="0" fontId="6" fillId="0" borderId="40" xfId="0" applyFont="1" applyBorder="1" applyAlignment="1" applyProtection="1">
      <alignment horizontal="center" wrapText="1"/>
      <protection locked="0"/>
    </xf>
    <xf numFmtId="0" fontId="6" fillId="0" borderId="41" xfId="0" applyFont="1" applyBorder="1" applyAlignment="1" applyProtection="1">
      <alignment horizontal="center" wrapText="1"/>
      <protection locked="0"/>
    </xf>
    <xf numFmtId="3" fontId="6" fillId="0" borderId="41" xfId="0" applyNumberFormat="1" applyFont="1" applyBorder="1" applyAlignment="1" applyProtection="1">
      <alignment horizontal="center" wrapText="1"/>
      <protection locked="0"/>
    </xf>
    <xf numFmtId="0" fontId="6" fillId="0" borderId="42" xfId="0" applyFont="1" applyBorder="1" applyAlignment="1" applyProtection="1">
      <alignment horizontal="center" wrapText="1"/>
      <protection locked="0"/>
    </xf>
    <xf numFmtId="0" fontId="6" fillId="0" borderId="41" xfId="0" applyFont="1" applyBorder="1" applyAlignment="1" applyProtection="1">
      <alignment wrapText="1"/>
      <protection locked="0"/>
    </xf>
    <xf numFmtId="3" fontId="6" fillId="0" borderId="41" xfId="0" applyNumberFormat="1" applyFont="1" applyFill="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1" xfId="0" applyFont="1" applyBorder="1" applyAlignment="1" applyProtection="1">
      <alignment wrapText="1"/>
      <protection locked="0"/>
    </xf>
    <xf numFmtId="0" fontId="6" fillId="0" borderId="5" xfId="0" applyFont="1" applyBorder="1" applyAlignment="1" applyProtection="1">
      <alignment wrapText="1"/>
      <protection locked="0"/>
    </xf>
    <xf numFmtId="0" fontId="0" fillId="16" borderId="47" xfId="0" applyFill="1" applyBorder="1" applyProtection="1">
      <protection locked="0"/>
    </xf>
    <xf numFmtId="0" fontId="0" fillId="16" borderId="1" xfId="0" applyFill="1" applyBorder="1" applyProtection="1">
      <protection locked="0"/>
    </xf>
    <xf numFmtId="0" fontId="2" fillId="16" borderId="1" xfId="0" applyFont="1" applyFill="1" applyBorder="1" applyProtection="1">
      <protection locked="0"/>
    </xf>
    <xf numFmtId="0" fontId="0" fillId="4" borderId="1" xfId="0" applyFill="1" applyBorder="1" applyProtection="1">
      <protection locked="0"/>
    </xf>
    <xf numFmtId="0" fontId="0" fillId="16" borderId="48" xfId="0" applyFill="1" applyBorder="1" applyProtection="1">
      <protection locked="0"/>
    </xf>
    <xf numFmtId="0" fontId="0" fillId="16" borderId="49" xfId="0" applyFill="1" applyBorder="1" applyProtection="1">
      <protection locked="0"/>
    </xf>
    <xf numFmtId="0" fontId="0" fillId="4" borderId="49" xfId="0" applyFill="1" applyBorder="1" applyProtection="1">
      <protection locked="0"/>
    </xf>
    <xf numFmtId="2" fontId="0" fillId="16" borderId="1" xfId="0" applyNumberFormat="1" applyFill="1" applyBorder="1" applyProtection="1">
      <protection locked="0"/>
    </xf>
    <xf numFmtId="2" fontId="6" fillId="0" borderId="3" xfId="3" applyNumberFormat="1" applyFont="1" applyBorder="1" applyProtection="1"/>
    <xf numFmtId="0" fontId="27" fillId="0" borderId="0" xfId="11" applyFont="1" applyAlignment="1" applyProtection="1">
      <alignment horizontal="left"/>
      <protection locked="0"/>
    </xf>
    <xf numFmtId="0" fontId="19" fillId="0" borderId="0" xfId="11" applyFont="1" applyProtection="1">
      <protection locked="0"/>
    </xf>
    <xf numFmtId="0" fontId="19" fillId="0" borderId="0" xfId="11" applyProtection="1">
      <protection locked="0"/>
    </xf>
    <xf numFmtId="0" fontId="2" fillId="0" borderId="0" xfId="11" applyFont="1" applyProtection="1">
      <protection locked="0"/>
    </xf>
    <xf numFmtId="0" fontId="27" fillId="0" borderId="0" xfId="5" applyFont="1" applyAlignment="1" applyProtection="1">
      <protection locked="0"/>
    </xf>
    <xf numFmtId="0" fontId="6" fillId="0" borderId="40" xfId="11" applyFont="1" applyBorder="1" applyProtection="1">
      <protection locked="0"/>
    </xf>
    <xf numFmtId="0" fontId="6" fillId="0" borderId="41" xfId="11" applyFont="1" applyBorder="1" applyAlignment="1" applyProtection="1">
      <alignment horizontal="left"/>
      <protection locked="0"/>
    </xf>
    <xf numFmtId="0" fontId="6" fillId="0" borderId="41" xfId="11" applyFont="1" applyBorder="1" applyAlignment="1" applyProtection="1">
      <alignment horizontal="center"/>
      <protection locked="0"/>
    </xf>
    <xf numFmtId="0" fontId="6" fillId="0" borderId="42" xfId="11" applyFont="1" applyBorder="1" applyAlignment="1" applyProtection="1">
      <alignment horizontal="center"/>
      <protection locked="0"/>
    </xf>
    <xf numFmtId="0" fontId="19" fillId="0" borderId="51" xfId="11" applyBorder="1" applyAlignment="1" applyProtection="1">
      <alignment horizontal="center"/>
      <protection locked="0"/>
    </xf>
    <xf numFmtId="0" fontId="19" fillId="0" borderId="9" xfId="11" applyBorder="1" applyAlignment="1" applyProtection="1">
      <alignment horizontal="center"/>
      <protection locked="0"/>
    </xf>
    <xf numFmtId="0" fontId="2" fillId="0" borderId="5" xfId="11" applyFont="1" applyBorder="1" applyAlignment="1" applyProtection="1">
      <alignment horizontal="center"/>
      <protection locked="0"/>
    </xf>
    <xf numFmtId="7" fontId="2" fillId="0" borderId="5" xfId="11" applyNumberFormat="1" applyFont="1" applyBorder="1" applyAlignment="1" applyProtection="1">
      <alignment horizontal="right"/>
      <protection locked="0"/>
    </xf>
    <xf numFmtId="0" fontId="19" fillId="0" borderId="1" xfId="11" applyBorder="1" applyProtection="1">
      <protection locked="0"/>
    </xf>
    <xf numFmtId="0" fontId="19" fillId="0" borderId="5" xfId="11" applyBorder="1" applyProtection="1">
      <protection locked="0"/>
    </xf>
    <xf numFmtId="0" fontId="2" fillId="0" borderId="1" xfId="11" applyFont="1" applyBorder="1" applyAlignment="1" applyProtection="1">
      <alignment horizontal="center"/>
      <protection locked="0"/>
    </xf>
    <xf numFmtId="7" fontId="2" fillId="0" borderId="1" xfId="11" applyNumberFormat="1" applyFont="1" applyBorder="1" applyAlignment="1" applyProtection="1">
      <alignment horizontal="right"/>
      <protection locked="0"/>
    </xf>
    <xf numFmtId="0" fontId="6" fillId="0" borderId="1" xfId="11" applyFont="1" applyBorder="1" applyProtection="1">
      <protection locked="0"/>
    </xf>
    <xf numFmtId="10" fontId="6" fillId="0" borderId="1" xfId="11" applyNumberFormat="1" applyFont="1" applyBorder="1" applyAlignment="1" applyProtection="1">
      <alignment horizontal="center"/>
      <protection locked="0"/>
    </xf>
    <xf numFmtId="0" fontId="19" fillId="0" borderId="1" xfId="11" applyBorder="1" applyAlignment="1" applyProtection="1">
      <alignment horizontal="center"/>
      <protection locked="0"/>
    </xf>
    <xf numFmtId="0" fontId="19" fillId="0" borderId="5" xfId="11" applyBorder="1" applyAlignment="1" applyProtection="1">
      <alignment horizontal="center"/>
      <protection locked="0"/>
    </xf>
    <xf numFmtId="7" fontId="19" fillId="0" borderId="5" xfId="11" applyNumberFormat="1" applyBorder="1" applyAlignment="1" applyProtection="1">
      <alignment horizontal="center"/>
      <protection locked="0"/>
    </xf>
    <xf numFmtId="7" fontId="19" fillId="0" borderId="1" xfId="11" applyNumberFormat="1" applyFont="1" applyBorder="1" applyAlignment="1" applyProtection="1">
      <alignment horizontal="right"/>
      <protection locked="0"/>
    </xf>
    <xf numFmtId="0" fontId="6" fillId="0" borderId="1" xfId="11" applyFont="1" applyBorder="1" applyAlignment="1" applyProtection="1">
      <alignment horizontal="right"/>
      <protection locked="0"/>
    </xf>
    <xf numFmtId="0" fontId="19" fillId="0" borderId="1" xfId="11" applyFont="1" applyBorder="1" applyProtection="1">
      <protection locked="0"/>
    </xf>
    <xf numFmtId="0" fontId="6" fillId="0" borderId="1" xfId="11" applyFont="1" applyBorder="1" applyAlignment="1" applyProtection="1">
      <alignment horizontal="center"/>
      <protection locked="0"/>
    </xf>
    <xf numFmtId="0" fontId="19" fillId="5" borderId="12" xfId="11" applyFill="1" applyBorder="1" applyProtection="1">
      <protection locked="0"/>
    </xf>
    <xf numFmtId="0" fontId="19" fillId="5" borderId="52" xfId="11" applyFill="1" applyBorder="1" applyProtection="1">
      <protection locked="0"/>
    </xf>
    <xf numFmtId="0" fontId="19" fillId="5" borderId="52" xfId="11" applyFill="1" applyBorder="1" applyAlignment="1" applyProtection="1">
      <alignment horizontal="center"/>
      <protection locked="0"/>
    </xf>
    <xf numFmtId="7" fontId="19" fillId="5" borderId="52" xfId="11" applyNumberFormat="1" applyFill="1" applyBorder="1" applyAlignment="1" applyProtection="1">
      <alignment horizontal="center"/>
      <protection locked="0"/>
    </xf>
    <xf numFmtId="7" fontId="19" fillId="5" borderId="37" xfId="11" applyNumberFormat="1" applyFill="1" applyBorder="1" applyAlignment="1" applyProtection="1">
      <alignment horizontal="right"/>
      <protection locked="0"/>
    </xf>
    <xf numFmtId="0" fontId="19" fillId="5" borderId="1" xfId="11" applyFill="1" applyBorder="1" applyProtection="1">
      <protection locked="0"/>
    </xf>
    <xf numFmtId="0" fontId="19" fillId="5" borderId="1" xfId="11" applyFill="1" applyBorder="1" applyAlignment="1" applyProtection="1">
      <alignment horizontal="center"/>
      <protection locked="0"/>
    </xf>
    <xf numFmtId="7" fontId="19" fillId="5" borderId="5" xfId="11" applyNumberFormat="1" applyFill="1" applyBorder="1" applyAlignment="1" applyProtection="1">
      <alignment horizontal="center"/>
      <protection locked="0"/>
    </xf>
    <xf numFmtId="7" fontId="19" fillId="5" borderId="1" xfId="11" applyNumberFormat="1" applyFill="1" applyBorder="1" applyAlignment="1" applyProtection="1">
      <alignment horizontal="right"/>
      <protection locked="0"/>
    </xf>
    <xf numFmtId="0" fontId="19" fillId="0" borderId="1" xfId="11" applyFill="1" applyBorder="1" applyProtection="1">
      <protection locked="0"/>
    </xf>
    <xf numFmtId="0" fontId="19" fillId="0" borderId="1" xfId="11" applyFill="1" applyBorder="1" applyAlignment="1" applyProtection="1">
      <alignment horizontal="center"/>
      <protection locked="0"/>
    </xf>
    <xf numFmtId="0" fontId="19" fillId="0" borderId="5" xfId="11" applyFill="1" applyBorder="1" applyAlignment="1" applyProtection="1">
      <alignment horizontal="center"/>
      <protection locked="0"/>
    </xf>
    <xf numFmtId="7" fontId="19" fillId="0" borderId="5" xfId="11" applyNumberFormat="1" applyFill="1" applyBorder="1" applyAlignment="1" applyProtection="1">
      <alignment horizontal="center"/>
      <protection locked="0"/>
    </xf>
    <xf numFmtId="7" fontId="19" fillId="0" borderId="1" xfId="11" applyNumberFormat="1" applyFill="1" applyBorder="1" applyAlignment="1" applyProtection="1">
      <alignment horizontal="right"/>
      <protection locked="0"/>
    </xf>
    <xf numFmtId="0" fontId="26" fillId="0" borderId="1" xfId="11" applyFont="1" applyFill="1" applyBorder="1" applyProtection="1">
      <protection locked="0"/>
    </xf>
    <xf numFmtId="0" fontId="26" fillId="0" borderId="1" xfId="11" applyFont="1" applyFill="1" applyBorder="1" applyAlignment="1" applyProtection="1">
      <alignment horizontal="center"/>
      <protection locked="0"/>
    </xf>
    <xf numFmtId="0" fontId="26" fillId="0" borderId="5" xfId="11" applyFont="1" applyFill="1" applyBorder="1" applyAlignment="1" applyProtection="1">
      <alignment horizontal="center"/>
      <protection locked="0"/>
    </xf>
    <xf numFmtId="0" fontId="25" fillId="0" borderId="5" xfId="11" applyFont="1" applyFill="1" applyBorder="1" applyAlignment="1" applyProtection="1">
      <alignment horizontal="center"/>
      <protection locked="0"/>
    </xf>
    <xf numFmtId="7" fontId="25" fillId="0" borderId="5" xfId="11" applyNumberFormat="1" applyFont="1" applyFill="1" applyBorder="1" applyAlignment="1" applyProtection="1">
      <alignment horizontal="right"/>
      <protection locked="0"/>
    </xf>
    <xf numFmtId="0" fontId="19" fillId="5" borderId="5" xfId="11" applyFill="1" applyBorder="1" applyAlignment="1" applyProtection="1">
      <alignment horizontal="center"/>
      <protection locked="0"/>
    </xf>
    <xf numFmtId="7" fontId="19" fillId="0" borderId="1" xfId="11" applyNumberFormat="1" applyBorder="1" applyAlignment="1" applyProtection="1">
      <alignment horizontal="right"/>
      <protection locked="0"/>
    </xf>
    <xf numFmtId="0" fontId="24" fillId="0" borderId="1" xfId="11" applyFont="1" applyBorder="1" applyProtection="1">
      <protection locked="0"/>
    </xf>
    <xf numFmtId="7" fontId="19" fillId="6" borderId="5" xfId="11" applyNumberFormat="1" applyFill="1" applyBorder="1" applyAlignment="1" applyProtection="1">
      <alignment horizontal="center"/>
      <protection locked="0"/>
    </xf>
    <xf numFmtId="0" fontId="23" fillId="0" borderId="1" xfId="5" applyFont="1" applyBorder="1" applyAlignment="1" applyProtection="1">
      <protection locked="0"/>
    </xf>
    <xf numFmtId="7" fontId="19" fillId="0" borderId="1" xfId="11" applyNumberFormat="1" applyBorder="1" applyProtection="1">
      <protection locked="0"/>
    </xf>
    <xf numFmtId="0" fontId="19" fillId="0" borderId="0" xfId="11" applyFont="1" applyProtection="1"/>
    <xf numFmtId="0" fontId="19" fillId="0" borderId="0" xfId="11" applyProtection="1"/>
    <xf numFmtId="0" fontId="2" fillId="16" borderId="1" xfId="11" applyFont="1" applyFill="1" applyBorder="1" applyProtection="1">
      <protection locked="0"/>
    </xf>
    <xf numFmtId="0" fontId="2" fillId="16" borderId="5" xfId="11" applyFont="1" applyFill="1" applyBorder="1" applyProtection="1">
      <protection locked="0"/>
    </xf>
    <xf numFmtId="0" fontId="2" fillId="16" borderId="1" xfId="11" applyFont="1" applyFill="1" applyBorder="1" applyAlignment="1" applyProtection="1">
      <alignment horizontal="center"/>
      <protection locked="0"/>
    </xf>
    <xf numFmtId="0" fontId="2" fillId="0" borderId="0" xfId="0" applyFont="1" applyAlignment="1" applyProtection="1">
      <alignment wrapText="1"/>
      <protection locked="0"/>
    </xf>
    <xf numFmtId="0" fontId="0" fillId="16" borderId="13" xfId="0" applyFill="1" applyBorder="1" applyProtection="1">
      <protection locked="0"/>
    </xf>
    <xf numFmtId="2" fontId="0" fillId="16" borderId="13" xfId="0" applyNumberFormat="1" applyFill="1" applyBorder="1" applyProtection="1">
      <protection locked="0"/>
    </xf>
    <xf numFmtId="0" fontId="0" fillId="4" borderId="13" xfId="0" applyFill="1" applyBorder="1" applyProtection="1">
      <protection locked="0"/>
    </xf>
    <xf numFmtId="0" fontId="0" fillId="16" borderId="50" xfId="0" applyFill="1" applyBorder="1" applyProtection="1">
      <protection locked="0"/>
    </xf>
    <xf numFmtId="0" fontId="0" fillId="16" borderId="5" xfId="0" applyFill="1" applyBorder="1" applyProtection="1">
      <protection locked="0"/>
    </xf>
    <xf numFmtId="2" fontId="0" fillId="16" borderId="5" xfId="0" applyNumberFormat="1" applyFill="1" applyBorder="1" applyProtection="1">
      <protection locked="0"/>
    </xf>
    <xf numFmtId="0" fontId="0" fillId="4" borderId="5" xfId="0" applyFill="1" applyBorder="1" applyProtection="1">
      <protection locked="0"/>
    </xf>
    <xf numFmtId="0" fontId="2" fillId="16" borderId="5" xfId="0" applyFont="1" applyFill="1" applyBorder="1" applyProtection="1">
      <protection locked="0"/>
    </xf>
    <xf numFmtId="0" fontId="2" fillId="2" borderId="55" xfId="0" applyFont="1" applyFill="1" applyBorder="1" applyProtection="1">
      <protection locked="0"/>
    </xf>
    <xf numFmtId="0" fontId="4" fillId="2" borderId="55" xfId="0" applyFont="1" applyFill="1" applyBorder="1" applyProtection="1">
      <protection locked="0"/>
    </xf>
    <xf numFmtId="164" fontId="11" fillId="2" borderId="54" xfId="0" applyNumberFormat="1" applyFont="1" applyFill="1" applyBorder="1" applyAlignment="1" applyProtection="1">
      <alignment horizontal="left" indent="1"/>
      <protection locked="0"/>
    </xf>
    <xf numFmtId="165" fontId="11" fillId="2" borderId="55" xfId="3" quotePrefix="1" applyNumberFormat="1" applyFont="1" applyFill="1" applyBorder="1" applyProtection="1">
      <protection locked="0"/>
    </xf>
    <xf numFmtId="165" fontId="11" fillId="2" borderId="56" xfId="3" applyNumberFormat="1" applyFont="1" applyFill="1" applyBorder="1" applyProtection="1">
      <protection locked="0"/>
    </xf>
    <xf numFmtId="0" fontId="0" fillId="2" borderId="55" xfId="0" applyFill="1" applyBorder="1" applyProtection="1">
      <protection locked="0"/>
    </xf>
    <xf numFmtId="165" fontId="11" fillId="0" borderId="55" xfId="3" applyNumberFormat="1" applyFont="1" applyFill="1" applyBorder="1" applyProtection="1">
      <protection locked="0"/>
    </xf>
    <xf numFmtId="10" fontId="11" fillId="3" borderId="55" xfId="0" applyNumberFormat="1" applyFont="1" applyFill="1" applyBorder="1" applyProtection="1">
      <protection locked="0"/>
    </xf>
    <xf numFmtId="164" fontId="15" fillId="2" borderId="54" xfId="0" applyNumberFormat="1" applyFont="1" applyFill="1" applyBorder="1" applyAlignment="1" applyProtection="1">
      <alignment horizontal="left" indent="1"/>
      <protection locked="0"/>
    </xf>
    <xf numFmtId="165" fontId="11" fillId="2" borderId="68" xfId="3" quotePrefix="1" applyNumberFormat="1" applyFont="1" applyFill="1" applyBorder="1" applyProtection="1">
      <protection locked="0"/>
    </xf>
    <xf numFmtId="0" fontId="4" fillId="19" borderId="26" xfId="0" applyFont="1" applyFill="1" applyBorder="1" applyAlignment="1" applyProtection="1">
      <alignment horizontal="center"/>
      <protection locked="0"/>
    </xf>
    <xf numFmtId="164" fontId="4" fillId="19" borderId="26" xfId="0" applyNumberFormat="1" applyFont="1" applyFill="1" applyBorder="1" applyAlignment="1" applyProtection="1">
      <alignment horizontal="center"/>
      <protection locked="0"/>
    </xf>
    <xf numFmtId="1" fontId="0" fillId="0" borderId="0" xfId="0" applyNumberFormat="1" applyAlignment="1" applyProtection="1">
      <alignment horizontal="center"/>
      <protection locked="0"/>
    </xf>
    <xf numFmtId="0" fontId="40" fillId="0" borderId="0" xfId="0" applyFont="1" applyFill="1"/>
    <xf numFmtId="2" fontId="40" fillId="0" borderId="0" xfId="0" applyNumberFormat="1" applyFont="1" applyFill="1"/>
    <xf numFmtId="165" fontId="19" fillId="15" borderId="1" xfId="3" applyNumberFormat="1" applyFont="1" applyFill="1" applyBorder="1" applyAlignment="1" applyProtection="1">
      <protection locked="0"/>
    </xf>
    <xf numFmtId="0" fontId="6" fillId="2" borderId="55" xfId="0" applyFont="1" applyFill="1" applyBorder="1" applyProtection="1">
      <protection locked="0"/>
    </xf>
    <xf numFmtId="0" fontId="6" fillId="0" borderId="68" xfId="0" applyFont="1" applyFill="1" applyBorder="1" applyAlignment="1" applyProtection="1">
      <alignment horizontal="left"/>
      <protection locked="0"/>
    </xf>
    <xf numFmtId="0" fontId="6" fillId="2" borderId="55" xfId="0" applyFont="1" applyFill="1" applyBorder="1" applyAlignment="1" applyProtection="1">
      <alignment horizontal="left"/>
      <protection locked="0"/>
    </xf>
    <xf numFmtId="0" fontId="6" fillId="0" borderId="55" xfId="0" applyFont="1" applyFill="1" applyBorder="1" applyAlignment="1" applyProtection="1">
      <alignment horizontal="left"/>
      <protection locked="0"/>
    </xf>
    <xf numFmtId="0" fontId="6" fillId="2" borderId="55" xfId="3" applyNumberFormat="1" applyFont="1" applyFill="1" applyBorder="1" applyAlignment="1" applyProtection="1">
      <alignment horizontal="left"/>
      <protection locked="0"/>
    </xf>
    <xf numFmtId="0" fontId="6" fillId="0" borderId="55" xfId="0" applyNumberFormat="1" applyFont="1" applyFill="1" applyBorder="1" applyAlignment="1" applyProtection="1">
      <alignment horizontal="left"/>
      <protection locked="0"/>
    </xf>
    <xf numFmtId="42" fontId="42" fillId="16" borderId="1" xfId="0" applyNumberFormat="1" applyFont="1" applyFill="1" applyBorder="1" applyAlignment="1" applyProtection="1">
      <protection locked="0"/>
    </xf>
    <xf numFmtId="42" fontId="42" fillId="16" borderId="49" xfId="0" applyNumberFormat="1" applyFont="1" applyFill="1" applyBorder="1" applyAlignment="1" applyProtection="1">
      <protection locked="0"/>
    </xf>
    <xf numFmtId="165" fontId="0" fillId="16" borderId="5" xfId="3" applyNumberFormat="1" applyFont="1" applyFill="1" applyBorder="1" applyProtection="1">
      <protection locked="0"/>
    </xf>
    <xf numFmtId="165" fontId="0" fillId="16" borderId="1" xfId="3" applyNumberFormat="1" applyFont="1" applyFill="1" applyBorder="1" applyProtection="1">
      <protection locked="0"/>
    </xf>
    <xf numFmtId="165" fontId="0" fillId="16" borderId="13" xfId="3" applyNumberFormat="1" applyFont="1" applyFill="1" applyBorder="1" applyProtection="1">
      <protection locked="0"/>
    </xf>
    <xf numFmtId="165" fontId="0" fillId="16" borderId="49" xfId="3" applyNumberFormat="1" applyFont="1" applyFill="1" applyBorder="1" applyProtection="1">
      <protection locked="0"/>
    </xf>
    <xf numFmtId="165" fontId="0" fillId="0" borderId="0" xfId="3" applyNumberFormat="1" applyFont="1" applyProtection="1">
      <protection locked="0"/>
    </xf>
    <xf numFmtId="42" fontId="42" fillId="16" borderId="5" xfId="0" applyNumberFormat="1" applyFont="1" applyFill="1" applyBorder="1" applyAlignment="1" applyProtection="1">
      <protection locked="0"/>
    </xf>
    <xf numFmtId="165" fontId="6" fillId="0" borderId="3" xfId="3" applyNumberFormat="1" applyFont="1" applyBorder="1" applyProtection="1"/>
    <xf numFmtId="182" fontId="0" fillId="0" borderId="0" xfId="0" applyNumberFormat="1"/>
    <xf numFmtId="0" fontId="0" fillId="15" borderId="1" xfId="0" applyFill="1" applyBorder="1" applyAlignment="1" applyProtection="1">
      <alignment horizontal="center" wrapText="1"/>
      <protection locked="0"/>
    </xf>
    <xf numFmtId="0" fontId="2" fillId="9" borderId="5" xfId="11" applyFont="1" applyFill="1" applyBorder="1" applyAlignment="1" applyProtection="1">
      <alignment horizontal="center"/>
      <protection locked="0"/>
    </xf>
    <xf numFmtId="0" fontId="43" fillId="0" borderId="0" xfId="0" applyFont="1" applyFill="1"/>
    <xf numFmtId="180" fontId="43" fillId="0" borderId="0" xfId="0" applyNumberFormat="1" applyFont="1" applyFill="1" applyAlignment="1">
      <alignment horizontal="left"/>
    </xf>
    <xf numFmtId="0" fontId="43" fillId="0" borderId="0" xfId="0" applyFont="1" applyFill="1" applyAlignment="1"/>
    <xf numFmtId="0" fontId="43" fillId="0" borderId="0" xfId="0" applyFont="1" applyFill="1" applyAlignment="1">
      <alignment horizontal="left"/>
    </xf>
    <xf numFmtId="181" fontId="43" fillId="0" borderId="0" xfId="0" applyNumberFormat="1" applyFont="1" applyFill="1" applyAlignment="1">
      <alignment horizontal="left"/>
    </xf>
    <xf numFmtId="0" fontId="43" fillId="0" borderId="0" xfId="0" applyFont="1" applyFill="1" applyAlignment="1">
      <alignment vertical="center"/>
    </xf>
    <xf numFmtId="0" fontId="43" fillId="0" borderId="0" xfId="0" applyFont="1" applyFill="1" applyAlignment="1">
      <alignment vertical="top"/>
    </xf>
    <xf numFmtId="0" fontId="43" fillId="0" borderId="0" xfId="0" applyFont="1" applyFill="1" applyAlignment="1">
      <alignment horizontal="left" vertical="center"/>
    </xf>
    <xf numFmtId="0" fontId="46" fillId="0" borderId="0" xfId="0" applyFont="1" applyFill="1"/>
    <xf numFmtId="0" fontId="0" fillId="18" borderId="0" xfId="0" applyFill="1" applyAlignment="1" applyProtection="1">
      <alignment vertical="center"/>
      <protection locked="0"/>
    </xf>
    <xf numFmtId="0" fontId="0" fillId="18" borderId="0" xfId="0" applyFill="1" applyAlignment="1" applyProtection="1">
      <alignment horizontal="center"/>
      <protection locked="0"/>
    </xf>
    <xf numFmtId="0" fontId="0" fillId="18" borderId="0" xfId="0" applyFill="1" applyProtection="1">
      <protection locked="0"/>
    </xf>
    <xf numFmtId="0" fontId="43" fillId="0" borderId="0" xfId="0" applyFont="1" applyAlignment="1">
      <alignment wrapText="1"/>
    </xf>
    <xf numFmtId="0" fontId="46" fillId="0" borderId="0" xfId="0" applyFont="1" applyAlignment="1">
      <alignment wrapText="1"/>
    </xf>
    <xf numFmtId="0" fontId="46" fillId="0" borderId="0" xfId="0" applyFont="1" applyAlignment="1">
      <alignment horizontal="center" wrapText="1"/>
    </xf>
    <xf numFmtId="0" fontId="43" fillId="0" borderId="23" xfId="0" applyFont="1" applyBorder="1" applyAlignment="1">
      <alignment wrapText="1"/>
    </xf>
    <xf numFmtId="0" fontId="43" fillId="0" borderId="25" xfId="0" applyFont="1" applyBorder="1" applyAlignment="1">
      <alignment wrapText="1"/>
    </xf>
    <xf numFmtId="0" fontId="46" fillId="0" borderId="25" xfId="0" applyFont="1" applyBorder="1" applyAlignment="1">
      <alignment wrapText="1"/>
    </xf>
    <xf numFmtId="0" fontId="43" fillId="0" borderId="2" xfId="0" applyFont="1" applyBorder="1" applyAlignment="1">
      <alignment wrapText="1"/>
    </xf>
    <xf numFmtId="0" fontId="43" fillId="0" borderId="0" xfId="0" applyFont="1" applyBorder="1" applyAlignment="1">
      <alignment wrapText="1"/>
    </xf>
    <xf numFmtId="0" fontId="46" fillId="0" borderId="0" xfId="0" applyFont="1" applyBorder="1" applyAlignment="1">
      <alignment wrapText="1"/>
    </xf>
    <xf numFmtId="181" fontId="43" fillId="0" borderId="0" xfId="0" applyNumberFormat="1" applyFont="1" applyFill="1" applyBorder="1" applyAlignment="1">
      <alignment horizontal="left"/>
    </xf>
    <xf numFmtId="0" fontId="50" fillId="0" borderId="72" xfId="0" applyFont="1" applyBorder="1" applyAlignment="1">
      <alignment wrapText="1"/>
    </xf>
    <xf numFmtId="0" fontId="50" fillId="0" borderId="73" xfId="0" applyFont="1" applyBorder="1" applyAlignment="1">
      <alignment wrapText="1"/>
    </xf>
    <xf numFmtId="0" fontId="50" fillId="0" borderId="73" xfId="0" applyFont="1" applyBorder="1" applyAlignment="1">
      <alignment horizontal="center" wrapText="1"/>
    </xf>
    <xf numFmtId="0" fontId="43" fillId="0" borderId="76" xfId="0" applyFont="1" applyBorder="1" applyAlignment="1">
      <alignment wrapText="1"/>
    </xf>
    <xf numFmtId="0" fontId="43" fillId="0" borderId="77" xfId="0" applyFont="1" applyBorder="1" applyAlignment="1">
      <alignment wrapText="1"/>
    </xf>
    <xf numFmtId="0" fontId="43" fillId="0" borderId="78" xfId="0" applyFont="1" applyBorder="1" applyAlignment="1">
      <alignment wrapText="1"/>
    </xf>
    <xf numFmtId="0" fontId="43" fillId="0" borderId="79" xfId="0" applyFont="1" applyBorder="1" applyAlignment="1">
      <alignment wrapText="1"/>
    </xf>
    <xf numFmtId="0" fontId="43" fillId="0" borderId="76" xfId="0" applyFont="1" applyBorder="1" applyAlignment="1">
      <alignment horizontal="center" wrapText="1"/>
    </xf>
    <xf numFmtId="0" fontId="43" fillId="0" borderId="78" xfId="0" applyFont="1" applyBorder="1" applyAlignment="1">
      <alignment horizontal="center" wrapText="1"/>
    </xf>
    <xf numFmtId="0" fontId="43" fillId="0" borderId="80" xfId="0" applyFont="1" applyBorder="1" applyAlignment="1">
      <alignment horizontal="center" wrapText="1"/>
    </xf>
    <xf numFmtId="0" fontId="43" fillId="0" borderId="81" xfId="0" applyFont="1" applyBorder="1" applyAlignment="1">
      <alignment wrapText="1"/>
    </xf>
    <xf numFmtId="0" fontId="2" fillId="16" borderId="53" xfId="0" applyFont="1" applyFill="1" applyBorder="1" applyAlignment="1" applyProtection="1">
      <alignment wrapText="1"/>
      <protection locked="0"/>
    </xf>
    <xf numFmtId="0" fontId="2" fillId="16" borderId="1" xfId="0" applyFont="1" applyFill="1" applyBorder="1" applyAlignment="1" applyProtection="1">
      <alignment wrapText="1"/>
      <protection locked="0"/>
    </xf>
    <xf numFmtId="0" fontId="2" fillId="0" borderId="39" xfId="0" applyFont="1" applyBorder="1" applyAlignment="1" applyProtection="1">
      <alignment wrapText="1"/>
      <protection locked="0"/>
    </xf>
    <xf numFmtId="0" fontId="2" fillId="16" borderId="39" xfId="0" applyFont="1" applyFill="1" applyBorder="1" applyAlignment="1" applyProtection="1">
      <alignment horizontal="center" wrapText="1"/>
      <protection locked="0"/>
    </xf>
    <xf numFmtId="3" fontId="2" fillId="0" borderId="39" xfId="0" applyNumberFormat="1" applyFont="1" applyBorder="1" applyAlignment="1" applyProtection="1">
      <alignment wrapText="1"/>
      <protection locked="0"/>
    </xf>
    <xf numFmtId="0" fontId="2" fillId="0" borderId="1" xfId="0" applyFont="1" applyBorder="1" applyAlignment="1" applyProtection="1">
      <alignment wrapText="1"/>
      <protection locked="0"/>
    </xf>
    <xf numFmtId="0" fontId="2" fillId="16" borderId="1" xfId="0" applyFont="1" applyFill="1" applyBorder="1" applyAlignment="1" applyProtection="1">
      <alignment horizontal="center" wrapText="1"/>
      <protection locked="0"/>
    </xf>
    <xf numFmtId="3" fontId="2" fillId="0" borderId="1" xfId="0" applyNumberFormat="1" applyFont="1" applyBorder="1" applyAlignment="1" applyProtection="1">
      <alignment wrapText="1"/>
      <protection locked="0"/>
    </xf>
    <xf numFmtId="0" fontId="2" fillId="0" borderId="13" xfId="0" applyFont="1" applyBorder="1" applyAlignment="1" applyProtection="1">
      <alignment wrapText="1"/>
      <protection locked="0"/>
    </xf>
    <xf numFmtId="3" fontId="2" fillId="0" borderId="13" xfId="0" applyNumberFormat="1" applyFont="1" applyBorder="1" applyAlignment="1" applyProtection="1">
      <alignment wrapText="1"/>
      <protection locked="0"/>
    </xf>
    <xf numFmtId="3" fontId="2" fillId="0" borderId="0" xfId="0" applyNumberFormat="1" applyFont="1" applyAlignment="1" applyProtection="1">
      <alignment wrapText="1"/>
      <protection locked="0"/>
    </xf>
    <xf numFmtId="0" fontId="2" fillId="0" borderId="0" xfId="0" applyFont="1" applyAlignment="1" applyProtection="1">
      <alignment horizontal="right" wrapText="1"/>
      <protection locked="0"/>
    </xf>
    <xf numFmtId="0" fontId="2" fillId="16" borderId="5" xfId="0" applyFont="1" applyFill="1" applyBorder="1" applyAlignment="1" applyProtection="1">
      <alignment wrapText="1"/>
      <protection locked="0"/>
    </xf>
    <xf numFmtId="0" fontId="2" fillId="0" borderId="5" xfId="0" applyFont="1" applyBorder="1" applyAlignment="1" applyProtection="1">
      <alignment wrapText="1"/>
      <protection locked="0"/>
    </xf>
    <xf numFmtId="0" fontId="2" fillId="16" borderId="5" xfId="0" applyFont="1" applyFill="1" applyBorder="1" applyAlignment="1" applyProtection="1">
      <alignment horizontal="center" wrapText="1"/>
      <protection locked="0"/>
    </xf>
    <xf numFmtId="2" fontId="2" fillId="0" borderId="0" xfId="0" applyNumberFormat="1" applyFont="1" applyAlignment="1" applyProtection="1">
      <alignment wrapText="1"/>
      <protection locked="0"/>
    </xf>
    <xf numFmtId="0" fontId="6" fillId="0" borderId="40" xfId="0" applyFont="1" applyBorder="1" applyAlignment="1" applyProtection="1">
      <alignment wrapText="1"/>
      <protection locked="0"/>
    </xf>
    <xf numFmtId="0" fontId="2" fillId="0" borderId="0" xfId="0" applyFont="1"/>
    <xf numFmtId="44" fontId="11" fillId="11" borderId="1" xfId="3" applyNumberFormat="1" applyFont="1" applyFill="1" applyBorder="1" applyProtection="1">
      <protection locked="0"/>
    </xf>
    <xf numFmtId="0" fontId="0" fillId="11" borderId="83" xfId="0" applyFill="1" applyBorder="1"/>
    <xf numFmtId="2" fontId="0" fillId="0" borderId="84" xfId="0" applyNumberFormat="1" applyBorder="1"/>
    <xf numFmtId="0" fontId="6" fillId="0" borderId="26" xfId="0" applyFont="1" applyBorder="1"/>
    <xf numFmtId="0" fontId="6" fillId="0" borderId="85" xfId="0" applyFont="1" applyBorder="1"/>
    <xf numFmtId="0" fontId="2" fillId="0" borderId="39" xfId="0" applyFont="1" applyBorder="1"/>
    <xf numFmtId="0" fontId="6" fillId="0" borderId="43" xfId="0" applyFont="1" applyBorder="1"/>
    <xf numFmtId="42" fontId="0" fillId="11" borderId="83" xfId="0" applyNumberFormat="1" applyFill="1" applyBorder="1"/>
    <xf numFmtId="0" fontId="2" fillId="0" borderId="0" xfId="9" applyFont="1"/>
    <xf numFmtId="165" fontId="19" fillId="16" borderId="41" xfId="3" applyNumberFormat="1" applyFont="1" applyFill="1" applyBorder="1" applyAlignment="1" applyProtection="1">
      <alignment wrapText="1"/>
      <protection locked="0"/>
    </xf>
    <xf numFmtId="4" fontId="19" fillId="16" borderId="42" xfId="0" applyNumberFormat="1" applyFont="1" applyFill="1" applyBorder="1" applyAlignment="1" applyProtection="1">
      <alignment wrapText="1"/>
      <protection locked="0"/>
    </xf>
    <xf numFmtId="0" fontId="46"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vertical="center"/>
      <protection locked="0"/>
    </xf>
    <xf numFmtId="180" fontId="43"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horizontal="left" vertical="top"/>
      <protection locked="0"/>
    </xf>
    <xf numFmtId="41" fontId="46" fillId="23" borderId="34" xfId="0" applyNumberFormat="1" applyFont="1" applyFill="1" applyBorder="1" applyAlignment="1" applyProtection="1">
      <alignment horizontal="center" vertical="center" wrapText="1"/>
      <protection locked="0"/>
    </xf>
    <xf numFmtId="0" fontId="43" fillId="12" borderId="34" xfId="0" applyNumberFormat="1" applyFont="1" applyFill="1" applyBorder="1" applyAlignment="1" applyProtection="1">
      <alignment horizontal="center"/>
      <protection locked="0"/>
    </xf>
    <xf numFmtId="41" fontId="43" fillId="12" borderId="34" xfId="0" applyNumberFormat="1" applyFont="1" applyFill="1" applyBorder="1" applyAlignment="1" applyProtection="1">
      <alignment horizontal="center"/>
      <protection locked="0"/>
    </xf>
    <xf numFmtId="43" fontId="43" fillId="12" borderId="34" xfId="0" applyNumberFormat="1" applyFont="1" applyFill="1" applyBorder="1" applyAlignment="1" applyProtection="1">
      <protection locked="0"/>
    </xf>
    <xf numFmtId="184" fontId="43" fillId="0" borderId="34" xfId="0" applyNumberFormat="1" applyFont="1" applyFill="1" applyBorder="1" applyAlignment="1" applyProtection="1">
      <protection locked="0"/>
    </xf>
    <xf numFmtId="0" fontId="43" fillId="12" borderId="34" xfId="0" applyNumberFormat="1" applyFont="1" applyFill="1" applyBorder="1" applyAlignment="1" applyProtection="1">
      <alignment horizontal="left" shrinkToFit="1"/>
      <protection locked="0"/>
    </xf>
    <xf numFmtId="44" fontId="43" fillId="12" borderId="34" xfId="0" applyNumberFormat="1" applyFont="1" applyFill="1" applyBorder="1" applyAlignment="1" applyProtection="1">
      <protection locked="0"/>
    </xf>
    <xf numFmtId="42" fontId="43" fillId="0" borderId="34" xfId="0" applyNumberFormat="1" applyFont="1" applyFill="1" applyBorder="1" applyAlignment="1" applyProtection="1">
      <protection locked="0"/>
    </xf>
    <xf numFmtId="41" fontId="46" fillId="23" borderId="34" xfId="0" applyNumberFormat="1" applyFont="1" applyFill="1" applyBorder="1" applyAlignment="1" applyProtection="1">
      <alignment horizontal="center" vertical="center"/>
      <protection locked="0"/>
    </xf>
    <xf numFmtId="41" fontId="46" fillId="23" borderId="34" xfId="0" applyNumberFormat="1" applyFont="1" applyFill="1" applyBorder="1" applyAlignment="1" applyProtection="1">
      <alignment horizontal="right" vertical="center"/>
      <protection locked="0"/>
    </xf>
    <xf numFmtId="184" fontId="46" fillId="20" borderId="34" xfId="0" applyNumberFormat="1" applyFont="1" applyFill="1" applyBorder="1" applyAlignment="1" applyProtection="1">
      <alignment vertical="center"/>
      <protection locked="0"/>
    </xf>
    <xf numFmtId="43" fontId="46" fillId="23" borderId="34" xfId="12" applyNumberFormat="1" applyFont="1" applyFill="1" applyBorder="1" applyAlignment="1" applyProtection="1">
      <alignment vertical="center"/>
      <protection locked="0"/>
    </xf>
    <xf numFmtId="41" fontId="46" fillId="23" borderId="34" xfId="0" applyNumberFormat="1" applyFont="1" applyFill="1" applyBorder="1" applyAlignment="1" applyProtection="1">
      <alignment vertical="center"/>
      <protection locked="0"/>
    </xf>
    <xf numFmtId="42" fontId="46" fillId="23" borderId="34" xfId="0" applyNumberFormat="1" applyFont="1" applyFill="1" applyBorder="1" applyAlignment="1" applyProtection="1">
      <alignment vertical="center"/>
      <protection locked="0"/>
    </xf>
    <xf numFmtId="41" fontId="46" fillId="24" borderId="0" xfId="0" applyNumberFormat="1" applyFont="1" applyFill="1" applyBorder="1" applyAlignment="1" applyProtection="1">
      <alignment vertical="center"/>
      <protection locked="0"/>
    </xf>
    <xf numFmtId="41" fontId="46" fillId="24" borderId="95" xfId="0" applyNumberFormat="1" applyFont="1" applyFill="1" applyBorder="1" applyAlignment="1" applyProtection="1">
      <alignment vertical="center"/>
      <protection locked="0"/>
    </xf>
    <xf numFmtId="41" fontId="46" fillId="24" borderId="90" xfId="0" applyNumberFormat="1" applyFont="1" applyFill="1" applyBorder="1" applyAlignment="1" applyProtection="1">
      <alignment vertical="center"/>
      <protection locked="0"/>
    </xf>
    <xf numFmtId="42" fontId="46" fillId="24" borderId="90" xfId="0" applyNumberFormat="1" applyFont="1" applyFill="1" applyBorder="1" applyAlignment="1" applyProtection="1">
      <protection locked="0"/>
    </xf>
    <xf numFmtId="42" fontId="46" fillId="24" borderId="96" xfId="0" applyNumberFormat="1" applyFont="1" applyFill="1" applyBorder="1" applyAlignment="1" applyProtection="1">
      <protection locked="0"/>
    </xf>
    <xf numFmtId="41" fontId="43" fillId="0" borderId="34" xfId="0" applyNumberFormat="1" applyFont="1" applyFill="1" applyBorder="1" applyAlignment="1" applyProtection="1">
      <protection locked="0"/>
    </xf>
    <xf numFmtId="183" fontId="43" fillId="12" borderId="34" xfId="0" applyNumberFormat="1" applyFont="1" applyFill="1" applyBorder="1" applyAlignment="1" applyProtection="1">
      <protection locked="0"/>
    </xf>
    <xf numFmtId="183" fontId="43" fillId="0" borderId="34" xfId="0" applyNumberFormat="1" applyFont="1" applyFill="1" applyBorder="1" applyAlignment="1" applyProtection="1">
      <protection locked="0"/>
    </xf>
    <xf numFmtId="41" fontId="43" fillId="0" borderId="35" xfId="0" applyNumberFormat="1" applyFont="1" applyFill="1" applyBorder="1" applyAlignment="1" applyProtection="1">
      <protection locked="0"/>
    </xf>
    <xf numFmtId="10" fontId="43" fillId="0" borderId="34" xfId="12" applyNumberFormat="1" applyFont="1" applyFill="1" applyBorder="1" applyAlignment="1" applyProtection="1">
      <protection locked="0"/>
    </xf>
    <xf numFmtId="41" fontId="53" fillId="0" borderId="91" xfId="0" applyNumberFormat="1" applyFont="1" applyFill="1" applyBorder="1" applyAlignment="1" applyProtection="1">
      <protection locked="0"/>
    </xf>
    <xf numFmtId="41" fontId="46" fillId="23" borderId="90" xfId="0" applyNumberFormat="1" applyFont="1" applyFill="1" applyBorder="1" applyAlignment="1" applyProtection="1">
      <alignment vertical="center"/>
      <protection locked="0"/>
    </xf>
    <xf numFmtId="41" fontId="46" fillId="23" borderId="96" xfId="0" applyNumberFormat="1" applyFont="1" applyFill="1" applyBorder="1" applyAlignment="1" applyProtection="1">
      <alignment vertical="center" wrapText="1"/>
      <protection locked="0"/>
    </xf>
    <xf numFmtId="41" fontId="43" fillId="0" borderId="90" xfId="0" applyNumberFormat="1" applyFont="1" applyFill="1" applyBorder="1" applyAlignment="1" applyProtection="1">
      <protection locked="0"/>
    </xf>
    <xf numFmtId="184" fontId="43" fillId="0" borderId="34" xfId="0"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vertical="center" wrapText="1"/>
      <protection locked="0"/>
    </xf>
    <xf numFmtId="41" fontId="46" fillId="23" borderId="35" xfId="0" applyNumberFormat="1" applyFont="1" applyFill="1" applyBorder="1" applyAlignment="1" applyProtection="1">
      <alignment horizontal="center" vertical="center" wrapText="1"/>
      <protection locked="0"/>
    </xf>
    <xf numFmtId="41" fontId="43" fillId="0" borderId="96" xfId="0" applyNumberFormat="1" applyFont="1" applyFill="1" applyBorder="1" applyAlignment="1" applyProtection="1">
      <protection locked="0"/>
    </xf>
    <xf numFmtId="41" fontId="43" fillId="0" borderId="95" xfId="0" applyNumberFormat="1" applyFont="1" applyFill="1" applyBorder="1" applyAlignment="1" applyProtection="1">
      <protection locked="0"/>
    </xf>
    <xf numFmtId="41" fontId="43" fillId="0" borderId="86" xfId="0" applyNumberFormat="1" applyFont="1" applyFill="1" applyBorder="1" applyAlignment="1" applyProtection="1">
      <protection locked="0"/>
    </xf>
    <xf numFmtId="42" fontId="43" fillId="0" borderId="90" xfId="0" applyNumberFormat="1" applyFont="1" applyFill="1" applyBorder="1" applyAlignment="1" applyProtection="1">
      <protection locked="0"/>
    </xf>
    <xf numFmtId="0" fontId="43" fillId="0" borderId="89" xfId="0" applyNumberFormat="1" applyFont="1" applyFill="1" applyBorder="1" applyAlignment="1" applyProtection="1">
      <alignment vertical="top"/>
      <protection locked="0"/>
    </xf>
    <xf numFmtId="4" fontId="43" fillId="0" borderId="0" xfId="0" applyNumberFormat="1" applyFont="1" applyFill="1" applyBorder="1" applyAlignment="1" applyProtection="1">
      <protection locked="0"/>
    </xf>
    <xf numFmtId="183" fontId="43" fillId="0" borderId="0" xfId="0" applyNumberFormat="1" applyFont="1" applyFill="1" applyBorder="1" applyAlignment="1" applyProtection="1">
      <protection locked="0"/>
    </xf>
    <xf numFmtId="41" fontId="46" fillId="23" borderId="95" xfId="0" applyNumberFormat="1" applyFont="1" applyFill="1" applyBorder="1" applyAlignment="1" applyProtection="1">
      <alignment vertical="center"/>
      <protection locked="0"/>
    </xf>
    <xf numFmtId="42" fontId="46" fillId="23" borderId="90" xfId="0" applyNumberFormat="1" applyFont="1" applyFill="1" applyBorder="1" applyAlignment="1" applyProtection="1">
      <protection locked="0"/>
    </xf>
    <xf numFmtId="42" fontId="46" fillId="23" borderId="96" xfId="0" applyNumberFormat="1" applyFont="1" applyFill="1" applyBorder="1" applyAlignment="1" applyProtection="1">
      <protection locked="0"/>
    </xf>
    <xf numFmtId="10" fontId="43" fillId="12" borderId="34" xfId="12" applyNumberFormat="1" applyFont="1" applyFill="1" applyBorder="1" applyAlignment="1" applyProtection="1">
      <protection locked="0"/>
    </xf>
    <xf numFmtId="0" fontId="19" fillId="0" borderId="0" xfId="0" applyFont="1" applyBorder="1" applyAlignment="1" applyProtection="1">
      <alignment wrapText="1"/>
      <protection locked="0"/>
    </xf>
    <xf numFmtId="0" fontId="19" fillId="0" borderId="29" xfId="0" applyFont="1" applyBorder="1" applyAlignment="1" applyProtection="1">
      <alignment wrapText="1"/>
      <protection locked="0"/>
    </xf>
    <xf numFmtId="44" fontId="0" fillId="0" borderId="0" xfId="0" applyNumberFormat="1"/>
    <xf numFmtId="0" fontId="5" fillId="2" borderId="0" xfId="0" applyNumberFormat="1" applyFont="1" applyFill="1" applyAlignment="1" applyProtection="1">
      <alignment horizontal="left"/>
      <protection hidden="1"/>
    </xf>
    <xf numFmtId="14" fontId="6" fillId="2" borderId="0" xfId="0" applyNumberFormat="1" applyFont="1" applyFill="1" applyAlignment="1" applyProtection="1">
      <alignment horizontal="left"/>
      <protection hidden="1"/>
    </xf>
    <xf numFmtId="0" fontId="6" fillId="2" borderId="0" xfId="0" applyFont="1" applyFill="1" applyBorder="1" applyAlignment="1" applyProtection="1">
      <alignment horizontal="left"/>
      <protection hidden="1"/>
    </xf>
    <xf numFmtId="0" fontId="40" fillId="0" borderId="0" xfId="0" applyFont="1" applyProtection="1">
      <protection locked="0"/>
    </xf>
    <xf numFmtId="0" fontId="56" fillId="13" borderId="0" xfId="0" applyFont="1" applyFill="1" applyAlignment="1" applyProtection="1">
      <alignment horizontal="center"/>
      <protection locked="0"/>
    </xf>
    <xf numFmtId="0" fontId="56" fillId="14" borderId="0" xfId="0" applyFont="1" applyFill="1" applyAlignment="1" applyProtection="1">
      <alignment horizontal="center"/>
      <protection locked="0"/>
    </xf>
    <xf numFmtId="0" fontId="56" fillId="14" borderId="0" xfId="0" applyNumberFormat="1" applyFont="1" applyFill="1" applyBorder="1" applyAlignment="1">
      <alignment horizontal="center"/>
    </xf>
    <xf numFmtId="0" fontId="56" fillId="0" borderId="0" xfId="0" applyFont="1" applyAlignment="1" applyProtection="1">
      <alignment horizontal="center"/>
      <protection locked="0"/>
    </xf>
    <xf numFmtId="0" fontId="40" fillId="0" borderId="0" xfId="0" applyNumberFormat="1" applyFont="1" applyProtection="1">
      <protection locked="0"/>
    </xf>
    <xf numFmtId="0" fontId="40" fillId="0" borderId="0" xfId="0" applyNumberFormat="1" applyFont="1"/>
    <xf numFmtId="9" fontId="40" fillId="0" borderId="0" xfId="0" applyNumberFormat="1" applyFont="1" applyProtection="1">
      <protection locked="0"/>
    </xf>
    <xf numFmtId="0" fontId="40" fillId="0" borderId="0" xfId="0" applyNumberFormat="1" applyFont="1" applyBorder="1" applyAlignment="1" applyProtection="1">
      <alignment shrinkToFit="1"/>
      <protection locked="0"/>
    </xf>
    <xf numFmtId="0" fontId="40" fillId="0" borderId="0" xfId="0" applyNumberFormat="1" applyFont="1" applyFill="1" applyBorder="1" applyAlignment="1" applyProtection="1">
      <alignment shrinkToFit="1"/>
      <protection locked="0"/>
    </xf>
    <xf numFmtId="0" fontId="40" fillId="0" borderId="0" xfId="0" applyFont="1"/>
    <xf numFmtId="0" fontId="56" fillId="13" borderId="0" xfId="0" applyNumberFormat="1" applyFont="1" applyFill="1" applyBorder="1" applyAlignment="1" applyProtection="1">
      <alignment horizontal="center"/>
      <protection locked="0"/>
    </xf>
    <xf numFmtId="0" fontId="40" fillId="0" borderId="0" xfId="0" applyNumberFormat="1" applyFont="1" applyBorder="1" applyAlignment="1" applyProtection="1">
      <protection locked="0"/>
    </xf>
    <xf numFmtId="0" fontId="56" fillId="13" borderId="0" xfId="0" applyNumberFormat="1" applyFont="1" applyFill="1" applyBorder="1" applyAlignment="1" applyProtection="1">
      <alignment horizontal="center" shrinkToFit="1"/>
      <protection locked="0"/>
    </xf>
    <xf numFmtId="0" fontId="56" fillId="14" borderId="0" xfId="0" applyFont="1" applyFill="1" applyProtection="1">
      <protection locked="0"/>
    </xf>
    <xf numFmtId="0" fontId="40" fillId="0" borderId="0" xfId="0" applyFont="1" applyAlignment="1" applyProtection="1">
      <alignment wrapText="1" shrinkToFit="1"/>
      <protection locked="0"/>
    </xf>
    <xf numFmtId="0" fontId="40" fillId="0" borderId="0" xfId="0" applyNumberFormat="1" applyFont="1" applyFill="1" applyBorder="1" applyAlignment="1" applyProtection="1">
      <alignment wrapText="1" shrinkToFit="1"/>
      <protection locked="0"/>
    </xf>
    <xf numFmtId="0" fontId="40" fillId="0" borderId="0" xfId="0" applyNumberFormat="1" applyFont="1" applyBorder="1" applyAlignment="1" applyProtection="1">
      <alignment shrinkToFit="1"/>
    </xf>
    <xf numFmtId="0" fontId="40" fillId="0" borderId="0" xfId="0" applyNumberFormat="1" applyFont="1" applyBorder="1" applyProtection="1"/>
    <xf numFmtId="0" fontId="40" fillId="0" borderId="0" xfId="11" applyFont="1" applyBorder="1" applyAlignment="1" applyProtection="1">
      <alignment horizontal="center"/>
      <protection locked="0"/>
    </xf>
    <xf numFmtId="0" fontId="56" fillId="14" borderId="0" xfId="14" applyFont="1" applyFill="1" applyAlignment="1" applyProtection="1">
      <alignment horizontal="center" wrapText="1" shrinkToFit="1"/>
      <protection locked="0"/>
    </xf>
    <xf numFmtId="0" fontId="40" fillId="0" borderId="0" xfId="0" applyFont="1" applyAlignment="1" applyProtection="1">
      <alignment horizontal="center"/>
      <protection locked="0"/>
    </xf>
    <xf numFmtId="178" fontId="40" fillId="0" borderId="0" xfId="0" applyNumberFormat="1" applyFont="1" applyAlignment="1" applyProtection="1">
      <alignment horizontal="center"/>
      <protection locked="0"/>
    </xf>
    <xf numFmtId="0" fontId="40" fillId="0" borderId="0" xfId="0" applyFont="1" applyAlignment="1" applyProtection="1">
      <alignment horizontal="center" wrapText="1" shrinkToFit="1"/>
      <protection locked="0"/>
    </xf>
    <xf numFmtId="180" fontId="43" fillId="0" borderId="0" xfId="0" applyNumberFormat="1" applyFont="1" applyFill="1" applyAlignment="1">
      <alignment horizontal="left"/>
    </xf>
    <xf numFmtId="0" fontId="44" fillId="0" borderId="0" xfId="0" applyFont="1" applyFill="1" applyAlignment="1">
      <alignment vertical="center"/>
    </xf>
    <xf numFmtId="0" fontId="44" fillId="0" borderId="0" xfId="0" applyFont="1" applyFill="1" applyAlignment="1"/>
    <xf numFmtId="0" fontId="43" fillId="0" borderId="0" xfId="0" applyFont="1" applyFill="1" applyAlignment="1">
      <alignment horizontal="left"/>
    </xf>
    <xf numFmtId="0" fontId="41" fillId="18" borderId="0" xfId="5" applyFont="1" applyFill="1" applyAlignment="1" applyProtection="1">
      <alignment horizontal="center"/>
      <protection locked="0"/>
    </xf>
    <xf numFmtId="179" fontId="0" fillId="18" borderId="0" xfId="0" applyNumberFormat="1" applyFill="1" applyAlignment="1" applyProtection="1">
      <alignment horizontal="center"/>
      <protection locked="0"/>
    </xf>
    <xf numFmtId="9" fontId="43" fillId="0" borderId="96" xfId="12" applyFont="1" applyFill="1" applyBorder="1" applyAlignment="1" applyProtection="1">
      <protection locked="0"/>
    </xf>
    <xf numFmtId="43" fontId="11" fillId="11" borderId="1" xfId="1" applyFont="1" applyFill="1" applyBorder="1" applyProtection="1">
      <protection locked="0"/>
    </xf>
    <xf numFmtId="168" fontId="4" fillId="0" borderId="1" xfId="3" applyNumberFormat="1" applyFont="1" applyFill="1" applyBorder="1" applyProtection="1">
      <protection locked="0"/>
    </xf>
    <xf numFmtId="0" fontId="6" fillId="6" borderId="1" xfId="11" applyFont="1" applyFill="1" applyBorder="1" applyProtection="1">
      <protection locked="0"/>
    </xf>
    <xf numFmtId="0" fontId="6" fillId="6" borderId="5" xfId="11" applyFont="1" applyFill="1" applyBorder="1" applyProtection="1">
      <protection locked="0"/>
    </xf>
    <xf numFmtId="0" fontId="2" fillId="6" borderId="1" xfId="11" applyFont="1" applyFill="1" applyBorder="1" applyAlignment="1" applyProtection="1">
      <alignment horizontal="center"/>
      <protection locked="0"/>
    </xf>
    <xf numFmtId="0" fontId="58" fillId="0" borderId="0" xfId="0" applyFont="1"/>
    <xf numFmtId="0" fontId="58" fillId="0" borderId="0" xfId="0" applyFont="1" applyAlignment="1">
      <alignment horizontal="right"/>
    </xf>
    <xf numFmtId="0" fontId="58" fillId="0" borderId="0" xfId="0" applyFont="1" applyBorder="1" applyAlignment="1">
      <alignment horizontal="center"/>
    </xf>
    <xf numFmtId="0" fontId="58" fillId="0" borderId="28" xfId="0" applyFont="1" applyBorder="1"/>
    <xf numFmtId="0" fontId="58" fillId="0" borderId="0" xfId="0" applyFont="1" applyBorder="1"/>
    <xf numFmtId="0" fontId="58" fillId="0" borderId="7" xfId="0" applyFont="1" applyBorder="1"/>
    <xf numFmtId="0" fontId="59" fillId="0" borderId="0" xfId="0" applyFont="1"/>
    <xf numFmtId="0" fontId="58" fillId="0" borderId="0" xfId="0" applyFont="1" applyAlignment="1">
      <alignment horizontal="center"/>
    </xf>
    <xf numFmtId="0" fontId="60" fillId="0" borderId="0" xfId="0" applyFont="1"/>
    <xf numFmtId="0" fontId="60" fillId="0" borderId="7" xfId="0" applyFont="1" applyBorder="1"/>
    <xf numFmtId="49" fontId="58" fillId="0" borderId="0" xfId="0" applyNumberFormat="1" applyFont="1" applyAlignment="1">
      <alignment horizontal="center"/>
    </xf>
    <xf numFmtId="0" fontId="60" fillId="0" borderId="28" xfId="0" applyFont="1" applyBorder="1"/>
    <xf numFmtId="3" fontId="6" fillId="0" borderId="102" xfId="0" applyNumberFormat="1" applyFont="1" applyBorder="1" applyAlignment="1" applyProtection="1">
      <alignment horizontal="center" wrapText="1"/>
      <protection locked="0"/>
    </xf>
    <xf numFmtId="179" fontId="2" fillId="18" borderId="0" xfId="0" applyNumberFormat="1" applyFont="1" applyFill="1" applyAlignment="1" applyProtection="1">
      <alignment horizontal="center"/>
      <protection locked="0"/>
    </xf>
    <xf numFmtId="0" fontId="6" fillId="0" borderId="26" xfId="0" applyFont="1" applyBorder="1" applyAlignment="1" applyProtection="1">
      <alignment wrapText="1"/>
      <protection locked="0"/>
    </xf>
    <xf numFmtId="2" fontId="19" fillId="0" borderId="0" xfId="0" applyNumberFormat="1" applyFont="1" applyBorder="1" applyAlignment="1" applyProtection="1">
      <alignment wrapText="1"/>
      <protection locked="0"/>
    </xf>
    <xf numFmtId="0" fontId="19" fillId="0" borderId="2" xfId="0" applyFont="1" applyBorder="1" applyAlignment="1" applyProtection="1">
      <alignment wrapText="1"/>
      <protection locked="0"/>
    </xf>
    <xf numFmtId="39" fontId="58" fillId="16" borderId="0" xfId="0" applyNumberFormat="1" applyFont="1" applyFill="1"/>
    <xf numFmtId="0" fontId="58" fillId="16" borderId="28" xfId="0" applyFont="1" applyFill="1" applyBorder="1"/>
    <xf numFmtId="10" fontId="61" fillId="16" borderId="28" xfId="0" applyNumberFormat="1" applyFont="1" applyFill="1" applyBorder="1"/>
    <xf numFmtId="0" fontId="58" fillId="16" borderId="0" xfId="0" applyFont="1" applyFill="1"/>
    <xf numFmtId="0" fontId="58" fillId="16" borderId="7" xfId="0" applyFont="1" applyFill="1" applyBorder="1"/>
    <xf numFmtId="0" fontId="58" fillId="16" borderId="28" xfId="0" applyFont="1" applyFill="1" applyBorder="1" applyAlignment="1">
      <alignment horizontal="center"/>
    </xf>
    <xf numFmtId="0" fontId="58" fillId="0" borderId="28" xfId="0" applyFont="1" applyFill="1" applyBorder="1" applyAlignment="1">
      <alignment horizontal="center"/>
    </xf>
    <xf numFmtId="0" fontId="43" fillId="0" borderId="103" xfId="0" applyFont="1" applyBorder="1" applyAlignment="1">
      <alignment wrapText="1"/>
    </xf>
    <xf numFmtId="0" fontId="0" fillId="0" borderId="1" xfId="0" applyBorder="1"/>
    <xf numFmtId="165" fontId="2" fillId="16" borderId="1" xfId="3" applyNumberFormat="1" applyFont="1" applyFill="1" applyBorder="1" applyAlignment="1" applyProtection="1">
      <alignment wrapText="1"/>
      <protection locked="0"/>
    </xf>
    <xf numFmtId="0" fontId="56" fillId="0" borderId="0" xfId="0" applyNumberFormat="1" applyFont="1" applyFill="1" applyBorder="1" applyAlignment="1" applyProtection="1">
      <alignment horizontal="center" shrinkToFit="1"/>
      <protection locked="0"/>
    </xf>
    <xf numFmtId="0" fontId="56" fillId="0" borderId="0" xfId="14" applyFont="1" applyFill="1" applyAlignment="1" applyProtection="1">
      <alignment horizontal="center" wrapText="1" shrinkToFit="1"/>
      <protection locked="0"/>
    </xf>
    <xf numFmtId="2" fontId="56" fillId="13" borderId="0" xfId="0" applyNumberFormat="1" applyFont="1" applyFill="1" applyAlignment="1" applyProtection="1">
      <alignment horizontal="center"/>
      <protection locked="0"/>
    </xf>
    <xf numFmtId="2" fontId="40" fillId="0" borderId="0" xfId="0" applyNumberFormat="1" applyFont="1" applyProtection="1">
      <protection locked="0"/>
    </xf>
    <xf numFmtId="0" fontId="2" fillId="16" borderId="49" xfId="0" applyFont="1" applyFill="1" applyBorder="1" applyProtection="1">
      <protection locked="0"/>
    </xf>
    <xf numFmtId="0" fontId="40" fillId="0" borderId="0" xfId="0" applyFont="1" applyAlignment="1" applyProtection="1">
      <alignment horizontal="left"/>
      <protection locked="0"/>
    </xf>
    <xf numFmtId="14" fontId="0" fillId="18" borderId="0" xfId="0" applyNumberFormat="1" applyFill="1" applyAlignment="1" applyProtection="1">
      <alignment horizontal="center"/>
      <protection locked="0"/>
    </xf>
    <xf numFmtId="1" fontId="0" fillId="18" borderId="0" xfId="0" applyNumberFormat="1" applyFill="1" applyAlignment="1" applyProtection="1">
      <alignment horizontal="center"/>
      <protection locked="0"/>
    </xf>
    <xf numFmtId="2" fontId="2" fillId="16" borderId="1" xfId="0" applyNumberFormat="1" applyFont="1" applyFill="1" applyBorder="1" applyAlignment="1" applyProtection="1">
      <alignment horizontal="center" wrapText="1"/>
      <protection locked="0"/>
    </xf>
    <xf numFmtId="2" fontId="2" fillId="25" borderId="1" xfId="0" applyNumberFormat="1" applyFont="1" applyFill="1" applyBorder="1" applyAlignment="1" applyProtection="1">
      <alignment wrapText="1"/>
      <protection locked="0"/>
    </xf>
    <xf numFmtId="3" fontId="2" fillId="25" borderId="1" xfId="0" applyNumberFormat="1" applyFont="1" applyFill="1" applyBorder="1" applyAlignment="1" applyProtection="1">
      <alignment wrapText="1"/>
      <protection locked="0"/>
    </xf>
    <xf numFmtId="165" fontId="2" fillId="25" borderId="41" xfId="3" applyNumberFormat="1" applyFont="1" applyFill="1" applyBorder="1" applyAlignment="1" applyProtection="1">
      <alignment wrapText="1"/>
      <protection locked="0"/>
    </xf>
    <xf numFmtId="4" fontId="2" fillId="25" borderId="41" xfId="0" applyNumberFormat="1" applyFont="1" applyFill="1" applyBorder="1" applyAlignment="1" applyProtection="1">
      <alignment wrapText="1"/>
      <protection locked="0"/>
    </xf>
    <xf numFmtId="0" fontId="40" fillId="0" borderId="0" xfId="0" applyFont="1" applyAlignment="1" applyProtection="1">
      <alignment horizontal="center" vertical="center"/>
      <protection locked="0"/>
    </xf>
    <xf numFmtId="9" fontId="40" fillId="0" borderId="0" xfId="12" applyFont="1" applyProtection="1">
      <protection locked="0"/>
    </xf>
    <xf numFmtId="9" fontId="2" fillId="25" borderId="1" xfId="12" applyFont="1" applyFill="1" applyBorder="1" applyAlignment="1" applyProtection="1">
      <alignment wrapText="1"/>
      <protection locked="0"/>
    </xf>
    <xf numFmtId="0" fontId="56" fillId="14" borderId="0" xfId="0" applyNumberFormat="1" applyFont="1" applyFill="1" applyAlignment="1" applyProtection="1">
      <alignment horizontal="center"/>
      <protection locked="0"/>
    </xf>
    <xf numFmtId="0" fontId="2" fillId="0" borderId="0" xfId="0" applyFont="1" applyAlignment="1" applyProtection="1">
      <alignment horizontal="center" vertical="center" wrapText="1"/>
      <protection locked="0"/>
    </xf>
    <xf numFmtId="0" fontId="29" fillId="0" borderId="0" xfId="0" applyFont="1" applyFill="1" applyBorder="1" applyAlignment="1" applyProtection="1">
      <alignment wrapText="1"/>
      <protection locked="0"/>
    </xf>
    <xf numFmtId="165" fontId="0" fillId="6" borderId="1" xfId="3" applyNumberFormat="1" applyFont="1" applyFill="1" applyBorder="1" applyAlignment="1" applyProtection="1">
      <alignment horizontal="center" wrapText="1"/>
      <protection locked="0"/>
    </xf>
    <xf numFmtId="0" fontId="0" fillId="0" borderId="0" xfId="0" applyAlignment="1" applyProtection="1">
      <alignment horizontal="center" vertical="center" wrapText="1"/>
      <protection locked="0"/>
    </xf>
    <xf numFmtId="18" fontId="4" fillId="2" borderId="0" xfId="0" applyNumberFormat="1" applyFont="1" applyFill="1" applyBorder="1" applyProtection="1">
      <protection locked="0"/>
    </xf>
    <xf numFmtId="165" fontId="63" fillId="0" borderId="0" xfId="0" applyNumberFormat="1" applyFont="1" applyBorder="1" applyAlignment="1" applyProtection="1">
      <alignment horizontal="center"/>
      <protection locked="0"/>
    </xf>
    <xf numFmtId="0" fontId="43" fillId="0" borderId="0" xfId="0" applyFont="1" applyFill="1" applyAlignment="1">
      <alignment horizontal="center"/>
    </xf>
    <xf numFmtId="0" fontId="46" fillId="0" borderId="0" xfId="0" applyFont="1" applyFill="1" applyAlignment="1">
      <alignment horizontal="center" vertical="center"/>
    </xf>
    <xf numFmtId="164" fontId="6" fillId="17" borderId="2" xfId="0" applyNumberFormat="1" applyFont="1" applyFill="1" applyBorder="1" applyAlignment="1" applyProtection="1">
      <alignment horizontal="center"/>
      <protection locked="0"/>
    </xf>
    <xf numFmtId="165" fontId="0" fillId="0" borderId="1" xfId="3" applyNumberFormat="1" applyFont="1" applyBorder="1" applyProtection="1">
      <protection locked="0"/>
    </xf>
    <xf numFmtId="164" fontId="6" fillId="0" borderId="50" xfId="0" applyNumberFormat="1" applyFont="1" applyBorder="1" applyAlignment="1" applyProtection="1">
      <alignment horizontal="center" vertical="center"/>
      <protection locked="0"/>
    </xf>
    <xf numFmtId="164" fontId="6" fillId="0" borderId="5" xfId="0" applyNumberFormat="1" applyFont="1" applyBorder="1" applyAlignment="1" applyProtection="1">
      <alignment horizontal="center" vertical="center"/>
      <protection locked="0"/>
    </xf>
    <xf numFmtId="0" fontId="2" fillId="0" borderId="85" xfId="0" applyFont="1" applyBorder="1" applyProtection="1">
      <protection locked="0"/>
    </xf>
    <xf numFmtId="165" fontId="2" fillId="0" borderId="39" xfId="0" applyNumberFormat="1" applyFont="1" applyBorder="1" applyProtection="1">
      <protection locked="0"/>
    </xf>
    <xf numFmtId="0" fontId="2" fillId="0" borderId="39" xfId="0" applyFont="1" applyBorder="1" applyProtection="1">
      <protection locked="0"/>
    </xf>
    <xf numFmtId="0" fontId="2" fillId="0" borderId="48" xfId="0" applyFont="1" applyBorder="1" applyProtection="1">
      <protection locked="0"/>
    </xf>
    <xf numFmtId="0" fontId="2" fillId="0" borderId="49" xfId="0" applyFont="1" applyBorder="1" applyProtection="1">
      <protection locked="0"/>
    </xf>
    <xf numFmtId="165" fontId="2" fillId="0" borderId="49" xfId="0" applyNumberFormat="1" applyFont="1" applyBorder="1" applyProtection="1">
      <protection locked="0"/>
    </xf>
    <xf numFmtId="0" fontId="0" fillId="26" borderId="0" xfId="0" applyFill="1" applyBorder="1" applyProtection="1">
      <protection locked="0"/>
    </xf>
    <xf numFmtId="0" fontId="2" fillId="26" borderId="2" xfId="0" applyFont="1" applyFill="1" applyBorder="1" applyProtection="1">
      <protection locked="0"/>
    </xf>
    <xf numFmtId="165" fontId="19" fillId="0" borderId="34" xfId="3" applyNumberFormat="1" applyFont="1" applyFill="1" applyBorder="1" applyAlignment="1" applyProtection="1"/>
    <xf numFmtId="165" fontId="19" fillId="0" borderId="35" xfId="3" applyNumberFormat="1" applyFont="1" applyFill="1" applyBorder="1" applyAlignment="1" applyProtection="1"/>
    <xf numFmtId="0" fontId="6" fillId="0" borderId="0" xfId="0" applyFont="1" applyBorder="1" applyAlignment="1" applyProtection="1">
      <alignment horizontal="right"/>
    </xf>
    <xf numFmtId="42" fontId="46" fillId="23" borderId="0" xfId="0" applyNumberFormat="1" applyFont="1" applyFill="1" applyBorder="1" applyAlignment="1" applyProtection="1">
      <alignment horizontal="center" vertical="center" wrapText="1"/>
      <protection locked="0"/>
    </xf>
    <xf numFmtId="0" fontId="19"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9" fillId="0" borderId="0" xfId="0" applyFont="1" applyAlignment="1" applyProtection="1">
      <alignment horizontal="center" vertical="center" wrapText="1"/>
      <protection locked="0"/>
    </xf>
    <xf numFmtId="165" fontId="0" fillId="18" borderId="1" xfId="3" applyNumberFormat="1" applyFont="1" applyFill="1" applyBorder="1" applyAlignment="1" applyProtection="1">
      <alignment horizontal="center" wrapText="1"/>
      <protection locked="0"/>
    </xf>
    <xf numFmtId="165" fontId="19" fillId="18" borderId="1" xfId="3" applyNumberFormat="1" applyFont="1" applyFill="1" applyBorder="1" applyAlignment="1" applyProtection="1">
      <protection locked="0"/>
    </xf>
    <xf numFmtId="44" fontId="0" fillId="18" borderId="6" xfId="3" applyFont="1" applyFill="1" applyBorder="1" applyAlignment="1" applyProtection="1">
      <alignment wrapText="1"/>
      <protection locked="0"/>
    </xf>
    <xf numFmtId="42" fontId="19" fillId="18" borderId="1" xfId="0" applyNumberFormat="1" applyFont="1" applyFill="1" applyBorder="1" applyAlignment="1" applyProtection="1">
      <protection locked="0"/>
    </xf>
    <xf numFmtId="165" fontId="0" fillId="20" borderId="1" xfId="3" applyNumberFormat="1" applyFont="1" applyFill="1" applyBorder="1" applyAlignment="1" applyProtection="1">
      <alignment wrapText="1"/>
      <protection locked="0"/>
    </xf>
    <xf numFmtId="44" fontId="0" fillId="20" borderId="1" xfId="3" applyFont="1" applyFill="1" applyBorder="1" applyAlignment="1" applyProtection="1">
      <alignment horizontal="center" wrapText="1"/>
      <protection locked="0"/>
    </xf>
    <xf numFmtId="165" fontId="19" fillId="20" borderId="1" xfId="3" applyNumberFormat="1" applyFont="1" applyFill="1" applyBorder="1" applyAlignment="1" applyProtection="1">
      <protection locked="0"/>
    </xf>
    <xf numFmtId="165" fontId="0" fillId="20" borderId="1" xfId="3" applyNumberFormat="1" applyFont="1" applyFill="1" applyBorder="1" applyAlignment="1" applyProtection="1">
      <alignment horizontal="center" wrapText="1"/>
      <protection locked="0"/>
    </xf>
    <xf numFmtId="165" fontId="0" fillId="27" borderId="1" xfId="3" applyNumberFormat="1" applyFont="1" applyFill="1" applyBorder="1" applyAlignment="1" applyProtection="1">
      <alignment wrapText="1"/>
      <protection locked="0"/>
    </xf>
    <xf numFmtId="44" fontId="0" fillId="27" borderId="1" xfId="3" applyFont="1" applyFill="1" applyBorder="1" applyAlignment="1" applyProtection="1">
      <alignment horizontal="center" wrapText="1"/>
      <protection locked="0"/>
    </xf>
    <xf numFmtId="165" fontId="19" fillId="27" borderId="1" xfId="3" applyNumberFormat="1" applyFont="1" applyFill="1" applyBorder="1" applyAlignment="1" applyProtection="1">
      <protection locked="0"/>
    </xf>
    <xf numFmtId="165" fontId="19" fillId="0" borderId="1" xfId="3" applyNumberFormat="1" applyFont="1" applyFill="1" applyBorder="1" applyAlignment="1" applyProtection="1">
      <protection locked="0"/>
    </xf>
    <xf numFmtId="165" fontId="0" fillId="27" borderId="1" xfId="3" applyNumberFormat="1" applyFont="1" applyFill="1" applyBorder="1" applyAlignment="1" applyProtection="1">
      <alignment horizontal="center" wrapText="1"/>
      <protection locked="0"/>
    </xf>
    <xf numFmtId="5" fontId="2" fillId="0" borderId="13" xfId="0" applyNumberFormat="1" applyFont="1" applyFill="1" applyBorder="1" applyAlignment="1" applyProtection="1">
      <alignment wrapText="1"/>
      <protection locked="0"/>
    </xf>
    <xf numFmtId="0" fontId="2" fillId="16" borderId="10" xfId="0" applyFont="1" applyFill="1" applyBorder="1" applyAlignment="1" applyProtection="1">
      <alignment wrapText="1"/>
      <protection locked="0"/>
    </xf>
    <xf numFmtId="9" fontId="2" fillId="25" borderId="13" xfId="12" applyFont="1" applyFill="1" applyBorder="1" applyAlignment="1" applyProtection="1">
      <alignment wrapText="1"/>
      <protection locked="0"/>
    </xf>
    <xf numFmtId="0" fontId="6" fillId="0" borderId="40" xfId="0" applyFont="1" applyBorder="1" applyAlignment="1" applyProtection="1">
      <alignment horizontal="center" vertical="center" wrapText="1"/>
      <protection locked="0"/>
    </xf>
    <xf numFmtId="0" fontId="6" fillId="0" borderId="41" xfId="0" applyFont="1" applyBorder="1" applyAlignment="1" applyProtection="1">
      <alignment horizontal="center" vertical="center" wrapText="1"/>
      <protection locked="0"/>
    </xf>
    <xf numFmtId="3" fontId="6" fillId="0" borderId="41" xfId="0" applyNumberFormat="1" applyFont="1" applyBorder="1" applyAlignment="1" applyProtection="1">
      <alignment horizontal="center" vertical="center" wrapText="1"/>
      <protection locked="0"/>
    </xf>
    <xf numFmtId="0" fontId="6" fillId="0" borderId="42" xfId="0" applyFont="1" applyBorder="1" applyAlignment="1" applyProtection="1">
      <alignment horizontal="center" vertical="center" wrapText="1"/>
      <protection locked="0"/>
    </xf>
    <xf numFmtId="165" fontId="2" fillId="16" borderId="5" xfId="3" applyNumberFormat="1" applyFont="1" applyFill="1" applyBorder="1" applyAlignment="1" applyProtection="1">
      <alignment wrapText="1"/>
      <protection locked="0"/>
    </xf>
    <xf numFmtId="0" fontId="2" fillId="0" borderId="38"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wrapText="1"/>
      <protection locked="0"/>
    </xf>
    <xf numFmtId="0" fontId="2" fillId="0" borderId="47" xfId="0" applyFont="1" applyBorder="1" applyAlignment="1" applyProtection="1">
      <alignment horizontal="center" vertical="center" wrapText="1"/>
      <protection locked="0"/>
    </xf>
    <xf numFmtId="0" fontId="6" fillId="6" borderId="6" xfId="0" applyFont="1" applyFill="1" applyBorder="1" applyAlignment="1" applyProtection="1">
      <alignment horizontal="center" vertical="center" wrapText="1"/>
      <protection locked="0"/>
    </xf>
    <xf numFmtId="0" fontId="2" fillId="0" borderId="50" xfId="0" applyFont="1" applyBorder="1" applyAlignment="1" applyProtection="1">
      <alignment horizontal="center" vertical="center" wrapText="1"/>
      <protection locked="0"/>
    </xf>
    <xf numFmtId="0" fontId="2" fillId="0" borderId="47" xfId="0" applyFont="1" applyFill="1" applyBorder="1" applyAlignment="1" applyProtection="1">
      <alignment horizontal="center" vertical="center" wrapText="1"/>
      <protection locked="0"/>
    </xf>
    <xf numFmtId="2" fontId="2" fillId="0" borderId="39"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2" fontId="2" fillId="0" borderId="13" xfId="0" applyNumberFormat="1" applyFont="1" applyBorder="1" applyAlignment="1" applyProtection="1">
      <alignment horizontal="right"/>
      <protection locked="0"/>
    </xf>
    <xf numFmtId="3" fontId="2" fillId="0" borderId="1" xfId="0" applyNumberFormat="1" applyFont="1" applyBorder="1" applyAlignment="1" applyProtection="1">
      <alignment wrapText="1"/>
    </xf>
    <xf numFmtId="2" fontId="6" fillId="0" borderId="41" xfId="0" applyNumberFormat="1" applyFont="1" applyBorder="1" applyAlignment="1" applyProtection="1">
      <alignment wrapText="1"/>
    </xf>
    <xf numFmtId="3" fontId="6" fillId="0" borderId="41" xfId="0" applyNumberFormat="1" applyFont="1" applyBorder="1" applyAlignment="1" applyProtection="1">
      <alignment wrapText="1"/>
    </xf>
    <xf numFmtId="3" fontId="6" fillId="0" borderId="41" xfId="0" applyNumberFormat="1" applyFont="1" applyFill="1" applyBorder="1" applyAlignment="1" applyProtection="1">
      <alignment wrapText="1"/>
    </xf>
    <xf numFmtId="3" fontId="6" fillId="0" borderId="42" xfId="0" applyNumberFormat="1" applyFont="1" applyFill="1" applyBorder="1" applyAlignment="1" applyProtection="1">
      <alignment wrapText="1"/>
    </xf>
    <xf numFmtId="3" fontId="6" fillId="0" borderId="42" xfId="0" applyNumberFormat="1" applyFont="1" applyBorder="1" applyAlignment="1" applyProtection="1">
      <alignment wrapText="1"/>
    </xf>
    <xf numFmtId="3" fontId="2" fillId="0" borderId="0" xfId="0" applyNumberFormat="1" applyFont="1" applyAlignment="1" applyProtection="1">
      <alignment wrapText="1"/>
    </xf>
    <xf numFmtId="0" fontId="2" fillId="0" borderId="0" xfId="0" applyFont="1" applyAlignment="1" applyProtection="1">
      <alignment horizontal="center"/>
      <protection locked="0"/>
    </xf>
    <xf numFmtId="0" fontId="0" fillId="0" borderId="0" xfId="0" applyAlignment="1" applyProtection="1">
      <alignment horizontal="center" wrapText="1"/>
      <protection locked="0"/>
    </xf>
    <xf numFmtId="0" fontId="54" fillId="0" borderId="0" xfId="0" applyFont="1" applyAlignment="1">
      <alignment vertical="center"/>
    </xf>
    <xf numFmtId="0" fontId="54" fillId="0" borderId="0" xfId="0" applyFont="1" applyAlignment="1">
      <alignment horizontal="left" vertical="center"/>
    </xf>
    <xf numFmtId="0" fontId="54" fillId="0" borderId="0" xfId="0" applyFont="1" applyAlignment="1">
      <alignment horizontal="left" vertical="center" indent="5"/>
    </xf>
    <xf numFmtId="0" fontId="0" fillId="0" borderId="44" xfId="0"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Fill="1" applyBorder="1"/>
    <xf numFmtId="2" fontId="2" fillId="0" borderId="0" xfId="0" applyNumberFormat="1" applyFont="1" applyAlignment="1" applyProtection="1">
      <alignment horizontal="center"/>
      <protection locked="0"/>
    </xf>
    <xf numFmtId="0" fontId="39" fillId="0" borderId="8" xfId="0" applyFont="1" applyBorder="1" applyAlignment="1"/>
    <xf numFmtId="0" fontId="39" fillId="0" borderId="7" xfId="0" applyFont="1" applyBorder="1" applyAlignment="1"/>
    <xf numFmtId="0" fontId="6" fillId="0" borderId="1" xfId="0" applyFont="1" applyBorder="1"/>
    <xf numFmtId="0" fontId="6" fillId="0" borderId="44" xfId="0" applyFont="1" applyBorder="1"/>
    <xf numFmtId="3" fontId="0" fillId="0" borderId="0" xfId="0" applyNumberFormat="1" applyAlignment="1" applyProtection="1">
      <alignment horizontal="center"/>
      <protection locked="0"/>
    </xf>
    <xf numFmtId="0" fontId="19" fillId="0" borderId="30" xfId="0" applyFont="1" applyBorder="1" applyAlignment="1" applyProtection="1">
      <alignment horizontal="center" wrapText="1"/>
      <protection locked="0"/>
    </xf>
    <xf numFmtId="0" fontId="0" fillId="0" borderId="29" xfId="0" applyBorder="1" applyAlignment="1" applyProtection="1">
      <alignment horizontal="center" wrapText="1"/>
      <protection locked="0"/>
    </xf>
    <xf numFmtId="0" fontId="2" fillId="0" borderId="1" xfId="0" applyFont="1" applyBorder="1" applyAlignment="1">
      <alignment horizontal="center"/>
    </xf>
    <xf numFmtId="0" fontId="0" fillId="22" borderId="1" xfId="0" applyFill="1" applyBorder="1" applyAlignment="1">
      <alignment horizontal="center"/>
    </xf>
    <xf numFmtId="0" fontId="0" fillId="0" borderId="0" xfId="0" applyAlignment="1">
      <alignment horizontal="left"/>
    </xf>
    <xf numFmtId="0" fontId="2" fillId="0" borderId="5" xfId="0" applyFont="1" applyBorder="1" applyAlignment="1">
      <alignment horizontal="center"/>
    </xf>
    <xf numFmtId="0" fontId="0" fillId="0" borderId="5" xfId="0" applyFill="1" applyBorder="1"/>
    <xf numFmtId="0" fontId="6" fillId="0" borderId="5" xfId="0" applyFont="1" applyBorder="1"/>
    <xf numFmtId="0" fontId="6" fillId="0" borderId="31" xfId="0" applyFont="1" applyBorder="1"/>
    <xf numFmtId="3" fontId="0" fillId="0" borderId="43" xfId="0" applyNumberFormat="1" applyBorder="1" applyAlignment="1">
      <alignment horizontal="center"/>
    </xf>
    <xf numFmtId="0" fontId="39" fillId="0" borderId="39" xfId="0" applyFont="1" applyBorder="1" applyAlignment="1">
      <alignment horizontal="center"/>
    </xf>
    <xf numFmtId="0" fontId="2" fillId="0" borderId="0" xfId="0" applyFont="1" applyAlignment="1" applyProtection="1">
      <alignment horizontal="center" wrapText="1"/>
      <protection locked="0"/>
    </xf>
    <xf numFmtId="0" fontId="6" fillId="2" borderId="64" xfId="0" applyFont="1" applyFill="1" applyBorder="1" applyAlignment="1" applyProtection="1">
      <protection locked="0"/>
    </xf>
    <xf numFmtId="0" fontId="6" fillId="2" borderId="63" xfId="0" applyFont="1" applyFill="1" applyBorder="1" applyAlignment="1" applyProtection="1">
      <protection locked="0"/>
    </xf>
    <xf numFmtId="164" fontId="6" fillId="0" borderId="0" xfId="0" applyNumberFormat="1" applyFont="1" applyFill="1" applyBorder="1" applyAlignment="1" applyProtection="1">
      <alignment horizontal="center" vertical="center"/>
      <protection locked="0"/>
    </xf>
    <xf numFmtId="10" fontId="0" fillId="26" borderId="0" xfId="0" applyNumberFormat="1" applyFill="1" applyBorder="1" applyProtection="1">
      <protection locked="0"/>
    </xf>
    <xf numFmtId="0" fontId="0" fillId="29" borderId="0" xfId="0" applyFill="1"/>
    <xf numFmtId="165" fontId="0" fillId="0" borderId="0" xfId="0" applyNumberFormat="1"/>
    <xf numFmtId="44" fontId="0" fillId="7" borderId="0" xfId="0" applyNumberFormat="1" applyFill="1"/>
    <xf numFmtId="44" fontId="0" fillId="15" borderId="0" xfId="0" applyNumberFormat="1" applyFill="1"/>
    <xf numFmtId="165" fontId="0" fillId="25" borderId="0" xfId="0" applyNumberFormat="1" applyFill="1"/>
    <xf numFmtId="165" fontId="0" fillId="26" borderId="0" xfId="0" applyNumberFormat="1" applyFill="1" applyBorder="1" applyProtection="1">
      <protection locked="0"/>
    </xf>
    <xf numFmtId="165" fontId="0" fillId="0" borderId="0" xfId="3" applyNumberFormat="1" applyFont="1"/>
    <xf numFmtId="0" fontId="2" fillId="0" borderId="0" xfId="0" applyFont="1" applyFill="1" applyAlignment="1" applyProtection="1">
      <protection locked="0"/>
    </xf>
    <xf numFmtId="2" fontId="2" fillId="0" borderId="1" xfId="0" applyNumberFormat="1" applyFont="1" applyBorder="1" applyAlignment="1" applyProtection="1">
      <alignment horizontal="right"/>
    </xf>
    <xf numFmtId="2" fontId="2" fillId="8" borderId="26" xfId="0" applyNumberFormat="1" applyFont="1" applyFill="1" applyBorder="1" applyAlignment="1" applyProtection="1">
      <alignment horizontal="center" wrapText="1"/>
      <protection locked="0"/>
    </xf>
    <xf numFmtId="1" fontId="6" fillId="0" borderId="41" xfId="0" applyNumberFormat="1" applyFont="1" applyBorder="1" applyAlignment="1" applyProtection="1">
      <alignment wrapText="1"/>
      <protection locked="0"/>
    </xf>
    <xf numFmtId="165" fontId="6" fillId="0" borderId="41" xfId="3" applyNumberFormat="1" applyFont="1" applyBorder="1" applyAlignment="1" applyProtection="1">
      <alignment wrapText="1"/>
      <protection locked="0"/>
    </xf>
    <xf numFmtId="165" fontId="2" fillId="0" borderId="13" xfId="3" applyNumberFormat="1" applyFont="1" applyFill="1" applyBorder="1" applyAlignment="1" applyProtection="1">
      <alignment wrapText="1"/>
      <protection locked="0"/>
    </xf>
    <xf numFmtId="165" fontId="2" fillId="25" borderId="1" xfId="3" applyNumberFormat="1" applyFont="1" applyFill="1" applyBorder="1" applyAlignment="1" applyProtection="1">
      <alignment wrapText="1"/>
      <protection locked="0"/>
    </xf>
    <xf numFmtId="0" fontId="2" fillId="25" borderId="1" xfId="0" applyFont="1" applyFill="1" applyBorder="1" applyAlignment="1" applyProtection="1">
      <alignment horizontal="center" wrapText="1"/>
      <protection locked="0"/>
    </xf>
    <xf numFmtId="3" fontId="6" fillId="0" borderId="102" xfId="0" applyNumberFormat="1" applyFont="1" applyFill="1" applyBorder="1" applyAlignment="1" applyProtection="1">
      <alignment horizontal="center" wrapText="1"/>
      <protection locked="0"/>
    </xf>
    <xf numFmtId="4" fontId="19" fillId="0" borderId="42" xfId="0" applyNumberFormat="1" applyFont="1" applyFill="1" applyBorder="1" applyAlignment="1" applyProtection="1">
      <alignment wrapText="1"/>
      <protection locked="0"/>
    </xf>
    <xf numFmtId="2" fontId="43" fillId="0" borderId="34" xfId="12" applyNumberFormat="1" applyFont="1" applyFill="1" applyBorder="1" applyAlignment="1" applyProtection="1">
      <protection locked="0"/>
    </xf>
    <xf numFmtId="41" fontId="46" fillId="23" borderId="96" xfId="0" applyNumberFormat="1" applyFont="1" applyFill="1" applyBorder="1" applyAlignment="1" applyProtection="1">
      <alignment vertical="center"/>
      <protection locked="0"/>
    </xf>
    <xf numFmtId="0" fontId="0" fillId="0" borderId="1" xfId="0" applyBorder="1" applyAlignment="1">
      <alignment horizontal="center"/>
    </xf>
    <xf numFmtId="0" fontId="0" fillId="0" borderId="0" xfId="0" applyFill="1" applyBorder="1" applyAlignment="1" applyProtection="1">
      <alignment horizontal="center" wrapText="1"/>
      <protection locked="0"/>
    </xf>
    <xf numFmtId="0" fontId="19" fillId="0" borderId="0" xfId="0" applyFont="1" applyAlignment="1" applyProtection="1">
      <alignment horizontal="center" wrapText="1"/>
      <protection locked="0"/>
    </xf>
    <xf numFmtId="0" fontId="6" fillId="0" borderId="102" xfId="0" applyFont="1" applyBorder="1" applyAlignment="1" applyProtection="1">
      <alignment horizontal="center" vertical="center" wrapText="1"/>
      <protection locked="0"/>
    </xf>
    <xf numFmtId="3" fontId="6" fillId="0" borderId="102" xfId="0" applyNumberFormat="1" applyFont="1" applyFill="1" applyBorder="1" applyAlignment="1" applyProtection="1">
      <alignment wrapText="1"/>
    </xf>
    <xf numFmtId="0" fontId="2" fillId="0" borderId="104" xfId="0" applyFont="1" applyFill="1" applyBorder="1" applyAlignment="1" applyProtection="1">
      <alignment horizontal="center" vertical="center" wrapText="1"/>
      <protection locked="0"/>
    </xf>
    <xf numFmtId="3" fontId="2" fillId="0" borderId="5" xfId="0" applyNumberFormat="1" applyFont="1" applyBorder="1" applyAlignment="1" applyProtection="1">
      <alignment wrapText="1"/>
    </xf>
    <xf numFmtId="2" fontId="2" fillId="0" borderId="5" xfId="0" applyNumberFormat="1" applyFont="1" applyBorder="1" applyAlignment="1" applyProtection="1">
      <alignment horizontal="right"/>
    </xf>
    <xf numFmtId="2" fontId="2" fillId="0" borderId="5" xfId="0" applyNumberFormat="1" applyFont="1" applyBorder="1" applyAlignment="1" applyProtection="1">
      <alignment horizontal="right"/>
      <protection locked="0"/>
    </xf>
    <xf numFmtId="9" fontId="2" fillId="16" borderId="31" xfId="0" applyNumberFormat="1" applyFont="1" applyFill="1" applyBorder="1" applyAlignment="1" applyProtection="1">
      <alignment wrapText="1"/>
      <protection locked="0"/>
    </xf>
    <xf numFmtId="1" fontId="0" fillId="0" borderId="47" xfId="0" applyNumberFormat="1" applyBorder="1" applyAlignment="1">
      <alignment horizontal="center"/>
    </xf>
    <xf numFmtId="1" fontId="2" fillId="0" borderId="1" xfId="0" applyNumberFormat="1" applyFont="1" applyBorder="1" applyAlignment="1" applyProtection="1">
      <alignment horizontal="center" wrapText="1"/>
      <protection locked="0"/>
    </xf>
    <xf numFmtId="0" fontId="2" fillId="0" borderId="44" xfId="0" applyFont="1" applyBorder="1" applyAlignment="1" applyProtection="1">
      <alignment horizontal="center" wrapText="1"/>
      <protection locked="0"/>
    </xf>
    <xf numFmtId="0" fontId="2" fillId="0" borderId="48" xfId="0" applyFont="1" applyBorder="1" applyAlignment="1" applyProtection="1">
      <alignment wrapText="1"/>
      <protection locked="0"/>
    </xf>
    <xf numFmtId="0" fontId="2" fillId="0" borderId="49" xfId="0" applyFont="1" applyBorder="1" applyAlignment="1" applyProtection="1">
      <alignment wrapText="1"/>
      <protection locked="0"/>
    </xf>
    <xf numFmtId="0" fontId="2" fillId="0" borderId="45" xfId="0" applyFont="1" applyBorder="1" applyAlignment="1" applyProtection="1">
      <alignment horizontal="center" wrapText="1"/>
      <protection locked="0"/>
    </xf>
    <xf numFmtId="0" fontId="2" fillId="0" borderId="83" xfId="0" applyFont="1" applyBorder="1" applyAlignment="1" applyProtection="1">
      <alignment wrapText="1"/>
      <protection locked="0"/>
    </xf>
    <xf numFmtId="0" fontId="2" fillId="0" borderId="84" xfId="0" applyFont="1" applyBorder="1" applyAlignment="1" applyProtection="1">
      <alignment wrapText="1"/>
      <protection locked="0"/>
    </xf>
    <xf numFmtId="0" fontId="2" fillId="0" borderId="112" xfId="0" applyFont="1" applyBorder="1" applyAlignment="1" applyProtection="1">
      <alignment horizontal="center" wrapText="1"/>
      <protection locked="0"/>
    </xf>
    <xf numFmtId="0" fontId="2" fillId="0" borderId="40" xfId="0" applyFont="1" applyBorder="1" applyAlignment="1" applyProtection="1">
      <alignment wrapText="1"/>
      <protection locked="0"/>
    </xf>
    <xf numFmtId="0" fontId="2" fillId="0" borderId="41" xfId="0" applyFont="1" applyBorder="1" applyAlignment="1" applyProtection="1">
      <alignment wrapText="1"/>
      <protection locked="0"/>
    </xf>
    <xf numFmtId="0" fontId="2" fillId="0" borderId="42" xfId="0" applyFont="1" applyBorder="1" applyAlignment="1" applyProtection="1">
      <alignment horizontal="center" wrapText="1"/>
      <protection locked="0"/>
    </xf>
    <xf numFmtId="9" fontId="0" fillId="6" borderId="26" xfId="12" applyFont="1" applyFill="1" applyBorder="1" applyProtection="1">
      <protection locked="0"/>
    </xf>
    <xf numFmtId="0" fontId="21" fillId="0" borderId="2" xfId="0" applyFont="1" applyBorder="1" applyProtection="1">
      <protection locked="0"/>
    </xf>
    <xf numFmtId="0" fontId="6" fillId="0" borderId="0" xfId="0" applyFont="1" applyBorder="1" applyProtection="1"/>
    <xf numFmtId="0" fontId="21" fillId="0" borderId="0" xfId="0" applyFont="1" applyBorder="1" applyProtection="1">
      <protection locked="0"/>
    </xf>
    <xf numFmtId="44" fontId="0" fillId="0" borderId="0" xfId="3" applyFont="1" applyBorder="1" applyProtection="1">
      <protection locked="0"/>
    </xf>
    <xf numFmtId="0" fontId="0" fillId="0" borderId="0" xfId="0" applyBorder="1" applyProtection="1">
      <protection locked="0"/>
    </xf>
    <xf numFmtId="165" fontId="0" fillId="0" borderId="0" xfId="3" applyNumberFormat="1" applyFont="1" applyBorder="1" applyProtection="1">
      <protection locked="0"/>
    </xf>
    <xf numFmtId="0" fontId="0" fillId="0" borderId="3" xfId="0" applyBorder="1" applyProtection="1">
      <protection locked="0"/>
    </xf>
    <xf numFmtId="0" fontId="6" fillId="0" borderId="2" xfId="0" applyFont="1" applyBorder="1" applyProtection="1">
      <protection locked="0"/>
    </xf>
    <xf numFmtId="0" fontId="6" fillId="0" borderId="0" xfId="0" applyFont="1" applyBorder="1" applyAlignment="1" applyProtection="1">
      <alignment horizontal="center"/>
      <protection locked="0"/>
    </xf>
    <xf numFmtId="0" fontId="21" fillId="0" borderId="2" xfId="0" applyFont="1" applyBorder="1" applyAlignment="1" applyProtection="1">
      <alignment horizontal="center"/>
      <protection locked="0"/>
    </xf>
    <xf numFmtId="0" fontId="21" fillId="0" borderId="0" xfId="0" applyFont="1" applyBorder="1" applyAlignment="1" applyProtection="1">
      <alignment horizontal="center"/>
      <protection locked="0"/>
    </xf>
    <xf numFmtId="44" fontId="21" fillId="0" borderId="0" xfId="3" applyFont="1" applyBorder="1" applyAlignment="1" applyProtection="1">
      <protection locked="0"/>
    </xf>
    <xf numFmtId="0" fontId="21" fillId="0" borderId="3" xfId="0" applyFont="1" applyBorder="1" applyProtection="1">
      <protection locked="0"/>
    </xf>
    <xf numFmtId="10" fontId="21" fillId="25" borderId="0" xfId="12" applyNumberFormat="1" applyFont="1" applyFill="1" applyBorder="1" applyProtection="1">
      <protection locked="0"/>
    </xf>
    <xf numFmtId="0" fontId="21" fillId="0" borderId="20" xfId="0" applyFont="1" applyFill="1" applyBorder="1" applyProtection="1">
      <protection locked="0"/>
    </xf>
    <xf numFmtId="0" fontId="21" fillId="0" borderId="24" xfId="0" applyFont="1" applyFill="1" applyBorder="1" applyProtection="1">
      <protection locked="0"/>
    </xf>
    <xf numFmtId="0" fontId="21" fillId="0" borderId="24" xfId="0" applyFont="1" applyFill="1" applyBorder="1" applyAlignment="1" applyProtection="1">
      <alignment horizontal="center" vertical="center"/>
      <protection locked="0"/>
    </xf>
    <xf numFmtId="2" fontId="21" fillId="0" borderId="20" xfId="0" applyNumberFormat="1" applyFont="1" applyFill="1" applyBorder="1" applyProtection="1">
      <protection locked="0"/>
    </xf>
    <xf numFmtId="0" fontId="21" fillId="0" borderId="113" xfId="0" applyFont="1" applyBorder="1" applyProtection="1">
      <protection locked="0"/>
    </xf>
    <xf numFmtId="0" fontId="21" fillId="0" borderId="84" xfId="0" applyFont="1" applyBorder="1" applyProtection="1">
      <protection locked="0"/>
    </xf>
    <xf numFmtId="43" fontId="6" fillId="0" borderId="10" xfId="1" applyFont="1" applyBorder="1" applyProtection="1"/>
    <xf numFmtId="170" fontId="0" fillId="0" borderId="0" xfId="0" applyNumberFormat="1" applyBorder="1" applyProtection="1">
      <protection locked="0"/>
    </xf>
    <xf numFmtId="170" fontId="21" fillId="0" borderId="0" xfId="0" applyNumberFormat="1" applyFont="1" applyBorder="1" applyProtection="1">
      <protection locked="0"/>
    </xf>
    <xf numFmtId="43" fontId="6" fillId="0" borderId="0" xfId="1" applyFont="1" applyBorder="1" applyProtection="1"/>
    <xf numFmtId="43" fontId="6" fillId="0" borderId="0" xfId="1" applyFont="1" applyBorder="1" applyProtection="1">
      <protection locked="0"/>
    </xf>
    <xf numFmtId="170" fontId="21" fillId="0" borderId="24" xfId="0" applyNumberFormat="1" applyFont="1" applyFill="1" applyBorder="1" applyProtection="1">
      <protection locked="0"/>
    </xf>
    <xf numFmtId="9" fontId="0" fillId="6" borderId="33" xfId="12" applyFont="1" applyFill="1" applyBorder="1" applyProtection="1">
      <protection locked="0"/>
    </xf>
    <xf numFmtId="0" fontId="0" fillId="4" borderId="53" xfId="0" applyFill="1" applyBorder="1" applyProtection="1">
      <protection locked="0"/>
    </xf>
    <xf numFmtId="0" fontId="0" fillId="4" borderId="10" xfId="0" applyFill="1" applyBorder="1" applyProtection="1">
      <protection locked="0"/>
    </xf>
    <xf numFmtId="0" fontId="21" fillId="4" borderId="10" xfId="0" applyFont="1" applyFill="1" applyBorder="1" applyProtection="1">
      <protection locked="0"/>
    </xf>
    <xf numFmtId="0" fontId="21" fillId="4" borderId="84" xfId="0" applyFont="1" applyFill="1" applyBorder="1" applyProtection="1">
      <protection locked="0"/>
    </xf>
    <xf numFmtId="165" fontId="21" fillId="0" borderId="0" xfId="3" applyNumberFormat="1" applyFont="1" applyBorder="1" applyAlignment="1" applyProtection="1"/>
    <xf numFmtId="2" fontId="6" fillId="0" borderId="0" xfId="3" applyNumberFormat="1" applyFont="1" applyBorder="1" applyProtection="1"/>
    <xf numFmtId="165" fontId="21" fillId="0" borderId="0" xfId="3" applyNumberFormat="1" applyFont="1" applyBorder="1" applyAlignment="1" applyProtection="1">
      <protection locked="0"/>
    </xf>
    <xf numFmtId="170" fontId="21" fillId="0" borderId="53" xfId="0" applyNumberFormat="1" applyFont="1" applyBorder="1" applyProtection="1">
      <protection locked="0"/>
    </xf>
    <xf numFmtId="44" fontId="21" fillId="0" borderId="24" xfId="3" applyFont="1" applyBorder="1" applyAlignment="1" applyProtection="1">
      <alignment horizontal="center"/>
      <protection locked="0"/>
    </xf>
    <xf numFmtId="0" fontId="21" fillId="0" borderId="24" xfId="0" applyFont="1" applyBorder="1" applyAlignment="1" applyProtection="1">
      <alignment horizontal="center"/>
      <protection locked="0"/>
    </xf>
    <xf numFmtId="165" fontId="21" fillId="0" borderId="24" xfId="3" applyNumberFormat="1" applyFont="1" applyBorder="1" applyAlignment="1" applyProtection="1">
      <alignment horizontal="center"/>
      <protection locked="0"/>
    </xf>
    <xf numFmtId="0" fontId="21" fillId="0" borderId="19"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21" fillId="0" borderId="23" xfId="0" applyFont="1" applyBorder="1" applyProtection="1">
      <protection locked="0"/>
    </xf>
    <xf numFmtId="0" fontId="6" fillId="0" borderId="25" xfId="0" applyFont="1" applyBorder="1" applyAlignment="1" applyProtection="1">
      <alignment horizontal="left"/>
    </xf>
    <xf numFmtId="0" fontId="21" fillId="0" borderId="25" xfId="0" applyFont="1" applyBorder="1" applyProtection="1">
      <protection locked="0"/>
    </xf>
    <xf numFmtId="169" fontId="0" fillId="0" borderId="22" xfId="0" applyNumberFormat="1" applyBorder="1" applyProtection="1">
      <protection locked="0"/>
    </xf>
    <xf numFmtId="2" fontId="0" fillId="0" borderId="23" xfId="0" applyNumberFormat="1" applyBorder="1" applyProtection="1">
      <protection locked="0"/>
    </xf>
    <xf numFmtId="165" fontId="0" fillId="0" borderId="25" xfId="3" applyNumberFormat="1" applyFont="1" applyBorder="1" applyProtection="1">
      <protection locked="0"/>
    </xf>
    <xf numFmtId="0" fontId="0" fillId="0" borderId="25" xfId="0" applyBorder="1" applyProtection="1">
      <protection locked="0"/>
    </xf>
    <xf numFmtId="165" fontId="0" fillId="0" borderId="25" xfId="0" applyNumberFormat="1" applyBorder="1" applyProtection="1">
      <protection locked="0"/>
    </xf>
    <xf numFmtId="0" fontId="0" fillId="0" borderId="22" xfId="0" applyBorder="1" applyProtection="1">
      <protection locked="0"/>
    </xf>
    <xf numFmtId="0" fontId="6" fillId="0" borderId="0" xfId="0" applyFont="1" applyBorder="1" applyAlignment="1" applyProtection="1">
      <alignment horizontal="left"/>
    </xf>
    <xf numFmtId="165" fontId="21" fillId="0" borderId="24" xfId="0" applyNumberFormat="1" applyFont="1" applyBorder="1" applyAlignment="1" applyProtection="1">
      <alignment horizontal="center"/>
      <protection locked="0"/>
    </xf>
    <xf numFmtId="0" fontId="0" fillId="0" borderId="0" xfId="0" applyBorder="1" applyAlignment="1" applyProtection="1">
      <alignment horizontal="center" wrapText="1"/>
      <protection locked="0"/>
    </xf>
    <xf numFmtId="0" fontId="19" fillId="0" borderId="0" xfId="0" applyFont="1" applyBorder="1" applyAlignment="1" applyProtection="1">
      <alignment horizontal="center" wrapText="1"/>
      <protection locked="0"/>
    </xf>
    <xf numFmtId="165" fontId="0" fillId="0" borderId="0" xfId="3" applyNumberFormat="1" applyFont="1" applyBorder="1" applyAlignment="1" applyProtection="1">
      <alignment wrapText="1"/>
      <protection locked="0"/>
    </xf>
    <xf numFmtId="1" fontId="0" fillId="0" borderId="0" xfId="3" applyNumberFormat="1" applyFont="1" applyFill="1" applyBorder="1" applyAlignment="1" applyProtection="1">
      <alignment wrapText="1"/>
      <protection locked="0"/>
    </xf>
    <xf numFmtId="1" fontId="0" fillId="0" borderId="0" xfId="3" applyNumberFormat="1" applyFont="1" applyBorder="1" applyAlignment="1" applyProtection="1">
      <alignment wrapText="1"/>
      <protection locked="0"/>
    </xf>
    <xf numFmtId="9" fontId="0" fillId="9" borderId="0" xfId="12" applyFont="1" applyFill="1" applyBorder="1" applyAlignment="1" applyProtection="1">
      <alignment wrapText="1"/>
      <protection locked="0"/>
    </xf>
    <xf numFmtId="0" fontId="0" fillId="0" borderId="0" xfId="0" applyBorder="1" applyAlignment="1" applyProtection="1">
      <alignment wrapText="1"/>
      <protection locked="0"/>
    </xf>
    <xf numFmtId="44" fontId="0" fillId="0" borderId="0" xfId="3" applyFont="1" applyBorder="1" applyAlignment="1" applyProtection="1">
      <alignment wrapText="1"/>
      <protection locked="0"/>
    </xf>
    <xf numFmtId="44" fontId="0" fillId="0" borderId="3" xfId="3" applyFont="1" applyBorder="1" applyAlignment="1" applyProtection="1">
      <alignment wrapText="1"/>
      <protection locked="0"/>
    </xf>
    <xf numFmtId="0" fontId="2" fillId="9" borderId="2" xfId="0" applyFont="1" applyFill="1" applyBorder="1" applyAlignment="1" applyProtection="1">
      <alignment wrapText="1"/>
      <protection locked="0"/>
    </xf>
    <xf numFmtId="165" fontId="0" fillId="9" borderId="0" xfId="3" applyNumberFormat="1" applyFont="1" applyFill="1" applyBorder="1" applyAlignment="1" applyProtection="1">
      <alignment wrapText="1"/>
      <protection locked="0"/>
    </xf>
    <xf numFmtId="165" fontId="0" fillId="0" borderId="0" xfId="3" applyNumberFormat="1" applyFont="1" applyBorder="1" applyAlignment="1" applyProtection="1">
      <alignment wrapText="1"/>
    </xf>
    <xf numFmtId="9" fontId="0" fillId="0" borderId="0" xfId="12" applyFont="1" applyBorder="1" applyAlignment="1" applyProtection="1">
      <alignment wrapText="1"/>
      <protection locked="0"/>
    </xf>
    <xf numFmtId="0" fontId="0" fillId="18" borderId="47" xfId="0" applyFill="1" applyBorder="1" applyAlignment="1" applyProtection="1">
      <alignment horizontal="center" wrapText="1"/>
      <protection locked="0"/>
    </xf>
    <xf numFmtId="0" fontId="29" fillId="17" borderId="2" xfId="0" applyFont="1" applyFill="1" applyBorder="1" applyAlignment="1" applyProtection="1">
      <alignment horizontal="center" wrapText="1"/>
      <protection locked="0"/>
    </xf>
    <xf numFmtId="44" fontId="0" fillId="0" borderId="0" xfId="3" applyFont="1" applyBorder="1" applyAlignment="1" applyProtection="1">
      <alignment horizontal="left" wrapText="1"/>
      <protection locked="0"/>
    </xf>
    <xf numFmtId="44" fontId="0" fillId="0" borderId="3" xfId="3" applyFont="1" applyBorder="1" applyAlignment="1" applyProtection="1">
      <alignment horizontal="left" wrapText="1"/>
      <protection locked="0"/>
    </xf>
    <xf numFmtId="0" fontId="19" fillId="9" borderId="0" xfId="0" applyFont="1" applyFill="1" applyBorder="1" applyAlignment="1" applyProtection="1">
      <alignment horizontal="center" wrapText="1"/>
      <protection locked="0"/>
    </xf>
    <xf numFmtId="1" fontId="0" fillId="9" borderId="0" xfId="3" applyNumberFormat="1" applyFont="1" applyFill="1" applyBorder="1" applyAlignment="1" applyProtection="1">
      <alignment wrapText="1"/>
      <protection locked="0"/>
    </xf>
    <xf numFmtId="2" fontId="0" fillId="0" borderId="0" xfId="3" applyNumberFormat="1" applyFont="1" applyBorder="1" applyAlignment="1" applyProtection="1">
      <alignment wrapText="1"/>
      <protection locked="0"/>
    </xf>
    <xf numFmtId="2" fontId="0" fillId="0" borderId="0" xfId="12" applyNumberFormat="1" applyFont="1" applyBorder="1" applyAlignment="1" applyProtection="1">
      <alignment wrapText="1"/>
      <protection locked="0"/>
    </xf>
    <xf numFmtId="44" fontId="0" fillId="0" borderId="0" xfId="0" applyNumberFormat="1" applyBorder="1" applyAlignment="1" applyProtection="1">
      <alignment wrapText="1"/>
      <protection locked="0"/>
    </xf>
    <xf numFmtId="2" fontId="0" fillId="0" borderId="0" xfId="0" applyNumberFormat="1" applyBorder="1" applyAlignment="1" applyProtection="1">
      <alignment wrapText="1"/>
      <protection locked="0"/>
    </xf>
    <xf numFmtId="2" fontId="0" fillId="0" borderId="3" xfId="0" applyNumberFormat="1" applyBorder="1" applyAlignment="1" applyProtection="1">
      <alignment wrapText="1"/>
      <protection locked="0"/>
    </xf>
    <xf numFmtId="165" fontId="2" fillId="0" borderId="0" xfId="3" applyNumberFormat="1" applyFont="1" applyFill="1" applyBorder="1" applyAlignment="1" applyProtection="1">
      <alignment vertical="top" wrapText="1"/>
      <protection locked="0"/>
    </xf>
    <xf numFmtId="165" fontId="2" fillId="0" borderId="3" xfId="3" applyNumberFormat="1" applyFont="1" applyFill="1" applyBorder="1" applyAlignment="1" applyProtection="1">
      <alignment vertical="top" wrapText="1"/>
      <protection locked="0"/>
    </xf>
    <xf numFmtId="0" fontId="2" fillId="0" borderId="0" xfId="0" applyFont="1" applyFill="1" applyBorder="1" applyAlignment="1" applyProtection="1">
      <alignment horizontal="center" wrapText="1"/>
      <protection locked="0"/>
    </xf>
    <xf numFmtId="0" fontId="0" fillId="0" borderId="3" xfId="0" applyBorder="1" applyAlignment="1" applyProtection="1">
      <alignment wrapText="1"/>
      <protection locked="0"/>
    </xf>
    <xf numFmtId="0" fontId="2" fillId="0" borderId="2" xfId="0" applyFont="1" applyBorder="1" applyAlignment="1" applyProtection="1">
      <alignment wrapText="1"/>
      <protection locked="0"/>
    </xf>
    <xf numFmtId="2" fontId="0" fillId="9" borderId="0" xfId="3" applyNumberFormat="1" applyFont="1" applyFill="1" applyBorder="1" applyAlignment="1" applyProtection="1">
      <alignment wrapText="1"/>
      <protection locked="0"/>
    </xf>
    <xf numFmtId="0" fontId="0" fillId="9" borderId="0" xfId="0" applyFill="1" applyBorder="1" applyAlignment="1" applyProtection="1">
      <alignment wrapText="1"/>
      <protection locked="0"/>
    </xf>
    <xf numFmtId="165" fontId="0" fillId="0" borderId="3" xfId="3" applyNumberFormat="1" applyFont="1" applyBorder="1" applyAlignment="1" applyProtection="1">
      <alignment wrapText="1"/>
      <protection locked="0"/>
    </xf>
    <xf numFmtId="44" fontId="0" fillId="9" borderId="0" xfId="3" applyFont="1" applyFill="1" applyBorder="1" applyAlignment="1" applyProtection="1">
      <alignment wrapText="1"/>
      <protection locked="0"/>
    </xf>
    <xf numFmtId="0" fontId="0" fillId="9" borderId="2" xfId="0" applyFill="1" applyBorder="1" applyAlignment="1" applyProtection="1">
      <alignment wrapText="1"/>
      <protection locked="0"/>
    </xf>
    <xf numFmtId="44" fontId="0" fillId="0" borderId="0" xfId="3" applyFont="1" applyBorder="1" applyAlignment="1" applyProtection="1">
      <alignment vertical="top" wrapText="1"/>
      <protection locked="0"/>
    </xf>
    <xf numFmtId="0" fontId="0" fillId="0" borderId="2" xfId="0" applyBorder="1" applyAlignment="1" applyProtection="1">
      <alignment horizontal="center" wrapText="1"/>
      <protection locked="0"/>
    </xf>
    <xf numFmtId="165" fontId="0" fillId="0" borderId="0" xfId="3" applyNumberFormat="1" applyFont="1" applyBorder="1" applyAlignment="1" applyProtection="1">
      <alignment horizontal="center" wrapText="1"/>
      <protection locked="0"/>
    </xf>
    <xf numFmtId="0" fontId="0" fillId="0" borderId="3" xfId="0" applyBorder="1" applyAlignment="1" applyProtection="1">
      <alignment horizontal="center" wrapText="1"/>
      <protection locked="0"/>
    </xf>
    <xf numFmtId="0" fontId="19" fillId="9" borderId="2" xfId="0" applyFont="1" applyFill="1" applyBorder="1" applyAlignment="1" applyProtection="1">
      <alignment wrapText="1"/>
      <protection locked="0"/>
    </xf>
    <xf numFmtId="44" fontId="0" fillId="0" borderId="3" xfId="3" applyFont="1" applyBorder="1" applyAlignment="1" applyProtection="1">
      <alignment vertical="top" wrapText="1"/>
      <protection locked="0"/>
    </xf>
    <xf numFmtId="44" fontId="0" fillId="0" borderId="0" xfId="3" applyFont="1" applyFill="1" applyBorder="1" applyAlignment="1" applyProtection="1">
      <alignment vertical="top" wrapText="1"/>
      <protection locked="0"/>
    </xf>
    <xf numFmtId="44" fontId="0" fillId="0" borderId="3" xfId="3" applyFont="1" applyFill="1" applyBorder="1" applyAlignment="1" applyProtection="1">
      <alignment vertical="top" wrapText="1"/>
      <protection locked="0"/>
    </xf>
    <xf numFmtId="44" fontId="55" fillId="0" borderId="0" xfId="3" applyFont="1" applyFill="1" applyBorder="1" applyAlignment="1" applyProtection="1">
      <alignment vertical="top" wrapText="1"/>
      <protection locked="0"/>
    </xf>
    <xf numFmtId="0" fontId="2" fillId="0" borderId="0" xfId="0" applyFont="1" applyBorder="1" applyAlignment="1" applyProtection="1">
      <alignment horizontal="center" wrapText="1"/>
      <protection locked="0"/>
    </xf>
    <xf numFmtId="44" fontId="55" fillId="0" borderId="3" xfId="3" applyFont="1" applyFill="1" applyBorder="1" applyAlignment="1" applyProtection="1">
      <alignment vertical="top" wrapText="1"/>
      <protection locked="0"/>
    </xf>
    <xf numFmtId="44" fontId="2" fillId="0" borderId="0" xfId="3" applyFont="1" applyBorder="1" applyAlignment="1" applyProtection="1">
      <alignment vertical="top" wrapText="1"/>
      <protection locked="0"/>
    </xf>
    <xf numFmtId="44" fontId="2" fillId="0" borderId="3" xfId="3" applyFont="1" applyBorder="1" applyAlignment="1" applyProtection="1">
      <alignment vertical="top" wrapText="1"/>
      <protection locked="0"/>
    </xf>
    <xf numFmtId="165" fontId="0" fillId="8" borderId="0" xfId="3" applyNumberFormat="1" applyFont="1" applyFill="1" applyBorder="1" applyAlignment="1" applyProtection="1">
      <alignment wrapText="1"/>
      <protection locked="0"/>
    </xf>
    <xf numFmtId="165" fontId="0" fillId="8" borderId="0" xfId="3" applyNumberFormat="1" applyFont="1" applyFill="1" applyBorder="1" applyAlignment="1" applyProtection="1">
      <alignment vertical="top" wrapText="1"/>
      <protection locked="0"/>
    </xf>
    <xf numFmtId="165" fontId="0" fillId="27" borderId="0" xfId="3" applyNumberFormat="1" applyFont="1" applyFill="1" applyBorder="1" applyAlignment="1" applyProtection="1">
      <alignment horizontal="center" wrapText="1"/>
      <protection locked="0"/>
    </xf>
    <xf numFmtId="0" fontId="29" fillId="0" borderId="52" xfId="0" applyFont="1" applyFill="1" applyBorder="1" applyAlignment="1" applyProtection="1">
      <alignment wrapText="1"/>
      <protection locked="0"/>
    </xf>
    <xf numFmtId="0" fontId="29" fillId="17" borderId="20" xfId="0" applyFont="1" applyFill="1" applyBorder="1" applyAlignment="1" applyProtection="1">
      <alignment horizontal="center" wrapText="1"/>
      <protection locked="0"/>
    </xf>
    <xf numFmtId="0" fontId="19" fillId="0" borderId="24" xfId="0" applyFont="1" applyBorder="1" applyAlignment="1" applyProtection="1">
      <alignment horizontal="center" wrapText="1"/>
      <protection locked="0"/>
    </xf>
    <xf numFmtId="0" fontId="0" fillId="0" borderId="24" xfId="0" applyBorder="1" applyAlignment="1" applyProtection="1">
      <alignment horizontal="center" wrapText="1"/>
      <protection locked="0"/>
    </xf>
    <xf numFmtId="44" fontId="0" fillId="0" borderId="24" xfId="3" applyFont="1" applyBorder="1" applyAlignment="1" applyProtection="1">
      <alignment horizontal="left" wrapText="1"/>
      <protection locked="0"/>
    </xf>
    <xf numFmtId="44" fontId="0" fillId="0" borderId="19" xfId="3" applyFont="1" applyBorder="1" applyAlignment="1" applyProtection="1">
      <alignment horizontal="left" wrapText="1"/>
      <protection locked="0"/>
    </xf>
    <xf numFmtId="0" fontId="24" fillId="0" borderId="40" xfId="0" applyFont="1" applyBorder="1" applyAlignment="1" applyProtection="1">
      <alignment horizontal="center" vertical="center" wrapText="1"/>
      <protection locked="0"/>
    </xf>
    <xf numFmtId="0" fontId="24" fillId="0" borderId="41" xfId="0" applyFont="1" applyBorder="1" applyAlignment="1" applyProtection="1">
      <alignment horizontal="center" vertical="center" wrapText="1"/>
      <protection locked="0"/>
    </xf>
    <xf numFmtId="165" fontId="24" fillId="20" borderId="41" xfId="3" applyNumberFormat="1" applyFont="1" applyFill="1" applyBorder="1" applyAlignment="1" applyProtection="1">
      <alignment horizontal="center" vertical="center" wrapText="1"/>
      <protection locked="0"/>
    </xf>
    <xf numFmtId="165" fontId="24" fillId="27" borderId="41" xfId="3" applyNumberFormat="1" applyFont="1" applyFill="1" applyBorder="1" applyAlignment="1" applyProtection="1">
      <alignment horizontal="center" vertical="center" wrapText="1"/>
      <protection locked="0"/>
    </xf>
    <xf numFmtId="165" fontId="24" fillId="18" borderId="41" xfId="3" applyNumberFormat="1" applyFont="1" applyFill="1" applyBorder="1" applyAlignment="1" applyProtection="1">
      <alignment horizontal="center" vertical="center" wrapText="1"/>
      <protection locked="0"/>
    </xf>
    <xf numFmtId="0" fontId="24" fillId="0" borderId="42" xfId="0" applyFont="1" applyBorder="1" applyAlignment="1" applyProtection="1">
      <alignment horizontal="center" vertical="center" wrapText="1"/>
      <protection locked="0"/>
    </xf>
    <xf numFmtId="165" fontId="0" fillId="0" borderId="25" xfId="3" applyNumberFormat="1" applyFont="1" applyBorder="1" applyAlignment="1" applyProtection="1">
      <alignment wrapText="1"/>
      <protection locked="0"/>
    </xf>
    <xf numFmtId="165" fontId="0" fillId="9"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protection locked="0"/>
    </xf>
    <xf numFmtId="165" fontId="0" fillId="0" borderId="29" xfId="3" applyNumberFormat="1" applyFont="1" applyBorder="1" applyAlignment="1" applyProtection="1">
      <alignment wrapText="1"/>
      <protection locked="0"/>
    </xf>
    <xf numFmtId="165" fontId="0" fillId="0" borderId="29" xfId="3" applyNumberFormat="1" applyFont="1" applyBorder="1" applyAlignment="1" applyProtection="1">
      <alignment wrapText="1"/>
    </xf>
    <xf numFmtId="165" fontId="19" fillId="0" borderId="116" xfId="3" applyNumberFormat="1" applyFont="1" applyFill="1" applyBorder="1" applyAlignment="1" applyProtection="1"/>
    <xf numFmtId="165" fontId="0" fillId="0"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xf>
    <xf numFmtId="165" fontId="19" fillId="0" borderId="117" xfId="3" applyNumberFormat="1" applyFont="1" applyFill="1" applyBorder="1" applyAlignment="1" applyProtection="1"/>
    <xf numFmtId="2" fontId="0" fillId="0" borderId="25" xfId="3" applyNumberFormat="1" applyFont="1" applyBorder="1" applyAlignment="1" applyProtection="1">
      <alignment wrapText="1"/>
      <protection locked="0"/>
    </xf>
    <xf numFmtId="44" fontId="0" fillId="0" borderId="25" xfId="3" applyFont="1" applyBorder="1" applyAlignment="1" applyProtection="1">
      <alignment wrapText="1"/>
      <protection locked="0"/>
    </xf>
    <xf numFmtId="0" fontId="0" fillId="0" borderId="25" xfId="0" applyBorder="1" applyAlignment="1" applyProtection="1">
      <alignment wrapText="1"/>
      <protection locked="0"/>
    </xf>
    <xf numFmtId="44" fontId="0" fillId="9" borderId="115" xfId="3" applyFont="1" applyFill="1" applyBorder="1" applyAlignment="1" applyProtection="1">
      <alignment wrapText="1"/>
      <protection locked="0"/>
    </xf>
    <xf numFmtId="44" fontId="0" fillId="9" borderId="29" xfId="3" applyFont="1" applyFill="1" applyBorder="1" applyAlignment="1" applyProtection="1">
      <alignment wrapText="1"/>
      <protection locked="0"/>
    </xf>
    <xf numFmtId="42" fontId="19" fillId="0" borderId="117" xfId="0" applyNumberFormat="1" applyFont="1" applyFill="1" applyBorder="1" applyAlignment="1" applyProtection="1"/>
    <xf numFmtId="0" fontId="2" fillId="0" borderId="27" xfId="0" applyFont="1" applyFill="1" applyBorder="1" applyAlignment="1" applyProtection="1">
      <alignment horizontal="center" vertical="center" wrapText="1"/>
      <protection locked="0"/>
    </xf>
    <xf numFmtId="0" fontId="2" fillId="0" borderId="33" xfId="0" applyFont="1" applyFill="1" applyBorder="1" applyAlignment="1" applyProtection="1">
      <alignment horizontal="center" vertical="center" wrapText="1"/>
      <protection locked="0"/>
    </xf>
    <xf numFmtId="165" fontId="0" fillId="0" borderId="25" xfId="3" applyNumberFormat="1" applyFont="1" applyBorder="1" applyAlignment="1" applyProtection="1">
      <alignment wrapText="1"/>
    </xf>
    <xf numFmtId="165" fontId="19" fillId="0" borderId="88" xfId="3" applyNumberFormat="1" applyFont="1" applyFill="1" applyBorder="1" applyAlignment="1" applyProtection="1">
      <protection locked="0"/>
    </xf>
    <xf numFmtId="0" fontId="0" fillId="15" borderId="6" xfId="0" applyFill="1" applyBorder="1" applyAlignment="1" applyProtection="1">
      <alignment horizontal="center" wrapText="1"/>
      <protection locked="0"/>
    </xf>
    <xf numFmtId="1" fontId="0" fillId="16" borderId="85" xfId="0" applyNumberFormat="1" applyFill="1" applyBorder="1" applyAlignment="1">
      <alignment horizontal="center"/>
    </xf>
    <xf numFmtId="1" fontId="0" fillId="16" borderId="39" xfId="0" applyNumberFormat="1" applyFill="1" applyBorder="1" applyAlignment="1">
      <alignment horizontal="center"/>
    </xf>
    <xf numFmtId="0" fontId="2" fillId="16" borderId="43" xfId="0" applyFont="1" applyFill="1" applyBorder="1" applyAlignment="1" applyProtection="1">
      <alignment horizontal="center" wrapText="1"/>
      <protection locked="0"/>
    </xf>
    <xf numFmtId="9" fontId="2" fillId="0" borderId="44" xfId="0" applyNumberFormat="1" applyFont="1" applyFill="1" applyBorder="1" applyAlignment="1" applyProtection="1">
      <alignment wrapText="1"/>
      <protection locked="0"/>
    </xf>
    <xf numFmtId="0" fontId="2" fillId="0" borderId="44" xfId="0" applyFont="1" applyFill="1" applyBorder="1" applyAlignment="1" applyProtection="1">
      <alignment wrapText="1"/>
      <protection locked="0"/>
    </xf>
    <xf numFmtId="0" fontId="2" fillId="0" borderId="46" xfId="0" applyFont="1" applyFill="1" applyBorder="1" applyAlignment="1" applyProtection="1">
      <alignment wrapText="1"/>
      <protection locked="0"/>
    </xf>
    <xf numFmtId="0" fontId="2" fillId="0" borderId="5" xfId="0" applyFont="1" applyFill="1" applyBorder="1" applyAlignment="1" applyProtection="1">
      <alignment wrapText="1"/>
      <protection locked="0"/>
    </xf>
    <xf numFmtId="0" fontId="2" fillId="0" borderId="14" xfId="0" applyFont="1" applyFill="1" applyBorder="1" applyAlignment="1" applyProtection="1">
      <alignment wrapText="1"/>
      <protection locked="0"/>
    </xf>
    <xf numFmtId="0" fontId="2" fillId="0" borderId="1" xfId="0" applyFont="1" applyFill="1" applyBorder="1" applyAlignment="1" applyProtection="1">
      <alignment wrapText="1"/>
      <protection locked="0"/>
    </xf>
    <xf numFmtId="0" fontId="2" fillId="0" borderId="13" xfId="0" applyFont="1" applyFill="1" applyBorder="1" applyAlignment="1" applyProtection="1">
      <alignment wrapText="1"/>
      <protection locked="0"/>
    </xf>
    <xf numFmtId="0" fontId="2" fillId="0" borderId="8" xfId="0" applyFont="1" applyFill="1" applyBorder="1" applyAlignment="1" applyProtection="1">
      <alignment wrapText="1"/>
      <protection locked="0"/>
    </xf>
    <xf numFmtId="0" fontId="2" fillId="0" borderId="12" xfId="0" applyFont="1" applyFill="1" applyBorder="1" applyAlignment="1" applyProtection="1">
      <alignment wrapText="1"/>
      <protection locked="0"/>
    </xf>
    <xf numFmtId="0" fontId="2" fillId="0" borderId="1" xfId="0" applyFont="1" applyFill="1" applyBorder="1" applyAlignment="1" applyProtection="1">
      <alignment horizontal="center" wrapText="1"/>
      <protection locked="0"/>
    </xf>
    <xf numFmtId="0" fontId="2" fillId="0" borderId="13" xfId="0" applyFont="1" applyFill="1" applyBorder="1" applyAlignment="1" applyProtection="1">
      <alignment horizontal="center" wrapText="1"/>
      <protection locked="0"/>
    </xf>
    <xf numFmtId="3" fontId="2" fillId="0" borderId="1" xfId="0" applyNumberFormat="1" applyFont="1" applyFill="1" applyBorder="1" applyAlignment="1" applyProtection="1">
      <alignment wrapText="1"/>
      <protection locked="0"/>
    </xf>
    <xf numFmtId="2" fontId="2" fillId="0" borderId="1" xfId="0" applyNumberFormat="1" applyFont="1" applyFill="1" applyBorder="1" applyAlignment="1" applyProtection="1">
      <alignment horizontal="center" wrapText="1"/>
      <protection locked="0"/>
    </xf>
    <xf numFmtId="165" fontId="2" fillId="0" borderId="1" xfId="3" applyNumberFormat="1" applyFont="1" applyFill="1" applyBorder="1" applyAlignment="1" applyProtection="1">
      <alignment wrapText="1"/>
      <protection locked="0"/>
    </xf>
    <xf numFmtId="0" fontId="0" fillId="0" borderId="1" xfId="0"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165" fontId="19" fillId="17" borderId="35" xfId="3" applyNumberFormat="1" applyFont="1" applyFill="1" applyBorder="1" applyAlignment="1" applyProtection="1">
      <protection locked="0"/>
    </xf>
    <xf numFmtId="42" fontId="19" fillId="17" borderId="35" xfId="0" applyNumberFormat="1" applyFont="1" applyFill="1" applyBorder="1" applyAlignment="1" applyProtection="1">
      <protection locked="0"/>
    </xf>
    <xf numFmtId="42" fontId="19" fillId="0" borderId="30" xfId="0" applyNumberFormat="1" applyFont="1" applyFill="1" applyBorder="1" applyAlignment="1" applyProtection="1">
      <protection locked="0"/>
    </xf>
    <xf numFmtId="42" fontId="19" fillId="0" borderId="29" xfId="0" applyNumberFormat="1" applyFont="1" applyFill="1" applyBorder="1" applyAlignment="1" applyProtection="1">
      <protection locked="0"/>
    </xf>
    <xf numFmtId="42" fontId="19" fillId="0" borderId="10" xfId="0" applyNumberFormat="1" applyFont="1" applyFill="1" applyBorder="1" applyAlignment="1" applyProtection="1">
      <protection locked="0"/>
    </xf>
    <xf numFmtId="0" fontId="46" fillId="0" borderId="0" xfId="0" applyFont="1" applyFill="1" applyAlignment="1">
      <alignment horizontal="right" vertical="center"/>
    </xf>
    <xf numFmtId="0" fontId="0" fillId="0" borderId="1" xfId="0" applyBorder="1" applyAlignment="1">
      <alignment horizontal="center"/>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6" fillId="0" borderId="3" xfId="3" applyFont="1" applyFill="1" applyBorder="1" applyAlignment="1" applyProtection="1">
      <alignment horizontal="center" vertical="top" wrapText="1"/>
      <protection locked="0"/>
    </xf>
    <xf numFmtId="165" fontId="2" fillId="0" borderId="1" xfId="3" applyNumberFormat="1" applyFont="1" applyFill="1" applyBorder="1" applyAlignment="1" applyProtection="1">
      <alignment vertical="top" wrapText="1"/>
      <protection locked="0"/>
    </xf>
    <xf numFmtId="165" fontId="2" fillId="0" borderId="44" xfId="3" applyNumberFormat="1" applyFont="1" applyFill="1" applyBorder="1" applyAlignment="1" applyProtection="1">
      <alignment vertical="top" wrapText="1"/>
      <protection locked="0"/>
    </xf>
    <xf numFmtId="44" fontId="6" fillId="0" borderId="0" xfId="3" applyFont="1" applyFill="1" applyBorder="1" applyAlignment="1" applyProtection="1">
      <alignment vertical="top" wrapText="1"/>
      <protection locked="0"/>
    </xf>
    <xf numFmtId="44" fontId="6" fillId="0" borderId="3" xfId="3" applyFont="1" applyFill="1" applyBorder="1" applyAlignment="1" applyProtection="1">
      <alignment vertical="top" wrapText="1"/>
      <protection locked="0"/>
    </xf>
    <xf numFmtId="0" fontId="0" fillId="0" borderId="28" xfId="0" applyBorder="1" applyAlignment="1" applyProtection="1">
      <alignment wrapText="1"/>
      <protection locked="0"/>
    </xf>
    <xf numFmtId="165" fontId="0" fillId="18" borderId="5" xfId="3" applyNumberFormat="1" applyFont="1" applyFill="1" applyBorder="1" applyAlignment="1" applyProtection="1">
      <alignment horizontal="center" wrapText="1"/>
      <protection locked="0"/>
    </xf>
    <xf numFmtId="165" fontId="2" fillId="0" borderId="119" xfId="3" applyNumberFormat="1" applyFont="1" applyFill="1" applyBorder="1" applyAlignment="1" applyProtection="1">
      <alignment vertical="top" wrapText="1"/>
      <protection locked="0"/>
    </xf>
    <xf numFmtId="0" fontId="2" fillId="0" borderId="45" xfId="0" applyFont="1" applyBorder="1" applyAlignment="1" applyProtection="1">
      <alignment horizontal="center" vertical="center" wrapText="1"/>
      <protection locked="0"/>
    </xf>
    <xf numFmtId="165" fontId="0" fillId="27" borderId="1" xfId="0" applyNumberFormat="1" applyFill="1" applyBorder="1" applyAlignment="1" applyProtection="1">
      <alignment horizontal="center" wrapText="1"/>
      <protection locked="0"/>
    </xf>
    <xf numFmtId="42" fontId="19" fillId="17" borderId="86" xfId="0" applyNumberFormat="1" applyFont="1" applyFill="1" applyBorder="1" applyAlignment="1" applyProtection="1">
      <protection locked="0"/>
    </xf>
    <xf numFmtId="165" fontId="0" fillId="18" borderId="8" xfId="3" applyNumberFormat="1" applyFont="1" applyFill="1" applyBorder="1" applyAlignment="1" applyProtection="1">
      <alignment horizontal="center" wrapText="1"/>
      <protection locked="0"/>
    </xf>
    <xf numFmtId="0" fontId="2" fillId="0" borderId="19" xfId="0" applyFont="1" applyBorder="1" applyAlignment="1" applyProtection="1">
      <alignment horizontal="center" vertical="center" wrapText="1"/>
      <protection locked="0"/>
    </xf>
    <xf numFmtId="0" fontId="24" fillId="0" borderId="83" xfId="0" applyFont="1" applyBorder="1" applyAlignment="1" applyProtection="1">
      <alignment horizontal="center" vertical="center" wrapText="1"/>
      <protection locked="0"/>
    </xf>
    <xf numFmtId="0" fontId="24" fillId="0" borderId="84" xfId="0" applyFont="1" applyBorder="1" applyAlignment="1" applyProtection="1">
      <alignment horizontal="center" vertical="center" wrapText="1"/>
      <protection locked="0"/>
    </xf>
    <xf numFmtId="165" fontId="24" fillId="20" borderId="84" xfId="3" applyNumberFormat="1" applyFont="1" applyFill="1" applyBorder="1" applyAlignment="1" applyProtection="1">
      <alignment horizontal="center" vertical="center" wrapText="1"/>
      <protection locked="0"/>
    </xf>
    <xf numFmtId="165" fontId="24" fillId="27" borderId="84" xfId="3" applyNumberFormat="1" applyFont="1" applyFill="1" applyBorder="1" applyAlignment="1" applyProtection="1">
      <alignment horizontal="center" vertical="center" wrapText="1"/>
      <protection locked="0"/>
    </xf>
    <xf numFmtId="165" fontId="24" fillId="18" borderId="84" xfId="3" applyNumberFormat="1" applyFont="1" applyFill="1" applyBorder="1" applyAlignment="1" applyProtection="1">
      <alignment horizontal="center" vertical="center" wrapText="1"/>
      <protection locked="0"/>
    </xf>
    <xf numFmtId="0" fontId="24" fillId="0" borderId="24" xfId="0" applyFont="1" applyBorder="1" applyAlignment="1" applyProtection="1">
      <alignment horizontal="center" vertical="center" wrapText="1"/>
      <protection locked="0"/>
    </xf>
    <xf numFmtId="0" fontId="24" fillId="0" borderId="19" xfId="0" applyFont="1" applyBorder="1" applyAlignment="1" applyProtection="1">
      <alignment horizontal="center" vertical="center" wrapText="1"/>
      <protection locked="0"/>
    </xf>
    <xf numFmtId="165" fontId="24" fillId="0" borderId="84" xfId="3" applyNumberFormat="1" applyFont="1" applyBorder="1" applyAlignment="1" applyProtection="1">
      <alignment horizontal="center" vertical="center" wrapText="1"/>
      <protection locked="0"/>
    </xf>
    <xf numFmtId="0" fontId="24" fillId="0" borderId="49" xfId="0" applyFont="1" applyBorder="1" applyAlignment="1" applyProtection="1">
      <alignment horizontal="center" vertical="center" wrapText="1"/>
      <protection locked="0"/>
    </xf>
    <xf numFmtId="0" fontId="24" fillId="18" borderId="49" xfId="0" applyFont="1" applyFill="1" applyBorder="1" applyAlignment="1" applyProtection="1">
      <alignment horizontal="center" vertical="center" wrapText="1"/>
      <protection locked="0"/>
    </xf>
    <xf numFmtId="0" fontId="24" fillId="0" borderId="111" xfId="0" applyFont="1" applyFill="1" applyBorder="1" applyAlignment="1" applyProtection="1">
      <alignment horizontal="center" vertical="center" wrapText="1"/>
      <protection locked="0"/>
    </xf>
    <xf numFmtId="42" fontId="19" fillId="15" borderId="13" xfId="0" applyNumberFormat="1" applyFont="1" applyFill="1" applyBorder="1" applyAlignment="1" applyProtection="1">
      <protection locked="0"/>
    </xf>
    <xf numFmtId="42" fontId="19" fillId="18" borderId="119" xfId="0" applyNumberFormat="1" applyFont="1" applyFill="1" applyBorder="1" applyAlignment="1" applyProtection="1">
      <protection locked="0"/>
    </xf>
    <xf numFmtId="165" fontId="0" fillId="0" borderId="22" xfId="3" applyNumberFormat="1" applyFont="1" applyBorder="1" applyAlignment="1" applyProtection="1">
      <alignment wrapText="1"/>
      <protection locked="0"/>
    </xf>
    <xf numFmtId="42" fontId="19" fillId="0" borderId="3" xfId="0" applyNumberFormat="1" applyFont="1" applyFill="1" applyBorder="1" applyAlignment="1" applyProtection="1">
      <protection locked="0"/>
    </xf>
    <xf numFmtId="0" fontId="29" fillId="17" borderId="3" xfId="0" applyFont="1" applyFill="1" applyBorder="1" applyAlignment="1" applyProtection="1">
      <alignment horizontal="center" wrapText="1"/>
      <protection locked="0"/>
    </xf>
    <xf numFmtId="165" fontId="24" fillId="6" borderId="84" xfId="3" applyNumberFormat="1" applyFont="1" applyFill="1" applyBorder="1" applyAlignment="1" applyProtection="1">
      <alignment horizontal="center" vertical="center" wrapText="1"/>
      <protection locked="0"/>
    </xf>
    <xf numFmtId="165" fontId="24" fillId="18" borderId="112" xfId="3" applyNumberFormat="1" applyFont="1" applyFill="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4" fillId="27" borderId="84" xfId="0" applyFont="1" applyFill="1" applyBorder="1" applyAlignment="1" applyProtection="1">
      <alignment horizontal="center" vertical="center" wrapText="1"/>
      <protection locked="0"/>
    </xf>
    <xf numFmtId="165" fontId="2" fillId="0" borderId="10" xfId="3" applyNumberFormat="1" applyFont="1" applyFill="1" applyBorder="1" applyAlignment="1" applyProtection="1">
      <alignment vertical="top" wrapText="1"/>
      <protection locked="0"/>
    </xf>
    <xf numFmtId="44" fontId="0" fillId="0" borderId="10" xfId="3" applyFont="1" applyBorder="1" applyAlignment="1" applyProtection="1">
      <alignment wrapText="1"/>
      <protection locked="0"/>
    </xf>
    <xf numFmtId="44" fontId="0" fillId="0" borderId="119" xfId="3" applyFont="1" applyBorder="1" applyAlignment="1" applyProtection="1">
      <alignment wrapText="1"/>
      <protection locked="0"/>
    </xf>
    <xf numFmtId="0" fontId="2" fillId="0" borderId="24"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09" xfId="0" applyFont="1" applyFill="1" applyBorder="1" applyAlignment="1" applyProtection="1">
      <alignment horizontal="center" vertical="center" wrapText="1"/>
      <protection locked="0"/>
    </xf>
    <xf numFmtId="0" fontId="2" fillId="0" borderId="111" xfId="0" applyFont="1" applyFill="1" applyBorder="1" applyAlignment="1" applyProtection="1">
      <alignment horizontal="center" vertical="center" wrapText="1"/>
      <protection locked="0"/>
    </xf>
    <xf numFmtId="44" fontId="0" fillId="0" borderId="28" xfId="3" applyFont="1" applyBorder="1" applyAlignment="1" applyProtection="1">
      <alignment horizontal="left" wrapText="1"/>
      <protection locked="0"/>
    </xf>
    <xf numFmtId="44" fontId="0" fillId="0" borderId="118" xfId="3" applyFont="1" applyBorder="1" applyAlignment="1" applyProtection="1">
      <alignment horizontal="left" wrapText="1"/>
      <protection locked="0"/>
    </xf>
    <xf numFmtId="44" fontId="2" fillId="0" borderId="52" xfId="3" applyFont="1" applyBorder="1" applyAlignment="1" applyProtection="1">
      <alignment vertical="top" wrapText="1"/>
      <protection locked="0"/>
    </xf>
    <xf numFmtId="44" fontId="2" fillId="0" borderId="114" xfId="3" applyFont="1" applyBorder="1" applyAlignment="1" applyProtection="1">
      <alignment vertical="top" wrapText="1"/>
      <protection locked="0"/>
    </xf>
    <xf numFmtId="0" fontId="24" fillId="8" borderId="84" xfId="0" applyFont="1" applyFill="1" applyBorder="1" applyAlignment="1" applyProtection="1">
      <alignment horizontal="center" vertical="center" wrapText="1"/>
      <protection locked="0"/>
    </xf>
    <xf numFmtId="0" fontId="24" fillId="8" borderId="112" xfId="0" applyFont="1" applyFill="1" applyBorder="1" applyAlignment="1" applyProtection="1">
      <alignment horizontal="center" vertical="center" wrapText="1"/>
      <protection locked="0"/>
    </xf>
    <xf numFmtId="165" fontId="2" fillId="0" borderId="5" xfId="3" applyNumberFormat="1" applyFont="1" applyFill="1" applyBorder="1" applyAlignment="1" applyProtection="1">
      <alignment vertical="top" wrapText="1"/>
      <protection locked="0"/>
    </xf>
    <xf numFmtId="0" fontId="0" fillId="22" borderId="8" xfId="0" applyFill="1" applyBorder="1" applyAlignment="1"/>
    <xf numFmtId="0" fontId="0" fillId="22" borderId="7" xfId="0" applyFill="1" applyBorder="1" applyAlignment="1"/>
    <xf numFmtId="0" fontId="0" fillId="22" borderId="107" xfId="0" applyFill="1" applyBorder="1" applyAlignment="1"/>
    <xf numFmtId="0" fontId="2" fillId="2" borderId="0" xfId="0" applyFont="1" applyFill="1" applyBorder="1" applyAlignment="1" applyProtection="1">
      <alignment horizontal="center"/>
      <protection locked="0"/>
    </xf>
    <xf numFmtId="0" fontId="0" fillId="2" borderId="0" xfId="0" applyFill="1" applyBorder="1" applyAlignment="1" applyProtection="1">
      <alignment horizontal="center"/>
      <protection locked="0"/>
    </xf>
    <xf numFmtId="10" fontId="0" fillId="0" borderId="0" xfId="12" applyNumberFormat="1" applyFont="1" applyFill="1" applyBorder="1" applyProtection="1">
      <protection locked="0"/>
    </xf>
    <xf numFmtId="165" fontId="0" fillId="0" borderId="0" xfId="3" applyNumberFormat="1" applyFont="1" applyFill="1" applyBorder="1" applyProtection="1">
      <protection locked="0"/>
    </xf>
    <xf numFmtId="0" fontId="0" fillId="0" borderId="1" xfId="0" applyBorder="1" applyAlignment="1">
      <alignment horizontal="center"/>
    </xf>
    <xf numFmtId="0" fontId="0" fillId="0" borderId="1" xfId="0" applyBorder="1" applyAlignment="1">
      <alignment horizontal="center"/>
    </xf>
    <xf numFmtId="42" fontId="42" fillId="16" borderId="39" xfId="0" applyNumberFormat="1" applyFont="1" applyFill="1" applyBorder="1" applyAlignment="1" applyProtection="1">
      <protection locked="0"/>
    </xf>
    <xf numFmtId="0" fontId="0" fillId="0" borderId="0" xfId="0" applyAlignment="1">
      <alignment wrapText="1"/>
    </xf>
    <xf numFmtId="10" fontId="0" fillId="0" borderId="0" xfId="12" applyNumberFormat="1" applyFont="1" applyAlignment="1">
      <alignment wrapText="1"/>
    </xf>
    <xf numFmtId="10" fontId="0" fillId="0" borderId="0" xfId="12" applyNumberFormat="1" applyFont="1"/>
    <xf numFmtId="0" fontId="21" fillId="6" borderId="0" xfId="0" applyFont="1" applyFill="1" applyBorder="1" applyAlignment="1" applyProtection="1">
      <protection locked="0"/>
    </xf>
    <xf numFmtId="0" fontId="2" fillId="16" borderId="39" xfId="0" applyFont="1" applyFill="1" applyBorder="1" applyAlignment="1" applyProtection="1">
      <alignment horizontal="center"/>
      <protection locked="0"/>
    </xf>
    <xf numFmtId="0" fontId="2" fillId="16" borderId="1" xfId="0" applyFont="1" applyFill="1" applyBorder="1" applyAlignment="1" applyProtection="1">
      <alignment horizontal="center"/>
      <protection locked="0"/>
    </xf>
    <xf numFmtId="2" fontId="0" fillId="0" borderId="25" xfId="0" applyNumberFormat="1" applyBorder="1" applyProtection="1">
      <protection locked="0"/>
    </xf>
    <xf numFmtId="2" fontId="21" fillId="0" borderId="0" xfId="0" applyNumberFormat="1" applyFont="1" applyBorder="1" applyProtection="1">
      <protection locked="0"/>
    </xf>
    <xf numFmtId="2" fontId="6" fillId="0" borderId="0" xfId="1" applyNumberFormat="1" applyFont="1" applyBorder="1" applyProtection="1">
      <protection locked="0"/>
    </xf>
    <xf numFmtId="2" fontId="21" fillId="0" borderId="24" xfId="0" applyNumberFormat="1" applyFont="1" applyFill="1" applyBorder="1" applyProtection="1">
      <protection locked="0"/>
    </xf>
    <xf numFmtId="2" fontId="0" fillId="0" borderId="3" xfId="0" applyNumberFormat="1" applyBorder="1" applyProtection="1">
      <protection locked="0"/>
    </xf>
    <xf numFmtId="0" fontId="2" fillId="16" borderId="39" xfId="0" applyFont="1" applyFill="1" applyBorder="1" applyProtection="1">
      <protection locked="0"/>
    </xf>
    <xf numFmtId="0" fontId="2" fillId="6" borderId="6" xfId="0" applyFont="1" applyFill="1" applyBorder="1" applyAlignment="1" applyProtection="1">
      <alignment horizontal="center" vertical="center" wrapText="1"/>
      <protection locked="0"/>
    </xf>
    <xf numFmtId="165" fontId="2" fillId="6" borderId="1" xfId="3" applyNumberFormat="1" applyFont="1" applyFill="1" applyBorder="1" applyAlignment="1" applyProtection="1">
      <alignment wrapText="1"/>
      <protection locked="0"/>
    </xf>
    <xf numFmtId="165" fontId="2" fillId="0" borderId="97" xfId="11" applyNumberFormat="1" applyFont="1" applyBorder="1" applyAlignment="1" applyProtection="1">
      <alignment horizontal="center"/>
      <protection locked="0"/>
    </xf>
    <xf numFmtId="0" fontId="51" fillId="0" borderId="0" xfId="0" applyFont="1" applyBorder="1" applyAlignment="1">
      <alignment wrapText="1"/>
    </xf>
    <xf numFmtId="0" fontId="46" fillId="23" borderId="0" xfId="0" applyNumberFormat="1" applyFont="1" applyFill="1" applyBorder="1" applyAlignment="1" applyProtection="1">
      <alignment horizontal="center" vertical="center"/>
      <protection locked="0"/>
    </xf>
    <xf numFmtId="0" fontId="43" fillId="0" borderId="0" xfId="0" applyNumberFormat="1" applyFont="1" applyBorder="1" applyAlignment="1" applyProtection="1">
      <alignment horizontal="left" vertical="center"/>
      <protection locked="0"/>
    </xf>
    <xf numFmtId="0" fontId="43" fillId="0" borderId="121" xfId="0" applyFont="1" applyBorder="1" applyAlignment="1">
      <alignment wrapText="1"/>
    </xf>
    <xf numFmtId="0" fontId="50" fillId="0" borderId="74" xfId="0" applyFont="1" applyBorder="1" applyAlignment="1">
      <alignment horizontal="center" wrapText="1"/>
    </xf>
    <xf numFmtId="0" fontId="43" fillId="0" borderId="126" xfId="0" applyFont="1" applyBorder="1" applyAlignment="1">
      <alignment horizontal="center" wrapText="1"/>
    </xf>
    <xf numFmtId="0" fontId="43" fillId="0" borderId="127" xfId="0" applyFont="1" applyBorder="1" applyAlignment="1">
      <alignment horizontal="center" wrapText="1"/>
    </xf>
    <xf numFmtId="0" fontId="43" fillId="0" borderId="128" xfId="0" applyFont="1" applyBorder="1" applyAlignment="1">
      <alignment horizontal="center" wrapText="1"/>
    </xf>
    <xf numFmtId="0" fontId="43" fillId="0" borderId="129" xfId="0" applyFont="1" applyBorder="1" applyAlignment="1">
      <alignment horizontal="center" wrapText="1"/>
    </xf>
    <xf numFmtId="0" fontId="43" fillId="0" borderId="123" xfId="0" applyFont="1" applyBorder="1" applyAlignment="1">
      <alignment wrapText="1"/>
    </xf>
    <xf numFmtId="0" fontId="43" fillId="0" borderId="0" xfId="0" applyFont="1" applyAlignment="1">
      <alignment vertical="center" wrapText="1"/>
    </xf>
    <xf numFmtId="0" fontId="50" fillId="0" borderId="73" xfId="0" applyFont="1" applyBorder="1" applyAlignment="1">
      <alignment horizontal="center" vertical="center" wrapText="1"/>
    </xf>
    <xf numFmtId="0" fontId="46" fillId="0" borderId="22" xfId="0" applyFont="1" applyBorder="1" applyAlignment="1">
      <alignment wrapText="1"/>
    </xf>
    <xf numFmtId="0" fontId="46" fillId="0" borderId="3" xfId="0" applyFont="1" applyBorder="1" applyAlignment="1">
      <alignment wrapText="1"/>
    </xf>
    <xf numFmtId="0" fontId="0" fillId="0" borderId="23" xfId="0" applyBorder="1" applyProtection="1">
      <protection locked="0"/>
    </xf>
    <xf numFmtId="0" fontId="0" fillId="0" borderId="2" xfId="0" applyBorder="1" applyProtection="1">
      <protection locked="0"/>
    </xf>
    <xf numFmtId="0" fontId="19" fillId="0" borderId="0" xfId="0" applyFont="1" applyBorder="1" applyProtection="1">
      <protection locked="0"/>
    </xf>
    <xf numFmtId="0" fontId="5" fillId="2" borderId="0" xfId="0" applyNumberFormat="1" applyFont="1" applyFill="1" applyBorder="1" applyProtection="1"/>
    <xf numFmtId="0" fontId="6" fillId="0" borderId="0" xfId="0" applyFont="1" applyBorder="1" applyProtection="1">
      <protection locked="0"/>
    </xf>
    <xf numFmtId="0" fontId="4" fillId="2" borderId="0" xfId="0" applyFont="1" applyFill="1" applyBorder="1" applyAlignment="1" applyProtection="1">
      <alignment horizontal="left"/>
      <protection locked="0"/>
    </xf>
    <xf numFmtId="14" fontId="6" fillId="2" borderId="0" xfId="0" applyNumberFormat="1" applyFont="1" applyFill="1" applyBorder="1" applyProtection="1"/>
    <xf numFmtId="14" fontId="4" fillId="2" borderId="0" xfId="0" applyNumberFormat="1" applyFont="1" applyFill="1" applyBorder="1" applyProtection="1">
      <protection locked="0"/>
    </xf>
    <xf numFmtId="164" fontId="6" fillId="2" borderId="0" xfId="0" applyNumberFormat="1" applyFont="1" applyFill="1" applyBorder="1" applyAlignment="1" applyProtection="1">
      <alignment horizontal="left"/>
      <protection locked="0"/>
    </xf>
    <xf numFmtId="164" fontId="10" fillId="2" borderId="0" xfId="0" applyNumberFormat="1" applyFont="1" applyFill="1" applyBorder="1" applyAlignment="1" applyProtection="1">
      <alignment horizontal="left"/>
      <protection locked="0"/>
    </xf>
    <xf numFmtId="164" fontId="4" fillId="2" borderId="0" xfId="0" applyNumberFormat="1" applyFont="1" applyFill="1" applyBorder="1" applyAlignment="1" applyProtection="1">
      <alignment horizontal="center"/>
      <protection locked="0"/>
    </xf>
    <xf numFmtId="164" fontId="11" fillId="2" borderId="0" xfId="0" applyNumberFormat="1" applyFont="1" applyFill="1" applyBorder="1" applyAlignment="1" applyProtection="1">
      <alignment horizontal="left" indent="1"/>
      <protection locked="0"/>
    </xf>
    <xf numFmtId="165" fontId="11" fillId="2" borderId="0" xfId="3" quotePrefix="1" applyNumberFormat="1" applyFont="1" applyFill="1" applyBorder="1" applyProtection="1">
      <protection locked="0"/>
    </xf>
    <xf numFmtId="165" fontId="0" fillId="0" borderId="0" xfId="0" applyNumberFormat="1" applyBorder="1" applyProtection="1"/>
    <xf numFmtId="165" fontId="11" fillId="2" borderId="0" xfId="3" applyNumberFormat="1" applyFont="1" applyFill="1" applyBorder="1" applyProtection="1"/>
    <xf numFmtId="0" fontId="19" fillId="0" borderId="0" xfId="0" applyFont="1" applyBorder="1" applyAlignment="1" applyProtection="1">
      <alignment horizontal="right"/>
      <protection locked="0"/>
    </xf>
    <xf numFmtId="0" fontId="0" fillId="0" borderId="0" xfId="0" applyBorder="1" applyAlignment="1" applyProtection="1">
      <alignment horizontal="right"/>
      <protection locked="0"/>
    </xf>
    <xf numFmtId="0" fontId="19" fillId="0" borderId="0" xfId="0" applyFont="1" applyBorder="1" applyAlignment="1" applyProtection="1">
      <alignment horizontal="center"/>
      <protection locked="0"/>
    </xf>
    <xf numFmtId="168" fontId="0" fillId="0" borderId="0" xfId="0" applyNumberFormat="1" applyFill="1" applyBorder="1" applyProtection="1">
      <protection locked="0"/>
    </xf>
    <xf numFmtId="39" fontId="0" fillId="0" borderId="0" xfId="0" applyNumberFormat="1" applyBorder="1" applyProtection="1">
      <protection locked="0"/>
    </xf>
    <xf numFmtId="168" fontId="0" fillId="0" borderId="0" xfId="0" applyNumberFormat="1" applyBorder="1" applyProtection="1">
      <protection locked="0"/>
    </xf>
    <xf numFmtId="0" fontId="0" fillId="0" borderId="0" xfId="0" applyFill="1" applyBorder="1" applyProtection="1">
      <protection locked="0"/>
    </xf>
    <xf numFmtId="164" fontId="12" fillId="2" borderId="0" xfId="0" applyNumberFormat="1" applyFont="1" applyFill="1" applyBorder="1" applyAlignment="1" applyProtection="1">
      <alignment horizontal="left" indent="1"/>
      <protection locked="0"/>
    </xf>
    <xf numFmtId="164" fontId="13" fillId="2" borderId="0" xfId="0" applyNumberFormat="1" applyFont="1" applyFill="1" applyBorder="1" applyProtection="1">
      <protection locked="0"/>
    </xf>
    <xf numFmtId="165" fontId="4" fillId="2" borderId="0" xfId="3" applyNumberFormat="1" applyFont="1" applyFill="1" applyBorder="1" applyProtection="1"/>
    <xf numFmtId="165" fontId="2" fillId="2" borderId="0" xfId="0" applyNumberFormat="1" applyFont="1" applyFill="1" applyBorder="1" applyProtection="1"/>
    <xf numFmtId="0" fontId="14" fillId="2" borderId="0" xfId="0" applyFont="1" applyFill="1" applyBorder="1" applyProtection="1">
      <protection locked="0"/>
    </xf>
    <xf numFmtId="10" fontId="4" fillId="2" borderId="0" xfId="0" applyNumberFormat="1" applyFont="1" applyFill="1" applyBorder="1" applyProtection="1">
      <protection locked="0"/>
    </xf>
    <xf numFmtId="165" fontId="4" fillId="2" borderId="0" xfId="3" applyNumberFormat="1" applyFont="1" applyFill="1" applyBorder="1" applyProtection="1">
      <protection locked="0"/>
    </xf>
    <xf numFmtId="0" fontId="6" fillId="0" borderId="0" xfId="0" applyFont="1" applyBorder="1" applyAlignment="1" applyProtection="1">
      <protection locked="0"/>
    </xf>
    <xf numFmtId="0" fontId="2" fillId="0" borderId="0" xfId="0" applyFont="1" applyBorder="1" applyProtection="1">
      <protection locked="0"/>
    </xf>
    <xf numFmtId="164" fontId="15" fillId="2" borderId="0" xfId="0" applyNumberFormat="1" applyFont="1" applyFill="1" applyBorder="1" applyAlignment="1" applyProtection="1">
      <alignment horizontal="left" indent="1"/>
      <protection locked="0"/>
    </xf>
    <xf numFmtId="164" fontId="16" fillId="2" borderId="0" xfId="0" applyNumberFormat="1" applyFont="1" applyFill="1" applyBorder="1" applyAlignment="1" applyProtection="1">
      <alignment horizontal="left" indent="1"/>
      <protection locked="0"/>
    </xf>
    <xf numFmtId="167" fontId="11" fillId="2" borderId="0" xfId="1" applyNumberFormat="1" applyFont="1" applyFill="1" applyBorder="1" applyProtection="1">
      <protection locked="0"/>
    </xf>
    <xf numFmtId="10" fontId="0" fillId="0" borderId="0" xfId="0" applyNumberFormat="1" applyBorder="1" applyProtection="1">
      <protection locked="0"/>
    </xf>
    <xf numFmtId="164" fontId="5" fillId="2" borderId="0" xfId="0" applyNumberFormat="1" applyFont="1" applyFill="1" applyBorder="1" applyAlignment="1" applyProtection="1">
      <alignment horizontal="left"/>
      <protection locked="0"/>
    </xf>
    <xf numFmtId="0" fontId="5" fillId="2" borderId="0" xfId="0" applyFont="1" applyFill="1" applyBorder="1" applyProtection="1">
      <protection locked="0"/>
    </xf>
    <xf numFmtId="10" fontId="5" fillId="2" borderId="0" xfId="0" applyNumberFormat="1" applyFont="1" applyFill="1" applyBorder="1" applyProtection="1">
      <protection locked="0"/>
    </xf>
    <xf numFmtId="0" fontId="21" fillId="0" borderId="0" xfId="0" applyFont="1" applyBorder="1" applyAlignment="1" applyProtection="1">
      <alignment horizontal="center" vertical="center"/>
      <protection locked="0"/>
    </xf>
    <xf numFmtId="1" fontId="0" fillId="0" borderId="0" xfId="0" applyNumberFormat="1" applyBorder="1" applyProtection="1">
      <protection locked="0"/>
    </xf>
    <xf numFmtId="44" fontId="6" fillId="0" borderId="0" xfId="3" applyFont="1" applyBorder="1" applyProtection="1">
      <protection locked="0"/>
    </xf>
    <xf numFmtId="0" fontId="0" fillId="0" borderId="3" xfId="0" applyFill="1" applyBorder="1" applyProtection="1">
      <protection locked="0"/>
    </xf>
    <xf numFmtId="165" fontId="0" fillId="15" borderId="0" xfId="3" applyNumberFormat="1" applyFont="1" applyFill="1" applyBorder="1" applyProtection="1">
      <protection locked="0"/>
    </xf>
    <xf numFmtId="0" fontId="2" fillId="0" borderId="0" xfId="0" applyFont="1" applyBorder="1" applyAlignment="1" applyProtection="1">
      <protection locked="0"/>
    </xf>
    <xf numFmtId="0" fontId="0" fillId="0" borderId="0" xfId="0" applyBorder="1" applyAlignment="1" applyProtection="1">
      <protection locked="0"/>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horizontal="center"/>
      <protection locked="0"/>
    </xf>
    <xf numFmtId="0" fontId="2" fillId="0" borderId="0" xfId="0" applyFont="1" applyFill="1" applyBorder="1" applyAlignment="1" applyProtection="1">
      <protection locked="0"/>
    </xf>
    <xf numFmtId="0" fontId="2" fillId="0" borderId="0" xfId="0" applyFont="1" applyFill="1" applyBorder="1" applyProtection="1">
      <protection locked="0"/>
    </xf>
    <xf numFmtId="0" fontId="2" fillId="0" borderId="0" xfId="0" applyFont="1" applyBorder="1" applyAlignment="1" applyProtection="1">
      <alignment wrapText="1"/>
      <protection locked="0"/>
    </xf>
    <xf numFmtId="0" fontId="0" fillId="0" borderId="0" xfId="0" applyBorder="1" applyAlignment="1" applyProtection="1">
      <alignment horizontal="center" vertical="center"/>
      <protection locked="0"/>
    </xf>
    <xf numFmtId="0" fontId="2" fillId="0" borderId="0" xfId="0" applyFont="1" applyBorder="1" applyAlignment="1" applyProtection="1">
      <alignment horizontal="left"/>
      <protection locked="0"/>
    </xf>
    <xf numFmtId="9" fontId="0" fillId="0" borderId="0" xfId="12" applyFont="1" applyBorder="1" applyProtection="1">
      <protection locked="0"/>
    </xf>
    <xf numFmtId="9" fontId="0" fillId="0" borderId="0" xfId="12" applyFont="1" applyFill="1" applyBorder="1" applyProtection="1">
      <protection locked="0"/>
    </xf>
    <xf numFmtId="0" fontId="0" fillId="0" borderId="20" xfId="0" applyBorder="1" applyProtection="1">
      <protection locked="0"/>
    </xf>
    <xf numFmtId="0" fontId="0" fillId="0" borderId="24" xfId="0" applyBorder="1" applyProtection="1">
      <protection locked="0"/>
    </xf>
    <xf numFmtId="0" fontId="0" fillId="0" borderId="19" xfId="0" applyBorder="1" applyProtection="1">
      <protection locked="0"/>
    </xf>
    <xf numFmtId="0" fontId="19" fillId="0" borderId="3" xfId="0" applyFont="1" applyBorder="1" applyProtection="1">
      <protection locked="0"/>
    </xf>
    <xf numFmtId="0" fontId="2" fillId="0" borderId="3" xfId="0" applyFont="1" applyFill="1" applyBorder="1" applyAlignment="1" applyProtection="1">
      <protection locked="0"/>
    </xf>
    <xf numFmtId="0" fontId="2" fillId="0" borderId="0" xfId="0" applyFont="1" applyBorder="1" applyAlignment="1" applyProtection="1">
      <alignment horizontal="center" vertical="center" wrapText="1"/>
      <protection locked="0"/>
    </xf>
    <xf numFmtId="0" fontId="19" fillId="0" borderId="23" xfId="9" applyBorder="1"/>
    <xf numFmtId="0" fontId="19" fillId="0" borderId="25" xfId="9" applyBorder="1"/>
    <xf numFmtId="0" fontId="19" fillId="0" borderId="22" xfId="9" applyBorder="1"/>
    <xf numFmtId="0" fontId="19" fillId="0" borderId="2" xfId="9" applyBorder="1"/>
    <xf numFmtId="0" fontId="6" fillId="0" borderId="0" xfId="9" applyFont="1" applyBorder="1"/>
    <xf numFmtId="0" fontId="19" fillId="0" borderId="0" xfId="9" applyBorder="1"/>
    <xf numFmtId="14" fontId="19" fillId="0" borderId="0" xfId="9" applyNumberFormat="1" applyBorder="1"/>
    <xf numFmtId="0" fontId="19" fillId="0" borderId="0" xfId="0" applyFont="1" applyBorder="1"/>
    <xf numFmtId="14" fontId="0" fillId="0" borderId="0" xfId="0" applyNumberFormat="1" applyBorder="1"/>
    <xf numFmtId="0" fontId="19" fillId="0" borderId="3" xfId="9" applyBorder="1"/>
    <xf numFmtId="0" fontId="2" fillId="0" borderId="0" xfId="10" applyFont="1" applyBorder="1"/>
    <xf numFmtId="2" fontId="0" fillId="0" borderId="0" xfId="0" applyNumberFormat="1" applyBorder="1"/>
    <xf numFmtId="0" fontId="6" fillId="0" borderId="0" xfId="10" applyFont="1" applyBorder="1"/>
    <xf numFmtId="0" fontId="2" fillId="0" borderId="0" xfId="9" applyFont="1" applyBorder="1"/>
    <xf numFmtId="2" fontId="19" fillId="0" borderId="0" xfId="9" applyNumberFormat="1" applyBorder="1"/>
    <xf numFmtId="0" fontId="29" fillId="0" borderId="0" xfId="9" applyFont="1" applyBorder="1"/>
    <xf numFmtId="0" fontId="19" fillId="0" borderId="0" xfId="9" applyBorder="1" applyAlignment="1">
      <alignment horizontal="right"/>
    </xf>
    <xf numFmtId="0" fontId="19" fillId="0" borderId="0" xfId="9" applyFont="1" applyBorder="1" applyAlignment="1">
      <alignment horizontal="center"/>
    </xf>
    <xf numFmtId="0" fontId="19" fillId="0" borderId="0" xfId="9" applyFont="1" applyBorder="1"/>
    <xf numFmtId="2" fontId="19" fillId="0" borderId="0" xfId="9" applyNumberFormat="1" applyFont="1" applyBorder="1"/>
    <xf numFmtId="171" fontId="19" fillId="0" borderId="0" xfId="9" applyNumberFormat="1" applyBorder="1"/>
    <xf numFmtId="0" fontId="19" fillId="0" borderId="0" xfId="10" applyBorder="1"/>
    <xf numFmtId="0" fontId="19" fillId="0" borderId="0" xfId="9" applyFill="1" applyBorder="1"/>
    <xf numFmtId="0" fontId="19" fillId="0" borderId="0" xfId="10" applyFill="1" applyBorder="1"/>
    <xf numFmtId="0" fontId="2" fillId="0" borderId="0" xfId="10" applyFont="1" applyFill="1" applyBorder="1"/>
    <xf numFmtId="0" fontId="2" fillId="0" borderId="0" xfId="9" applyFont="1" applyBorder="1" applyAlignment="1">
      <alignment wrapText="1"/>
    </xf>
    <xf numFmtId="44" fontId="19" fillId="0" borderId="0" xfId="3" applyFont="1" applyBorder="1"/>
    <xf numFmtId="172" fontId="19" fillId="0" borderId="0" xfId="9" applyNumberFormat="1" applyBorder="1"/>
    <xf numFmtId="0" fontId="19" fillId="0" borderId="20" xfId="9" applyBorder="1"/>
    <xf numFmtId="0" fontId="19" fillId="0" borderId="24" xfId="9" applyBorder="1"/>
    <xf numFmtId="0" fontId="19" fillId="0" borderId="19" xfId="9" applyBorder="1"/>
    <xf numFmtId="0" fontId="19" fillId="0" borderId="23" xfId="10" applyBorder="1"/>
    <xf numFmtId="0" fontId="19" fillId="0" borderId="25" xfId="10" applyBorder="1"/>
    <xf numFmtId="0" fontId="19" fillId="0" borderId="22" xfId="10" applyBorder="1"/>
    <xf numFmtId="0" fontId="19" fillId="0" borderId="2" xfId="10" applyBorder="1"/>
    <xf numFmtId="14" fontId="19" fillId="0" borderId="0" xfId="10" applyNumberFormat="1" applyBorder="1"/>
    <xf numFmtId="0" fontId="19" fillId="0" borderId="3" xfId="10" applyBorder="1"/>
    <xf numFmtId="2" fontId="19" fillId="0" borderId="0" xfId="10" applyNumberFormat="1" applyBorder="1"/>
    <xf numFmtId="0" fontId="29" fillId="0" borderId="0" xfId="10" applyFont="1" applyBorder="1"/>
    <xf numFmtId="0" fontId="19" fillId="0" borderId="0" xfId="10" applyFont="1" applyBorder="1" applyAlignment="1">
      <alignment horizontal="center"/>
    </xf>
    <xf numFmtId="0" fontId="19" fillId="0" borderId="0" xfId="10" applyFont="1" applyBorder="1"/>
    <xf numFmtId="0" fontId="19" fillId="0" borderId="0" xfId="10" applyBorder="1" applyAlignment="1">
      <alignment horizontal="right"/>
    </xf>
    <xf numFmtId="2" fontId="2" fillId="0" borderId="0" xfId="10" applyNumberFormat="1" applyFont="1" applyBorder="1"/>
    <xf numFmtId="44" fontId="2" fillId="0" borderId="0" xfId="3" applyFont="1" applyBorder="1"/>
    <xf numFmtId="172" fontId="19" fillId="0" borderId="0" xfId="10" applyNumberFormat="1" applyBorder="1"/>
    <xf numFmtId="0" fontId="19" fillId="0" borderId="20" xfId="10" applyBorder="1"/>
    <xf numFmtId="0" fontId="19" fillId="0" borderId="24" xfId="10" applyBorder="1"/>
    <xf numFmtId="0" fontId="19" fillId="0" borderId="19" xfId="10" applyBorder="1"/>
    <xf numFmtId="0" fontId="2" fillId="18" borderId="0" xfId="0" applyFont="1" applyFill="1" applyBorder="1" applyAlignment="1" applyProtection="1">
      <alignment horizontal="center"/>
      <protection locked="0"/>
    </xf>
    <xf numFmtId="182" fontId="43" fillId="0" borderId="122" xfId="0" applyNumberFormat="1" applyFont="1" applyBorder="1" applyAlignment="1">
      <alignment wrapText="1"/>
    </xf>
    <xf numFmtId="0" fontId="0" fillId="6" borderId="0" xfId="0" applyFill="1" applyAlignment="1" applyProtection="1">
      <alignment horizontal="center"/>
      <protection locked="0"/>
    </xf>
    <xf numFmtId="0" fontId="2" fillId="6" borderId="0" xfId="0" applyFont="1" applyFill="1" applyBorder="1" applyAlignment="1" applyProtection="1">
      <alignment horizontal="center"/>
      <protection locked="0"/>
    </xf>
    <xf numFmtId="0" fontId="2" fillId="6" borderId="98" xfId="0" applyFont="1" applyFill="1" applyBorder="1" applyAlignment="1" applyProtection="1">
      <alignment horizontal="center"/>
      <protection locked="0"/>
    </xf>
    <xf numFmtId="0" fontId="43" fillId="0" borderId="103" xfId="0" applyFont="1" applyBorder="1" applyAlignment="1">
      <alignment horizontal="center" wrapText="1"/>
    </xf>
    <xf numFmtId="0" fontId="2" fillId="6" borderId="0" xfId="0" applyFont="1" applyFill="1" applyAlignment="1" applyProtection="1">
      <alignment horizontal="center"/>
      <protection locked="0"/>
    </xf>
    <xf numFmtId="0" fontId="43" fillId="0" borderId="131" xfId="0" applyFont="1" applyBorder="1" applyAlignment="1">
      <alignment horizontal="center" wrapText="1"/>
    </xf>
    <xf numFmtId="3" fontId="0" fillId="6" borderId="0" xfId="0" applyNumberFormat="1" applyFill="1" applyAlignment="1" applyProtection="1">
      <alignment horizontal="center"/>
      <protection locked="0"/>
    </xf>
    <xf numFmtId="1" fontId="0" fillId="6" borderId="0" xfId="0" applyNumberFormat="1" applyFill="1" applyAlignment="1" applyProtection="1">
      <alignment horizontal="center"/>
      <protection locked="0"/>
    </xf>
    <xf numFmtId="182" fontId="51" fillId="0" borderId="0" xfId="0" applyNumberFormat="1" applyFont="1" applyBorder="1" applyAlignment="1">
      <alignment horizontal="center" wrapText="1"/>
    </xf>
    <xf numFmtId="178" fontId="51" fillId="0" borderId="0" xfId="12" applyNumberFormat="1" applyFont="1" applyBorder="1" applyAlignment="1">
      <alignment horizontal="center" wrapText="1"/>
    </xf>
    <xf numFmtId="0" fontId="49" fillId="0" borderId="2" xfId="0" applyFont="1" applyBorder="1" applyAlignment="1">
      <alignment wrapText="1"/>
    </xf>
    <xf numFmtId="0" fontId="49" fillId="0" borderId="0" xfId="0" applyFont="1" applyBorder="1" applyAlignment="1">
      <alignment wrapText="1"/>
    </xf>
    <xf numFmtId="0" fontId="50" fillId="0" borderId="76" xfId="0" applyFont="1" applyBorder="1" applyAlignment="1">
      <alignment horizontal="center" wrapText="1"/>
    </xf>
    <xf numFmtId="0" fontId="50" fillId="0" borderId="78" xfId="0" applyFont="1" applyBorder="1" applyAlignment="1">
      <alignment horizontal="center" wrapText="1"/>
    </xf>
    <xf numFmtId="0" fontId="50" fillId="0" borderId="103" xfId="0" applyFont="1" applyBorder="1" applyAlignment="1">
      <alignment horizontal="center" wrapText="1"/>
    </xf>
    <xf numFmtId="0" fontId="54" fillId="0" borderId="75" xfId="0" applyFont="1" applyBorder="1" applyAlignment="1">
      <alignment wrapText="1"/>
    </xf>
    <xf numFmtId="0" fontId="54" fillId="0" borderId="77" xfId="0" applyFont="1" applyBorder="1" applyAlignment="1">
      <alignment wrapText="1"/>
    </xf>
    <xf numFmtId="0" fontId="54" fillId="0" borderId="79" xfId="0" applyFont="1" applyBorder="1" applyAlignment="1">
      <alignment wrapText="1"/>
    </xf>
    <xf numFmtId="0" fontId="54" fillId="0" borderId="121" xfId="0" applyFont="1" applyBorder="1" applyAlignment="1">
      <alignment wrapText="1"/>
    </xf>
    <xf numFmtId="0" fontId="6" fillId="6" borderId="0" xfId="0" applyFont="1" applyFill="1" applyProtection="1">
      <protection locked="0"/>
    </xf>
    <xf numFmtId="0" fontId="6" fillId="6" borderId="0" xfId="0" applyFont="1" applyFill="1" applyAlignment="1" applyProtection="1">
      <alignment horizontal="center"/>
      <protection locked="0"/>
    </xf>
    <xf numFmtId="0" fontId="6" fillId="0" borderId="0" xfId="0" applyFont="1" applyAlignment="1" applyProtection="1">
      <alignment horizontal="center"/>
      <protection locked="0"/>
    </xf>
    <xf numFmtId="0" fontId="6" fillId="8" borderId="0" xfId="0" applyFont="1" applyFill="1" applyProtection="1">
      <protection locked="0"/>
    </xf>
    <xf numFmtId="0" fontId="6" fillId="8" borderId="0" xfId="0" applyFont="1" applyFill="1" applyAlignment="1" applyProtection="1">
      <alignment horizontal="center"/>
      <protection locked="0"/>
    </xf>
    <xf numFmtId="0" fontId="2" fillId="8" borderId="0" xfId="0" applyFont="1" applyFill="1" applyAlignment="1" applyProtection="1">
      <alignment horizontal="center"/>
      <protection locked="0"/>
    </xf>
    <xf numFmtId="0" fontId="0" fillId="8" borderId="0" xfId="0" applyFill="1" applyAlignment="1" applyProtection="1">
      <alignment horizontal="center"/>
      <protection locked="0"/>
    </xf>
    <xf numFmtId="0" fontId="6" fillId="18" borderId="0" xfId="0" applyFont="1" applyFill="1" applyProtection="1">
      <protection locked="0"/>
    </xf>
    <xf numFmtId="2" fontId="34" fillId="0" borderId="0" xfId="0" applyNumberFormat="1" applyFont="1" applyFill="1" applyBorder="1" applyAlignment="1" applyProtection="1">
      <alignment horizontal="center" vertical="center" textRotation="255"/>
      <protection locked="0"/>
    </xf>
    <xf numFmtId="2" fontId="6" fillId="0" borderId="0" xfId="0" applyNumberFormat="1" applyFont="1" applyFill="1" applyBorder="1" applyAlignment="1" applyProtection="1">
      <alignment vertical="center" textRotation="255"/>
      <protection locked="0"/>
    </xf>
    <xf numFmtId="0" fontId="54" fillId="0" borderId="135" xfId="0" applyFont="1" applyBorder="1" applyAlignment="1">
      <alignment wrapText="1"/>
    </xf>
    <xf numFmtId="0" fontId="54" fillId="0" borderId="106" xfId="0" applyFont="1" applyBorder="1" applyAlignment="1">
      <alignment wrapText="1"/>
    </xf>
    <xf numFmtId="0" fontId="54" fillId="0" borderId="108" xfId="0" applyFont="1" applyBorder="1" applyAlignment="1">
      <alignment wrapText="1"/>
    </xf>
    <xf numFmtId="10" fontId="43" fillId="0" borderId="3" xfId="0" applyNumberFormat="1" applyFont="1" applyBorder="1" applyAlignment="1">
      <alignment horizontal="center" wrapText="1"/>
    </xf>
    <xf numFmtId="182" fontId="43" fillId="0" borderId="3" xfId="0" applyNumberFormat="1" applyFont="1" applyBorder="1" applyAlignment="1">
      <alignment horizontal="center" wrapText="1"/>
    </xf>
    <xf numFmtId="0" fontId="30" fillId="0" borderId="0" xfId="7" applyFill="1" applyBorder="1"/>
    <xf numFmtId="41" fontId="46" fillId="24" borderId="136" xfId="0" applyNumberFormat="1" applyFont="1" applyFill="1" applyBorder="1" applyAlignment="1" applyProtection="1">
      <alignment vertical="center"/>
      <protection locked="0"/>
    </xf>
    <xf numFmtId="41" fontId="46" fillId="24" borderId="137" xfId="0" applyNumberFormat="1" applyFont="1" applyFill="1" applyBorder="1" applyAlignment="1" applyProtection="1">
      <alignment vertical="center"/>
      <protection locked="0"/>
    </xf>
    <xf numFmtId="42" fontId="46" fillId="24" borderId="136" xfId="0" applyNumberFormat="1" applyFont="1" applyFill="1" applyBorder="1" applyAlignment="1" applyProtection="1">
      <protection locked="0"/>
    </xf>
    <xf numFmtId="42" fontId="46" fillId="24" borderId="138" xfId="0" applyNumberFormat="1" applyFont="1" applyFill="1" applyBorder="1" applyAlignment="1" applyProtection="1">
      <protection locked="0"/>
    </xf>
    <xf numFmtId="0" fontId="46" fillId="0" borderId="2" xfId="0" applyNumberFormat="1" applyFont="1" applyBorder="1" applyAlignment="1" applyProtection="1">
      <alignment horizontal="left" vertical="center"/>
      <protection locked="0"/>
    </xf>
    <xf numFmtId="0" fontId="43" fillId="0" borderId="3" xfId="0" applyNumberFormat="1" applyFont="1" applyBorder="1" applyAlignment="1" applyProtection="1">
      <alignment vertical="center"/>
      <protection locked="0"/>
    </xf>
    <xf numFmtId="41" fontId="46" fillId="23" borderId="140" xfId="0" applyNumberFormat="1" applyFont="1" applyFill="1" applyBorder="1" applyAlignment="1" applyProtection="1">
      <alignment horizontal="center" vertical="center"/>
      <protection locked="0"/>
    </xf>
    <xf numFmtId="42" fontId="43" fillId="0" borderId="140" xfId="0" applyNumberFormat="1" applyFont="1" applyFill="1" applyBorder="1" applyAlignment="1" applyProtection="1">
      <protection locked="0"/>
    </xf>
    <xf numFmtId="42" fontId="46" fillId="20" borderId="140" xfId="0" applyNumberFormat="1" applyFont="1" applyFill="1" applyBorder="1" applyAlignment="1" applyProtection="1">
      <alignment vertical="center"/>
      <protection locked="0"/>
    </xf>
    <xf numFmtId="41" fontId="46" fillId="24" borderId="2" xfId="0" applyNumberFormat="1" applyFont="1" applyFill="1" applyBorder="1" applyAlignment="1" applyProtection="1">
      <alignment vertical="center"/>
      <protection locked="0"/>
    </xf>
    <xf numFmtId="42" fontId="46" fillId="24" borderId="140" xfId="0" applyNumberFormat="1" applyFont="1" applyFill="1" applyBorder="1" applyAlignment="1" applyProtection="1">
      <protection locked="0"/>
    </xf>
    <xf numFmtId="42" fontId="46" fillId="20" borderId="140" xfId="0" applyNumberFormat="1" applyFont="1" applyFill="1" applyBorder="1" applyAlignment="1" applyProtection="1">
      <protection locked="0"/>
    </xf>
    <xf numFmtId="42" fontId="43" fillId="0" borderId="143" xfId="0" applyNumberFormat="1" applyFont="1" applyFill="1" applyBorder="1" applyAlignment="1" applyProtection="1">
      <protection locked="0"/>
    </xf>
    <xf numFmtId="42" fontId="46" fillId="23" borderId="3" xfId="0" applyNumberFormat="1" applyFont="1" applyFill="1" applyBorder="1" applyAlignment="1" applyProtection="1">
      <alignment horizontal="center" vertical="center" wrapText="1"/>
      <protection locked="0"/>
    </xf>
    <xf numFmtId="42" fontId="43" fillId="0" borderId="3" xfId="0" applyNumberFormat="1" applyFont="1" applyFill="1" applyBorder="1" applyAlignment="1" applyProtection="1">
      <protection locked="0"/>
    </xf>
    <xf numFmtId="41" fontId="46" fillId="23" borderId="139" xfId="0" applyNumberFormat="1" applyFont="1" applyFill="1" applyBorder="1" applyAlignment="1" applyProtection="1">
      <alignment vertical="center"/>
      <protection locked="0"/>
    </xf>
    <xf numFmtId="41" fontId="46" fillId="24" borderId="144" xfId="0" applyNumberFormat="1" applyFont="1" applyFill="1" applyBorder="1" applyAlignment="1" applyProtection="1">
      <alignment vertical="center"/>
      <protection locked="0"/>
    </xf>
    <xf numFmtId="42" fontId="46" fillId="24" borderId="145" xfId="0" applyNumberFormat="1" applyFont="1" applyFill="1" applyBorder="1" applyAlignment="1" applyProtection="1">
      <protection locked="0"/>
    </xf>
    <xf numFmtId="41" fontId="46" fillId="24" borderId="20" xfId="0" applyNumberFormat="1" applyFont="1" applyFill="1" applyBorder="1" applyAlignment="1" applyProtection="1">
      <alignment vertical="center"/>
      <protection locked="0"/>
    </xf>
    <xf numFmtId="41" fontId="46" fillId="24" borderId="24" xfId="0" applyNumberFormat="1" applyFont="1" applyFill="1" applyBorder="1" applyAlignment="1" applyProtection="1">
      <alignment vertical="center"/>
      <protection locked="0"/>
    </xf>
    <xf numFmtId="0" fontId="54" fillId="0" borderId="0" xfId="0" applyFont="1" applyAlignment="1">
      <alignment horizontal="left" vertical="center" wrapText="1"/>
    </xf>
    <xf numFmtId="0" fontId="21" fillId="0" borderId="0" xfId="0" applyFont="1" applyBorder="1" applyAlignment="1" applyProtection="1">
      <alignment horizontal="center" wrapText="1"/>
      <protection locked="0"/>
    </xf>
    <xf numFmtId="0" fontId="21" fillId="0" borderId="0" xfId="0" applyFont="1" applyBorder="1" applyAlignment="1" applyProtection="1">
      <alignment wrapText="1"/>
      <protection locked="0"/>
    </xf>
    <xf numFmtId="0" fontId="21" fillId="0" borderId="24" xfId="0" applyFont="1" applyFill="1" applyBorder="1" applyAlignment="1" applyProtection="1">
      <alignment wrapText="1"/>
      <protection locked="0"/>
    </xf>
    <xf numFmtId="0" fontId="2" fillId="16" borderId="39" xfId="0" applyFont="1" applyFill="1" applyBorder="1" applyAlignment="1" applyProtection="1">
      <alignment wrapText="1"/>
      <protection locked="0"/>
    </xf>
    <xf numFmtId="0" fontId="2" fillId="16" borderId="49" xfId="0" applyFont="1" applyFill="1" applyBorder="1" applyAlignment="1" applyProtection="1">
      <alignment wrapText="1"/>
      <protection locked="0"/>
    </xf>
    <xf numFmtId="0" fontId="21" fillId="6" borderId="0" xfId="0" applyFont="1" applyFill="1" applyBorder="1" applyAlignment="1" applyProtection="1">
      <alignment wrapText="1"/>
      <protection locked="0"/>
    </xf>
    <xf numFmtId="0" fontId="0" fillId="16" borderId="5" xfId="0" applyFill="1" applyBorder="1" applyAlignment="1" applyProtection="1">
      <alignment wrapText="1"/>
      <protection locked="0"/>
    </xf>
    <xf numFmtId="0" fontId="0" fillId="16" borderId="49" xfId="0" applyFill="1" applyBorder="1" applyAlignment="1" applyProtection="1">
      <alignment wrapText="1"/>
      <protection locked="0"/>
    </xf>
    <xf numFmtId="2" fontId="2" fillId="16" borderId="39" xfId="0" applyNumberFormat="1" applyFont="1" applyFill="1" applyBorder="1" applyAlignment="1" applyProtection="1">
      <alignment horizontal="right"/>
      <protection locked="0"/>
    </xf>
    <xf numFmtId="2" fontId="2" fillId="16" borderId="1" xfId="0" applyNumberFormat="1" applyFont="1" applyFill="1" applyBorder="1" applyAlignment="1" applyProtection="1">
      <alignment horizontal="right"/>
      <protection locked="0"/>
    </xf>
    <xf numFmtId="0" fontId="6" fillId="17" borderId="32" xfId="0" applyFont="1" applyFill="1" applyBorder="1" applyAlignment="1" applyProtection="1">
      <protection locked="0"/>
    </xf>
    <xf numFmtId="0" fontId="6" fillId="17" borderId="27" xfId="0" applyFont="1" applyFill="1" applyBorder="1" applyAlignment="1" applyProtection="1">
      <protection locked="0"/>
    </xf>
    <xf numFmtId="0" fontId="6" fillId="33" borderId="40" xfId="0" applyFont="1" applyFill="1" applyBorder="1" applyAlignment="1" applyProtection="1">
      <alignment horizontal="center"/>
      <protection locked="0"/>
    </xf>
    <xf numFmtId="0" fontId="6" fillId="33" borderId="41" xfId="0" applyFont="1" applyFill="1" applyBorder="1" applyAlignment="1" applyProtection="1">
      <alignment horizontal="center"/>
      <protection locked="0"/>
    </xf>
    <xf numFmtId="0" fontId="0" fillId="33" borderId="24" xfId="0" applyFill="1" applyBorder="1" applyProtection="1">
      <protection locked="0"/>
    </xf>
    <xf numFmtId="0" fontId="6" fillId="18" borderId="40" xfId="0" applyFont="1" applyFill="1" applyBorder="1" applyAlignment="1" applyProtection="1">
      <alignment horizontal="center"/>
      <protection locked="0"/>
    </xf>
    <xf numFmtId="0" fontId="6" fillId="18" borderId="41" xfId="0" applyFont="1" applyFill="1" applyBorder="1" applyAlignment="1" applyProtection="1">
      <alignment horizontal="center"/>
      <protection locked="0"/>
    </xf>
    <xf numFmtId="0" fontId="0" fillId="18" borderId="27" xfId="0" applyFill="1" applyBorder="1" applyProtection="1">
      <protection locked="0"/>
    </xf>
    <xf numFmtId="0" fontId="6" fillId="18" borderId="32" xfId="0" applyFont="1" applyFill="1" applyBorder="1" applyAlignment="1" applyProtection="1">
      <protection locked="0"/>
    </xf>
    <xf numFmtId="0" fontId="6" fillId="18" borderId="27" xfId="0" applyFont="1" applyFill="1" applyBorder="1" applyAlignment="1" applyProtection="1">
      <protection locked="0"/>
    </xf>
    <xf numFmtId="49" fontId="0" fillId="0" borderId="0" xfId="0" applyNumberFormat="1"/>
    <xf numFmtId="0" fontId="6" fillId="0" borderId="2" xfId="0" applyFont="1" applyFill="1" applyBorder="1" applyAlignment="1">
      <alignment horizontal="center"/>
    </xf>
    <xf numFmtId="0" fontId="6" fillId="0" borderId="0" xfId="0" applyFont="1" applyFill="1" applyBorder="1" applyAlignment="1">
      <alignment horizontal="center"/>
    </xf>
    <xf numFmtId="14" fontId="39" fillId="0" borderId="1" xfId="0" applyNumberFormat="1" applyFont="1" applyBorder="1" applyAlignment="1">
      <alignment horizontal="center"/>
    </xf>
    <xf numFmtId="14" fontId="0" fillId="0" borderId="8" xfId="0" applyNumberFormat="1" applyBorder="1" applyAlignment="1">
      <alignment horizontal="center"/>
    </xf>
    <xf numFmtId="14" fontId="0" fillId="0" borderId="107" xfId="0" applyNumberFormat="1" applyBorder="1" applyAlignment="1">
      <alignment horizontal="center"/>
    </xf>
    <xf numFmtId="0" fontId="2" fillId="0" borderId="0" xfId="8" applyFont="1"/>
    <xf numFmtId="5" fontId="19" fillId="0" borderId="0" xfId="8" applyNumberFormat="1"/>
    <xf numFmtId="9" fontId="19" fillId="0" borderId="0" xfId="12" applyFont="1"/>
    <xf numFmtId="10" fontId="19" fillId="0" borderId="0" xfId="12" applyNumberFormat="1" applyFont="1"/>
    <xf numFmtId="10" fontId="11" fillId="2" borderId="0" xfId="12" applyNumberFormat="1" applyFont="1" applyFill="1" applyBorder="1" applyAlignment="1" applyProtection="1">
      <alignment horizontal="left" indent="1"/>
      <protection locked="0"/>
    </xf>
    <xf numFmtId="9" fontId="19" fillId="0" borderId="0" xfId="8" applyNumberFormat="1"/>
    <xf numFmtId="5" fontId="2" fillId="0" borderId="0" xfId="8" applyNumberFormat="1" applyFont="1"/>
    <xf numFmtId="10" fontId="2" fillId="2" borderId="0" xfId="0" applyNumberFormat="1" applyFont="1" applyFill="1" applyBorder="1" applyProtection="1">
      <protection locked="0"/>
    </xf>
    <xf numFmtId="9" fontId="0" fillId="2" borderId="0" xfId="0" applyNumberFormat="1" applyFill="1" applyBorder="1" applyProtection="1">
      <protection locked="0"/>
    </xf>
    <xf numFmtId="10" fontId="4" fillId="2" borderId="1" xfId="0" applyNumberFormat="1" applyFont="1" applyFill="1" applyBorder="1" applyProtection="1">
      <protection locked="0"/>
    </xf>
    <xf numFmtId="0" fontId="0" fillId="0" borderId="151" xfId="0" applyBorder="1" applyProtection="1">
      <protection locked="0"/>
    </xf>
    <xf numFmtId="0" fontId="0" fillId="0" borderId="152" xfId="0" applyBorder="1" applyProtection="1">
      <protection locked="0"/>
    </xf>
    <xf numFmtId="0" fontId="0" fillId="0" borderId="153" xfId="0" applyBorder="1" applyProtection="1">
      <protection locked="0"/>
    </xf>
    <xf numFmtId="10" fontId="4" fillId="2" borderId="149" xfId="12" applyNumberFormat="1" applyFont="1" applyFill="1" applyBorder="1" applyAlignment="1" applyProtection="1">
      <alignment horizontal="left" indent="1"/>
      <protection locked="0"/>
    </xf>
    <xf numFmtId="10" fontId="6" fillId="2" borderId="1" xfId="0" applyNumberFormat="1" applyFont="1" applyFill="1" applyBorder="1" applyProtection="1">
      <protection locked="0"/>
    </xf>
    <xf numFmtId="10" fontId="6" fillId="2" borderId="150" xfId="0" applyNumberFormat="1" applyFont="1" applyFill="1" applyBorder="1" applyProtection="1">
      <protection locked="0"/>
    </xf>
    <xf numFmtId="164" fontId="15" fillId="2" borderId="149" xfId="0" applyNumberFormat="1" applyFont="1" applyFill="1" applyBorder="1" applyAlignment="1" applyProtection="1">
      <alignment horizontal="center"/>
      <protection locked="0"/>
    </xf>
    <xf numFmtId="164" fontId="15" fillId="2" borderId="1" xfId="0" applyNumberFormat="1" applyFont="1" applyFill="1" applyBorder="1" applyAlignment="1" applyProtection="1">
      <alignment horizontal="center"/>
      <protection locked="0"/>
    </xf>
    <xf numFmtId="164" fontId="15" fillId="2" borderId="150" xfId="0" applyNumberFormat="1" applyFont="1" applyFill="1" applyBorder="1" applyAlignment="1" applyProtection="1">
      <alignment horizontal="center"/>
      <protection locked="0"/>
    </xf>
    <xf numFmtId="165" fontId="24" fillId="0" borderId="44" xfId="0" applyNumberFormat="1" applyFont="1" applyBorder="1" applyProtection="1">
      <protection locked="0"/>
    </xf>
    <xf numFmtId="165" fontId="24" fillId="0" borderId="44" xfId="3" applyNumberFormat="1" applyFont="1" applyBorder="1" applyProtection="1">
      <protection locked="0"/>
    </xf>
    <xf numFmtId="44" fontId="24" fillId="0" borderId="44" xfId="0" applyNumberFormat="1" applyFont="1" applyBorder="1" applyProtection="1">
      <protection locked="0"/>
    </xf>
    <xf numFmtId="39" fontId="24" fillId="0" borderId="44" xfId="0" applyNumberFormat="1" applyFont="1" applyBorder="1" applyProtection="1">
      <protection locked="0"/>
    </xf>
    <xf numFmtId="2" fontId="24" fillId="0" borderId="44" xfId="0" applyNumberFormat="1" applyFont="1" applyBorder="1" applyProtection="1">
      <protection locked="0"/>
    </xf>
    <xf numFmtId="44" fontId="24" fillId="0" borderId="44" xfId="3" applyFont="1" applyBorder="1" applyProtection="1">
      <protection locked="0"/>
    </xf>
    <xf numFmtId="10" fontId="24" fillId="0" borderId="44" xfId="12" applyNumberFormat="1" applyFont="1" applyBorder="1" applyProtection="1">
      <protection locked="0"/>
    </xf>
    <xf numFmtId="10" fontId="24" fillId="0" borderId="45" xfId="0" applyNumberFormat="1" applyFont="1" applyBorder="1" applyProtection="1">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164" fontId="20" fillId="2" borderId="0" xfId="0" applyNumberFormat="1" applyFont="1" applyFill="1" applyBorder="1" applyAlignment="1" applyProtection="1">
      <alignment horizontal="center"/>
      <protection locked="0"/>
    </xf>
    <xf numFmtId="165" fontId="48" fillId="0" borderId="0" xfId="3" applyNumberFormat="1" applyFont="1" applyBorder="1" applyAlignment="1" applyProtection="1">
      <protection locked="0"/>
    </xf>
    <xf numFmtId="179" fontId="0" fillId="8" borderId="0" xfId="0" applyNumberFormat="1" applyFill="1" applyAlignment="1" applyProtection="1">
      <alignment horizontal="center"/>
    </xf>
    <xf numFmtId="2" fontId="0" fillId="8" borderId="0" xfId="0" applyNumberFormat="1" applyFill="1" applyAlignment="1" applyProtection="1">
      <alignment horizontal="center"/>
    </xf>
    <xf numFmtId="0" fontId="2" fillId="8" borderId="0" xfId="0" applyFont="1" applyFill="1" applyAlignment="1" applyProtection="1">
      <alignment horizontal="center"/>
    </xf>
    <xf numFmtId="177" fontId="0" fillId="8" borderId="0" xfId="0" applyNumberFormat="1" applyFill="1" applyAlignment="1" applyProtection="1">
      <alignment horizontal="center"/>
    </xf>
    <xf numFmtId="178" fontId="0" fillId="8" borderId="0" xfId="0" applyNumberFormat="1" applyFill="1" applyAlignment="1" applyProtection="1">
      <alignment horizontal="center"/>
    </xf>
    <xf numFmtId="0" fontId="6" fillId="8" borderId="0" xfId="0" applyFont="1" applyFill="1" applyAlignment="1" applyProtection="1">
      <alignment horizontal="center"/>
    </xf>
    <xf numFmtId="14" fontId="0" fillId="8" borderId="0" xfId="0" applyNumberFormat="1" applyFill="1" applyAlignment="1" applyProtection="1">
      <alignment horizontal="center"/>
    </xf>
    <xf numFmtId="0" fontId="0" fillId="8" borderId="0" xfId="0" applyFill="1" applyAlignment="1" applyProtection="1">
      <alignment horizontal="center"/>
    </xf>
    <xf numFmtId="165" fontId="11" fillId="2" borderId="0" xfId="3" applyNumberFormat="1" applyFont="1" applyFill="1" applyBorder="1" applyProtection="1">
      <protection locked="0"/>
    </xf>
    <xf numFmtId="1" fontId="0" fillId="0" borderId="0" xfId="0" applyNumberFormat="1" applyBorder="1" applyAlignment="1" applyProtection="1">
      <alignment horizontal="center"/>
      <protection locked="0"/>
    </xf>
    <xf numFmtId="165" fontId="0" fillId="0" borderId="0" xfId="0" applyNumberFormat="1" applyFill="1" applyBorder="1" applyProtection="1">
      <protection locked="0"/>
    </xf>
    <xf numFmtId="165" fontId="11" fillId="0" borderId="55" xfId="3" applyNumberFormat="1" applyFont="1" applyFill="1" applyBorder="1" applyProtection="1"/>
    <xf numFmtId="165" fontId="11" fillId="2" borderId="69" xfId="3" applyNumberFormat="1" applyFont="1" applyFill="1" applyBorder="1" applyProtection="1"/>
    <xf numFmtId="165" fontId="11" fillId="2" borderId="56" xfId="3" applyNumberFormat="1" applyFont="1" applyFill="1" applyBorder="1" applyProtection="1"/>
    <xf numFmtId="165" fontId="0" fillId="0" borderId="28" xfId="0" applyNumberFormat="1" applyBorder="1" applyProtection="1"/>
    <xf numFmtId="165" fontId="0" fillId="6" borderId="0" xfId="0" applyNumberFormat="1" applyFill="1" applyBorder="1" applyProtection="1"/>
    <xf numFmtId="165" fontId="4" fillId="2" borderId="56" xfId="3" applyNumberFormat="1" applyFont="1" applyFill="1" applyBorder="1" applyProtection="1"/>
    <xf numFmtId="165" fontId="4" fillId="2" borderId="57" xfId="3" applyNumberFormat="1" applyFont="1" applyFill="1" applyBorder="1" applyProtection="1"/>
    <xf numFmtId="10" fontId="0" fillId="0" borderId="0" xfId="0" applyNumberFormat="1" applyBorder="1" applyProtection="1"/>
    <xf numFmtId="10" fontId="0" fillId="0" borderId="0" xfId="12" applyNumberFormat="1" applyFont="1" applyBorder="1" applyProtection="1"/>
    <xf numFmtId="165" fontId="0" fillId="15" borderId="0" xfId="0" applyNumberFormat="1" applyFill="1" applyBorder="1" applyProtection="1"/>
    <xf numFmtId="165" fontId="0" fillId="2" borderId="0" xfId="0" applyNumberFormat="1" applyFill="1" applyBorder="1" applyProtection="1"/>
    <xf numFmtId="44" fontId="36" fillId="2" borderId="0" xfId="0" applyNumberFormat="1" applyFont="1" applyFill="1" applyBorder="1" applyProtection="1"/>
    <xf numFmtId="169" fontId="0" fillId="0" borderId="0" xfId="0" applyNumberFormat="1" applyBorder="1" applyProtection="1"/>
    <xf numFmtId="165" fontId="5" fillId="15" borderId="1" xfId="0" applyNumberFormat="1" applyFont="1" applyFill="1" applyBorder="1" applyProtection="1"/>
    <xf numFmtId="165" fontId="5" fillId="2" borderId="0" xfId="3" applyNumberFormat="1" applyFont="1" applyFill="1" applyBorder="1" applyProtection="1"/>
    <xf numFmtId="3" fontId="0" fillId="0" borderId="0" xfId="0" applyNumberFormat="1" applyBorder="1" applyProtection="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19" fillId="0" borderId="0" xfId="9" applyNumberFormat="1" applyBorder="1"/>
    <xf numFmtId="39" fontId="2" fillId="0" borderId="0" xfId="3" applyNumberFormat="1" applyFont="1" applyBorder="1"/>
    <xf numFmtId="2" fontId="58" fillId="16" borderId="0" xfId="0" applyNumberFormat="1" applyFont="1" applyFill="1"/>
    <xf numFmtId="0" fontId="61" fillId="16" borderId="28" xfId="0" applyFont="1" applyFill="1" applyBorder="1"/>
    <xf numFmtId="2" fontId="61" fillId="16" borderId="28" xfId="0" applyNumberFormat="1" applyFont="1" applyFill="1" applyBorder="1"/>
    <xf numFmtId="179" fontId="24" fillId="0" borderId="0" xfId="0" applyNumberFormat="1" applyFont="1" applyAlignment="1" applyProtection="1">
      <alignment horizontal="center"/>
      <protection locked="0"/>
    </xf>
    <xf numFmtId="165" fontId="4" fillId="18" borderId="68" xfId="3" applyNumberFormat="1" applyFont="1" applyFill="1" applyBorder="1" applyProtection="1"/>
    <xf numFmtId="0" fontId="2" fillId="16" borderId="152" xfId="0" applyFont="1" applyFill="1" applyBorder="1" applyAlignment="1" applyProtection="1">
      <alignment horizontal="center"/>
      <protection locked="0"/>
    </xf>
    <xf numFmtId="0" fontId="2" fillId="0" borderId="0" xfId="10" applyFont="1" applyBorder="1" applyAlignment="1">
      <alignment horizontal="center"/>
    </xf>
    <xf numFmtId="14" fontId="19" fillId="0" borderId="0" xfId="9" applyNumberFormat="1" applyFont="1" applyBorder="1" applyAlignment="1">
      <alignment horizontal="center"/>
    </xf>
    <xf numFmtId="14" fontId="19" fillId="0" borderId="0" xfId="10" applyNumberFormat="1" applyFont="1" applyBorder="1" applyAlignment="1">
      <alignment horizontal="center"/>
    </xf>
    <xf numFmtId="44" fontId="6" fillId="0" borderId="10" xfId="3" applyFont="1" applyBorder="1"/>
    <xf numFmtId="44" fontId="2" fillId="0" borderId="0" xfId="3" applyFont="1" applyFill="1" applyBorder="1"/>
    <xf numFmtId="44" fontId="6" fillId="0" borderId="7" xfId="3" applyFont="1" applyBorder="1"/>
    <xf numFmtId="169" fontId="21" fillId="25" borderId="3" xfId="0" applyNumberFormat="1" applyFont="1" applyFill="1" applyBorder="1" applyProtection="1"/>
    <xf numFmtId="169" fontId="21" fillId="0" borderId="19" xfId="0" applyNumberFormat="1" applyFont="1" applyFill="1" applyBorder="1" applyProtection="1"/>
    <xf numFmtId="42" fontId="2" fillId="0" borderId="31" xfId="0" applyNumberFormat="1" applyFont="1" applyFill="1" applyBorder="1" applyAlignment="1" applyProtection="1">
      <protection locked="0"/>
    </xf>
    <xf numFmtId="42" fontId="2" fillId="0" borderId="45" xfId="0" applyNumberFormat="1" applyFont="1" applyFill="1" applyBorder="1" applyAlignment="1" applyProtection="1">
      <protection locked="0"/>
    </xf>
    <xf numFmtId="0" fontId="6" fillId="0" borderId="0" xfId="0" applyFont="1" applyBorder="1" applyAlignment="1" applyProtection="1">
      <alignment wrapText="1"/>
      <protection locked="0"/>
    </xf>
    <xf numFmtId="169" fontId="0" fillId="0" borderId="39" xfId="0" applyNumberFormat="1" applyBorder="1" applyProtection="1">
      <protection locked="0"/>
    </xf>
    <xf numFmtId="170" fontId="0" fillId="0" borderId="5" xfId="0" applyNumberFormat="1" applyBorder="1" applyProtection="1">
      <protection locked="0"/>
    </xf>
    <xf numFmtId="165" fontId="0" fillId="0" borderId="5" xfId="3" applyNumberFormat="1" applyFont="1" applyBorder="1" applyProtection="1">
      <protection locked="0"/>
    </xf>
    <xf numFmtId="165" fontId="0" fillId="0" borderId="5" xfId="0" applyNumberFormat="1" applyBorder="1" applyProtection="1">
      <protection locked="0"/>
    </xf>
    <xf numFmtId="165" fontId="2" fillId="0" borderId="5" xfId="0" applyNumberFormat="1" applyFont="1" applyBorder="1" applyProtection="1">
      <protection locked="0"/>
    </xf>
    <xf numFmtId="169" fontId="0" fillId="0" borderId="1" xfId="0" applyNumberFormat="1" applyBorder="1" applyProtection="1">
      <protection locked="0"/>
    </xf>
    <xf numFmtId="170" fontId="0" fillId="0" borderId="1" xfId="0" applyNumberFormat="1" applyBorder="1" applyProtection="1">
      <protection locked="0"/>
    </xf>
    <xf numFmtId="165" fontId="0" fillId="0" borderId="1" xfId="0" applyNumberFormat="1" applyBorder="1" applyProtection="1">
      <protection locked="0"/>
    </xf>
    <xf numFmtId="165" fontId="2" fillId="0" borderId="1" xfId="0" applyNumberFormat="1" applyFont="1" applyBorder="1" applyProtection="1">
      <protection locked="0"/>
    </xf>
    <xf numFmtId="169" fontId="0" fillId="0" borderId="152" xfId="0" applyNumberFormat="1" applyBorder="1" applyProtection="1">
      <protection locked="0"/>
    </xf>
    <xf numFmtId="170" fontId="0" fillId="0" borderId="49" xfId="0" applyNumberFormat="1" applyBorder="1" applyProtection="1">
      <protection locked="0"/>
    </xf>
    <xf numFmtId="165" fontId="0" fillId="0" borderId="49" xfId="3" applyNumberFormat="1" applyFont="1" applyBorder="1" applyProtection="1">
      <protection locked="0"/>
    </xf>
    <xf numFmtId="165" fontId="0" fillId="0" borderId="49" xfId="0" applyNumberFormat="1" applyBorder="1" applyProtection="1">
      <protection locked="0"/>
    </xf>
    <xf numFmtId="0" fontId="6" fillId="0" borderId="25" xfId="0" applyFont="1" applyBorder="1" applyAlignment="1" applyProtection="1">
      <alignment wrapText="1"/>
      <protection locked="0"/>
    </xf>
    <xf numFmtId="0" fontId="6" fillId="0" borderId="25" xfId="0" applyFont="1" applyBorder="1" applyProtection="1">
      <protection locked="0"/>
    </xf>
    <xf numFmtId="169" fontId="0" fillId="0" borderId="5" xfId="0" applyNumberFormat="1" applyFill="1" applyBorder="1" applyProtection="1">
      <protection locked="0"/>
    </xf>
    <xf numFmtId="2" fontId="0" fillId="0" borderId="1" xfId="0" applyNumberFormat="1" applyBorder="1" applyProtection="1">
      <protection locked="0"/>
    </xf>
    <xf numFmtId="2" fontId="0" fillId="0" borderId="13" xfId="0" applyNumberFormat="1" applyBorder="1" applyProtection="1">
      <protection locked="0"/>
    </xf>
    <xf numFmtId="165" fontId="0" fillId="0" borderId="13" xfId="0" applyNumberFormat="1" applyBorder="1" applyProtection="1">
      <protection locked="0"/>
    </xf>
    <xf numFmtId="2" fontId="0" fillId="0" borderId="5" xfId="0" applyNumberFormat="1" applyBorder="1" applyProtection="1">
      <protection locked="0"/>
    </xf>
    <xf numFmtId="169" fontId="0" fillId="0" borderId="1" xfId="0" applyNumberFormat="1" applyFill="1" applyBorder="1" applyProtection="1">
      <protection locked="0"/>
    </xf>
    <xf numFmtId="169" fontId="0" fillId="0" borderId="49" xfId="0" applyNumberFormat="1" applyFill="1" applyBorder="1" applyProtection="1">
      <protection locked="0"/>
    </xf>
    <xf numFmtId="2" fontId="0" fillId="0" borderId="49" xfId="0" applyNumberFormat="1" applyBorder="1" applyProtection="1">
      <protection locked="0"/>
    </xf>
    <xf numFmtId="0" fontId="2" fillId="0" borderId="5" xfId="11" applyFont="1" applyBorder="1" applyAlignment="1" applyProtection="1">
      <alignment horizontal="center" vertical="center"/>
      <protection locked="0"/>
    </xf>
    <xf numFmtId="7" fontId="6" fillId="0" borderId="1" xfId="11" applyNumberFormat="1" applyFont="1" applyBorder="1" applyAlignment="1" applyProtection="1">
      <alignment horizontal="right"/>
    </xf>
    <xf numFmtId="7" fontId="25" fillId="0" borderId="1" xfId="11" applyNumberFormat="1" applyFont="1" applyFill="1" applyBorder="1" applyAlignment="1" applyProtection="1">
      <alignment horizontal="right"/>
    </xf>
    <xf numFmtId="0" fontId="0" fillId="0" borderId="0" xfId="0" applyFill="1"/>
    <xf numFmtId="165" fontId="0" fillId="0" borderId="0" xfId="3" applyNumberFormat="1" applyFont="1" applyFill="1"/>
    <xf numFmtId="0" fontId="68" fillId="0" borderId="0" xfId="0" applyFont="1" applyFill="1" applyAlignment="1">
      <alignment vertical="top" wrapText="1"/>
    </xf>
    <xf numFmtId="0" fontId="0" fillId="0" borderId="0" xfId="0" applyAlignment="1"/>
    <xf numFmtId="169" fontId="0" fillId="0" borderId="0" xfId="0" applyNumberFormat="1" applyAlignment="1"/>
    <xf numFmtId="165" fontId="0" fillId="0" borderId="0" xfId="3" applyNumberFormat="1" applyFont="1" applyAlignment="1"/>
    <xf numFmtId="44" fontId="0" fillId="0" borderId="0" xfId="3" applyFont="1" applyAlignment="1"/>
    <xf numFmtId="44" fontId="0" fillId="0" borderId="0" xfId="3" applyNumberFormat="1" applyFont="1" applyAlignment="1"/>
    <xf numFmtId="3" fontId="0" fillId="0" borderId="0" xfId="0" applyNumberFormat="1" applyAlignment="1"/>
    <xf numFmtId="0" fontId="6" fillId="7" borderId="0" xfId="0" applyFont="1" applyFill="1" applyAlignment="1"/>
    <xf numFmtId="0" fontId="6" fillId="34" borderId="155" xfId="0" applyFont="1" applyFill="1" applyBorder="1" applyAlignment="1">
      <alignment horizontal="center" vertical="center" wrapText="1"/>
    </xf>
    <xf numFmtId="0" fontId="6" fillId="18" borderId="155"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30" borderId="0" xfId="0" applyFont="1" applyFill="1"/>
    <xf numFmtId="165" fontId="6" fillId="30" borderId="1" xfId="3" applyNumberFormat="1" applyFont="1" applyFill="1" applyBorder="1"/>
    <xf numFmtId="165" fontId="6" fillId="7" borderId="1" xfId="3" applyNumberFormat="1" applyFont="1" applyFill="1" applyBorder="1"/>
    <xf numFmtId="44" fontId="2" fillId="0" borderId="0" xfId="3" applyNumberFormat="1" applyFont="1" applyAlignment="1"/>
    <xf numFmtId="0" fontId="2" fillId="16" borderId="49" xfId="0" applyFont="1" applyFill="1" applyBorder="1" applyAlignment="1" applyProtection="1">
      <alignment horizontal="center"/>
      <protection locked="0"/>
    </xf>
    <xf numFmtId="0" fontId="32" fillId="0" borderId="0" xfId="7" applyFont="1" applyFill="1" applyBorder="1" applyAlignment="1">
      <alignment horizontal="left"/>
    </xf>
    <xf numFmtId="0" fontId="32" fillId="0" borderId="0" xfId="7" applyFont="1" applyFill="1" applyBorder="1" applyAlignment="1">
      <alignment horizontal="center"/>
    </xf>
    <xf numFmtId="0" fontId="43" fillId="0" borderId="0" xfId="0" applyNumberFormat="1" applyFont="1" applyFill="1" applyBorder="1" applyAlignment="1" applyProtection="1">
      <alignment vertical="top"/>
      <protection locked="0"/>
    </xf>
    <xf numFmtId="169" fontId="31" fillId="0" borderId="0" xfId="7" applyNumberFormat="1" applyFont="1" applyFill="1" applyBorder="1"/>
    <xf numFmtId="0" fontId="31" fillId="0" borderId="0" xfId="7" applyFont="1" applyFill="1" applyBorder="1"/>
    <xf numFmtId="168" fontId="31" fillId="0" borderId="0" xfId="7" applyNumberFormat="1" applyFont="1" applyFill="1" applyBorder="1" applyAlignment="1">
      <alignment horizontal="center"/>
    </xf>
    <xf numFmtId="0" fontId="31" fillId="0" borderId="0" xfId="7" applyFont="1" applyFill="1" applyBorder="1" applyAlignment="1">
      <alignment horizontal="center"/>
    </xf>
    <xf numFmtId="0" fontId="31" fillId="0" borderId="0" xfId="7" applyFont="1" applyFill="1" applyBorder="1" applyAlignment="1"/>
    <xf numFmtId="169" fontId="32" fillId="0" borderId="0" xfId="7" applyNumberFormat="1" applyFont="1" applyFill="1" applyBorder="1" applyAlignment="1">
      <alignment horizontal="center"/>
    </xf>
    <xf numFmtId="0" fontId="4" fillId="0" borderId="0" xfId="0" applyFont="1" applyAlignment="1">
      <alignment horizontal="left" vertical="top"/>
    </xf>
    <xf numFmtId="0" fontId="2" fillId="0" borderId="0" xfId="0" applyFont="1" applyAlignment="1">
      <alignment horizontal="left" vertical="top"/>
    </xf>
    <xf numFmtId="0" fontId="2" fillId="0" borderId="160" xfId="0" applyFont="1" applyBorder="1" applyAlignment="1">
      <alignment horizontal="center" vertical="top" wrapText="1"/>
    </xf>
    <xf numFmtId="0" fontId="2" fillId="0" borderId="161" xfId="0" applyFont="1" applyFill="1" applyBorder="1" applyAlignment="1">
      <alignment horizontal="center" vertical="top" wrapText="1"/>
    </xf>
    <xf numFmtId="0" fontId="2" fillId="0" borderId="160" xfId="0" applyFont="1" applyBorder="1" applyAlignment="1">
      <alignment horizontal="left" vertical="top" wrapText="1"/>
    </xf>
    <xf numFmtId="2" fontId="2" fillId="0" borderId="0" xfId="12" applyNumberFormat="1" applyFont="1"/>
    <xf numFmtId="2" fontId="2" fillId="0" borderId="0" xfId="0" applyNumberFormat="1" applyFont="1"/>
    <xf numFmtId="0" fontId="2" fillId="0" borderId="0" xfId="0" applyFont="1" applyBorder="1" applyAlignment="1">
      <alignment horizontal="center" vertical="top" wrapText="1"/>
    </xf>
    <xf numFmtId="0" fontId="2" fillId="0" borderId="0" xfId="0" applyFont="1" applyFill="1" applyBorder="1" applyAlignment="1">
      <alignment horizontal="center" vertical="top" wrapText="1"/>
    </xf>
    <xf numFmtId="0" fontId="2" fillId="36" borderId="160" xfId="0" applyFont="1" applyFill="1" applyBorder="1" applyAlignment="1">
      <alignment horizontal="left" vertical="top" wrapText="1"/>
    </xf>
    <xf numFmtId="0" fontId="2" fillId="0" borderId="160" xfId="0" applyFont="1" applyFill="1" applyBorder="1" applyAlignment="1">
      <alignment horizontal="left" vertical="top" wrapText="1"/>
    </xf>
    <xf numFmtId="186" fontId="2" fillId="0" borderId="0" xfId="0" applyNumberFormat="1" applyFont="1"/>
    <xf numFmtId="186" fontId="2" fillId="0" borderId="0" xfId="0" applyNumberFormat="1" applyFont="1" applyAlignment="1">
      <alignment horizontal="left" vertical="top"/>
    </xf>
    <xf numFmtId="186" fontId="2" fillId="0" borderId="160" xfId="0" applyNumberFormat="1" applyFont="1" applyBorder="1" applyAlignment="1">
      <alignment horizontal="center" vertical="top" wrapText="1"/>
    </xf>
    <xf numFmtId="186" fontId="69" fillId="35" borderId="160" xfId="0" applyNumberFormat="1" applyFont="1" applyFill="1" applyBorder="1" applyAlignment="1">
      <alignment horizontal="center" vertical="top" wrapText="1"/>
    </xf>
    <xf numFmtId="169" fontId="2" fillId="0" borderId="39" xfId="0" applyNumberFormat="1" applyFont="1" applyFill="1" applyBorder="1" applyProtection="1">
      <protection locked="0"/>
    </xf>
    <xf numFmtId="0" fontId="2" fillId="18" borderId="0" xfId="0" applyFont="1" applyFill="1" applyAlignment="1" applyProtection="1">
      <alignment horizontal="center"/>
      <protection locked="0"/>
    </xf>
    <xf numFmtId="165" fontId="0" fillId="0" borderId="0" xfId="3" applyNumberFormat="1" applyFont="1" applyAlignment="1">
      <alignment wrapText="1"/>
    </xf>
    <xf numFmtId="41" fontId="43" fillId="0" borderId="87" xfId="0" applyNumberFormat="1" applyFont="1" applyFill="1" applyBorder="1" applyAlignment="1" applyProtection="1">
      <protection locked="0"/>
    </xf>
    <xf numFmtId="41" fontId="43" fillId="0" borderId="89" xfId="0" applyNumberFormat="1" applyFont="1" applyFill="1" applyBorder="1" applyAlignment="1" applyProtection="1">
      <protection locked="0"/>
    </xf>
    <xf numFmtId="41" fontId="43" fillId="0" borderId="0" xfId="0" applyNumberFormat="1" applyFont="1" applyFill="1" applyBorder="1" applyAlignment="1" applyProtection="1">
      <protection locked="0"/>
    </xf>
    <xf numFmtId="41" fontId="43" fillId="0" borderId="92" xfId="0" applyNumberFormat="1" applyFont="1" applyFill="1" applyBorder="1" applyAlignment="1" applyProtection="1">
      <protection locked="0"/>
    </xf>
    <xf numFmtId="41" fontId="43" fillId="0" borderId="93" xfId="0" applyNumberFormat="1" applyFont="1" applyFill="1" applyBorder="1" applyAlignment="1" applyProtection="1">
      <protection locked="0"/>
    </xf>
    <xf numFmtId="0" fontId="2" fillId="0" borderId="8" xfId="0" applyFont="1" applyBorder="1" applyAlignment="1">
      <alignment horizontal="center" vertical="center" wrapText="1"/>
    </xf>
    <xf numFmtId="165" fontId="6" fillId="7" borderId="8" xfId="3" applyNumberFormat="1" applyFont="1" applyFill="1" applyBorder="1"/>
    <xf numFmtId="165" fontId="6" fillId="30" borderId="8" xfId="3" applyNumberFormat="1" applyFont="1" applyFill="1" applyBorder="1"/>
    <xf numFmtId="0" fontId="6" fillId="30" borderId="32" xfId="0" applyFont="1" applyFill="1" applyBorder="1" applyAlignment="1"/>
    <xf numFmtId="0" fontId="6" fillId="30" borderId="27" xfId="0" applyFont="1" applyFill="1" applyBorder="1" applyAlignment="1"/>
    <xf numFmtId="0" fontId="6" fillId="30" borderId="33" xfId="0" applyFont="1" applyFill="1" applyBorder="1" applyAlignment="1"/>
    <xf numFmtId="0" fontId="6" fillId="7" borderId="32" xfId="0" applyFont="1" applyFill="1" applyBorder="1" applyAlignment="1"/>
    <xf numFmtId="0" fontId="6" fillId="7" borderId="27" xfId="0" applyFont="1" applyFill="1" applyBorder="1" applyAlignment="1"/>
    <xf numFmtId="0" fontId="6" fillId="7" borderId="33" xfId="0" applyFont="1" applyFill="1" applyBorder="1" applyAlignment="1"/>
    <xf numFmtId="0" fontId="2" fillId="0" borderId="0" xfId="0" applyFont="1" applyAlignment="1">
      <alignment horizontal="center" vertical="center" wrapText="1"/>
    </xf>
    <xf numFmtId="0" fontId="2" fillId="0" borderId="0" xfId="0" applyFont="1" applyAlignment="1">
      <alignment horizontal="center" vertical="center"/>
    </xf>
    <xf numFmtId="6" fontId="2" fillId="0" borderId="0" xfId="0" applyNumberFormat="1" applyFont="1" applyAlignment="1">
      <alignment horizontal="center" vertical="center" wrapText="1"/>
    </xf>
    <xf numFmtId="0" fontId="2" fillId="6" borderId="5" xfId="11" applyFont="1" applyFill="1" applyBorder="1" applyAlignment="1" applyProtection="1">
      <alignment horizontal="center"/>
      <protection locked="0"/>
    </xf>
    <xf numFmtId="41" fontId="43" fillId="0" borderId="88" xfId="0" applyNumberFormat="1" applyFont="1" applyFill="1" applyBorder="1" applyAlignment="1" applyProtection="1">
      <protection locked="0"/>
    </xf>
    <xf numFmtId="165" fontId="2" fillId="0" borderId="162" xfId="11" applyNumberFormat="1" applyFont="1" applyBorder="1" applyAlignment="1" applyProtection="1">
      <alignment horizontal="center"/>
      <protection locked="0"/>
    </xf>
    <xf numFmtId="42" fontId="43" fillId="0" borderId="163" xfId="0" applyNumberFormat="1" applyFont="1" applyFill="1" applyBorder="1" applyAlignment="1" applyProtection="1">
      <protection locked="0"/>
    </xf>
    <xf numFmtId="0" fontId="2" fillId="0" borderId="0" xfId="11" applyFont="1" applyFill="1" applyBorder="1" applyAlignment="1" applyProtection="1">
      <alignment horizontal="center"/>
      <protection locked="0"/>
    </xf>
    <xf numFmtId="7" fontId="2" fillId="0" borderId="0" xfId="11" applyNumberFormat="1" applyFont="1" applyBorder="1" applyAlignment="1" applyProtection="1">
      <alignment horizontal="right"/>
      <protection locked="0"/>
    </xf>
    <xf numFmtId="44" fontId="2" fillId="37" borderId="0" xfId="3" applyFont="1" applyFill="1" applyBorder="1"/>
    <xf numFmtId="44" fontId="19" fillId="37" borderId="0" xfId="3" applyFont="1" applyFill="1" applyBorder="1"/>
    <xf numFmtId="0" fontId="40" fillId="0" borderId="0" xfId="0" applyFont="1" applyFill="1" applyAlignment="1">
      <alignment vertical="center"/>
    </xf>
    <xf numFmtId="0" fontId="40" fillId="0" borderId="0" xfId="11" applyFont="1" applyFill="1" applyBorder="1" applyAlignment="1" applyProtection="1">
      <alignment horizontal="left"/>
      <protection locked="0"/>
    </xf>
    <xf numFmtId="7" fontId="2" fillId="0" borderId="5" xfId="11" applyNumberFormat="1" applyFont="1" applyBorder="1" applyAlignment="1" applyProtection="1">
      <protection locked="0"/>
    </xf>
    <xf numFmtId="7" fontId="2" fillId="0" borderId="5" xfId="11" applyNumberFormat="1" applyFont="1" applyFill="1" applyBorder="1" applyAlignment="1" applyProtection="1">
      <protection locked="0"/>
    </xf>
    <xf numFmtId="44" fontId="2" fillId="0" borderId="5" xfId="11" applyNumberFormat="1" applyFont="1" applyBorder="1" applyAlignment="1" applyProtection="1">
      <protection locked="0"/>
    </xf>
    <xf numFmtId="49" fontId="39" fillId="0" borderId="1" xfId="0" applyNumberFormat="1" applyFont="1" applyBorder="1" applyAlignment="1">
      <alignment horizontal="center"/>
    </xf>
    <xf numFmtId="49" fontId="2" fillId="6" borderId="0" xfId="0" applyNumberFormat="1" applyFont="1" applyFill="1" applyAlignment="1" applyProtection="1">
      <alignment horizontal="center"/>
      <protection locked="0"/>
    </xf>
    <xf numFmtId="10" fontId="43" fillId="0" borderId="0" xfId="12" applyNumberFormat="1" applyFont="1" applyFill="1" applyBorder="1" applyAlignment="1">
      <alignment readingOrder="1"/>
    </xf>
    <xf numFmtId="0" fontId="43" fillId="0" borderId="0" xfId="0" applyFont="1" applyFill="1" applyAlignment="1">
      <alignment readingOrder="1"/>
    </xf>
    <xf numFmtId="0" fontId="43" fillId="0" borderId="0" xfId="0" applyFont="1" applyFill="1" applyAlignment="1">
      <alignment horizontal="center" vertical="top" readingOrder="1"/>
    </xf>
    <xf numFmtId="165" fontId="0" fillId="0" borderId="0" xfId="3" applyNumberFormat="1" applyFont="1" applyAlignment="1">
      <alignment horizontal="center"/>
    </xf>
    <xf numFmtId="165" fontId="6" fillId="30" borderId="27" xfId="3" applyNumberFormat="1" applyFont="1" applyFill="1" applyBorder="1" applyAlignment="1"/>
    <xf numFmtId="165" fontId="2" fillId="0" borderId="0" xfId="3" applyNumberFormat="1" applyFont="1" applyAlignment="1">
      <alignment horizontal="center" vertical="center"/>
    </xf>
    <xf numFmtId="165" fontId="6" fillId="7" borderId="27" xfId="3" applyNumberFormat="1" applyFont="1" applyFill="1" applyBorder="1" applyAlignment="1"/>
    <xf numFmtId="165" fontId="2" fillId="0" borderId="0" xfId="3" applyNumberFormat="1" applyFont="1" applyAlignment="1"/>
    <xf numFmtId="165" fontId="2" fillId="0" borderId="0" xfId="3" applyNumberFormat="1" applyFont="1" applyAlignment="1">
      <alignment horizontal="center" vertical="center" wrapText="1"/>
    </xf>
    <xf numFmtId="2" fontId="32" fillId="0" borderId="1" xfId="7" applyNumberFormat="1" applyFont="1" applyFill="1" applyBorder="1"/>
    <xf numFmtId="0" fontId="32" fillId="19" borderId="1" xfId="7" applyFont="1" applyFill="1" applyBorder="1" applyAlignment="1">
      <alignment horizontal="center"/>
    </xf>
    <xf numFmtId="165" fontId="6" fillId="30" borderId="33" xfId="3" applyNumberFormat="1" applyFont="1" applyFill="1" applyBorder="1" applyAlignment="1"/>
    <xf numFmtId="165" fontId="6" fillId="7" borderId="33" xfId="3" applyNumberFormat="1" applyFont="1" applyFill="1" applyBorder="1" applyAlignment="1"/>
    <xf numFmtId="0" fontId="6" fillId="18" borderId="0" xfId="0" applyFont="1" applyFill="1" applyAlignment="1">
      <alignment horizontal="center" vertical="center" wrapText="1"/>
    </xf>
    <xf numFmtId="10" fontId="6" fillId="18" borderId="0" xfId="12" applyNumberFormat="1" applyFont="1" applyFill="1" applyAlignment="1">
      <alignment horizontal="center" vertical="center" wrapText="1"/>
    </xf>
    <xf numFmtId="165" fontId="6" fillId="18" borderId="0" xfId="3" applyNumberFormat="1" applyFont="1" applyFill="1" applyAlignment="1">
      <alignment horizontal="center" vertical="center" wrapText="1"/>
    </xf>
    <xf numFmtId="165" fontId="6" fillId="18" borderId="0" xfId="12" applyNumberFormat="1" applyFont="1" applyFill="1" applyAlignment="1">
      <alignment horizontal="center" vertical="center" wrapText="1"/>
    </xf>
    <xf numFmtId="41" fontId="46" fillId="24" borderId="86" xfId="0" applyNumberFormat="1" applyFont="1" applyFill="1" applyBorder="1" applyAlignment="1" applyProtection="1">
      <alignment vertical="center"/>
      <protection locked="0"/>
    </xf>
    <xf numFmtId="41" fontId="46" fillId="24" borderId="87" xfId="0" applyNumberFormat="1" applyFont="1" applyFill="1" applyBorder="1" applyAlignment="1" applyProtection="1">
      <alignment vertical="center"/>
      <protection locked="0"/>
    </xf>
    <xf numFmtId="42" fontId="46" fillId="24" borderId="87" xfId="0" applyNumberFormat="1" applyFont="1" applyFill="1" applyBorder="1" applyAlignment="1" applyProtection="1">
      <protection locked="0"/>
    </xf>
    <xf numFmtId="42" fontId="46" fillId="24" borderId="88" xfId="0" applyNumberFormat="1" applyFont="1" applyFill="1" applyBorder="1" applyAlignment="1" applyProtection="1">
      <protection locked="0"/>
    </xf>
    <xf numFmtId="42" fontId="46" fillId="24" borderId="164" xfId="0" applyNumberFormat="1" applyFont="1" applyFill="1" applyBorder="1" applyAlignment="1" applyProtection="1">
      <protection locked="0"/>
    </xf>
    <xf numFmtId="0" fontId="2" fillId="0" borderId="47" xfId="0" applyFont="1" applyBorder="1" applyAlignment="1">
      <alignment horizontal="center" vertical="center"/>
    </xf>
    <xf numFmtId="0" fontId="2" fillId="0" borderId="44" xfId="0" applyFont="1" applyBorder="1" applyAlignment="1">
      <alignment horizontal="center" vertical="center"/>
    </xf>
    <xf numFmtId="0" fontId="2" fillId="0" borderId="47" xfId="0" applyFont="1" applyBorder="1" applyAlignment="1">
      <alignment horizontal="center"/>
    </xf>
    <xf numFmtId="44" fontId="2" fillId="0" borderId="1" xfId="3" applyFont="1" applyBorder="1"/>
    <xf numFmtId="44" fontId="2" fillId="0" borderId="44" xfId="3" applyFont="1" applyBorder="1"/>
    <xf numFmtId="0" fontId="40" fillId="0" borderId="47" xfId="11" applyFont="1" applyBorder="1" applyAlignment="1" applyProtection="1">
      <alignment horizontal="center"/>
      <protection locked="0"/>
    </xf>
    <xf numFmtId="44" fontId="0" fillId="0" borderId="1" xfId="3" applyFont="1" applyBorder="1"/>
    <xf numFmtId="44" fontId="0" fillId="0" borderId="44" xfId="3" applyFont="1" applyBorder="1"/>
    <xf numFmtId="44" fontId="0" fillId="6" borderId="1" xfId="3" applyFont="1" applyFill="1" applyBorder="1"/>
    <xf numFmtId="0" fontId="40" fillId="0" borderId="47" xfId="11" applyFont="1" applyFill="1" applyBorder="1" applyAlignment="1" applyProtection="1">
      <alignment horizontal="center"/>
      <protection locked="0"/>
    </xf>
    <xf numFmtId="0" fontId="40" fillId="0" borderId="48" xfId="11" applyFont="1" applyFill="1" applyBorder="1" applyAlignment="1" applyProtection="1">
      <alignment horizontal="left"/>
      <protection locked="0"/>
    </xf>
    <xf numFmtId="44" fontId="0" fillId="0" borderId="49" xfId="3" applyFont="1" applyBorder="1"/>
    <xf numFmtId="0" fontId="0" fillId="0" borderId="49" xfId="0" applyBorder="1"/>
    <xf numFmtId="0" fontId="0" fillId="0" borderId="45" xfId="0" applyBorder="1"/>
    <xf numFmtId="0" fontId="2" fillId="0" borderId="44" xfId="0" applyFont="1" applyBorder="1" applyAlignment="1">
      <alignment horizontal="center"/>
    </xf>
    <xf numFmtId="0" fontId="2" fillId="0" borderId="47" xfId="0" applyFont="1" applyBorder="1"/>
    <xf numFmtId="165" fontId="0" fillId="0" borderId="44" xfId="3" applyNumberFormat="1" applyFont="1" applyBorder="1"/>
    <xf numFmtId="0" fontId="2" fillId="0" borderId="48" xfId="0" applyFont="1" applyBorder="1"/>
    <xf numFmtId="165" fontId="0" fillId="0" borderId="45" xfId="3" applyNumberFormat="1" applyFont="1" applyBorder="1"/>
    <xf numFmtId="169" fontId="0" fillId="0" borderId="0" xfId="0" applyNumberFormat="1" applyBorder="1"/>
    <xf numFmtId="0" fontId="19" fillId="0" borderId="39" xfId="0" applyNumberFormat="1" applyFont="1" applyBorder="1"/>
    <xf numFmtId="169" fontId="0" fillId="0" borderId="39" xfId="0" applyNumberFormat="1" applyBorder="1"/>
    <xf numFmtId="0" fontId="19" fillId="0" borderId="1" xfId="0" applyNumberFormat="1" applyFont="1" applyBorder="1"/>
    <xf numFmtId="169" fontId="0" fillId="0" borderId="1" xfId="0" applyNumberFormat="1" applyBorder="1"/>
    <xf numFmtId="0" fontId="0" fillId="0" borderId="1" xfId="0" applyNumberFormat="1" applyBorder="1"/>
    <xf numFmtId="0" fontId="2" fillId="0" borderId="1" xfId="0" applyNumberFormat="1" applyFont="1" applyBorder="1"/>
    <xf numFmtId="0" fontId="0" fillId="0" borderId="49" xfId="0" applyNumberFormat="1" applyBorder="1"/>
    <xf numFmtId="169" fontId="0" fillId="0" borderId="49" xfId="0" applyNumberFormat="1" applyBorder="1"/>
    <xf numFmtId="165" fontId="0" fillId="0" borderId="26" xfId="0" applyNumberFormat="1" applyBorder="1"/>
    <xf numFmtId="2" fontId="19" fillId="0" borderId="85" xfId="0" applyNumberFormat="1" applyFont="1" applyBorder="1"/>
    <xf numFmtId="2" fontId="19" fillId="0" borderId="47" xfId="0" applyNumberFormat="1" applyFont="1" applyBorder="1"/>
    <xf numFmtId="2" fontId="19" fillId="0" borderId="48" xfId="0" applyNumberFormat="1" applyFont="1" applyBorder="1"/>
    <xf numFmtId="0" fontId="6" fillId="30" borderId="0" xfId="0" applyFont="1" applyFill="1" applyAlignment="1"/>
    <xf numFmtId="165" fontId="6" fillId="27" borderId="1" xfId="3" applyNumberFormat="1" applyFont="1" applyFill="1" applyBorder="1"/>
    <xf numFmtId="0" fontId="6" fillId="27" borderId="155" xfId="0" applyFont="1" applyFill="1" applyBorder="1" applyAlignment="1">
      <alignment horizontal="center" vertical="center" wrapText="1"/>
    </xf>
    <xf numFmtId="0" fontId="6" fillId="27" borderId="0" xfId="0" applyFont="1" applyFill="1" applyAlignment="1"/>
    <xf numFmtId="165" fontId="6" fillId="27" borderId="8" xfId="3" applyNumberFormat="1" applyFont="1" applyFill="1" applyBorder="1"/>
    <xf numFmtId="0" fontId="6" fillId="27" borderId="32" xfId="0" applyFont="1" applyFill="1" applyBorder="1" applyAlignment="1"/>
    <xf numFmtId="0" fontId="6" fillId="27" borderId="27" xfId="0" applyFont="1" applyFill="1" applyBorder="1" applyAlignment="1"/>
    <xf numFmtId="0" fontId="6" fillId="27" borderId="33" xfId="0" applyFont="1" applyFill="1" applyBorder="1" applyAlignment="1"/>
    <xf numFmtId="9" fontId="2" fillId="0" borderId="44" xfId="3" applyNumberFormat="1" applyFont="1" applyBorder="1"/>
    <xf numFmtId="0" fontId="2" fillId="0" borderId="50" xfId="0" applyFont="1" applyBorder="1" applyAlignment="1">
      <alignment horizontal="center" vertical="center"/>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31" xfId="0" applyFont="1" applyBorder="1" applyAlignment="1">
      <alignment horizontal="center" vertical="center"/>
    </xf>
    <xf numFmtId="0" fontId="43" fillId="0" borderId="0" xfId="0" applyNumberFormat="1" applyFont="1" applyBorder="1" applyAlignment="1" applyProtection="1">
      <alignment horizontal="left" vertical="center"/>
      <protection locked="0"/>
    </xf>
    <xf numFmtId="0" fontId="46" fillId="23" borderId="0" xfId="0" applyNumberFormat="1" applyFont="1" applyFill="1" applyBorder="1" applyAlignment="1" applyProtection="1">
      <alignment horizontal="center" vertical="center"/>
      <protection locked="0"/>
    </xf>
    <xf numFmtId="10" fontId="43" fillId="0" borderId="95" xfId="12" applyNumberFormat="1" applyFont="1" applyFill="1" applyBorder="1" applyAlignment="1" applyProtection="1">
      <protection locked="0"/>
    </xf>
    <xf numFmtId="165" fontId="43" fillId="0" borderId="0" xfId="3" applyNumberFormat="1" applyFont="1" applyFill="1" applyBorder="1" applyAlignment="1" applyProtection="1">
      <protection locked="0"/>
    </xf>
    <xf numFmtId="10" fontId="43" fillId="0" borderId="0" xfId="0" applyNumberFormat="1" applyFont="1" applyFill="1" applyBorder="1" applyAlignment="1" applyProtection="1">
      <alignment vertical="top"/>
      <protection locked="0"/>
    </xf>
    <xf numFmtId="0" fontId="43" fillId="0" borderId="0" xfId="7" applyFont="1" applyFill="1" applyBorder="1"/>
    <xf numFmtId="165" fontId="43" fillId="0" borderId="0" xfId="7" applyNumberFormat="1" applyFont="1" applyFill="1" applyBorder="1"/>
    <xf numFmtId="165" fontId="43" fillId="0" borderId="0" xfId="3" applyNumberFormat="1" applyFont="1" applyFill="1" applyBorder="1" applyAlignment="1" applyProtection="1">
      <alignment vertical="top"/>
      <protection locked="0"/>
    </xf>
    <xf numFmtId="165" fontId="43" fillId="0" borderId="89" xfId="3" applyNumberFormat="1" applyFont="1" applyFill="1" applyBorder="1" applyAlignment="1" applyProtection="1">
      <protection locked="0"/>
    </xf>
    <xf numFmtId="165" fontId="43" fillId="0" borderId="140" xfId="3" applyNumberFormat="1" applyFont="1" applyFill="1" applyBorder="1" applyAlignment="1" applyProtection="1">
      <protection locked="0"/>
    </xf>
    <xf numFmtId="169" fontId="43" fillId="0" borderId="44" xfId="3" applyNumberFormat="1" applyFont="1" applyFill="1" applyBorder="1" applyProtection="1">
      <protection locked="0"/>
    </xf>
    <xf numFmtId="168" fontId="43" fillId="0" borderId="44" xfId="3" applyNumberFormat="1" applyFont="1" applyFill="1" applyBorder="1" applyProtection="1">
      <protection locked="0"/>
    </xf>
    <xf numFmtId="0" fontId="46" fillId="0" borderId="170" xfId="0" applyNumberFormat="1" applyFont="1" applyBorder="1" applyAlignment="1" applyProtection="1">
      <alignment horizontal="left" vertical="center"/>
      <protection locked="0"/>
    </xf>
    <xf numFmtId="0" fontId="43" fillId="0" borderId="171" xfId="0" applyNumberFormat="1" applyFont="1" applyBorder="1" applyAlignment="1" applyProtection="1">
      <alignment vertical="center"/>
      <protection locked="0"/>
    </xf>
    <xf numFmtId="41" fontId="46" fillId="23" borderId="173" xfId="0" applyNumberFormat="1" applyFont="1" applyFill="1" applyBorder="1" applyAlignment="1" applyProtection="1">
      <alignment horizontal="center" vertical="center"/>
      <protection locked="0"/>
    </xf>
    <xf numFmtId="42" fontId="43" fillId="0" borderId="173" xfId="0" applyNumberFormat="1" applyFont="1" applyFill="1" applyBorder="1" applyAlignment="1" applyProtection="1">
      <protection locked="0"/>
    </xf>
    <xf numFmtId="42" fontId="46" fillId="20" borderId="173" xfId="0" applyNumberFormat="1" applyFont="1" applyFill="1" applyBorder="1" applyAlignment="1" applyProtection="1">
      <alignment vertical="center"/>
      <protection locked="0"/>
    </xf>
    <xf numFmtId="41" fontId="46" fillId="24" borderId="170" xfId="0" applyNumberFormat="1" applyFont="1" applyFill="1" applyBorder="1" applyAlignment="1" applyProtection="1">
      <alignment vertical="center"/>
      <protection locked="0"/>
    </xf>
    <xf numFmtId="42" fontId="46" fillId="24" borderId="173" xfId="0" applyNumberFormat="1" applyFont="1" applyFill="1" applyBorder="1" applyAlignment="1" applyProtection="1">
      <protection locked="0"/>
    </xf>
    <xf numFmtId="42" fontId="46" fillId="20" borderId="173" xfId="0" applyNumberFormat="1" applyFont="1" applyFill="1" applyBorder="1" applyAlignment="1" applyProtection="1">
      <protection locked="0"/>
    </xf>
    <xf numFmtId="42" fontId="43" fillId="0" borderId="176" xfId="0" applyNumberFormat="1" applyFont="1" applyFill="1" applyBorder="1" applyAlignment="1" applyProtection="1">
      <protection locked="0"/>
    </xf>
    <xf numFmtId="42" fontId="43" fillId="0" borderId="171" xfId="0" applyNumberFormat="1" applyFont="1" applyFill="1" applyBorder="1" applyAlignment="1" applyProtection="1">
      <protection locked="0"/>
    </xf>
    <xf numFmtId="42" fontId="46" fillId="23" borderId="171"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vertical="center"/>
      <protection locked="0"/>
    </xf>
    <xf numFmtId="0" fontId="32" fillId="0" borderId="170" xfId="7" applyFont="1" applyFill="1" applyBorder="1" applyAlignment="1">
      <alignment horizontal="left"/>
    </xf>
    <xf numFmtId="169" fontId="31" fillId="0" borderId="170" xfId="7" applyNumberFormat="1" applyFont="1" applyFill="1" applyBorder="1"/>
    <xf numFmtId="168" fontId="31" fillId="0" borderId="170" xfId="7" applyNumberFormat="1" applyFont="1" applyFill="1" applyBorder="1" applyAlignment="1">
      <alignment horizontal="center"/>
    </xf>
    <xf numFmtId="2" fontId="32" fillId="0" borderId="177" xfId="7" applyNumberFormat="1" applyFont="1" applyFill="1" applyBorder="1"/>
    <xf numFmtId="168" fontId="43" fillId="0" borderId="178" xfId="3" applyNumberFormat="1" applyFont="1" applyFill="1" applyBorder="1" applyProtection="1">
      <protection locked="0"/>
    </xf>
    <xf numFmtId="169" fontId="32" fillId="0" borderId="170" xfId="7" applyNumberFormat="1" applyFont="1" applyFill="1" applyBorder="1" applyAlignment="1">
      <alignment horizontal="center"/>
    </xf>
    <xf numFmtId="0" fontId="43" fillId="0" borderId="170" xfId="7" applyFont="1" applyFill="1" applyBorder="1"/>
    <xf numFmtId="165" fontId="43" fillId="0" borderId="173" xfId="3" applyNumberFormat="1" applyFont="1" applyFill="1" applyBorder="1" applyAlignment="1" applyProtection="1">
      <protection locked="0"/>
    </xf>
    <xf numFmtId="0" fontId="43" fillId="0" borderId="170" xfId="0" applyNumberFormat="1" applyFont="1" applyFill="1" applyBorder="1" applyAlignment="1" applyProtection="1">
      <alignment vertical="top"/>
      <protection locked="0"/>
    </xf>
    <xf numFmtId="0" fontId="32" fillId="0" borderId="2" xfId="7" applyFont="1" applyFill="1" applyBorder="1" applyAlignment="1">
      <alignment horizontal="left"/>
    </xf>
    <xf numFmtId="169" fontId="31" fillId="0" borderId="2" xfId="7" applyNumberFormat="1" applyFont="1" applyFill="1" applyBorder="1"/>
    <xf numFmtId="168" fontId="31" fillId="0" borderId="2" xfId="7" applyNumberFormat="1" applyFont="1" applyFill="1" applyBorder="1" applyAlignment="1">
      <alignment horizontal="center"/>
    </xf>
    <xf numFmtId="2" fontId="32" fillId="0" borderId="47" xfId="7" applyNumberFormat="1" applyFont="1" applyFill="1" applyBorder="1"/>
    <xf numFmtId="169" fontId="32" fillId="0" borderId="2" xfId="7" applyNumberFormat="1" applyFont="1" applyFill="1" applyBorder="1" applyAlignment="1">
      <alignment horizontal="center"/>
    </xf>
    <xf numFmtId="0" fontId="43" fillId="0" borderId="2" xfId="7" applyFont="1" applyFill="1" applyBorder="1"/>
    <xf numFmtId="0" fontId="43" fillId="0" borderId="2" xfId="0" applyNumberFormat="1" applyFont="1" applyFill="1" applyBorder="1" applyAlignment="1" applyProtection="1">
      <alignment vertical="top"/>
      <protection locked="0"/>
    </xf>
    <xf numFmtId="44" fontId="19" fillId="6" borderId="0" xfId="9" applyNumberFormat="1" applyFill="1" applyBorder="1"/>
    <xf numFmtId="44" fontId="19" fillId="6" borderId="0" xfId="10" applyNumberFormat="1" applyFill="1" applyBorder="1"/>
    <xf numFmtId="49" fontId="24" fillId="0" borderId="40" xfId="3" applyNumberFormat="1" applyFont="1" applyBorder="1" applyAlignment="1" applyProtection="1">
      <alignment horizontal="center" vertical="center" wrapText="1"/>
      <protection locked="0"/>
    </xf>
    <xf numFmtId="49" fontId="24" fillId="0" borderId="41" xfId="3" applyNumberFormat="1" applyFont="1" applyBorder="1" applyAlignment="1" applyProtection="1">
      <alignment horizontal="center" vertical="center" wrapText="1"/>
      <protection locked="0"/>
    </xf>
    <xf numFmtId="1" fontId="24" fillId="0" borderId="41" xfId="3" applyNumberFormat="1" applyFont="1" applyBorder="1" applyAlignment="1" applyProtection="1">
      <alignment horizontal="center" vertical="center" wrapText="1"/>
      <protection locked="0"/>
    </xf>
    <xf numFmtId="165" fontId="0" fillId="0" borderId="22" xfId="3" applyNumberFormat="1" applyFont="1" applyFill="1" applyBorder="1" applyAlignment="1" applyProtection="1">
      <alignment wrapText="1"/>
      <protection locked="0"/>
    </xf>
    <xf numFmtId="165" fontId="0" fillId="0" borderId="3" xfId="3" applyNumberFormat="1" applyFont="1" applyFill="1" applyBorder="1" applyAlignment="1" applyProtection="1">
      <alignment wrapText="1"/>
      <protection locked="0"/>
    </xf>
    <xf numFmtId="165" fontId="0" fillId="18" borderId="31" xfId="3" applyNumberFormat="1" applyFont="1" applyFill="1" applyBorder="1" applyAlignment="1" applyProtection="1">
      <alignment horizontal="center" wrapText="1"/>
      <protection locked="0"/>
    </xf>
    <xf numFmtId="165" fontId="0" fillId="0" borderId="22" xfId="3" applyNumberFormat="1" applyFont="1" applyFill="1" applyBorder="1" applyAlignment="1" applyProtection="1">
      <alignment horizontal="center" wrapText="1"/>
      <protection locked="0"/>
    </xf>
    <xf numFmtId="165" fontId="0" fillId="0" borderId="3" xfId="3" applyNumberFormat="1" applyFont="1" applyFill="1" applyBorder="1" applyAlignment="1" applyProtection="1">
      <alignment horizontal="center" wrapText="1"/>
      <protection locked="0"/>
    </xf>
    <xf numFmtId="0" fontId="6" fillId="0" borderId="182" xfId="0" applyFont="1" applyBorder="1" applyAlignment="1" applyProtection="1">
      <alignment horizontal="center" vertical="center" wrapText="1"/>
      <protection locked="0"/>
    </xf>
    <xf numFmtId="165" fontId="0" fillId="0" borderId="14" xfId="3" applyNumberFormat="1" applyFont="1" applyFill="1" applyBorder="1" applyAlignment="1" applyProtection="1">
      <alignment wrapText="1"/>
      <protection locked="0"/>
    </xf>
    <xf numFmtId="165" fontId="0" fillId="0" borderId="28" xfId="3" applyNumberFormat="1" applyFont="1" applyFill="1" applyBorder="1" applyAlignment="1" applyProtection="1">
      <alignment wrapText="1"/>
      <protection locked="0"/>
    </xf>
    <xf numFmtId="165" fontId="0" fillId="0" borderId="118" xfId="3" applyNumberFormat="1" applyFont="1" applyFill="1" applyBorder="1" applyAlignment="1" applyProtection="1">
      <alignment horizontal="center" wrapText="1"/>
      <protection locked="0"/>
    </xf>
    <xf numFmtId="165" fontId="2" fillId="0" borderId="53" xfId="3" applyNumberFormat="1" applyFont="1" applyFill="1" applyBorder="1" applyAlignment="1" applyProtection="1">
      <alignment vertical="top" wrapText="1"/>
      <protection locked="0"/>
    </xf>
    <xf numFmtId="165" fontId="19" fillId="0" borderId="117" xfId="3" applyNumberFormat="1" applyFont="1" applyFill="1" applyBorder="1" applyAlignment="1" applyProtection="1">
      <protection locked="0"/>
    </xf>
    <xf numFmtId="165" fontId="0" fillId="18" borderId="1" xfId="3" applyNumberFormat="1" applyFont="1" applyFill="1" applyBorder="1" applyAlignment="1" applyProtection="1">
      <alignment wrapText="1"/>
      <protection locked="0"/>
    </xf>
    <xf numFmtId="165" fontId="0" fillId="18" borderId="44" xfId="3" applyNumberFormat="1" applyFont="1" applyFill="1" applyBorder="1" applyAlignment="1" applyProtection="1">
      <alignment horizontal="center" wrapText="1"/>
      <protection locked="0"/>
    </xf>
    <xf numFmtId="0" fontId="6" fillId="14" borderId="7" xfId="0" applyFont="1" applyFill="1" applyBorder="1" applyAlignment="1" applyProtection="1">
      <alignment wrapText="1"/>
      <protection locked="0"/>
    </xf>
    <xf numFmtId="0" fontId="6" fillId="14" borderId="107" xfId="0" applyFont="1" applyFill="1" applyBorder="1" applyAlignment="1" applyProtection="1">
      <alignment wrapText="1"/>
      <protection locked="0"/>
    </xf>
    <xf numFmtId="0" fontId="6" fillId="14" borderId="6" xfId="0" applyFont="1" applyFill="1" applyBorder="1" applyAlignment="1" applyProtection="1">
      <alignment wrapText="1"/>
      <protection locked="0"/>
    </xf>
    <xf numFmtId="0" fontId="6" fillId="14" borderId="109" xfId="0" applyFont="1" applyFill="1" applyBorder="1" applyAlignment="1" applyProtection="1">
      <alignment wrapText="1"/>
      <protection locked="0"/>
    </xf>
    <xf numFmtId="0" fontId="6" fillId="14" borderId="111" xfId="0" applyFont="1" applyFill="1" applyBorder="1" applyAlignment="1" applyProtection="1">
      <alignment wrapText="1"/>
      <protection locked="0"/>
    </xf>
    <xf numFmtId="44" fontId="0" fillId="0" borderId="29" xfId="3" applyFont="1" applyBorder="1" applyAlignment="1" applyProtection="1">
      <alignment wrapText="1"/>
      <protection locked="0"/>
    </xf>
    <xf numFmtId="165" fontId="0" fillId="0" borderId="104" xfId="3" applyNumberFormat="1" applyFont="1" applyFill="1" applyBorder="1" applyAlignment="1" applyProtection="1">
      <alignment wrapText="1"/>
      <protection locked="0"/>
    </xf>
    <xf numFmtId="44" fontId="0" fillId="0" borderId="13" xfId="3" applyFont="1" applyBorder="1"/>
    <xf numFmtId="0" fontId="40" fillId="0" borderId="183" xfId="11" applyFont="1" applyFill="1" applyBorder="1" applyAlignment="1" applyProtection="1">
      <alignment horizontal="left"/>
      <protection locked="0"/>
    </xf>
    <xf numFmtId="0" fontId="0" fillId="0" borderId="13" xfId="0" applyBorder="1"/>
    <xf numFmtId="0" fontId="0" fillId="0" borderId="46" xfId="0" applyBorder="1"/>
    <xf numFmtId="0" fontId="2" fillId="0" borderId="31" xfId="0" applyFont="1" applyBorder="1" applyAlignment="1">
      <alignment horizontal="center" vertical="center" wrapText="1"/>
    </xf>
    <xf numFmtId="1" fontId="2" fillId="0" borderId="1" xfId="3" applyNumberFormat="1" applyFont="1" applyBorder="1"/>
    <xf numFmtId="1" fontId="2" fillId="0" borderId="44" xfId="3" applyNumberFormat="1" applyFont="1" applyBorder="1"/>
    <xf numFmtId="1" fontId="2" fillId="0" borderId="13" xfId="3" applyNumberFormat="1" applyFont="1" applyBorder="1"/>
    <xf numFmtId="0" fontId="6" fillId="0" borderId="50" xfId="0" applyFont="1" applyBorder="1" applyAlignment="1">
      <alignment horizontal="center" vertical="center"/>
    </xf>
    <xf numFmtId="0" fontId="6" fillId="0" borderId="5"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applyAlignment="1">
      <alignment horizontal="center" vertical="center" wrapText="1"/>
    </xf>
    <xf numFmtId="0" fontId="6" fillId="0" borderId="184" xfId="11" applyFont="1" applyBorder="1" applyAlignment="1" applyProtection="1">
      <alignment horizontal="center" vertical="center"/>
      <protection locked="0"/>
    </xf>
    <xf numFmtId="0" fontId="2" fillId="0" borderId="37" xfId="0" applyFont="1" applyBorder="1" applyAlignment="1">
      <alignment horizontal="center"/>
    </xf>
    <xf numFmtId="0" fontId="19" fillId="0" borderId="47" xfId="11" applyBorder="1" applyProtection="1">
      <protection locked="0"/>
    </xf>
    <xf numFmtId="0" fontId="19" fillId="0" borderId="48" xfId="11" applyBorder="1" applyProtection="1">
      <protection locked="0"/>
    </xf>
    <xf numFmtId="44" fontId="2" fillId="0" borderId="46" xfId="3" applyFont="1" applyBorder="1"/>
    <xf numFmtId="0" fontId="19" fillId="0" borderId="0" xfId="11" applyBorder="1" applyProtection="1">
      <protection locked="0"/>
    </xf>
    <xf numFmtId="44" fontId="2" fillId="0" borderId="42" xfId="3" applyFont="1" applyBorder="1"/>
    <xf numFmtId="0" fontId="2" fillId="0" borderId="47" xfId="11" applyFont="1" applyBorder="1" applyProtection="1">
      <protection locked="0"/>
    </xf>
    <xf numFmtId="1" fontId="2" fillId="0" borderId="1" xfId="11" applyNumberFormat="1" applyFont="1" applyBorder="1" applyAlignment="1" applyProtection="1">
      <alignment horizontal="center"/>
      <protection locked="0"/>
    </xf>
    <xf numFmtId="0" fontId="58" fillId="0" borderId="0" xfId="0" applyFont="1" applyAlignment="1">
      <alignment horizontal="center"/>
    </xf>
    <xf numFmtId="165" fontId="2" fillId="0" borderId="0" xfId="3" applyNumberFormat="1" applyFont="1"/>
    <xf numFmtId="0" fontId="2" fillId="6" borderId="0" xfId="0" applyFont="1" applyFill="1"/>
    <xf numFmtId="165" fontId="2" fillId="6" borderId="0" xfId="3" applyNumberFormat="1" applyFont="1" applyFill="1"/>
    <xf numFmtId="166" fontId="0" fillId="0" borderId="0" xfId="12" applyNumberFormat="1" applyFont="1"/>
    <xf numFmtId="43" fontId="0" fillId="0" borderId="0" xfId="1" applyFont="1"/>
    <xf numFmtId="167" fontId="0" fillId="0" borderId="0" xfId="1" applyNumberFormat="1" applyFont="1"/>
    <xf numFmtId="10" fontId="0" fillId="6" borderId="0" xfId="12" applyNumberFormat="1" applyFont="1" applyFill="1"/>
    <xf numFmtId="0" fontId="71" fillId="6" borderId="0" xfId="0" applyFont="1" applyFill="1" applyAlignment="1">
      <alignment wrapText="1"/>
    </xf>
    <xf numFmtId="187" fontId="0" fillId="0" borderId="0" xfId="1" applyNumberFormat="1" applyFont="1"/>
    <xf numFmtId="0" fontId="46" fillId="0" borderId="0" xfId="0" applyFont="1" applyFill="1" applyAlignment="1">
      <alignment vertical="center"/>
    </xf>
    <xf numFmtId="6" fontId="0" fillId="0" borderId="0" xfId="0" applyNumberFormat="1" applyBorder="1" applyProtection="1">
      <protection locked="0"/>
    </xf>
    <xf numFmtId="49" fontId="43" fillId="0" borderId="0" xfId="0" applyNumberFormat="1" applyFont="1" applyFill="1"/>
    <xf numFmtId="49" fontId="43" fillId="0" borderId="0" xfId="0" applyNumberFormat="1" applyFont="1" applyFill="1" applyAlignment="1">
      <alignment horizontal="left"/>
    </xf>
    <xf numFmtId="43" fontId="43" fillId="12" borderId="34" xfId="1" applyFont="1" applyFill="1" applyBorder="1" applyAlignment="1" applyProtection="1">
      <protection locked="0"/>
    </xf>
    <xf numFmtId="2" fontId="43" fillId="12" borderId="34" xfId="1" applyNumberFormat="1" applyFont="1" applyFill="1" applyBorder="1" applyAlignment="1" applyProtection="1">
      <protection locked="0"/>
    </xf>
    <xf numFmtId="165" fontId="55" fillId="16" borderId="1" xfId="3" applyNumberFormat="1" applyFont="1" applyFill="1" applyBorder="1" applyProtection="1">
      <protection locked="0"/>
    </xf>
    <xf numFmtId="184" fontId="43" fillId="12" borderId="34" xfId="0" applyNumberFormat="1" applyFont="1" applyFill="1" applyBorder="1" applyAlignment="1" applyProtection="1">
      <alignment horizontal="center"/>
      <protection locked="0"/>
    </xf>
    <xf numFmtId="0" fontId="46" fillId="0" borderId="0" xfId="0" applyFont="1" applyFill="1" applyAlignment="1">
      <alignment vertical="top"/>
    </xf>
    <xf numFmtId="0" fontId="56" fillId="0" borderId="0" xfId="0" applyFont="1" applyFill="1"/>
    <xf numFmtId="165" fontId="2" fillId="0" borderId="0" xfId="0" applyNumberFormat="1" applyFont="1"/>
    <xf numFmtId="165" fontId="2" fillId="0" borderId="0" xfId="3" applyNumberFormat="1" applyFont="1" applyFill="1" applyBorder="1" applyAlignment="1" applyProtection="1">
      <protection locked="0"/>
    </xf>
    <xf numFmtId="165" fontId="2" fillId="0" borderId="0" xfId="0" applyNumberFormat="1" applyFont="1" applyFill="1" applyBorder="1" applyAlignment="1" applyProtection="1">
      <protection locked="0"/>
    </xf>
    <xf numFmtId="44" fontId="0" fillId="0" borderId="0" xfId="3" applyFont="1"/>
    <xf numFmtId="0" fontId="0" fillId="0" borderId="6" xfId="0" applyBorder="1" applyAlignment="1">
      <alignment horizontal="left"/>
    </xf>
    <xf numFmtId="0" fontId="0" fillId="0" borderId="1" xfId="0" applyBorder="1" applyAlignment="1">
      <alignment horizontal="left"/>
    </xf>
    <xf numFmtId="0" fontId="0" fillId="22" borderId="7" xfId="0" applyFill="1" applyBorder="1" applyAlignment="1">
      <alignment horizontal="center"/>
    </xf>
    <xf numFmtId="0" fontId="0" fillId="22" borderId="107" xfId="0" applyFill="1" applyBorder="1" applyAlignment="1">
      <alignment horizontal="center"/>
    </xf>
    <xf numFmtId="0" fontId="0" fillId="15" borderId="8" xfId="0" applyFill="1" applyBorder="1" applyAlignment="1">
      <alignment horizontal="center"/>
    </xf>
    <xf numFmtId="0" fontId="0" fillId="15" borderId="7" xfId="0" applyFill="1" applyBorder="1" applyAlignment="1">
      <alignment horizontal="center"/>
    </xf>
    <xf numFmtId="0" fontId="0" fillId="15" borderId="6" xfId="0" applyFill="1" applyBorder="1" applyAlignment="1">
      <alignment horizontal="center"/>
    </xf>
    <xf numFmtId="0" fontId="2" fillId="15" borderId="8" xfId="0" applyFont="1" applyFill="1" applyBorder="1" applyAlignment="1">
      <alignment horizontal="center"/>
    </xf>
    <xf numFmtId="0" fontId="2" fillId="15" borderId="7" xfId="0" applyFont="1" applyFill="1" applyBorder="1" applyAlignment="1">
      <alignment horizontal="center"/>
    </xf>
    <xf numFmtId="0" fontId="2" fillId="15" borderId="6" xfId="0" applyFont="1" applyFill="1" applyBorder="1" applyAlignment="1">
      <alignment horizontal="center"/>
    </xf>
    <xf numFmtId="0" fontId="54" fillId="0" borderId="0" xfId="0" applyFont="1" applyAlignment="1">
      <alignment horizontal="left" vertical="center"/>
    </xf>
    <xf numFmtId="0" fontId="54" fillId="0" borderId="0" xfId="0" applyFont="1" applyAlignment="1">
      <alignment horizontal="left" vertical="center" wrapText="1"/>
    </xf>
    <xf numFmtId="0" fontId="39" fillId="0" borderId="106" xfId="0" applyFont="1" applyBorder="1" applyAlignment="1">
      <alignment horizontal="left"/>
    </xf>
    <xf numFmtId="0" fontId="39" fillId="0" borderId="7" xfId="0" applyFont="1" applyBorder="1" applyAlignment="1">
      <alignment horizontal="left"/>
    </xf>
    <xf numFmtId="0" fontId="39" fillId="0" borderId="6" xfId="0" applyFont="1" applyBorder="1" applyAlignment="1">
      <alignment horizontal="left"/>
    </xf>
    <xf numFmtId="0" fontId="0" fillId="20" borderId="6" xfId="0" applyFill="1" applyBorder="1" applyAlignment="1">
      <alignment horizontal="left"/>
    </xf>
    <xf numFmtId="0" fontId="0" fillId="20" borderId="1" xfId="0" applyFill="1" applyBorder="1" applyAlignment="1">
      <alignment horizontal="left"/>
    </xf>
    <xf numFmtId="0" fontId="0" fillId="0" borderId="6" xfId="0" applyBorder="1" applyAlignment="1"/>
    <xf numFmtId="0" fontId="0" fillId="0" borderId="1" xfId="0" applyBorder="1" applyAlignment="1"/>
    <xf numFmtId="0" fontId="0" fillId="0" borderId="6" xfId="0" applyBorder="1" applyAlignment="1">
      <alignment horizontal="center"/>
    </xf>
    <xf numFmtId="0" fontId="0" fillId="0" borderId="1" xfId="0" applyBorder="1" applyAlignment="1">
      <alignment horizontal="center"/>
    </xf>
    <xf numFmtId="0" fontId="39" fillId="0" borderId="104" xfId="0" applyFont="1" applyBorder="1" applyAlignment="1">
      <alignment horizontal="left"/>
    </xf>
    <xf numFmtId="0" fontId="39" fillId="0" borderId="5" xfId="0" applyFont="1" applyBorder="1" applyAlignment="1">
      <alignment horizontal="left"/>
    </xf>
    <xf numFmtId="0" fontId="39" fillId="0" borderId="5" xfId="0" applyFont="1" applyBorder="1" applyAlignment="1">
      <alignment horizontal="center"/>
    </xf>
    <xf numFmtId="0" fontId="2" fillId="6" borderId="1" xfId="0" applyFont="1" applyFill="1" applyBorder="1" applyAlignment="1">
      <alignment horizontal="center"/>
    </xf>
    <xf numFmtId="0" fontId="2" fillId="6" borderId="44" xfId="0" applyFont="1" applyFill="1" applyBorder="1" applyAlignment="1">
      <alignment horizontal="center"/>
    </xf>
    <xf numFmtId="0" fontId="6" fillId="6" borderId="32" xfId="0" applyFont="1" applyFill="1" applyBorder="1" applyAlignment="1">
      <alignment horizontal="center"/>
    </xf>
    <xf numFmtId="0" fontId="6" fillId="6" borderId="27" xfId="0" applyFont="1" applyFill="1" applyBorder="1" applyAlignment="1">
      <alignment horizontal="center"/>
    </xf>
    <xf numFmtId="0" fontId="6" fillId="6" borderId="33" xfId="0" applyFont="1" applyFill="1" applyBorder="1" applyAlignment="1">
      <alignment horizontal="center"/>
    </xf>
    <xf numFmtId="0" fontId="39" fillId="0" borderId="135" xfId="0" applyFont="1" applyBorder="1" applyAlignment="1">
      <alignment horizontal="left"/>
    </xf>
    <xf numFmtId="0" fontId="39" fillId="0" borderId="122" xfId="0" applyFont="1" applyBorder="1" applyAlignment="1">
      <alignment horizontal="left"/>
    </xf>
    <xf numFmtId="0" fontId="39" fillId="0" borderId="38" xfId="0" applyFont="1" applyBorder="1" applyAlignment="1">
      <alignment horizontal="left"/>
    </xf>
    <xf numFmtId="0" fontId="2" fillId="6" borderId="154" xfId="0" applyFont="1" applyFill="1" applyBorder="1" applyAlignment="1">
      <alignment horizontal="center"/>
    </xf>
    <xf numFmtId="0" fontId="2" fillId="6" borderId="122" xfId="0" applyFont="1" applyFill="1" applyBorder="1" applyAlignment="1">
      <alignment horizontal="center"/>
    </xf>
    <xf numFmtId="0" fontId="2" fillId="6" borderId="38" xfId="0" applyFont="1" applyFill="1" applyBorder="1" applyAlignment="1">
      <alignment horizontal="center"/>
    </xf>
    <xf numFmtId="0" fontId="2" fillId="6" borderId="8" xfId="0" applyFont="1" applyFill="1" applyBorder="1" applyAlignment="1">
      <alignment horizontal="center"/>
    </xf>
    <xf numFmtId="0" fontId="2" fillId="6" borderId="7" xfId="0" applyFont="1" applyFill="1" applyBorder="1" applyAlignment="1">
      <alignment horizontal="center"/>
    </xf>
    <xf numFmtId="0" fontId="2" fillId="6" borderId="107" xfId="0" applyFont="1" applyFill="1" applyBorder="1" applyAlignment="1">
      <alignment horizontal="center"/>
    </xf>
    <xf numFmtId="0" fontId="0" fillId="20" borderId="8" xfId="0" applyFill="1" applyBorder="1" applyAlignment="1">
      <alignment horizontal="center"/>
    </xf>
    <xf numFmtId="0" fontId="0" fillId="20" borderId="7" xfId="0" applyFill="1" applyBorder="1" applyAlignment="1">
      <alignment horizontal="center"/>
    </xf>
    <xf numFmtId="0" fontId="0" fillId="20" borderId="6" xfId="0" applyFill="1" applyBorder="1" applyAlignment="1">
      <alignment horizontal="center"/>
    </xf>
    <xf numFmtId="14" fontId="1" fillId="0" borderId="1" xfId="0" applyNumberFormat="1" applyFont="1" applyBorder="1" applyAlignment="1">
      <alignment horizontal="center"/>
    </xf>
    <xf numFmtId="14" fontId="39" fillId="0" borderId="1" xfId="0" applyNumberFormat="1" applyFont="1" applyBorder="1" applyAlignment="1">
      <alignment horizontal="center"/>
    </xf>
    <xf numFmtId="0" fontId="39" fillId="0" borderId="1" xfId="0" applyFont="1" applyBorder="1" applyAlignment="1">
      <alignment horizontal="left"/>
    </xf>
    <xf numFmtId="14" fontId="0" fillId="0" borderId="8" xfId="0" applyNumberFormat="1" applyBorder="1" applyAlignment="1">
      <alignment horizontal="center"/>
    </xf>
    <xf numFmtId="14" fontId="0" fillId="0" borderId="107" xfId="0" applyNumberFormat="1" applyBorder="1" applyAlignment="1">
      <alignment horizontal="center"/>
    </xf>
    <xf numFmtId="178" fontId="0" fillId="0" borderId="1" xfId="0" applyNumberFormat="1" applyBorder="1" applyAlignment="1">
      <alignment horizontal="center"/>
    </xf>
    <xf numFmtId="178" fontId="0" fillId="0" borderId="44" xfId="0" applyNumberFormat="1" applyBorder="1" applyAlignment="1">
      <alignment horizontal="center"/>
    </xf>
    <xf numFmtId="14" fontId="0" fillId="0" borderId="1" xfId="0" applyNumberFormat="1" applyBorder="1" applyAlignment="1">
      <alignment horizontal="center"/>
    </xf>
    <xf numFmtId="14" fontId="0" fillId="0" borderId="44" xfId="0" applyNumberFormat="1" applyBorder="1" applyAlignment="1">
      <alignment horizontal="center"/>
    </xf>
    <xf numFmtId="0" fontId="2" fillId="0" borderId="110" xfId="0" applyFont="1" applyFill="1" applyBorder="1" applyAlignment="1">
      <alignment horizontal="center"/>
    </xf>
    <xf numFmtId="0" fontId="0" fillId="0" borderId="109" xfId="0" applyFill="1" applyBorder="1" applyAlignment="1">
      <alignment horizontal="center"/>
    </xf>
    <xf numFmtId="0" fontId="0" fillId="0" borderId="111" xfId="0" applyFill="1" applyBorder="1" applyAlignment="1">
      <alignment horizontal="center"/>
    </xf>
    <xf numFmtId="14" fontId="1" fillId="0" borderId="8" xfId="0" applyNumberFormat="1" applyFont="1" applyBorder="1" applyAlignment="1">
      <alignment horizontal="center"/>
    </xf>
    <xf numFmtId="14" fontId="1" fillId="0" borderId="6" xfId="0" applyNumberFormat="1" applyFont="1" applyBorder="1" applyAlignment="1">
      <alignment horizontal="center"/>
    </xf>
    <xf numFmtId="0" fontId="54" fillId="0" borderId="0" xfId="0" applyFont="1" applyBorder="1" applyAlignment="1">
      <alignment horizontal="center" vertical="center"/>
    </xf>
    <xf numFmtId="0" fontId="54" fillId="0" borderId="0" xfId="0" applyFont="1" applyAlignment="1">
      <alignment horizontal="center" vertical="center" wrapText="1"/>
    </xf>
    <xf numFmtId="0" fontId="0" fillId="6" borderId="8"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39" fillId="0" borderId="108" xfId="0" applyFont="1" applyBorder="1" applyAlignment="1">
      <alignment horizontal="left"/>
    </xf>
    <xf numFmtId="0" fontId="39" fillId="0" borderId="109" xfId="0" applyFont="1" applyBorder="1" applyAlignment="1">
      <alignment horizontal="left"/>
    </xf>
    <xf numFmtId="0" fontId="39" fillId="0" borderId="105" xfId="0" applyFont="1" applyBorder="1" applyAlignment="1">
      <alignment horizontal="left"/>
    </xf>
    <xf numFmtId="0" fontId="2" fillId="14" borderId="8" xfId="0" applyFont="1" applyFill="1" applyBorder="1" applyAlignment="1">
      <alignment horizontal="center"/>
    </xf>
    <xf numFmtId="0" fontId="2" fillId="14" borderId="7" xfId="0" applyFont="1" applyFill="1" applyBorder="1" applyAlignment="1">
      <alignment horizontal="center"/>
    </xf>
    <xf numFmtId="0" fontId="2" fillId="14" borderId="6" xfId="0" applyFont="1" applyFill="1" applyBorder="1" applyAlignment="1">
      <alignment horizontal="center"/>
    </xf>
    <xf numFmtId="0" fontId="0" fillId="14" borderId="8" xfId="0" applyFill="1" applyBorder="1" applyAlignment="1">
      <alignment horizontal="center"/>
    </xf>
    <xf numFmtId="0" fontId="0" fillId="14" borderId="7" xfId="0" applyFill="1" applyBorder="1" applyAlignment="1">
      <alignment horizontal="center"/>
    </xf>
    <xf numFmtId="0" fontId="0" fillId="14" borderId="6" xfId="0" applyFill="1" applyBorder="1" applyAlignment="1">
      <alignment horizontal="center"/>
    </xf>
    <xf numFmtId="0" fontId="39" fillId="0" borderId="0" xfId="0" applyFont="1" applyAlignment="1" applyProtection="1">
      <alignment horizontal="center" vertical="center"/>
      <protection locked="0"/>
    </xf>
    <xf numFmtId="2" fontId="34" fillId="31" borderId="99" xfId="0" applyNumberFormat="1" applyFont="1" applyFill="1" applyBorder="1" applyAlignment="1" applyProtection="1">
      <alignment horizontal="center" textRotation="255"/>
      <protection locked="0"/>
    </xf>
    <xf numFmtId="2" fontId="34" fillId="31" borderId="100" xfId="0" applyNumberFormat="1" applyFont="1" applyFill="1" applyBorder="1" applyAlignment="1" applyProtection="1">
      <alignment horizontal="center" textRotation="255"/>
      <protection locked="0"/>
    </xf>
    <xf numFmtId="2" fontId="34" fillId="31" borderId="101" xfId="0" applyNumberFormat="1" applyFont="1" applyFill="1" applyBorder="1" applyAlignment="1" applyProtection="1">
      <alignment horizontal="center" textRotation="255"/>
      <protection locked="0"/>
    </xf>
    <xf numFmtId="2" fontId="67" fillId="31" borderId="134" xfId="0" applyNumberFormat="1" applyFont="1" applyFill="1" applyBorder="1" applyAlignment="1" applyProtection="1">
      <alignment horizontal="center" vertical="center" textRotation="255"/>
      <protection locked="0"/>
    </xf>
    <xf numFmtId="2" fontId="67" fillId="31" borderId="0" xfId="0" applyNumberFormat="1" applyFont="1" applyFill="1" applyBorder="1" applyAlignment="1" applyProtection="1">
      <alignment horizontal="center" vertical="center" textRotation="255"/>
      <protection locked="0"/>
    </xf>
    <xf numFmtId="0" fontId="46" fillId="0" borderId="0" xfId="0" applyFont="1" applyFill="1" applyAlignment="1">
      <alignment horizontal="left" vertical="top" wrapText="1"/>
    </xf>
    <xf numFmtId="0" fontId="46" fillId="0" borderId="0" xfId="0" applyFont="1" applyFill="1" applyAlignment="1">
      <alignment horizontal="left" vertical="top" wrapText="1" readingOrder="1"/>
    </xf>
    <xf numFmtId="0" fontId="43" fillId="0" borderId="0" xfId="0" applyFont="1" applyFill="1" applyAlignment="1">
      <alignment horizontal="left" vertical="top" wrapText="1" readingOrder="1"/>
    </xf>
    <xf numFmtId="0" fontId="43" fillId="0" borderId="0" xfId="0" applyFont="1" applyFill="1" applyAlignment="1">
      <alignment horizontal="left" vertical="top" wrapText="1"/>
    </xf>
    <xf numFmtId="0" fontId="72" fillId="18" borderId="0" xfId="0" applyFont="1" applyFill="1" applyAlignment="1">
      <alignment horizontal="center"/>
    </xf>
    <xf numFmtId="0" fontId="44" fillId="0" borderId="0" xfId="0" applyFont="1" applyFill="1" applyAlignment="1">
      <alignment horizontal="left" vertical="center"/>
    </xf>
    <xf numFmtId="0" fontId="49" fillId="0" borderId="0" xfId="0" applyFont="1" applyFill="1" applyAlignment="1">
      <alignment horizontal="left" vertical="center"/>
    </xf>
    <xf numFmtId="6" fontId="47" fillId="0" borderId="0" xfId="3" applyNumberFormat="1" applyFont="1" applyFill="1" applyAlignment="1">
      <alignment horizontal="center"/>
    </xf>
    <xf numFmtId="0" fontId="43" fillId="0" borderId="0" xfId="0" applyFont="1" applyFill="1" applyAlignment="1">
      <alignment horizontal="left" vertical="center" wrapText="1"/>
    </xf>
    <xf numFmtId="0" fontId="43" fillId="0" borderId="0" xfId="0" applyFont="1" applyFill="1" applyAlignment="1">
      <alignment horizontal="left" wrapText="1"/>
    </xf>
    <xf numFmtId="0" fontId="43" fillId="0" borderId="0" xfId="0" applyFont="1" applyAlignment="1">
      <alignment horizontal="left" vertical="top" wrapText="1" readingOrder="1"/>
    </xf>
    <xf numFmtId="0" fontId="46" fillId="0" borderId="0" xfId="0" applyFont="1" applyFill="1" applyAlignment="1">
      <alignment horizontal="left" vertical="center"/>
    </xf>
    <xf numFmtId="0" fontId="46" fillId="0" borderId="0" xfId="0" applyFont="1" applyFill="1" applyAlignment="1"/>
    <xf numFmtId="0" fontId="45" fillId="0" borderId="0" xfId="0" applyFont="1" applyFill="1" applyAlignment="1">
      <alignment horizontal="left" vertical="top" wrapText="1"/>
    </xf>
    <xf numFmtId="0" fontId="46" fillId="0" borderId="0" xfId="0" applyFont="1" applyFill="1" applyAlignment="1">
      <alignment horizontal="center"/>
    </xf>
    <xf numFmtId="10" fontId="47" fillId="0" borderId="0" xfId="12" applyNumberFormat="1" applyFont="1" applyFill="1" applyAlignment="1">
      <alignment horizontal="center"/>
    </xf>
    <xf numFmtId="0" fontId="40" fillId="0" borderId="0" xfId="0" applyFont="1" applyFill="1" applyAlignment="1">
      <alignment horizontal="center"/>
    </xf>
    <xf numFmtId="0" fontId="44" fillId="0" borderId="0" xfId="0" applyFont="1" applyFill="1" applyAlignment="1">
      <alignment horizontal="left"/>
    </xf>
    <xf numFmtId="0" fontId="43" fillId="0" borderId="0" xfId="0" applyFont="1" applyFill="1" applyAlignment="1">
      <alignment horizontal="left" vertical="top" readingOrder="1"/>
    </xf>
    <xf numFmtId="0" fontId="43" fillId="0" borderId="0" xfId="0" applyFont="1" applyFill="1" applyAlignment="1">
      <alignment horizontal="left" vertical="center" readingOrder="1"/>
    </xf>
    <xf numFmtId="0" fontId="2" fillId="0" borderId="47" xfId="0" applyFont="1" applyBorder="1" applyAlignment="1" applyProtection="1">
      <alignment horizontal="center"/>
      <protection locked="0"/>
    </xf>
    <xf numFmtId="0" fontId="2" fillId="0" borderId="1" xfId="0" applyFont="1" applyBorder="1" applyAlignment="1" applyProtection="1">
      <alignment horizontal="center"/>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0" fontId="2" fillId="0" borderId="48" xfId="0" applyFont="1" applyBorder="1" applyAlignment="1" applyProtection="1">
      <alignment horizontal="center"/>
      <protection locked="0"/>
    </xf>
    <xf numFmtId="0" fontId="2" fillId="0" borderId="49" xfId="0" applyFont="1" applyBorder="1" applyAlignment="1" applyProtection="1">
      <alignment horizontal="center"/>
      <protection locked="0"/>
    </xf>
    <xf numFmtId="0" fontId="6" fillId="0" borderId="85" xfId="0" applyFont="1" applyBorder="1" applyAlignment="1" applyProtection="1">
      <alignment horizontal="center"/>
      <protection locked="0"/>
    </xf>
    <xf numFmtId="0" fontId="6" fillId="0" borderId="39" xfId="0" applyFont="1" applyBorder="1" applyAlignment="1" applyProtection="1">
      <alignment horizontal="center"/>
      <protection locked="0"/>
    </xf>
    <xf numFmtId="0" fontId="6" fillId="0" borderId="43" xfId="0" applyFont="1" applyBorder="1" applyAlignment="1" applyProtection="1">
      <alignment horizontal="center"/>
      <protection locked="0"/>
    </xf>
    <xf numFmtId="0" fontId="6" fillId="18" borderId="146" xfId="0" applyFont="1" applyFill="1" applyBorder="1" applyAlignment="1" applyProtection="1">
      <alignment horizontal="center" vertical="center"/>
      <protection locked="0"/>
    </xf>
    <xf numFmtId="0" fontId="6" fillId="18" borderId="147" xfId="0" applyFont="1" applyFill="1" applyBorder="1" applyAlignment="1" applyProtection="1">
      <alignment horizontal="center" vertical="center"/>
      <protection locked="0"/>
    </xf>
    <xf numFmtId="0" fontId="6" fillId="18" borderId="148" xfId="0" applyFont="1" applyFill="1" applyBorder="1" applyAlignment="1" applyProtection="1">
      <alignment horizontal="center" vertical="center"/>
      <protection locked="0"/>
    </xf>
    <xf numFmtId="164" fontId="12" fillId="2" borderId="58" xfId="0" applyNumberFormat="1" applyFont="1" applyFill="1" applyBorder="1" applyAlignment="1" applyProtection="1">
      <alignment horizontal="right"/>
      <protection locked="0"/>
    </xf>
    <xf numFmtId="164" fontId="12" fillId="2" borderId="59" xfId="0" applyNumberFormat="1" applyFont="1" applyFill="1" applyBorder="1" applyAlignment="1" applyProtection="1">
      <alignment horizontal="right"/>
      <protection locked="0"/>
    </xf>
    <xf numFmtId="164" fontId="12" fillId="2" borderId="60" xfId="0" applyNumberFormat="1" applyFont="1" applyFill="1" applyBorder="1" applyAlignment="1" applyProtection="1">
      <alignment horizontal="right"/>
      <protection locked="0"/>
    </xf>
    <xf numFmtId="164" fontId="12" fillId="2" borderId="61" xfId="0" applyNumberFormat="1" applyFont="1" applyFill="1" applyBorder="1" applyAlignment="1" applyProtection="1">
      <alignment horizontal="right"/>
      <protection locked="0"/>
    </xf>
    <xf numFmtId="164" fontId="12" fillId="2" borderId="62" xfId="0" applyNumberFormat="1" applyFont="1" applyFill="1" applyBorder="1" applyAlignment="1" applyProtection="1">
      <alignment horizontal="right"/>
      <protection locked="0"/>
    </xf>
    <xf numFmtId="164" fontId="12" fillId="2" borderId="63" xfId="0" applyNumberFormat="1" applyFont="1" applyFill="1" applyBorder="1" applyAlignment="1" applyProtection="1">
      <alignment horizontal="right"/>
      <protection locked="0"/>
    </xf>
    <xf numFmtId="164" fontId="3" fillId="2" borderId="0" xfId="0" applyNumberFormat="1" applyFont="1" applyFill="1" applyBorder="1" applyAlignment="1" applyProtection="1">
      <alignment horizontal="center"/>
      <protection locked="0"/>
    </xf>
    <xf numFmtId="164" fontId="20" fillId="2" borderId="0" xfId="0" applyNumberFormat="1" applyFont="1" applyFill="1" applyBorder="1" applyAlignment="1" applyProtection="1">
      <alignment horizontal="center"/>
      <protection locked="0"/>
    </xf>
    <xf numFmtId="164" fontId="6" fillId="18" borderId="32" xfId="0" applyNumberFormat="1" applyFont="1" applyFill="1" applyBorder="1" applyAlignment="1" applyProtection="1">
      <alignment horizontal="center"/>
      <protection locked="0"/>
    </xf>
    <xf numFmtId="164" fontId="6" fillId="18" borderId="27" xfId="0" applyNumberFormat="1" applyFont="1" applyFill="1" applyBorder="1" applyAlignment="1" applyProtection="1">
      <alignment horizontal="center"/>
      <protection locked="0"/>
    </xf>
    <xf numFmtId="164" fontId="6" fillId="18" borderId="33" xfId="0" applyNumberFormat="1" applyFont="1" applyFill="1" applyBorder="1" applyAlignment="1" applyProtection="1">
      <alignment horizontal="center"/>
      <protection locked="0"/>
    </xf>
    <xf numFmtId="0" fontId="6" fillId="19" borderId="26" xfId="0" applyFont="1" applyFill="1" applyBorder="1" applyAlignment="1" applyProtection="1">
      <alignment horizontal="center"/>
      <protection locked="0"/>
    </xf>
    <xf numFmtId="164" fontId="4" fillId="2" borderId="65" xfId="0" applyNumberFormat="1" applyFont="1" applyFill="1" applyBorder="1" applyAlignment="1" applyProtection="1">
      <alignment horizontal="left"/>
      <protection locked="0"/>
    </xf>
    <xf numFmtId="164" fontId="4" fillId="2" borderId="66" xfId="0" applyNumberFormat="1" applyFont="1" applyFill="1" applyBorder="1" applyAlignment="1" applyProtection="1">
      <alignment horizontal="left"/>
      <protection locked="0"/>
    </xf>
    <xf numFmtId="164" fontId="4" fillId="2" borderId="67" xfId="0" applyNumberFormat="1" applyFont="1" applyFill="1" applyBorder="1" applyAlignment="1" applyProtection="1">
      <alignment horizontal="left"/>
      <protection locked="0"/>
    </xf>
    <xf numFmtId="164" fontId="24" fillId="26" borderId="23" xfId="0" applyNumberFormat="1" applyFont="1" applyFill="1" applyBorder="1" applyAlignment="1" applyProtection="1">
      <alignment horizontal="center"/>
      <protection locked="0"/>
    </xf>
    <xf numFmtId="164" fontId="24" fillId="26" borderId="25" xfId="0" applyNumberFormat="1" applyFont="1" applyFill="1" applyBorder="1" applyAlignment="1" applyProtection="1">
      <alignment horizontal="center"/>
      <protection locked="0"/>
    </xf>
    <xf numFmtId="0" fontId="6" fillId="17" borderId="0" xfId="0" applyFont="1" applyFill="1" applyBorder="1" applyAlignment="1" applyProtection="1">
      <alignment horizontal="center"/>
      <protection locked="0"/>
    </xf>
    <xf numFmtId="0" fontId="0" fillId="26" borderId="23" xfId="0" applyFill="1" applyBorder="1" applyAlignment="1" applyProtection="1">
      <alignment horizontal="center"/>
      <protection locked="0"/>
    </xf>
    <xf numFmtId="0" fontId="0" fillId="26" borderId="25" xfId="0" applyFill="1" applyBorder="1" applyAlignment="1" applyProtection="1">
      <alignment horizontal="center"/>
      <protection locked="0"/>
    </xf>
    <xf numFmtId="0" fontId="2" fillId="26" borderId="2" xfId="0" applyFont="1" applyFill="1" applyBorder="1" applyAlignment="1" applyProtection="1">
      <alignment horizontal="center"/>
      <protection locked="0"/>
    </xf>
    <xf numFmtId="0" fontId="2" fillId="26" borderId="0" xfId="0" applyFont="1" applyFill="1" applyBorder="1" applyAlignment="1" applyProtection="1">
      <alignment horizontal="center"/>
      <protection locked="0"/>
    </xf>
    <xf numFmtId="0" fontId="2" fillId="26" borderId="2" xfId="0" applyFont="1" applyFill="1" applyBorder="1" applyAlignment="1" applyProtection="1">
      <alignment horizontal="left"/>
      <protection locked="0"/>
    </xf>
    <xf numFmtId="0" fontId="2" fillId="26" borderId="0" xfId="0" applyFont="1" applyFill="1" applyBorder="1" applyAlignment="1" applyProtection="1">
      <alignment horizontal="left"/>
      <protection locked="0"/>
    </xf>
    <xf numFmtId="0" fontId="6" fillId="14" borderId="7" xfId="0" applyFont="1" applyFill="1" applyBorder="1" applyAlignment="1" applyProtection="1">
      <alignment horizontal="center" wrapText="1"/>
      <protection locked="0"/>
    </xf>
    <xf numFmtId="0" fontId="6" fillId="14" borderId="106" xfId="0" applyFont="1" applyFill="1" applyBorder="1" applyAlignment="1" applyProtection="1">
      <alignment horizontal="center" wrapText="1"/>
      <protection locked="0"/>
    </xf>
    <xf numFmtId="0" fontId="6" fillId="14" borderId="109" xfId="0" applyFont="1" applyFill="1" applyBorder="1" applyAlignment="1" applyProtection="1">
      <alignment horizontal="center" wrapText="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0" fontId="29" fillId="17" borderId="7" xfId="0" applyFont="1" applyFill="1" applyBorder="1" applyAlignment="1" applyProtection="1">
      <alignment horizontal="center" wrapText="1"/>
      <protection locked="0"/>
    </xf>
    <xf numFmtId="44" fontId="6" fillId="0" borderId="32" xfId="3" applyFont="1" applyBorder="1" applyAlignment="1" applyProtection="1">
      <alignment horizontal="center" vertical="center"/>
      <protection locked="0"/>
    </xf>
    <xf numFmtId="44" fontId="6" fillId="0" borderId="27" xfId="3" applyFont="1" applyBorder="1" applyAlignment="1" applyProtection="1">
      <alignment horizontal="center" vertical="center"/>
      <protection locked="0"/>
    </xf>
    <xf numFmtId="44" fontId="6" fillId="0" borderId="33" xfId="3" applyFont="1" applyBorder="1" applyAlignment="1" applyProtection="1">
      <alignment horizontal="center" vertical="center"/>
      <protection locked="0"/>
    </xf>
    <xf numFmtId="0" fontId="6" fillId="0" borderId="108" xfId="0" applyFont="1" applyBorder="1" applyAlignment="1" applyProtection="1">
      <alignment horizontal="center" vertical="center" wrapText="1"/>
      <protection locked="0"/>
    </xf>
    <xf numFmtId="0" fontId="6" fillId="0" borderId="109" xfId="0" applyFont="1" applyBorder="1" applyAlignment="1" applyProtection="1">
      <alignment horizontal="center" vertical="center" wrapText="1"/>
      <protection locked="0"/>
    </xf>
    <xf numFmtId="0" fontId="6" fillId="0" borderId="111" xfId="0" applyFont="1" applyBorder="1" applyAlignment="1" applyProtection="1">
      <alignment horizontal="center" vertical="center" wrapText="1"/>
      <protection locked="0"/>
    </xf>
    <xf numFmtId="0" fontId="6" fillId="14" borderId="8" xfId="0" applyFont="1" applyFill="1" applyBorder="1" applyAlignment="1" applyProtection="1">
      <alignment horizontal="center" wrapText="1"/>
      <protection locked="0"/>
    </xf>
    <xf numFmtId="0" fontId="29" fillId="17" borderId="12" xfId="0" applyFont="1" applyFill="1" applyBorder="1" applyAlignment="1" applyProtection="1">
      <alignment horizontal="center" wrapText="1"/>
      <protection locked="0"/>
    </xf>
    <xf numFmtId="0" fontId="29" fillId="17" borderId="52" xfId="0" applyFont="1" applyFill="1" applyBorder="1" applyAlignment="1" applyProtection="1">
      <alignment horizontal="center" wrapText="1"/>
      <protection locked="0"/>
    </xf>
    <xf numFmtId="0" fontId="29" fillId="17" borderId="37" xfId="0" applyFont="1" applyFill="1" applyBorder="1" applyAlignment="1" applyProtection="1">
      <alignment horizontal="center" wrapText="1"/>
      <protection locked="0"/>
    </xf>
    <xf numFmtId="165" fontId="0" fillId="20" borderId="8" xfId="3" applyNumberFormat="1" applyFont="1" applyFill="1" applyBorder="1" applyAlignment="1" applyProtection="1">
      <alignment horizontal="center" wrapText="1"/>
      <protection locked="0"/>
    </xf>
    <xf numFmtId="165" fontId="0" fillId="20" borderId="6" xfId="3" applyNumberFormat="1" applyFont="1" applyFill="1" applyBorder="1" applyAlignment="1" applyProtection="1">
      <alignment horizontal="center" wrapText="1"/>
      <protection locked="0"/>
    </xf>
    <xf numFmtId="0" fontId="6" fillId="14" borderId="107" xfId="0" applyFont="1" applyFill="1" applyBorder="1" applyAlignment="1" applyProtection="1">
      <alignment horizontal="center" wrapText="1"/>
      <protection locked="0"/>
    </xf>
    <xf numFmtId="165" fontId="24" fillId="20" borderId="84" xfId="3" applyNumberFormat="1" applyFont="1" applyFill="1" applyBorder="1" applyAlignment="1" applyProtection="1">
      <alignment horizontal="center" vertical="center" wrapText="1"/>
      <protection locked="0"/>
    </xf>
    <xf numFmtId="165" fontId="0" fillId="9" borderId="25" xfId="3" applyNumberFormat="1" applyFont="1" applyFill="1" applyBorder="1" applyAlignment="1" applyProtection="1">
      <alignment horizontal="center" wrapText="1"/>
      <protection locked="0"/>
    </xf>
    <xf numFmtId="0" fontId="6" fillId="14" borderId="108" xfId="0" applyFont="1" applyFill="1" applyBorder="1" applyAlignment="1" applyProtection="1">
      <alignment horizontal="center" wrapText="1"/>
      <protection locked="0"/>
    </xf>
    <xf numFmtId="0" fontId="29" fillId="17" borderId="8" xfId="0" applyFont="1" applyFill="1" applyBorder="1" applyAlignment="1" applyProtection="1">
      <alignment horizontal="center" wrapText="1"/>
      <protection locked="0"/>
    </xf>
    <xf numFmtId="165" fontId="29" fillId="17" borderId="52" xfId="3" applyNumberFormat="1" applyFont="1" applyFill="1" applyBorder="1" applyAlignment="1" applyProtection="1">
      <alignment horizontal="center" wrapText="1"/>
      <protection locked="0"/>
    </xf>
    <xf numFmtId="0" fontId="29" fillId="17" borderId="14" xfId="0" applyFont="1" applyFill="1" applyBorder="1" applyAlignment="1" applyProtection="1">
      <alignment horizontal="center" wrapText="1"/>
      <protection locked="0"/>
    </xf>
    <xf numFmtId="0" fontId="29" fillId="17" borderId="28" xfId="0" applyFont="1" applyFill="1" applyBorder="1" applyAlignment="1" applyProtection="1">
      <alignment horizontal="center" wrapText="1"/>
      <protection locked="0"/>
    </xf>
    <xf numFmtId="0" fontId="29" fillId="17" borderId="104" xfId="0" applyFont="1" applyFill="1" applyBorder="1" applyAlignment="1" applyProtection="1">
      <alignment horizontal="center" wrapText="1"/>
      <protection locked="0"/>
    </xf>
    <xf numFmtId="0" fontId="29" fillId="17" borderId="0" xfId="0" applyFont="1" applyFill="1" applyBorder="1" applyAlignment="1" applyProtection="1">
      <alignment horizontal="center" wrapText="1"/>
      <protection locked="0"/>
    </xf>
    <xf numFmtId="165" fontId="0" fillId="9" borderId="0" xfId="3" applyNumberFormat="1" applyFont="1" applyFill="1" applyBorder="1" applyAlignment="1" applyProtection="1">
      <alignment horizontal="center" wrapText="1"/>
      <protection locked="0"/>
    </xf>
    <xf numFmtId="165" fontId="19" fillId="0" borderId="70" xfId="3" applyNumberFormat="1" applyFont="1" applyFill="1" applyBorder="1" applyAlignment="1" applyProtection="1">
      <alignment horizontal="center"/>
      <protection locked="0"/>
    </xf>
    <xf numFmtId="165" fontId="19" fillId="0" borderId="71" xfId="3" applyNumberFormat="1" applyFont="1" applyFill="1" applyBorder="1" applyAlignment="1" applyProtection="1">
      <alignment horizontal="center"/>
      <protection locked="0"/>
    </xf>
    <xf numFmtId="0" fontId="29" fillId="17" borderId="110" xfId="0" applyFont="1" applyFill="1" applyBorder="1" applyAlignment="1" applyProtection="1">
      <alignment horizontal="center" wrapText="1"/>
      <protection locked="0"/>
    </xf>
    <xf numFmtId="0" fontId="29" fillId="17" borderId="109" xfId="0" applyFont="1" applyFill="1" applyBorder="1" applyAlignment="1" applyProtection="1">
      <alignment horizontal="center" wrapText="1"/>
      <protection locked="0"/>
    </xf>
    <xf numFmtId="0" fontId="6" fillId="27" borderId="156" xfId="0" applyFont="1" applyFill="1" applyBorder="1" applyAlignment="1">
      <alignment horizontal="center" vertical="center" wrapText="1"/>
    </xf>
    <xf numFmtId="0" fontId="6" fillId="27" borderId="157" xfId="0" applyFont="1" applyFill="1" applyBorder="1" applyAlignment="1">
      <alignment horizontal="center" vertical="center" wrapText="1"/>
    </xf>
    <xf numFmtId="0" fontId="6" fillId="0" borderId="0" xfId="0" applyFont="1" applyAlignment="1">
      <alignment horizontal="center"/>
    </xf>
    <xf numFmtId="0" fontId="24" fillId="6" borderId="0" xfId="0" applyFont="1" applyFill="1" applyAlignment="1">
      <alignment horizontal="center"/>
    </xf>
    <xf numFmtId="166" fontId="4" fillId="6" borderId="8" xfId="0" applyNumberFormat="1" applyFont="1" applyFill="1" applyBorder="1" applyAlignment="1" applyProtection="1">
      <alignment horizontal="center"/>
      <protection hidden="1"/>
    </xf>
    <xf numFmtId="166" fontId="4" fillId="6" borderId="7" xfId="0" applyNumberFormat="1" applyFont="1" applyFill="1" applyBorder="1" applyAlignment="1" applyProtection="1">
      <alignment horizontal="center"/>
      <protection hidden="1"/>
    </xf>
    <xf numFmtId="166" fontId="4" fillId="6" borderId="6" xfId="0" applyNumberFormat="1" applyFont="1" applyFill="1" applyBorder="1" applyAlignment="1" applyProtection="1">
      <alignment horizontal="center"/>
      <protection hidden="1"/>
    </xf>
    <xf numFmtId="0" fontId="2" fillId="0" borderId="0" xfId="0" applyFont="1" applyAlignment="1">
      <alignment horizontal="center"/>
    </xf>
    <xf numFmtId="0" fontId="6" fillId="7" borderId="156" xfId="0" applyFont="1" applyFill="1" applyBorder="1" applyAlignment="1">
      <alignment horizontal="center" vertical="center" wrapText="1"/>
    </xf>
    <xf numFmtId="0" fontId="6" fillId="7" borderId="157" xfId="0" applyFont="1" applyFill="1" applyBorder="1" applyAlignment="1">
      <alignment horizontal="center" vertical="center" wrapText="1"/>
    </xf>
    <xf numFmtId="0" fontId="6" fillId="30" borderId="156" xfId="0" applyFont="1" applyFill="1" applyBorder="1" applyAlignment="1">
      <alignment horizontal="center" vertical="center" wrapText="1"/>
    </xf>
    <xf numFmtId="0" fontId="6" fillId="30" borderId="157" xfId="0" applyFont="1" applyFill="1" applyBorder="1" applyAlignment="1">
      <alignment horizontal="center" vertical="center" wrapText="1"/>
    </xf>
    <xf numFmtId="0" fontId="6" fillId="30" borderId="158" xfId="0" applyFont="1" applyFill="1" applyBorder="1" applyAlignment="1">
      <alignment horizontal="center" vertical="center" wrapText="1"/>
    </xf>
    <xf numFmtId="0" fontId="6" fillId="30" borderId="0" xfId="0" applyFont="1" applyFill="1" applyAlignment="1">
      <alignment horizontal="center"/>
    </xf>
    <xf numFmtId="0" fontId="2" fillId="0" borderId="1" xfId="0" applyFont="1" applyBorder="1" applyAlignment="1">
      <alignment horizontal="center"/>
    </xf>
    <xf numFmtId="0" fontId="2" fillId="0" borderId="44" xfId="0" applyFont="1" applyBorder="1" applyAlignment="1">
      <alignment horizontal="center"/>
    </xf>
    <xf numFmtId="0" fontId="2" fillId="0" borderId="49" xfId="0" applyFont="1" applyBorder="1" applyAlignment="1">
      <alignment horizontal="center"/>
    </xf>
    <xf numFmtId="0" fontId="2" fillId="0" borderId="45" xfId="0" applyFont="1" applyBorder="1" applyAlignment="1">
      <alignment horizontal="center"/>
    </xf>
    <xf numFmtId="164" fontId="3" fillId="2" borderId="0" xfId="0" applyNumberFormat="1" applyFont="1" applyFill="1" applyAlignment="1" applyProtection="1">
      <alignment horizontal="center"/>
      <protection hidden="1"/>
    </xf>
    <xf numFmtId="164" fontId="20" fillId="2" borderId="0" xfId="0" applyNumberFormat="1" applyFont="1" applyFill="1" applyAlignment="1" applyProtection="1">
      <alignment horizontal="center"/>
      <protection hidden="1"/>
    </xf>
    <xf numFmtId="0" fontId="9" fillId="2" borderId="135" xfId="0" applyFont="1" applyFill="1" applyBorder="1" applyAlignment="1" applyProtection="1">
      <alignment horizontal="center" vertical="center" textRotation="180"/>
      <protection hidden="1"/>
    </xf>
    <xf numFmtId="0" fontId="9" fillId="2" borderId="106" xfId="0" applyFont="1" applyFill="1" applyBorder="1" applyAlignment="1" applyProtection="1">
      <alignment horizontal="center" vertical="center" textRotation="180"/>
      <protection hidden="1"/>
    </xf>
    <xf numFmtId="0" fontId="9" fillId="2" borderId="108" xfId="0" applyFont="1" applyFill="1" applyBorder="1" applyAlignment="1" applyProtection="1">
      <alignment horizontal="center" vertical="center" textRotation="180"/>
      <protection hidden="1"/>
    </xf>
    <xf numFmtId="0" fontId="2" fillId="0" borderId="0" xfId="0" applyFont="1" applyBorder="1" applyAlignment="1">
      <alignment horizontal="center"/>
    </xf>
    <xf numFmtId="0" fontId="2" fillId="0" borderId="39" xfId="0" applyFont="1" applyBorder="1" applyAlignment="1">
      <alignment horizontal="center"/>
    </xf>
    <xf numFmtId="0" fontId="2" fillId="0" borderId="43" xfId="0" applyFont="1" applyBorder="1" applyAlignment="1">
      <alignment horizontal="center"/>
    </xf>
    <xf numFmtId="0" fontId="9" fillId="2" borderId="85" xfId="0" applyFont="1" applyFill="1" applyBorder="1" applyAlignment="1" applyProtection="1">
      <alignment horizontal="center" vertical="center" textRotation="180"/>
      <protection hidden="1"/>
    </xf>
    <xf numFmtId="0" fontId="9" fillId="2" borderId="47" xfId="0" applyFont="1" applyFill="1" applyBorder="1" applyAlignment="1" applyProtection="1">
      <alignment horizontal="center" vertical="center" textRotation="180"/>
      <protection hidden="1"/>
    </xf>
    <xf numFmtId="0" fontId="9" fillId="2" borderId="48" xfId="0" applyFont="1" applyFill="1" applyBorder="1" applyAlignment="1" applyProtection="1">
      <alignment horizontal="center" vertical="center" textRotation="180"/>
      <protection hidden="1"/>
    </xf>
    <xf numFmtId="0" fontId="2" fillId="0" borderId="24" xfId="0" applyFont="1" applyBorder="1" applyAlignment="1">
      <alignment horizontal="center"/>
    </xf>
    <xf numFmtId="0" fontId="2" fillId="0" borderId="154" xfId="0" applyFont="1" applyBorder="1" applyAlignment="1">
      <alignment horizontal="center"/>
    </xf>
    <xf numFmtId="0" fontId="2" fillId="0" borderId="165" xfId="0" applyFont="1" applyBorder="1" applyAlignment="1">
      <alignment horizontal="center"/>
    </xf>
    <xf numFmtId="0" fontId="2" fillId="0" borderId="8" xfId="0" applyFont="1" applyBorder="1" applyAlignment="1">
      <alignment horizontal="center"/>
    </xf>
    <xf numFmtId="0" fontId="2" fillId="0" borderId="107" xfId="0" applyFont="1" applyBorder="1" applyAlignment="1">
      <alignment horizontal="center"/>
    </xf>
    <xf numFmtId="0" fontId="2" fillId="0" borderId="110" xfId="0" applyFont="1" applyBorder="1" applyAlignment="1">
      <alignment horizontal="center"/>
    </xf>
    <xf numFmtId="0" fontId="2" fillId="0" borderId="111" xfId="0" applyFont="1" applyBorder="1" applyAlignment="1">
      <alignment horizontal="center"/>
    </xf>
    <xf numFmtId="0" fontId="6" fillId="33" borderId="27" xfId="0" applyFont="1" applyFill="1" applyBorder="1" applyAlignment="1" applyProtection="1">
      <alignment horizontal="center"/>
      <protection locked="0"/>
    </xf>
    <xf numFmtId="0" fontId="6" fillId="33" borderId="33" xfId="0" applyFont="1" applyFill="1" applyBorder="1" applyAlignment="1" applyProtection="1">
      <alignment horizontal="center"/>
      <protection locked="0"/>
    </xf>
    <xf numFmtId="0" fontId="6" fillId="18" borderId="27" xfId="0" applyFont="1" applyFill="1" applyBorder="1" applyAlignment="1" applyProtection="1">
      <alignment horizontal="center"/>
      <protection locked="0"/>
    </xf>
    <xf numFmtId="0" fontId="6" fillId="18" borderId="33" xfId="0" applyFont="1" applyFill="1" applyBorder="1" applyAlignment="1" applyProtection="1">
      <alignment horizontal="center"/>
      <protection locked="0"/>
    </xf>
    <xf numFmtId="0" fontId="6" fillId="33" borderId="102" xfId="0" applyFont="1" applyFill="1" applyBorder="1" applyAlignment="1" applyProtection="1">
      <alignment horizontal="center"/>
      <protection locked="0"/>
    </xf>
    <xf numFmtId="0" fontId="6" fillId="18" borderId="102" xfId="0" applyFont="1" applyFill="1" applyBorder="1" applyAlignment="1" applyProtection="1">
      <alignment horizontal="center"/>
      <protection locked="0"/>
    </xf>
    <xf numFmtId="44" fontId="21" fillId="16" borderId="30" xfId="3" applyFont="1" applyFill="1" applyBorder="1" applyAlignment="1" applyProtection="1">
      <alignment horizontal="center"/>
      <protection locked="0"/>
    </xf>
    <xf numFmtId="44" fontId="21" fillId="16" borderId="0" xfId="3" applyFont="1" applyFill="1" applyBorder="1" applyAlignment="1" applyProtection="1">
      <alignment horizontal="center"/>
      <protection locked="0"/>
    </xf>
    <xf numFmtId="0" fontId="24" fillId="16" borderId="32" xfId="0" applyFont="1" applyFill="1" applyBorder="1" applyAlignment="1" applyProtection="1">
      <alignment horizontal="center" vertical="center"/>
      <protection locked="0"/>
    </xf>
    <xf numFmtId="0" fontId="24" fillId="16" borderId="27" xfId="0" applyFont="1" applyFill="1" applyBorder="1" applyAlignment="1" applyProtection="1">
      <alignment horizontal="center" vertical="center"/>
      <protection locked="0"/>
    </xf>
    <xf numFmtId="0" fontId="24" fillId="16" borderId="25" xfId="0" applyFont="1" applyFill="1" applyBorder="1" applyAlignment="1" applyProtection="1">
      <alignment horizontal="center" vertical="center"/>
      <protection locked="0"/>
    </xf>
    <xf numFmtId="0" fontId="24" fillId="16" borderId="33" xfId="0" applyFont="1" applyFill="1" applyBorder="1" applyAlignment="1" applyProtection="1">
      <alignment horizontal="center" vertical="center"/>
      <protection locked="0"/>
    </xf>
    <xf numFmtId="0" fontId="6" fillId="0" borderId="27" xfId="0" applyFont="1" applyBorder="1" applyAlignment="1" applyProtection="1">
      <alignment horizontal="center"/>
      <protection locked="0"/>
    </xf>
    <xf numFmtId="0" fontId="6" fillId="0" borderId="33" xfId="0" applyFont="1" applyBorder="1" applyAlignment="1" applyProtection="1">
      <alignment horizontal="center"/>
      <protection locked="0"/>
    </xf>
    <xf numFmtId="44" fontId="6" fillId="0" borderId="2" xfId="3" applyFont="1" applyBorder="1" applyAlignment="1" applyProtection="1">
      <alignment horizontal="right"/>
      <protection locked="0"/>
    </xf>
    <xf numFmtId="44" fontId="6" fillId="0" borderId="0" xfId="3" applyFont="1" applyBorder="1" applyAlignment="1" applyProtection="1">
      <alignment horizontal="right"/>
      <protection locked="0"/>
    </xf>
    <xf numFmtId="44" fontId="21" fillId="0" borderId="0" xfId="3" applyFont="1" applyBorder="1" applyAlignment="1" applyProtection="1">
      <alignment horizontal="center"/>
      <protection locked="0"/>
    </xf>
    <xf numFmtId="0" fontId="21" fillId="6" borderId="2" xfId="0" applyFont="1" applyFill="1" applyBorder="1" applyAlignment="1" applyProtection="1">
      <alignment horizontal="center"/>
      <protection locked="0"/>
    </xf>
    <xf numFmtId="0" fontId="21" fillId="6" borderId="0" xfId="0" applyFont="1" applyFill="1" applyBorder="1" applyAlignment="1" applyProtection="1">
      <alignment horizontal="center"/>
      <protection locked="0"/>
    </xf>
    <xf numFmtId="0" fontId="6" fillId="17" borderId="32" xfId="0" applyFont="1" applyFill="1" applyBorder="1" applyAlignment="1" applyProtection="1">
      <alignment horizontal="center"/>
      <protection locked="0"/>
    </xf>
    <xf numFmtId="0" fontId="6" fillId="17" borderId="27" xfId="0" applyFont="1" applyFill="1" applyBorder="1" applyAlignment="1" applyProtection="1">
      <alignment horizontal="center"/>
      <protection locked="0"/>
    </xf>
    <xf numFmtId="0" fontId="6" fillId="17" borderId="33" xfId="0" applyFont="1" applyFill="1" applyBorder="1" applyAlignment="1" applyProtection="1">
      <alignment horizontal="center"/>
      <protection locked="0"/>
    </xf>
    <xf numFmtId="0" fontId="6" fillId="18" borderId="32" xfId="0" applyFont="1" applyFill="1" applyBorder="1" applyAlignment="1" applyProtection="1">
      <alignment horizontal="center"/>
      <protection locked="0"/>
    </xf>
    <xf numFmtId="0" fontId="6" fillId="0" borderId="32" xfId="0" applyFont="1" applyBorder="1" applyAlignment="1" applyProtection="1">
      <alignment horizontal="center" wrapText="1"/>
      <protection locked="0"/>
    </xf>
    <xf numFmtId="0" fontId="6" fillId="0" borderId="27" xfId="0" applyFont="1" applyBorder="1" applyAlignment="1" applyProtection="1">
      <alignment horizontal="center" wrapText="1"/>
      <protection locked="0"/>
    </xf>
    <xf numFmtId="0" fontId="6" fillId="0" borderId="82" xfId="0" applyFont="1" applyBorder="1" applyAlignment="1" applyProtection="1">
      <alignment horizontal="center" wrapText="1"/>
      <protection locked="0"/>
    </xf>
    <xf numFmtId="0" fontId="6" fillId="6" borderId="41" xfId="0" applyFont="1" applyFill="1" applyBorder="1" applyAlignment="1" applyProtection="1">
      <alignment horizontal="center" wrapText="1"/>
      <protection locked="0"/>
    </xf>
    <xf numFmtId="0" fontId="19" fillId="0" borderId="0" xfId="0" applyFont="1" applyAlignment="1" applyProtection="1">
      <alignment horizontal="center" vertical="center" wrapText="1"/>
    </xf>
    <xf numFmtId="0" fontId="6" fillId="0" borderId="0" xfId="0" applyFont="1" applyAlignment="1" applyProtection="1">
      <alignment horizontal="center" vertical="center" wrapText="1"/>
    </xf>
    <xf numFmtId="0" fontId="6" fillId="0" borderId="24" xfId="0" applyFont="1" applyBorder="1" applyAlignment="1" applyProtection="1">
      <alignment horizontal="center" wrapText="1"/>
      <protection locked="0"/>
    </xf>
    <xf numFmtId="0" fontId="24" fillId="16" borderId="18" xfId="0" applyFont="1" applyFill="1" applyBorder="1" applyAlignment="1" applyProtection="1">
      <alignment horizontal="center" vertical="center" wrapText="1"/>
      <protection locked="0"/>
    </xf>
    <xf numFmtId="0" fontId="24" fillId="16" borderId="11" xfId="0" applyFont="1" applyFill="1" applyBorder="1" applyAlignment="1" applyProtection="1">
      <alignment horizontal="center" vertical="center" wrapText="1"/>
      <protection locked="0"/>
    </xf>
    <xf numFmtId="0" fontId="24" fillId="16" borderId="21" xfId="0" applyFont="1" applyFill="1" applyBorder="1" applyAlignment="1" applyProtection="1">
      <alignment horizontal="center" vertical="center" wrapText="1"/>
      <protection locked="0"/>
    </xf>
    <xf numFmtId="0" fontId="2" fillId="6" borderId="17" xfId="0" applyFont="1" applyFill="1" applyBorder="1" applyAlignment="1" applyProtection="1">
      <alignment horizontal="center" wrapText="1"/>
      <protection locked="0"/>
    </xf>
    <xf numFmtId="0" fontId="2" fillId="6" borderId="16" xfId="0" applyFont="1" applyFill="1" applyBorder="1" applyAlignment="1" applyProtection="1">
      <alignment horizontal="center" wrapText="1"/>
      <protection locked="0"/>
    </xf>
    <xf numFmtId="0" fontId="2" fillId="6" borderId="15" xfId="0" applyFont="1" applyFill="1" applyBorder="1" applyAlignment="1" applyProtection="1">
      <alignment horizontal="center" wrapText="1"/>
      <protection locked="0"/>
    </xf>
    <xf numFmtId="0" fontId="6" fillId="0" borderId="33" xfId="0" applyFont="1" applyBorder="1" applyAlignment="1" applyProtection="1">
      <alignment horizontal="center" wrapText="1"/>
      <protection locked="0"/>
    </xf>
    <xf numFmtId="0" fontId="6" fillId="6" borderId="32" xfId="11" applyFont="1" applyFill="1" applyBorder="1" applyAlignment="1" applyProtection="1">
      <alignment horizontal="center"/>
      <protection locked="0"/>
    </xf>
    <xf numFmtId="0" fontId="6" fillId="6" borderId="27" xfId="11" applyFont="1" applyFill="1" applyBorder="1" applyAlignment="1" applyProtection="1">
      <alignment horizontal="center"/>
      <protection locked="0"/>
    </xf>
    <xf numFmtId="0" fontId="6" fillId="6" borderId="33" xfId="11" applyFont="1" applyFill="1" applyBorder="1" applyAlignment="1" applyProtection="1">
      <alignment horizontal="center"/>
      <protection locked="0"/>
    </xf>
    <xf numFmtId="0" fontId="6" fillId="25" borderId="32" xfId="0" applyFont="1" applyFill="1" applyBorder="1" applyAlignment="1">
      <alignment horizontal="center"/>
    </xf>
    <xf numFmtId="0" fontId="6" fillId="25" borderId="27" xfId="0" applyFont="1" applyFill="1" applyBorder="1" applyAlignment="1">
      <alignment horizontal="center"/>
    </xf>
    <xf numFmtId="0" fontId="6" fillId="25" borderId="33" xfId="0" applyFont="1" applyFill="1" applyBorder="1" applyAlignment="1">
      <alignment horizontal="center"/>
    </xf>
    <xf numFmtId="44" fontId="2" fillId="0" borderId="41" xfId="3"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6" fillId="17" borderId="0" xfId="10" applyFont="1" applyFill="1" applyBorder="1" applyAlignment="1">
      <alignment horizontal="center" vertical="center" wrapText="1"/>
    </xf>
    <xf numFmtId="0" fontId="19" fillId="6" borderId="0" xfId="9" applyFill="1" applyBorder="1" applyAlignment="1">
      <alignment horizontal="center" wrapText="1"/>
    </xf>
    <xf numFmtId="44" fontId="19" fillId="6" borderId="0" xfId="3" applyFont="1" applyFill="1" applyBorder="1" applyAlignment="1">
      <alignment horizontal="center"/>
    </xf>
    <xf numFmtId="0" fontId="2" fillId="6" borderId="0" xfId="10" applyFont="1" applyFill="1" applyBorder="1" applyAlignment="1">
      <alignment horizontal="center" wrapText="1"/>
    </xf>
    <xf numFmtId="0" fontId="6" fillId="27" borderId="32" xfId="0" applyFont="1" applyFill="1" applyBorder="1" applyAlignment="1">
      <alignment horizontal="center" vertical="center" wrapText="1"/>
    </xf>
    <xf numFmtId="0" fontId="6" fillId="27" borderId="166" xfId="0" applyFont="1" applyFill="1" applyBorder="1" applyAlignment="1">
      <alignment horizontal="center" vertical="center" wrapText="1"/>
    </xf>
    <xf numFmtId="0" fontId="6" fillId="27" borderId="23" xfId="0" applyFont="1" applyFill="1" applyBorder="1" applyAlignment="1">
      <alignment horizontal="center" vertical="center" wrapText="1"/>
    </xf>
    <xf numFmtId="0" fontId="6" fillId="27" borderId="22" xfId="0" applyFont="1" applyFill="1" applyBorder="1" applyAlignment="1">
      <alignment horizontal="center" vertical="center" wrapText="1"/>
    </xf>
    <xf numFmtId="0" fontId="6" fillId="27" borderId="2" xfId="0" applyFont="1" applyFill="1" applyBorder="1" applyAlignment="1">
      <alignment horizontal="center" vertical="center" wrapText="1"/>
    </xf>
    <xf numFmtId="0" fontId="6" fillId="27" borderId="3" xfId="0" applyFont="1" applyFill="1" applyBorder="1" applyAlignment="1">
      <alignment horizontal="center" vertical="center" wrapText="1"/>
    </xf>
    <xf numFmtId="0" fontId="6" fillId="27" borderId="20" xfId="0" applyFont="1" applyFill="1" applyBorder="1" applyAlignment="1">
      <alignment horizontal="center" vertical="center" wrapText="1"/>
    </xf>
    <xf numFmtId="0" fontId="6" fillId="27" borderId="19" xfId="0" applyFont="1" applyFill="1" applyBorder="1" applyAlignment="1">
      <alignment horizontal="center" vertical="center" wrapText="1"/>
    </xf>
    <xf numFmtId="0" fontId="46" fillId="0" borderId="141" xfId="0" applyNumberFormat="1" applyFont="1" applyFill="1" applyBorder="1" applyAlignment="1" applyProtection="1">
      <alignment horizontal="center" vertical="top"/>
      <protection locked="0"/>
    </xf>
    <xf numFmtId="0" fontId="46" fillId="0" borderId="87" xfId="0" applyNumberFormat="1" applyFont="1" applyFill="1" applyBorder="1" applyAlignment="1" applyProtection="1">
      <alignment horizontal="center" vertical="top"/>
      <protection locked="0"/>
    </xf>
    <xf numFmtId="0" fontId="46" fillId="0" borderId="88" xfId="0" applyNumberFormat="1" applyFont="1" applyFill="1" applyBorder="1" applyAlignment="1" applyProtection="1">
      <alignment horizontal="center" vertical="top"/>
      <protection locked="0"/>
    </xf>
    <xf numFmtId="0" fontId="46" fillId="0" borderId="2" xfId="0" applyNumberFormat="1" applyFont="1" applyFill="1" applyBorder="1" applyAlignment="1" applyProtection="1">
      <alignment horizontal="center" vertical="top"/>
      <protection locked="0"/>
    </xf>
    <xf numFmtId="0" fontId="46" fillId="0" borderId="0" xfId="0" applyNumberFormat="1" applyFont="1" applyFill="1" applyBorder="1" applyAlignment="1" applyProtection="1">
      <alignment horizontal="center" vertical="top"/>
      <protection locked="0"/>
    </xf>
    <xf numFmtId="0" fontId="46" fillId="0" borderId="36" xfId="0" applyNumberFormat="1" applyFont="1" applyFill="1" applyBorder="1" applyAlignment="1" applyProtection="1">
      <alignment horizontal="center" vertical="top"/>
      <protection locked="0"/>
    </xf>
    <xf numFmtId="0" fontId="46" fillId="0" borderId="142" xfId="0" applyNumberFormat="1" applyFont="1" applyFill="1" applyBorder="1" applyAlignment="1" applyProtection="1">
      <alignment horizontal="center" vertical="top"/>
      <protection locked="0"/>
    </xf>
    <xf numFmtId="0" fontId="46" fillId="0" borderId="93" xfId="0" applyNumberFormat="1" applyFont="1" applyFill="1" applyBorder="1" applyAlignment="1" applyProtection="1">
      <alignment horizontal="center" vertical="top"/>
      <protection locked="0"/>
    </xf>
    <xf numFmtId="0" fontId="46" fillId="0" borderId="94" xfId="0" applyNumberFormat="1" applyFont="1" applyFill="1" applyBorder="1" applyAlignment="1" applyProtection="1">
      <alignment horizontal="center" vertical="top"/>
      <protection locked="0"/>
    </xf>
    <xf numFmtId="41" fontId="46" fillId="23" borderId="139" xfId="0" applyNumberFormat="1" applyFont="1" applyFill="1" applyBorder="1" applyAlignment="1" applyProtection="1">
      <alignment horizontal="center" vertical="center"/>
      <protection locked="0"/>
    </xf>
    <xf numFmtId="41" fontId="46" fillId="23" borderId="90" xfId="0" applyNumberFormat="1" applyFont="1" applyFill="1" applyBorder="1" applyAlignment="1" applyProtection="1">
      <alignment horizontal="center" vertical="center"/>
      <protection locked="0"/>
    </xf>
    <xf numFmtId="41" fontId="46" fillId="23" borderId="96" xfId="0" applyNumberFormat="1" applyFont="1" applyFill="1" applyBorder="1" applyAlignment="1" applyProtection="1">
      <alignment horizontal="center" vertical="center"/>
      <protection locked="0"/>
    </xf>
    <xf numFmtId="0" fontId="48" fillId="0" borderId="8" xfId="0" applyFont="1" applyBorder="1" applyAlignment="1">
      <alignment horizontal="center"/>
    </xf>
    <xf numFmtId="0" fontId="48" fillId="0" borderId="7" xfId="0" applyFont="1" applyBorder="1" applyAlignment="1">
      <alignment horizontal="center"/>
    </xf>
    <xf numFmtId="0" fontId="48" fillId="0" borderId="6" xfId="0" applyFont="1" applyBorder="1" applyAlignment="1">
      <alignment horizontal="center"/>
    </xf>
    <xf numFmtId="0" fontId="43" fillId="12" borderId="139" xfId="0" applyNumberFormat="1" applyFont="1" applyFill="1" applyBorder="1" applyAlignment="1" applyProtection="1">
      <alignment horizontal="center" shrinkToFit="1"/>
      <protection locked="0"/>
    </xf>
    <xf numFmtId="0" fontId="43" fillId="12" borderId="96" xfId="0" applyNumberFormat="1" applyFont="1" applyFill="1" applyBorder="1" applyAlignment="1" applyProtection="1">
      <alignment horizontal="center" shrinkToFit="1"/>
      <protection locked="0"/>
    </xf>
    <xf numFmtId="0" fontId="46" fillId="23" borderId="2" xfId="0" applyNumberFormat="1" applyFont="1" applyFill="1" applyBorder="1" applyAlignment="1" applyProtection="1">
      <alignment horizontal="center" vertical="top"/>
      <protection locked="0"/>
    </xf>
    <xf numFmtId="0" fontId="46" fillId="23" borderId="0" xfId="0" applyNumberFormat="1" applyFont="1" applyFill="1" applyBorder="1" applyAlignment="1" applyProtection="1">
      <alignment horizontal="center" vertical="top"/>
      <protection locked="0"/>
    </xf>
    <xf numFmtId="0" fontId="46" fillId="23" borderId="3" xfId="0" applyNumberFormat="1" applyFont="1" applyFill="1" applyBorder="1" applyAlignment="1" applyProtection="1">
      <alignment horizontal="center" vertical="top"/>
      <protection locked="0"/>
    </xf>
    <xf numFmtId="0" fontId="64" fillId="0" borderId="92" xfId="0" applyFont="1" applyBorder="1" applyAlignment="1">
      <alignment horizontal="center" vertical="center"/>
    </xf>
    <xf numFmtId="0" fontId="64" fillId="0" borderId="93" xfId="0" applyFont="1" applyBorder="1" applyAlignment="1">
      <alignment horizontal="center" vertical="center"/>
    </xf>
    <xf numFmtId="0" fontId="64" fillId="0" borderId="94" xfId="0" applyFont="1" applyBorder="1" applyAlignment="1">
      <alignment horizontal="center" vertical="center"/>
    </xf>
    <xf numFmtId="0" fontId="64" fillId="0" borderId="89" xfId="0" applyFont="1" applyBorder="1" applyAlignment="1">
      <alignment horizontal="center" vertical="center"/>
    </xf>
    <xf numFmtId="0" fontId="64" fillId="0" borderId="0" xfId="0" applyFont="1" applyBorder="1" applyAlignment="1">
      <alignment horizontal="center" vertical="center"/>
    </xf>
    <xf numFmtId="0" fontId="64" fillId="0" borderId="36" xfId="0" applyFont="1" applyBorder="1" applyAlignment="1">
      <alignment horizontal="center" vertical="center"/>
    </xf>
    <xf numFmtId="0" fontId="46" fillId="24" borderId="23" xfId="0" applyNumberFormat="1" applyFont="1" applyFill="1" applyBorder="1" applyAlignment="1" applyProtection="1">
      <alignment horizontal="center" vertical="center"/>
      <protection locked="0"/>
    </xf>
    <xf numFmtId="0" fontId="46" fillId="24" borderId="25" xfId="0" applyNumberFormat="1" applyFont="1" applyFill="1" applyBorder="1" applyAlignment="1" applyProtection="1">
      <alignment horizontal="center" vertical="center"/>
      <protection locked="0"/>
    </xf>
    <xf numFmtId="0" fontId="46" fillId="24" borderId="22" xfId="0" applyNumberFormat="1" applyFont="1" applyFill="1" applyBorder="1" applyAlignment="1" applyProtection="1">
      <alignment horizontal="center" vertical="center"/>
      <protection locked="0"/>
    </xf>
    <xf numFmtId="0" fontId="43" fillId="22" borderId="0" xfId="0" applyNumberFormat="1" applyFont="1" applyFill="1" applyBorder="1" applyAlignment="1" applyProtection="1">
      <alignment horizontal="center" vertical="center"/>
      <protection locked="0"/>
    </xf>
    <xf numFmtId="0" fontId="43" fillId="22" borderId="3" xfId="0" applyNumberFormat="1" applyFont="1" applyFill="1" applyBorder="1" applyAlignment="1" applyProtection="1">
      <alignment horizontal="center" vertical="center"/>
      <protection locked="0"/>
    </xf>
    <xf numFmtId="41" fontId="46" fillId="23" borderId="139" xfId="0" applyNumberFormat="1" applyFont="1" applyFill="1" applyBorder="1" applyAlignment="1" applyProtection="1">
      <alignment horizontal="center" vertical="center" wrapText="1"/>
      <protection locked="0"/>
    </xf>
    <xf numFmtId="41" fontId="46" fillId="23" borderId="96" xfId="0" applyNumberFormat="1" applyFont="1" applyFill="1" applyBorder="1" applyAlignment="1" applyProtection="1">
      <alignment horizontal="center" vertical="center" wrapText="1"/>
      <protection locked="0"/>
    </xf>
    <xf numFmtId="0" fontId="43" fillId="0" borderId="0" xfId="0" applyNumberFormat="1" applyFont="1" applyBorder="1" applyAlignment="1" applyProtection="1">
      <alignment horizontal="left" vertical="center"/>
      <protection locked="0"/>
    </xf>
    <xf numFmtId="0" fontId="46" fillId="0" borderId="0" xfId="0" applyNumberFormat="1" applyFont="1" applyBorder="1" applyAlignment="1" applyProtection="1">
      <alignment horizontal="right" vertical="center"/>
      <protection locked="0"/>
    </xf>
    <xf numFmtId="0" fontId="43" fillId="0" borderId="0" xfId="0" applyNumberFormat="1" applyFont="1" applyBorder="1" applyAlignment="1" applyProtection="1">
      <alignment horizontal="center" vertical="center"/>
      <protection locked="0"/>
    </xf>
    <xf numFmtId="0" fontId="43" fillId="0" borderId="3" xfId="0" applyNumberFormat="1" applyFont="1" applyBorder="1" applyAlignment="1" applyProtection="1">
      <alignment horizontal="center" vertical="center"/>
      <protection locked="0"/>
    </xf>
    <xf numFmtId="41" fontId="43" fillId="0" borderId="95" xfId="0" applyNumberFormat="1" applyFont="1" applyFill="1" applyBorder="1" applyAlignment="1" applyProtection="1">
      <alignment horizontal="left"/>
      <protection locked="0"/>
    </xf>
    <xf numFmtId="41" fontId="43" fillId="0" borderId="90" xfId="0" applyNumberFormat="1" applyFont="1" applyFill="1" applyBorder="1" applyAlignment="1" applyProtection="1">
      <alignment horizontal="left"/>
      <protection locked="0"/>
    </xf>
    <xf numFmtId="10" fontId="43" fillId="0" borderId="89" xfId="12" applyNumberFormat="1" applyFont="1" applyFill="1" applyBorder="1" applyAlignment="1" applyProtection="1">
      <alignment horizontal="center"/>
      <protection locked="0"/>
    </xf>
    <xf numFmtId="10" fontId="43" fillId="0" borderId="36" xfId="12" applyNumberFormat="1" applyFont="1" applyFill="1" applyBorder="1" applyAlignment="1" applyProtection="1">
      <alignment horizontal="center"/>
      <protection locked="0"/>
    </xf>
    <xf numFmtId="10" fontId="43" fillId="0" borderId="92" xfId="12" applyNumberFormat="1" applyFont="1" applyFill="1" applyBorder="1" applyAlignment="1" applyProtection="1">
      <alignment horizontal="center"/>
      <protection locked="0"/>
    </xf>
    <xf numFmtId="10" fontId="43" fillId="0" borderId="94" xfId="12"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horizontal="left" vertical="center"/>
      <protection locked="0"/>
    </xf>
    <xf numFmtId="41" fontId="46" fillId="23" borderId="96" xfId="0" applyNumberFormat="1" applyFont="1" applyFill="1" applyBorder="1" applyAlignment="1" applyProtection="1">
      <alignment horizontal="left" vertical="center"/>
      <protection locked="0"/>
    </xf>
    <xf numFmtId="41" fontId="43" fillId="0" borderId="141" xfId="0" applyNumberFormat="1" applyFont="1" applyFill="1" applyBorder="1" applyAlignment="1" applyProtection="1">
      <alignment horizontal="center"/>
      <protection locked="0"/>
    </xf>
    <xf numFmtId="41" fontId="43" fillId="0" borderId="87" xfId="0" applyNumberFormat="1" applyFont="1" applyFill="1" applyBorder="1" applyAlignment="1" applyProtection="1">
      <alignment horizontal="center"/>
      <protection locked="0"/>
    </xf>
    <xf numFmtId="41" fontId="43" fillId="0" borderId="88" xfId="0" applyNumberFormat="1" applyFont="1" applyFill="1" applyBorder="1" applyAlignment="1" applyProtection="1">
      <alignment horizontal="center"/>
      <protection locked="0"/>
    </xf>
    <xf numFmtId="41" fontId="43" fillId="0" borderId="2" xfId="0" applyNumberFormat="1" applyFont="1" applyFill="1" applyBorder="1" applyAlignment="1" applyProtection="1">
      <alignment horizontal="center"/>
      <protection locked="0"/>
    </xf>
    <xf numFmtId="41" fontId="43" fillId="0" borderId="0" xfId="0" applyNumberFormat="1" applyFont="1" applyFill="1" applyBorder="1" applyAlignment="1" applyProtection="1">
      <alignment horizontal="center"/>
      <protection locked="0"/>
    </xf>
    <xf numFmtId="41" fontId="43" fillId="0" borderId="36" xfId="0" applyNumberFormat="1" applyFont="1" applyFill="1" applyBorder="1" applyAlignment="1" applyProtection="1">
      <alignment horizontal="center"/>
      <protection locked="0"/>
    </xf>
    <xf numFmtId="41" fontId="43" fillId="0" borderId="86" xfId="0" applyNumberFormat="1" applyFont="1" applyFill="1" applyBorder="1" applyAlignment="1" applyProtection="1">
      <alignment horizontal="left"/>
      <protection locked="0"/>
    </xf>
    <xf numFmtId="41" fontId="43" fillId="0" borderId="87" xfId="0" applyNumberFormat="1" applyFont="1" applyFill="1" applyBorder="1" applyAlignment="1" applyProtection="1">
      <alignment horizontal="left"/>
      <protection locked="0"/>
    </xf>
    <xf numFmtId="41" fontId="43" fillId="0" borderId="88" xfId="0" applyNumberFormat="1" applyFont="1" applyFill="1" applyBorder="1" applyAlignment="1" applyProtection="1">
      <alignment horizontal="left"/>
      <protection locked="0"/>
    </xf>
    <xf numFmtId="41" fontId="43" fillId="0" borderId="89" xfId="0" applyNumberFormat="1" applyFont="1" applyFill="1" applyBorder="1" applyAlignment="1" applyProtection="1">
      <alignment horizontal="left"/>
      <protection locked="0"/>
    </xf>
    <xf numFmtId="41" fontId="43" fillId="0" borderId="0" xfId="0" applyNumberFormat="1" applyFont="1" applyFill="1" applyBorder="1" applyAlignment="1" applyProtection="1">
      <alignment horizontal="left"/>
      <protection locked="0"/>
    </xf>
    <xf numFmtId="41" fontId="43" fillId="0" borderId="36" xfId="0" applyNumberFormat="1" applyFont="1" applyFill="1" applyBorder="1" applyAlignment="1" applyProtection="1">
      <alignment horizontal="left"/>
      <protection locked="0"/>
    </xf>
    <xf numFmtId="0" fontId="46" fillId="23" borderId="36" xfId="0" applyNumberFormat="1" applyFont="1" applyFill="1" applyBorder="1" applyAlignment="1" applyProtection="1">
      <alignment horizontal="center" vertical="top"/>
      <protection locked="0"/>
    </xf>
    <xf numFmtId="0" fontId="43" fillId="0" borderId="89" xfId="0" applyNumberFormat="1" applyFont="1" applyFill="1" applyBorder="1" applyAlignment="1" applyProtection="1">
      <alignment horizontal="left" vertical="top"/>
      <protection locked="0"/>
    </xf>
    <xf numFmtId="0" fontId="43" fillId="0" borderId="0" xfId="0" applyNumberFormat="1" applyFont="1" applyFill="1" applyBorder="1" applyAlignment="1" applyProtection="1">
      <alignment horizontal="left" vertical="top"/>
      <protection locked="0"/>
    </xf>
    <xf numFmtId="1" fontId="70" fillId="6" borderId="1" xfId="7" applyNumberFormat="1" applyFont="1" applyFill="1" applyBorder="1" applyAlignment="1">
      <alignment horizontal="center"/>
    </xf>
    <xf numFmtId="41" fontId="46" fillId="23" borderId="142" xfId="0" applyNumberFormat="1" applyFont="1" applyFill="1" applyBorder="1" applyAlignment="1" applyProtection="1">
      <alignment horizontal="center" vertical="center"/>
      <protection locked="0"/>
    </xf>
    <xf numFmtId="41" fontId="46" fillId="23" borderId="93" xfId="0" applyNumberFormat="1" applyFont="1" applyFill="1" applyBorder="1" applyAlignment="1" applyProtection="1">
      <alignment horizontal="center" vertical="center"/>
      <protection locked="0"/>
    </xf>
    <xf numFmtId="41" fontId="46" fillId="23" borderId="94" xfId="0" applyNumberFormat="1" applyFont="1" applyFill="1" applyBorder="1" applyAlignment="1" applyProtection="1">
      <alignment horizontal="center" vertical="center"/>
      <protection locked="0"/>
    </xf>
    <xf numFmtId="0" fontId="46" fillId="23" borderId="2" xfId="0" applyNumberFormat="1" applyFont="1" applyFill="1" applyBorder="1" applyAlignment="1" applyProtection="1">
      <alignment horizontal="center" vertical="center"/>
      <protection locked="0"/>
    </xf>
    <xf numFmtId="0" fontId="46" fillId="23" borderId="0" xfId="0" applyNumberFormat="1" applyFont="1" applyFill="1" applyBorder="1" applyAlignment="1" applyProtection="1">
      <alignment horizontal="center" vertical="center"/>
      <protection locked="0"/>
    </xf>
    <xf numFmtId="0" fontId="6" fillId="18" borderId="32" xfId="0" applyFont="1" applyFill="1" applyBorder="1" applyAlignment="1">
      <alignment horizontal="center" vertical="center" wrapText="1"/>
    </xf>
    <xf numFmtId="0" fontId="6" fillId="18" borderId="33" xfId="0" applyFont="1" applyFill="1" applyBorder="1" applyAlignment="1">
      <alignment horizontal="center" vertical="center" wrapText="1"/>
    </xf>
    <xf numFmtId="0" fontId="6" fillId="30" borderId="32" xfId="0" applyFont="1" applyFill="1" applyBorder="1" applyAlignment="1">
      <alignment horizontal="center" vertical="center" wrapText="1"/>
    </xf>
    <xf numFmtId="0" fontId="6" fillId="30" borderId="33" xfId="0" applyFont="1" applyFill="1" applyBorder="1" applyAlignment="1">
      <alignment horizontal="center" vertical="center" wrapText="1"/>
    </xf>
    <xf numFmtId="0" fontId="6" fillId="34" borderId="32" xfId="0" applyFont="1" applyFill="1" applyBorder="1" applyAlignment="1">
      <alignment horizontal="center" vertical="center" wrapText="1"/>
    </xf>
    <xf numFmtId="0" fontId="6" fillId="34" borderId="33"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19" xfId="0" applyFont="1" applyFill="1" applyBorder="1" applyAlignment="1">
      <alignment horizontal="center" vertical="center" wrapText="1"/>
    </xf>
    <xf numFmtId="41" fontId="43" fillId="0" borderId="93" xfId="0" applyNumberFormat="1" applyFont="1" applyFill="1" applyBorder="1" applyAlignment="1" applyProtection="1">
      <alignment horizontal="center"/>
      <protection locked="0"/>
    </xf>
    <xf numFmtId="41" fontId="43" fillId="0" borderId="94" xfId="0" applyNumberFormat="1" applyFont="1" applyFill="1" applyBorder="1" applyAlignment="1" applyProtection="1">
      <alignment horizontal="center"/>
      <protection locked="0"/>
    </xf>
    <xf numFmtId="0" fontId="54" fillId="23" borderId="86" xfId="0" applyFont="1" applyFill="1" applyBorder="1" applyAlignment="1" applyProtection="1">
      <alignment horizontal="center"/>
      <protection locked="0"/>
    </xf>
    <xf numFmtId="0" fontId="54" fillId="23" borderId="87" xfId="0" applyFont="1" applyFill="1" applyBorder="1" applyAlignment="1" applyProtection="1">
      <alignment horizontal="center"/>
      <protection locked="0"/>
    </xf>
    <xf numFmtId="0" fontId="54" fillId="23" borderId="88" xfId="0" applyFont="1" applyFill="1" applyBorder="1" applyAlignment="1" applyProtection="1">
      <alignment horizontal="center"/>
      <protection locked="0"/>
    </xf>
    <xf numFmtId="41" fontId="43" fillId="0" borderId="90" xfId="0" applyNumberFormat="1" applyFont="1" applyFill="1" applyBorder="1" applyAlignment="1" applyProtection="1">
      <alignment horizontal="center"/>
      <protection locked="0"/>
    </xf>
    <xf numFmtId="41" fontId="43" fillId="0" borderId="96" xfId="0" applyNumberFormat="1" applyFont="1" applyFill="1" applyBorder="1" applyAlignment="1" applyProtection="1">
      <alignment horizontal="center"/>
      <protection locked="0"/>
    </xf>
    <xf numFmtId="0" fontId="6" fillId="18" borderId="0" xfId="0" applyFont="1" applyFill="1" applyBorder="1" applyAlignment="1">
      <alignment horizontal="center" vertical="center" wrapText="1"/>
    </xf>
    <xf numFmtId="0" fontId="6" fillId="18" borderId="159" xfId="0" applyFont="1" applyFill="1" applyBorder="1" applyAlignment="1">
      <alignment horizontal="center" vertical="center" wrapText="1"/>
    </xf>
    <xf numFmtId="0" fontId="6" fillId="30" borderId="0" xfId="0" applyFont="1" applyFill="1" applyBorder="1" applyAlignment="1">
      <alignment horizontal="center" vertical="center" wrapText="1"/>
    </xf>
    <xf numFmtId="0" fontId="6" fillId="30" borderId="159" xfId="0" applyFont="1" applyFill="1" applyBorder="1" applyAlignment="1">
      <alignment horizontal="center" vertical="center" wrapText="1"/>
    </xf>
    <xf numFmtId="0" fontId="6" fillId="34" borderId="0" xfId="0" applyFont="1" applyFill="1" applyBorder="1" applyAlignment="1">
      <alignment horizontal="center" vertical="center" wrapText="1"/>
    </xf>
    <xf numFmtId="0" fontId="6" fillId="34" borderId="159"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159" xfId="0" applyFont="1" applyFill="1" applyBorder="1" applyAlignment="1">
      <alignment horizontal="center" vertical="center" wrapText="1"/>
    </xf>
    <xf numFmtId="0" fontId="48" fillId="0" borderId="108" xfId="0" applyFont="1" applyBorder="1" applyAlignment="1">
      <alignment horizontal="center"/>
    </xf>
    <xf numFmtId="0" fontId="48" fillId="0" borderId="109" xfId="0" applyFont="1" applyBorder="1" applyAlignment="1">
      <alignment horizontal="center"/>
    </xf>
    <xf numFmtId="0" fontId="48" fillId="0" borderId="111" xfId="0" applyFont="1" applyBorder="1" applyAlignment="1">
      <alignment horizontal="center"/>
    </xf>
    <xf numFmtId="0" fontId="46" fillId="24" borderId="167" xfId="0" applyNumberFormat="1" applyFont="1" applyFill="1" applyBorder="1" applyAlignment="1" applyProtection="1">
      <alignment horizontal="center" vertical="center"/>
      <protection locked="0"/>
    </xf>
    <xf numFmtId="0" fontId="46" fillId="24" borderId="168" xfId="0" applyNumberFormat="1" applyFont="1" applyFill="1" applyBorder="1" applyAlignment="1" applyProtection="1">
      <alignment horizontal="center" vertical="center"/>
      <protection locked="0"/>
    </xf>
    <xf numFmtId="0" fontId="46" fillId="24" borderId="169" xfId="0" applyNumberFormat="1" applyFont="1" applyFill="1" applyBorder="1" applyAlignment="1" applyProtection="1">
      <alignment horizontal="center" vertical="center"/>
      <protection locked="0"/>
    </xf>
    <xf numFmtId="0" fontId="43" fillId="0" borderId="171" xfId="0" applyNumberFormat="1" applyFont="1" applyBorder="1" applyAlignment="1" applyProtection="1">
      <alignment horizontal="center" vertical="center"/>
      <protection locked="0"/>
    </xf>
    <xf numFmtId="0" fontId="43" fillId="22" borderId="171" xfId="0" applyNumberFormat="1" applyFont="1" applyFill="1" applyBorder="1" applyAlignment="1" applyProtection="1">
      <alignment horizontal="center" vertical="center"/>
      <protection locked="0"/>
    </xf>
    <xf numFmtId="0" fontId="43" fillId="12" borderId="172" xfId="0" applyNumberFormat="1" applyFont="1" applyFill="1" applyBorder="1" applyAlignment="1" applyProtection="1">
      <alignment horizontal="center" shrinkToFit="1"/>
      <protection locked="0"/>
    </xf>
    <xf numFmtId="41" fontId="46" fillId="23" borderId="172"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horizontal="center" vertical="center"/>
      <protection locked="0"/>
    </xf>
    <xf numFmtId="0" fontId="46" fillId="23" borderId="170" xfId="0" applyNumberFormat="1" applyFont="1" applyFill="1" applyBorder="1" applyAlignment="1" applyProtection="1">
      <alignment horizontal="center" vertical="top"/>
      <protection locked="0"/>
    </xf>
    <xf numFmtId="0" fontId="46" fillId="0" borderId="174" xfId="0" applyNumberFormat="1" applyFont="1" applyFill="1" applyBorder="1" applyAlignment="1" applyProtection="1">
      <alignment horizontal="center" vertical="top"/>
      <protection locked="0"/>
    </xf>
    <xf numFmtId="0" fontId="46" fillId="0" borderId="170" xfId="0" applyNumberFormat="1" applyFont="1" applyFill="1" applyBorder="1" applyAlignment="1" applyProtection="1">
      <alignment horizontal="center" vertical="top"/>
      <protection locked="0"/>
    </xf>
    <xf numFmtId="0" fontId="46" fillId="0" borderId="175" xfId="0" applyNumberFormat="1" applyFont="1" applyFill="1" applyBorder="1" applyAlignment="1" applyProtection="1">
      <alignment horizontal="center" vertical="top"/>
      <protection locked="0"/>
    </xf>
    <xf numFmtId="41" fontId="43" fillId="0" borderId="174" xfId="0" applyNumberFormat="1" applyFont="1" applyFill="1" applyBorder="1" applyAlignment="1" applyProtection="1">
      <alignment horizontal="center"/>
      <protection locked="0"/>
    </xf>
    <xf numFmtId="41" fontId="43" fillId="0" borderId="170" xfId="0" applyNumberFormat="1" applyFont="1" applyFill="1" applyBorder="1" applyAlignment="1" applyProtection="1">
      <alignment horizontal="center"/>
      <protection locked="0"/>
    </xf>
    <xf numFmtId="41" fontId="46" fillId="23" borderId="175" xfId="0" applyNumberFormat="1" applyFont="1" applyFill="1" applyBorder="1" applyAlignment="1" applyProtection="1">
      <alignment horizontal="center" vertical="center"/>
      <protection locked="0"/>
    </xf>
    <xf numFmtId="0" fontId="46" fillId="23" borderId="171" xfId="0" applyNumberFormat="1" applyFont="1" applyFill="1" applyBorder="1" applyAlignment="1" applyProtection="1">
      <alignment horizontal="center" vertical="top"/>
      <protection locked="0"/>
    </xf>
    <xf numFmtId="0" fontId="46" fillId="23" borderId="170" xfId="0" applyNumberFormat="1" applyFont="1" applyFill="1" applyBorder="1" applyAlignment="1" applyProtection="1">
      <alignment horizontal="center" vertical="center"/>
      <protection locked="0"/>
    </xf>
    <xf numFmtId="0" fontId="48" fillId="0" borderId="179" xfId="0" applyFont="1" applyBorder="1" applyAlignment="1">
      <alignment horizontal="center"/>
    </xf>
    <xf numFmtId="0" fontId="48" fillId="0" borderId="180" xfId="0" applyFont="1" applyBorder="1" applyAlignment="1">
      <alignment horizontal="center"/>
    </xf>
    <xf numFmtId="0" fontId="48" fillId="0" borderId="181" xfId="0" applyFont="1" applyBorder="1" applyAlignment="1">
      <alignment horizontal="center"/>
    </xf>
    <xf numFmtId="0" fontId="56" fillId="0" borderId="0" xfId="0" applyFont="1" applyAlignment="1" applyProtection="1">
      <alignment horizontal="center"/>
      <protection locked="0"/>
    </xf>
    <xf numFmtId="0" fontId="50" fillId="0" borderId="109" xfId="0" applyFont="1" applyBorder="1" applyAlignment="1">
      <alignment horizontal="center" wrapText="1"/>
    </xf>
    <xf numFmtId="0" fontId="50" fillId="0" borderId="7" xfId="0" applyFont="1" applyBorder="1" applyAlignment="1">
      <alignment horizontal="center" wrapText="1"/>
    </xf>
    <xf numFmtId="0" fontId="43" fillId="0" borderId="133" xfId="0" applyFont="1" applyBorder="1" applyAlignment="1">
      <alignment horizontal="left" wrapText="1"/>
    </xf>
    <xf numFmtId="0" fontId="43" fillId="0" borderId="109" xfId="0" applyFont="1" applyBorder="1" applyAlignment="1">
      <alignment horizontal="left" wrapText="1"/>
    </xf>
    <xf numFmtId="0" fontId="43" fillId="0" borderId="125" xfId="0" applyFont="1" applyBorder="1" applyAlignment="1">
      <alignment horizontal="left" wrapText="1"/>
    </xf>
    <xf numFmtId="0" fontId="46" fillId="19" borderId="32" xfId="0" applyFont="1" applyFill="1" applyBorder="1" applyAlignment="1">
      <alignment horizontal="center" wrapText="1"/>
    </xf>
    <xf numFmtId="0" fontId="46" fillId="19" borderId="27" xfId="0" applyFont="1" applyFill="1" applyBorder="1" applyAlignment="1">
      <alignment horizontal="center" wrapText="1"/>
    </xf>
    <xf numFmtId="0" fontId="46" fillId="19" borderId="33" xfId="0" applyFont="1" applyFill="1" applyBorder="1" applyAlignment="1">
      <alignment horizontal="center" wrapText="1"/>
    </xf>
    <xf numFmtId="0" fontId="43" fillId="0" borderId="132" xfId="0" applyFont="1" applyBorder="1" applyAlignment="1">
      <alignment horizontal="left" wrapText="1"/>
    </xf>
    <xf numFmtId="0" fontId="43" fillId="0" borderId="7" xfId="0" applyFont="1" applyBorder="1" applyAlignment="1">
      <alignment horizontal="left" wrapText="1"/>
    </xf>
    <xf numFmtId="0" fontId="43" fillId="0" borderId="124" xfId="0" applyFont="1" applyBorder="1" applyAlignment="1">
      <alignment horizontal="left" wrapText="1"/>
    </xf>
    <xf numFmtId="0" fontId="46" fillId="32" borderId="32" xfId="0" applyFont="1" applyFill="1" applyBorder="1" applyAlignment="1">
      <alignment horizontal="center" wrapText="1"/>
    </xf>
    <xf numFmtId="0" fontId="46" fillId="32" borderId="27" xfId="0" applyFont="1" applyFill="1" applyBorder="1" applyAlignment="1">
      <alignment horizontal="center" wrapText="1"/>
    </xf>
    <xf numFmtId="0" fontId="46" fillId="32" borderId="33" xfId="0" applyFont="1" applyFill="1" applyBorder="1" applyAlignment="1">
      <alignment horizontal="center" wrapText="1"/>
    </xf>
    <xf numFmtId="0" fontId="50" fillId="0" borderId="120" xfId="0" applyFont="1" applyBorder="1" applyAlignment="1">
      <alignment horizontal="center" vertical="center" wrapText="1"/>
    </xf>
    <xf numFmtId="0" fontId="50" fillId="0" borderId="27" xfId="0" applyFont="1" applyBorder="1" applyAlignment="1">
      <alignment horizontal="center" vertical="center" wrapText="1"/>
    </xf>
    <xf numFmtId="0" fontId="50" fillId="0" borderId="130" xfId="0" applyFont="1" applyBorder="1" applyAlignment="1">
      <alignment horizontal="center" vertical="center" wrapText="1"/>
    </xf>
    <xf numFmtId="0" fontId="50" fillId="0" borderId="122" xfId="0" applyFont="1" applyBorder="1" applyAlignment="1">
      <alignment horizontal="center" wrapText="1"/>
    </xf>
    <xf numFmtId="0" fontId="46" fillId="20" borderId="32" xfId="0" applyFont="1" applyFill="1" applyBorder="1" applyAlignment="1">
      <alignment horizontal="center" wrapText="1"/>
    </xf>
    <xf numFmtId="0" fontId="46" fillId="20" borderId="27" xfId="0" applyFont="1" applyFill="1" applyBorder="1" applyAlignment="1">
      <alignment horizontal="center" wrapText="1"/>
    </xf>
    <xf numFmtId="0" fontId="46" fillId="20" borderId="33" xfId="0" applyFont="1" applyFill="1" applyBorder="1" applyAlignment="1">
      <alignment horizontal="center" wrapText="1"/>
    </xf>
    <xf numFmtId="0" fontId="46" fillId="21" borderId="32" xfId="0" applyFont="1" applyFill="1" applyBorder="1" applyAlignment="1">
      <alignment horizontal="center" vertical="center" wrapText="1"/>
    </xf>
    <xf numFmtId="0" fontId="46" fillId="21" borderId="27" xfId="0" applyFont="1" applyFill="1" applyBorder="1" applyAlignment="1">
      <alignment horizontal="center" vertical="center" wrapText="1"/>
    </xf>
    <xf numFmtId="0" fontId="46" fillId="21" borderId="33" xfId="0" applyFont="1" applyFill="1" applyBorder="1" applyAlignment="1">
      <alignment horizontal="center" vertical="center" wrapText="1"/>
    </xf>
    <xf numFmtId="0" fontId="43" fillId="0" borderId="0" xfId="0" applyFont="1" applyBorder="1" applyAlignment="1">
      <alignment horizontal="left" wrapText="1"/>
    </xf>
    <xf numFmtId="0" fontId="46" fillId="30" borderId="32" xfId="0" applyFont="1" applyFill="1" applyBorder="1" applyAlignment="1">
      <alignment horizontal="center" wrapText="1"/>
    </xf>
    <xf numFmtId="0" fontId="46" fillId="30" borderId="27" xfId="0" applyFont="1" applyFill="1" applyBorder="1" applyAlignment="1">
      <alignment horizontal="center" wrapText="1"/>
    </xf>
    <xf numFmtId="0" fontId="46" fillId="30" borderId="33" xfId="0" applyFont="1" applyFill="1" applyBorder="1" applyAlignment="1">
      <alignment horizontal="center" wrapText="1"/>
    </xf>
    <xf numFmtId="0" fontId="43" fillId="0" borderId="24" xfId="0" applyFont="1" applyBorder="1" applyAlignment="1">
      <alignment horizontal="left" wrapText="1"/>
    </xf>
    <xf numFmtId="0" fontId="43" fillId="0" borderId="120" xfId="0" applyFont="1" applyBorder="1" applyAlignment="1">
      <alignment horizontal="center" wrapText="1"/>
    </xf>
    <xf numFmtId="0" fontId="43" fillId="0" borderId="130" xfId="0" applyFont="1" applyBorder="1" applyAlignment="1">
      <alignment horizontal="center" wrapText="1"/>
    </xf>
    <xf numFmtId="0" fontId="46" fillId="27" borderId="32" xfId="0" applyFont="1" applyFill="1" applyBorder="1" applyAlignment="1">
      <alignment horizontal="center" wrapText="1"/>
    </xf>
    <xf numFmtId="0" fontId="46" fillId="27" borderId="27" xfId="0" applyFont="1" applyFill="1" applyBorder="1" applyAlignment="1">
      <alignment horizontal="center" wrapText="1"/>
    </xf>
    <xf numFmtId="0" fontId="46" fillId="27" borderId="33" xfId="0" applyFont="1" applyFill="1" applyBorder="1" applyAlignment="1">
      <alignment horizontal="center" wrapText="1"/>
    </xf>
    <xf numFmtId="0" fontId="46" fillId="9" borderId="32" xfId="0" applyFont="1" applyFill="1" applyBorder="1" applyAlignment="1">
      <alignment horizontal="center" wrapText="1"/>
    </xf>
    <xf numFmtId="0" fontId="46" fillId="9" borderId="27" xfId="0" applyFont="1" applyFill="1" applyBorder="1" applyAlignment="1">
      <alignment horizontal="center" wrapText="1"/>
    </xf>
    <xf numFmtId="0" fontId="46" fillId="9" borderId="33" xfId="0" applyFont="1" applyFill="1" applyBorder="1" applyAlignment="1">
      <alignment horizontal="center" wrapText="1"/>
    </xf>
    <xf numFmtId="0" fontId="57" fillId="0" borderId="0" xfId="0" applyFont="1" applyAlignment="1">
      <alignment horizontal="center"/>
    </xf>
    <xf numFmtId="0" fontId="58" fillId="0" borderId="0" xfId="0" applyFont="1" applyAlignment="1">
      <alignment horizontal="center"/>
    </xf>
    <xf numFmtId="2" fontId="62" fillId="16" borderId="0" xfId="0" applyNumberFormat="1" applyFont="1" applyFill="1" applyAlignment="1">
      <alignment horizontal="center"/>
    </xf>
    <xf numFmtId="185" fontId="58" fillId="16" borderId="0" xfId="0" applyNumberFormat="1" applyFont="1" applyFill="1" applyAlignment="1">
      <alignment horizontal="center"/>
    </xf>
    <xf numFmtId="179" fontId="58" fillId="16" borderId="28" xfId="0" applyNumberFormat="1" applyFont="1" applyFill="1" applyBorder="1" applyAlignment="1">
      <alignment horizontal="center"/>
    </xf>
    <xf numFmtId="0" fontId="6" fillId="33" borderId="85" xfId="11" applyFont="1" applyFill="1" applyBorder="1" applyAlignment="1" applyProtection="1">
      <alignment horizontal="center"/>
      <protection locked="0"/>
    </xf>
    <xf numFmtId="0" fontId="6" fillId="33" borderId="43" xfId="11" applyFont="1" applyFill="1" applyBorder="1" applyAlignment="1" applyProtection="1">
      <alignment horizontal="center"/>
      <protection locked="0"/>
    </xf>
    <xf numFmtId="0" fontId="6" fillId="7" borderId="85" xfId="0" applyFont="1" applyFill="1" applyBorder="1" applyAlignment="1">
      <alignment horizontal="center"/>
    </xf>
    <xf numFmtId="0" fontId="6" fillId="7" borderId="43" xfId="0" applyFont="1" applyFill="1" applyBorder="1" applyAlignment="1">
      <alignment horizontal="center"/>
    </xf>
    <xf numFmtId="0" fontId="6" fillId="18" borderId="32" xfId="0" applyFont="1" applyFill="1" applyBorder="1" applyAlignment="1">
      <alignment horizontal="center"/>
    </xf>
    <xf numFmtId="0" fontId="6" fillId="18" borderId="27" xfId="0" applyFont="1" applyFill="1" applyBorder="1" applyAlignment="1">
      <alignment horizontal="center"/>
    </xf>
    <xf numFmtId="0" fontId="6" fillId="18" borderId="33" xfId="0" applyFont="1" applyFill="1" applyBorder="1" applyAlignment="1">
      <alignment horizontal="center"/>
    </xf>
  </cellXfs>
  <cellStyles count="20">
    <cellStyle name="Comma" xfId="1" builtinId="3"/>
    <cellStyle name="Comma 2" xfId="2" xr:uid="{00000000-0005-0000-0000-000001000000}"/>
    <cellStyle name="Currency" xfId="3" builtinId="4"/>
    <cellStyle name="Currency 2" xfId="4" xr:uid="{00000000-0005-0000-0000-000003000000}"/>
    <cellStyle name="Currency 2 2" xfId="17" xr:uid="{00000000-0005-0000-0000-000004000000}"/>
    <cellStyle name="Currency 3" xfId="16" xr:uid="{00000000-0005-0000-0000-000005000000}"/>
    <cellStyle name="Currency0" xfId="18" xr:uid="{00000000-0005-0000-0000-000006000000}"/>
    <cellStyle name="E-mail" xfId="19" xr:uid="{00000000-0005-0000-0000-000007000000}"/>
    <cellStyle name="Hyperlink" xfId="5" builtinId="8"/>
    <cellStyle name="no dec" xfId="6" xr:uid="{00000000-0005-0000-0000-000009000000}"/>
    <cellStyle name="Normal" xfId="0" builtinId="0"/>
    <cellStyle name="Normal 2" xfId="7" xr:uid="{00000000-0005-0000-0000-00000B000000}"/>
    <cellStyle name="Normal 3" xfId="14" xr:uid="{00000000-0005-0000-0000-00000C000000}"/>
    <cellStyle name="Normal 4" xfId="15" xr:uid="{00000000-0005-0000-0000-00000D000000}"/>
    <cellStyle name="Normal_Bond Calculator" xfId="8" xr:uid="{00000000-0005-0000-0000-00000E000000}"/>
    <cellStyle name="Normal_PF LABOR CREW RATE R6.15.10" xfId="9" xr:uid="{00000000-0005-0000-0000-00000F000000}"/>
    <cellStyle name="Normal_PLBR LABOR CREW RATE R6.15.10" xfId="10" xr:uid="{00000000-0005-0000-0000-000010000000}"/>
    <cellStyle name="Normal_RECAPITULATION SHEET ICE HOUSE" xfId="11" xr:uid="{00000000-0005-0000-0000-000011000000}"/>
    <cellStyle name="Percent" xfId="12" builtinId="5"/>
    <cellStyle name="Percent 2" xfId="13" xr:uid="{00000000-0005-0000-0000-000013000000}"/>
  </cellStyles>
  <dxfs count="5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5700"/>
      </font>
      <fill>
        <patternFill>
          <bgColor rgb="FFFFEB9C"/>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b/>
        <i val="0"/>
        <strike/>
      </font>
      <fill>
        <patternFill>
          <bgColor rgb="FFFF0000"/>
        </patternFill>
      </fill>
    </dxf>
    <dxf>
      <font>
        <color rgb="FF9C0006"/>
      </font>
      <fill>
        <patternFill>
          <bgColor rgb="FFFFC7CE"/>
        </patternFill>
      </fill>
    </dxf>
    <dxf>
      <font>
        <b/>
        <i val="0"/>
        <strike/>
      </font>
    </dxf>
    <dxf>
      <font>
        <b/>
        <i val="0"/>
        <strike/>
      </font>
      <fill>
        <patternFill>
          <bgColor rgb="FFFF0000"/>
        </patternFill>
      </fill>
    </dxf>
    <dxf>
      <fill>
        <patternFill>
          <bgColor rgb="FFFF0000"/>
        </patternFill>
      </fill>
    </dxf>
    <dxf>
      <fill>
        <patternFill>
          <bgColor rgb="FFFF0000"/>
        </patternFill>
      </fill>
    </dxf>
    <dxf>
      <fill>
        <patternFill>
          <bgColor rgb="FFFF0000"/>
        </patternFill>
      </fill>
    </dxf>
    <dxf>
      <font>
        <b/>
        <i val="0"/>
        <strike/>
      </font>
      <fill>
        <patternFill>
          <bgColor rgb="FFFF0000"/>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color rgb="FF006100"/>
      </font>
      <fill>
        <patternFill>
          <bgColor rgb="FFC6EFCE"/>
        </patternFill>
      </fill>
    </dxf>
    <dxf>
      <font>
        <b/>
        <i val="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0066"/>
      <color rgb="FFCCFF99"/>
      <color rgb="FF9BBB59"/>
      <color rgb="FFFFFF99"/>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9.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1BDAA.423D0400" TargetMode="External"/><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28579</xdr:colOff>
      <xdr:row>1</xdr:row>
      <xdr:rowOff>45712</xdr:rowOff>
    </xdr:from>
    <xdr:to>
      <xdr:col>4</xdr:col>
      <xdr:colOff>390526</xdr:colOff>
      <xdr:row>2</xdr:row>
      <xdr:rowOff>2254</xdr:rowOff>
    </xdr:to>
    <xdr:pic>
      <xdr:nvPicPr>
        <xdr:cNvPr id="21523" name="Picture 4">
          <a:extLst>
            <a:ext uri="{FF2B5EF4-FFF2-40B4-BE49-F238E27FC236}">
              <a16:creationId xmlns:a16="http://schemas.microsoft.com/office/drawing/2014/main" id="{00000000-0008-0000-0200-000013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8579" y="131437"/>
          <a:ext cx="4038597" cy="7090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189379</xdr:colOff>
      <xdr:row>146</xdr:row>
      <xdr:rowOff>0</xdr:rowOff>
    </xdr:from>
    <xdr:to>
      <xdr:col>3</xdr:col>
      <xdr:colOff>1021229</xdr:colOff>
      <xdr:row>146</xdr:row>
      <xdr:rowOff>549615</xdr:rowOff>
    </xdr:to>
    <xdr:pic>
      <xdr:nvPicPr>
        <xdr:cNvPr id="7" name="Picture 6">
          <a:extLst>
            <a:ext uri="{FF2B5EF4-FFF2-40B4-BE49-F238E27FC236}">
              <a16:creationId xmlns:a16="http://schemas.microsoft.com/office/drawing/2014/main" id="{D1E6AC4F-CEA6-4D47-9359-AB5784394E3E}"/>
            </a:ext>
          </a:extLst>
        </xdr:cNvPr>
        <xdr:cNvPicPr>
          <a:picLocks noChangeAspect="1"/>
        </xdr:cNvPicPr>
      </xdr:nvPicPr>
      <xdr:blipFill>
        <a:blip xmlns:r="http://schemas.openxmlformats.org/officeDocument/2006/relationships" r:embed="rId2"/>
        <a:stretch>
          <a:fillRect/>
        </a:stretch>
      </xdr:blipFill>
      <xdr:spPr>
        <a:xfrm>
          <a:off x="1627654" y="29519051"/>
          <a:ext cx="1870075" cy="549615"/>
        </a:xfrm>
        <a:prstGeom prst="rect">
          <a:avLst/>
        </a:prstGeom>
      </xdr:spPr>
    </xdr:pic>
    <xdr:clientData/>
  </xdr:twoCellAnchor>
  <xdr:twoCellAnchor editAs="oneCell">
    <xdr:from>
      <xdr:col>2</xdr:col>
      <xdr:colOff>144929</xdr:colOff>
      <xdr:row>147</xdr:row>
      <xdr:rowOff>123908</xdr:rowOff>
    </xdr:from>
    <xdr:to>
      <xdr:col>3</xdr:col>
      <xdr:colOff>959999</xdr:colOff>
      <xdr:row>147</xdr:row>
      <xdr:rowOff>686361</xdr:rowOff>
    </xdr:to>
    <xdr:pic>
      <xdr:nvPicPr>
        <xdr:cNvPr id="9" name="Picture 8">
          <a:extLst>
            <a:ext uri="{FF2B5EF4-FFF2-40B4-BE49-F238E27FC236}">
              <a16:creationId xmlns:a16="http://schemas.microsoft.com/office/drawing/2014/main" id="{9F8BC390-3D29-4A14-8EE7-62E378ED0C07}"/>
            </a:ext>
          </a:extLst>
        </xdr:cNvPr>
        <xdr:cNvPicPr>
          <a:picLocks noChangeAspect="1"/>
        </xdr:cNvPicPr>
      </xdr:nvPicPr>
      <xdr:blipFill>
        <a:blip xmlns:r="http://schemas.openxmlformats.org/officeDocument/2006/relationships" r:embed="rId3"/>
        <a:stretch>
          <a:fillRect/>
        </a:stretch>
      </xdr:blipFill>
      <xdr:spPr>
        <a:xfrm>
          <a:off x="1583204" y="31308758"/>
          <a:ext cx="1853295" cy="562453"/>
        </a:xfrm>
        <a:prstGeom prst="rect">
          <a:avLst/>
        </a:prstGeom>
      </xdr:spPr>
    </xdr:pic>
    <xdr:clientData/>
  </xdr:twoCellAnchor>
  <xdr:twoCellAnchor editAs="oneCell">
    <xdr:from>
      <xdr:col>2</xdr:col>
      <xdr:colOff>230654</xdr:colOff>
      <xdr:row>146</xdr:row>
      <xdr:rowOff>88173</xdr:rowOff>
    </xdr:from>
    <xdr:to>
      <xdr:col>4</xdr:col>
      <xdr:colOff>302559</xdr:colOff>
      <xdr:row>146</xdr:row>
      <xdr:rowOff>942672</xdr:rowOff>
    </xdr:to>
    <xdr:pic>
      <xdr:nvPicPr>
        <xdr:cNvPr id="10" name="Picture 9">
          <a:extLst>
            <a:ext uri="{FF2B5EF4-FFF2-40B4-BE49-F238E27FC236}">
              <a16:creationId xmlns:a16="http://schemas.microsoft.com/office/drawing/2014/main" id="{7D450707-0231-4D97-A3D1-8DD5DE8C606E}"/>
            </a:ext>
          </a:extLst>
        </xdr:cNvPr>
        <xdr:cNvPicPr>
          <a:picLocks noChangeAspect="1"/>
        </xdr:cNvPicPr>
      </xdr:nvPicPr>
      <xdr:blipFill>
        <a:blip xmlns:r="http://schemas.openxmlformats.org/officeDocument/2006/relationships" r:embed="rId4"/>
        <a:stretch>
          <a:fillRect/>
        </a:stretch>
      </xdr:blipFill>
      <xdr:spPr>
        <a:xfrm>
          <a:off x="1668929" y="30320523"/>
          <a:ext cx="2195980" cy="854499"/>
        </a:xfrm>
        <a:prstGeom prst="rect">
          <a:avLst/>
        </a:prstGeom>
      </xdr:spPr>
    </xdr:pic>
    <xdr:clientData/>
  </xdr:twoCellAnchor>
  <xdr:oneCellAnchor>
    <xdr:from>
      <xdr:col>2</xdr:col>
      <xdr:colOff>104961</xdr:colOff>
      <xdr:row>149</xdr:row>
      <xdr:rowOff>149225</xdr:rowOff>
    </xdr:from>
    <xdr:ext cx="1933575" cy="744341"/>
    <xdr:pic>
      <xdr:nvPicPr>
        <xdr:cNvPr id="11" name="Picture 1">
          <a:extLst>
            <a:ext uri="{FF2B5EF4-FFF2-40B4-BE49-F238E27FC236}">
              <a16:creationId xmlns:a16="http://schemas.microsoft.com/office/drawing/2014/main" id="{CD0250E4-242B-4200-8D8C-BEE6483B209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43236" y="34191575"/>
          <a:ext cx="1933575" cy="744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73213</xdr:colOff>
      <xdr:row>148</xdr:row>
      <xdr:rowOff>222061</xdr:rowOff>
    </xdr:from>
    <xdr:ext cx="2066924" cy="552157"/>
    <xdr:pic>
      <xdr:nvPicPr>
        <xdr:cNvPr id="12" name="Picture 11">
          <a:extLst>
            <a:ext uri="{FF2B5EF4-FFF2-40B4-BE49-F238E27FC236}">
              <a16:creationId xmlns:a16="http://schemas.microsoft.com/office/drawing/2014/main" id="{C1020A0C-B0E0-4F4C-BB35-DF26F69E0567}"/>
            </a:ext>
          </a:extLst>
        </xdr:cNvPr>
        <xdr:cNvPicPr>
          <a:picLocks noChangeAspect="1"/>
        </xdr:cNvPicPr>
      </xdr:nvPicPr>
      <xdr:blipFill>
        <a:blip xmlns:r="http://schemas.openxmlformats.org/officeDocument/2006/relationships" r:embed="rId6"/>
        <a:stretch>
          <a:fillRect/>
        </a:stretch>
      </xdr:blipFill>
      <xdr:spPr>
        <a:xfrm>
          <a:off x="1444813" y="31359286"/>
          <a:ext cx="2066924" cy="552157"/>
        </a:xfrm>
        <a:prstGeom prst="rect">
          <a:avLst/>
        </a:prstGeom>
      </xdr:spPr>
    </xdr:pic>
    <xdr:clientData/>
  </xdr:oneCellAnchor>
  <xdr:oneCellAnchor>
    <xdr:from>
      <xdr:col>2</xdr:col>
      <xdr:colOff>114300</xdr:colOff>
      <xdr:row>150</xdr:row>
      <xdr:rowOff>0</xdr:rowOff>
    </xdr:from>
    <xdr:ext cx="2057399" cy="704098"/>
    <xdr:pic>
      <xdr:nvPicPr>
        <xdr:cNvPr id="13" name="Picture 12">
          <a:extLst>
            <a:ext uri="{FF2B5EF4-FFF2-40B4-BE49-F238E27FC236}">
              <a16:creationId xmlns:a16="http://schemas.microsoft.com/office/drawing/2014/main" id="{001454BE-7504-4853-9110-5C9668770354}"/>
            </a:ext>
          </a:extLst>
        </xdr:cNvPr>
        <xdr:cNvPicPr>
          <a:picLocks noChangeAspect="1"/>
        </xdr:cNvPicPr>
      </xdr:nvPicPr>
      <xdr:blipFill>
        <a:blip xmlns:r="http://schemas.openxmlformats.org/officeDocument/2006/relationships" r:embed="rId7"/>
        <a:stretch>
          <a:fillRect/>
        </a:stretch>
      </xdr:blipFill>
      <xdr:spPr>
        <a:xfrm>
          <a:off x="1552575" y="35034938"/>
          <a:ext cx="2057399" cy="704098"/>
        </a:xfrm>
        <a:prstGeom prst="rect">
          <a:avLst/>
        </a:prstGeom>
      </xdr:spPr>
    </xdr:pic>
    <xdr:clientData/>
  </xdr:oneCellAnchor>
  <xdr:twoCellAnchor editAs="oneCell">
    <xdr:from>
      <xdr:col>2</xdr:col>
      <xdr:colOff>38101</xdr:colOff>
      <xdr:row>150</xdr:row>
      <xdr:rowOff>163367</xdr:rowOff>
    </xdr:from>
    <xdr:to>
      <xdr:col>3</xdr:col>
      <xdr:colOff>1035631</xdr:colOff>
      <xdr:row>150</xdr:row>
      <xdr:rowOff>819150</xdr:rowOff>
    </xdr:to>
    <xdr:pic>
      <xdr:nvPicPr>
        <xdr:cNvPr id="2" name="Picture 1">
          <a:extLst>
            <a:ext uri="{FF2B5EF4-FFF2-40B4-BE49-F238E27FC236}">
              <a16:creationId xmlns:a16="http://schemas.microsoft.com/office/drawing/2014/main" id="{AB5BE659-6021-4331-BF8B-53A7C6A38238}"/>
            </a:ext>
          </a:extLst>
        </xdr:cNvPr>
        <xdr:cNvPicPr>
          <a:picLocks noChangeAspect="1"/>
        </xdr:cNvPicPr>
      </xdr:nvPicPr>
      <xdr:blipFill>
        <a:blip xmlns:r="http://schemas.openxmlformats.org/officeDocument/2006/relationships" r:embed="rId8"/>
        <a:stretch>
          <a:fillRect/>
        </a:stretch>
      </xdr:blipFill>
      <xdr:spPr>
        <a:xfrm>
          <a:off x="1504951" y="34158092"/>
          <a:ext cx="2064330" cy="655783"/>
        </a:xfrm>
        <a:prstGeom prst="rect">
          <a:avLst/>
        </a:prstGeom>
      </xdr:spPr>
    </xdr:pic>
    <xdr:clientData/>
  </xdr:twoCellAnchor>
  <xdr:twoCellAnchor editAs="oneCell">
    <xdr:from>
      <xdr:col>2</xdr:col>
      <xdr:colOff>0</xdr:colOff>
      <xdr:row>147</xdr:row>
      <xdr:rowOff>114300</xdr:rowOff>
    </xdr:from>
    <xdr:to>
      <xdr:col>4</xdr:col>
      <xdr:colOff>171175</xdr:colOff>
      <xdr:row>147</xdr:row>
      <xdr:rowOff>838110</xdr:rowOff>
    </xdr:to>
    <xdr:pic>
      <xdr:nvPicPr>
        <xdr:cNvPr id="3" name="Picture 2">
          <a:extLst>
            <a:ext uri="{FF2B5EF4-FFF2-40B4-BE49-F238E27FC236}">
              <a16:creationId xmlns:a16="http://schemas.microsoft.com/office/drawing/2014/main" id="{C589CEB8-A4F4-42C6-866F-E7276855BA4A}"/>
            </a:ext>
          </a:extLst>
        </xdr:cNvPr>
        <xdr:cNvPicPr>
          <a:picLocks noChangeAspect="1"/>
        </xdr:cNvPicPr>
      </xdr:nvPicPr>
      <xdr:blipFill>
        <a:blip xmlns:r="http://schemas.openxmlformats.org/officeDocument/2006/relationships" r:embed="rId9"/>
        <a:stretch>
          <a:fillRect/>
        </a:stretch>
      </xdr:blipFill>
      <xdr:spPr>
        <a:xfrm>
          <a:off x="1371600" y="30861000"/>
          <a:ext cx="2200000" cy="7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xdr:colOff>
      <xdr:row>11</xdr:row>
      <xdr:rowOff>67336</xdr:rowOff>
    </xdr:from>
    <xdr:ext cx="2066924" cy="552157"/>
    <xdr:pic>
      <xdr:nvPicPr>
        <xdr:cNvPr id="3" name="Picture 2">
          <a:extLst>
            <a:ext uri="{FF2B5EF4-FFF2-40B4-BE49-F238E27FC236}">
              <a16:creationId xmlns:a16="http://schemas.microsoft.com/office/drawing/2014/main" id="{629CAB8B-66A5-4A77-8B01-02D469B0AFA9}"/>
            </a:ext>
          </a:extLst>
        </xdr:cNvPr>
        <xdr:cNvPicPr>
          <a:picLocks noChangeAspect="1"/>
        </xdr:cNvPicPr>
      </xdr:nvPicPr>
      <xdr:blipFill>
        <a:blip xmlns:r="http://schemas.openxmlformats.org/officeDocument/2006/relationships" r:embed="rId1"/>
        <a:stretch>
          <a:fillRect/>
        </a:stretch>
      </xdr:blipFill>
      <xdr:spPr>
        <a:xfrm>
          <a:off x="13677902" y="15170811"/>
          <a:ext cx="2066924" cy="552157"/>
        </a:xfrm>
        <a:prstGeom prst="rect">
          <a:avLst/>
        </a:prstGeom>
      </xdr:spPr>
    </xdr:pic>
    <xdr:clientData/>
  </xdr:oneCellAnchor>
  <xdr:oneCellAnchor>
    <xdr:from>
      <xdr:col>1</xdr:col>
      <xdr:colOff>73025</xdr:colOff>
      <xdr:row>21</xdr:row>
      <xdr:rowOff>2465</xdr:rowOff>
    </xdr:from>
    <xdr:ext cx="2057399" cy="704098"/>
    <xdr:pic>
      <xdr:nvPicPr>
        <xdr:cNvPr id="5" name="Picture 4">
          <a:extLst>
            <a:ext uri="{FF2B5EF4-FFF2-40B4-BE49-F238E27FC236}">
              <a16:creationId xmlns:a16="http://schemas.microsoft.com/office/drawing/2014/main" id="{397E5D08-068A-4636-AA8D-C07070A59C0B}"/>
            </a:ext>
          </a:extLst>
        </xdr:cNvPr>
        <xdr:cNvPicPr>
          <a:picLocks noChangeAspect="1"/>
        </xdr:cNvPicPr>
      </xdr:nvPicPr>
      <xdr:blipFill>
        <a:blip xmlns:r="http://schemas.openxmlformats.org/officeDocument/2006/relationships" r:embed="rId2"/>
        <a:stretch>
          <a:fillRect/>
        </a:stretch>
      </xdr:blipFill>
      <xdr:spPr>
        <a:xfrm>
          <a:off x="73025" y="3555290"/>
          <a:ext cx="2057399" cy="704098"/>
        </a:xfrm>
        <a:prstGeom prst="rect">
          <a:avLst/>
        </a:prstGeom>
      </xdr:spPr>
    </xdr:pic>
    <xdr:clientData/>
  </xdr:oneCellAnchor>
  <xdr:twoCellAnchor editAs="oneCell">
    <xdr:from>
      <xdr:col>1</xdr:col>
      <xdr:colOff>142875</xdr:colOff>
      <xdr:row>38</xdr:row>
      <xdr:rowOff>73271</xdr:rowOff>
    </xdr:from>
    <xdr:to>
      <xdr:col>1</xdr:col>
      <xdr:colOff>2000250</xdr:colOff>
      <xdr:row>41</xdr:row>
      <xdr:rowOff>152238</xdr:rowOff>
    </xdr:to>
    <xdr:pic>
      <xdr:nvPicPr>
        <xdr:cNvPr id="6" name="Picture 5">
          <a:extLst>
            <a:ext uri="{FF2B5EF4-FFF2-40B4-BE49-F238E27FC236}">
              <a16:creationId xmlns:a16="http://schemas.microsoft.com/office/drawing/2014/main" id="{86C7CBB8-DBF4-4FD8-BCF2-0197A8E054FC}"/>
            </a:ext>
          </a:extLst>
        </xdr:cNvPr>
        <xdr:cNvPicPr>
          <a:picLocks noChangeAspect="1"/>
        </xdr:cNvPicPr>
      </xdr:nvPicPr>
      <xdr:blipFill>
        <a:blip xmlns:r="http://schemas.openxmlformats.org/officeDocument/2006/relationships" r:embed="rId3"/>
        <a:stretch>
          <a:fillRect/>
        </a:stretch>
      </xdr:blipFill>
      <xdr:spPr>
        <a:xfrm>
          <a:off x="13817600" y="19704296"/>
          <a:ext cx="1860550" cy="564742"/>
        </a:xfrm>
        <a:prstGeom prst="rect">
          <a:avLst/>
        </a:prstGeom>
      </xdr:spPr>
    </xdr:pic>
    <xdr:clientData/>
  </xdr:twoCellAnchor>
  <xdr:oneCellAnchor>
    <xdr:from>
      <xdr:col>1</xdr:col>
      <xdr:colOff>238126</xdr:colOff>
      <xdr:row>45</xdr:row>
      <xdr:rowOff>85725</xdr:rowOff>
    </xdr:from>
    <xdr:ext cx="1506465" cy="494792"/>
    <xdr:pic>
      <xdr:nvPicPr>
        <xdr:cNvPr id="7" name="Picture 6">
          <a:extLst>
            <a:ext uri="{FF2B5EF4-FFF2-40B4-BE49-F238E27FC236}">
              <a16:creationId xmlns:a16="http://schemas.microsoft.com/office/drawing/2014/main" id="{933E065E-39CE-4996-BC3E-57A9D76DA1CB}"/>
            </a:ext>
          </a:extLst>
        </xdr:cNvPr>
        <xdr:cNvPicPr>
          <a:picLocks noChangeAspect="1"/>
        </xdr:cNvPicPr>
      </xdr:nvPicPr>
      <xdr:blipFill>
        <a:blip xmlns:r="http://schemas.openxmlformats.org/officeDocument/2006/relationships" r:embed="rId4"/>
        <a:stretch>
          <a:fillRect/>
        </a:stretch>
      </xdr:blipFill>
      <xdr:spPr>
        <a:xfrm>
          <a:off x="13912851" y="20847050"/>
          <a:ext cx="1506465" cy="494792"/>
        </a:xfrm>
        <a:prstGeom prst="rect">
          <a:avLst/>
        </a:prstGeom>
      </xdr:spPr>
    </xdr:pic>
    <xdr:clientData/>
  </xdr:oneCellAnchor>
  <xdr:twoCellAnchor editAs="oneCell">
    <xdr:from>
      <xdr:col>1</xdr:col>
      <xdr:colOff>114300</xdr:colOff>
      <xdr:row>51</xdr:row>
      <xdr:rowOff>47625</xdr:rowOff>
    </xdr:from>
    <xdr:to>
      <xdr:col>1</xdr:col>
      <xdr:colOff>1970770</xdr:colOff>
      <xdr:row>54</xdr:row>
      <xdr:rowOff>133081</xdr:rowOff>
    </xdr:to>
    <xdr:pic>
      <xdr:nvPicPr>
        <xdr:cNvPr id="8" name="Picture 7">
          <a:extLst>
            <a:ext uri="{FF2B5EF4-FFF2-40B4-BE49-F238E27FC236}">
              <a16:creationId xmlns:a16="http://schemas.microsoft.com/office/drawing/2014/main" id="{83F54103-D680-4EDA-A866-5F59E6FC9BC7}"/>
            </a:ext>
          </a:extLst>
        </xdr:cNvPr>
        <xdr:cNvPicPr>
          <a:picLocks noChangeAspect="1"/>
        </xdr:cNvPicPr>
      </xdr:nvPicPr>
      <xdr:blipFill>
        <a:blip xmlns:r="http://schemas.openxmlformats.org/officeDocument/2006/relationships" r:embed="rId5"/>
        <a:stretch>
          <a:fillRect/>
        </a:stretch>
      </xdr:blipFill>
      <xdr:spPr>
        <a:xfrm>
          <a:off x="13792200" y="21932900"/>
          <a:ext cx="1856470" cy="574406"/>
        </a:xfrm>
        <a:prstGeom prst="rect">
          <a:avLst/>
        </a:prstGeom>
      </xdr:spPr>
    </xdr:pic>
    <xdr:clientData/>
  </xdr:twoCellAnchor>
  <xdr:twoCellAnchor editAs="oneCell">
    <xdr:from>
      <xdr:col>1</xdr:col>
      <xdr:colOff>0</xdr:colOff>
      <xdr:row>58</xdr:row>
      <xdr:rowOff>15438</xdr:rowOff>
    </xdr:from>
    <xdr:to>
      <xdr:col>2</xdr:col>
      <xdr:colOff>66675</xdr:colOff>
      <xdr:row>63</xdr:row>
      <xdr:rowOff>85525</xdr:rowOff>
    </xdr:to>
    <xdr:pic>
      <xdr:nvPicPr>
        <xdr:cNvPr id="9" name="Picture 8">
          <a:extLst>
            <a:ext uri="{FF2B5EF4-FFF2-40B4-BE49-F238E27FC236}">
              <a16:creationId xmlns:a16="http://schemas.microsoft.com/office/drawing/2014/main" id="{C7A0C609-CAB4-4AC6-AF63-AE471538E2E1}"/>
            </a:ext>
          </a:extLst>
        </xdr:cNvPr>
        <xdr:cNvPicPr>
          <a:picLocks noChangeAspect="1"/>
        </xdr:cNvPicPr>
      </xdr:nvPicPr>
      <xdr:blipFill>
        <a:blip xmlns:r="http://schemas.openxmlformats.org/officeDocument/2006/relationships" r:embed="rId6"/>
        <a:stretch>
          <a:fillRect/>
        </a:stretch>
      </xdr:blipFill>
      <xdr:spPr>
        <a:xfrm>
          <a:off x="13677900" y="23034188"/>
          <a:ext cx="2200275" cy="882887"/>
        </a:xfrm>
        <a:prstGeom prst="rect">
          <a:avLst/>
        </a:prstGeom>
      </xdr:spPr>
    </xdr:pic>
    <xdr:clientData/>
  </xdr:twoCellAnchor>
  <xdr:twoCellAnchor editAs="oneCell">
    <xdr:from>
      <xdr:col>1</xdr:col>
      <xdr:colOff>0</xdr:colOff>
      <xdr:row>30</xdr:row>
      <xdr:rowOff>0</xdr:rowOff>
    </xdr:from>
    <xdr:to>
      <xdr:col>2</xdr:col>
      <xdr:colOff>161650</xdr:colOff>
      <xdr:row>34</xdr:row>
      <xdr:rowOff>76110</xdr:rowOff>
    </xdr:to>
    <xdr:pic>
      <xdr:nvPicPr>
        <xdr:cNvPr id="2" name="Picture 1">
          <a:extLst>
            <a:ext uri="{FF2B5EF4-FFF2-40B4-BE49-F238E27FC236}">
              <a16:creationId xmlns:a16="http://schemas.microsoft.com/office/drawing/2014/main" id="{30D129AD-1E1F-4EC4-A43C-0C5757D2BD45}"/>
            </a:ext>
          </a:extLst>
        </xdr:cNvPr>
        <xdr:cNvPicPr>
          <a:picLocks noChangeAspect="1"/>
        </xdr:cNvPicPr>
      </xdr:nvPicPr>
      <xdr:blipFill>
        <a:blip xmlns:r="http://schemas.openxmlformats.org/officeDocument/2006/relationships" r:embed="rId7"/>
        <a:stretch>
          <a:fillRect/>
        </a:stretch>
      </xdr:blipFill>
      <xdr:spPr>
        <a:xfrm>
          <a:off x="609600" y="4857750"/>
          <a:ext cx="2200000" cy="7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314327</xdr:colOff>
      <xdr:row>0</xdr:row>
      <xdr:rowOff>104776</xdr:rowOff>
    </xdr:from>
    <xdr:to>
      <xdr:col>2</xdr:col>
      <xdr:colOff>1076325</xdr:colOff>
      <xdr:row>5</xdr:row>
      <xdr:rowOff>133351</xdr:rowOff>
    </xdr:to>
    <xdr:pic>
      <xdr:nvPicPr>
        <xdr:cNvPr id="4" name="yiv8261128734Picture 1" descr="Braconier logo New Tag 08 Converted">
          <a:extLst>
            <a:ext uri="{FF2B5EF4-FFF2-40B4-BE49-F238E27FC236}">
              <a16:creationId xmlns:a16="http://schemas.microsoft.com/office/drawing/2014/main" id="{00000000-0008-0000-1900-000004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14327" y="104776"/>
          <a:ext cx="3543298"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PHSRV\UserShares\Documents%20and%20Settings\Bobs\Local%20Settings\Temporary%20Internet%20Files\Content.Outlook\GFWM4WKD\Project%20Cost%20Rec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obertp\Documents\Rockin%20Rescue%20Night%202016\Rockin%20Rescue%20Night%20Tracker-Master%202016c%20Reconcilli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PHWINSERVER\Users\Program%20Files\QuickPen\QP_Pipe\Rpt\NewFinalEst.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LENT AUCTION 2016"/>
      <sheetName val="RAFFLE PRIZES"/>
      <sheetName val="DONATIONS"/>
      <sheetName val="SUMMARY"/>
      <sheetName val="DATA"/>
      <sheetName val="SA MASTER"/>
      <sheetName val="SA DISPLAY"/>
      <sheetName val="SA CERTIFICATE"/>
      <sheetName val="SL TEMPLATE"/>
      <sheetName val="CATEGORY LIST"/>
      <sheetName val="Sheet1"/>
    </sheetNames>
    <sheetDataSet>
      <sheetData sheetId="0">
        <row r="4">
          <cell r="B4">
            <v>1</v>
          </cell>
          <cell r="C4">
            <v>0</v>
          </cell>
          <cell r="D4" t="str">
            <v>Dan Davis</v>
          </cell>
          <cell r="E4" t="str">
            <v>DAN DAVIS</v>
          </cell>
          <cell r="F4" t="str">
            <v>RATIO BREWING GROWLER &amp; GROWLER FILL</v>
          </cell>
          <cell r="G4" t="str">
            <v>RATIO BREWING GROWLER &amp; GROWLER FILL</v>
          </cell>
          <cell r="H4" t="str">
            <v>NO</v>
          </cell>
          <cell r="I4">
            <v>25</v>
          </cell>
          <cell r="J4">
            <v>0.25</v>
          </cell>
          <cell r="K4">
            <v>10</v>
          </cell>
        </row>
        <row r="5">
          <cell r="B5">
            <v>2</v>
          </cell>
          <cell r="C5">
            <v>0</v>
          </cell>
          <cell r="D5" t="str">
            <v>Kyle Evashevski</v>
          </cell>
          <cell r="E5" t="str">
            <v>ESTER'S NEIGHBORHOOD PUB</v>
          </cell>
          <cell r="F5" t="str">
            <v>$50 GIFT CERTIFICATE</v>
          </cell>
          <cell r="G5" t="str">
            <v>$50 GIFT CERTIFICATE AT A GREAT NEIGHBORHOOD PUB AND HANGOUT JOINT.</v>
          </cell>
          <cell r="H5" t="str">
            <v>YES</v>
          </cell>
          <cell r="I5">
            <v>50</v>
          </cell>
          <cell r="J5">
            <v>0.25</v>
          </cell>
          <cell r="K5">
            <v>20</v>
          </cell>
        </row>
        <row r="6">
          <cell r="B6">
            <v>3</v>
          </cell>
          <cell r="C6">
            <v>0</v>
          </cell>
          <cell r="D6" t="str">
            <v>Kyle Evashevski</v>
          </cell>
          <cell r="E6" t="str">
            <v>WALTER'S PIZZA</v>
          </cell>
          <cell r="F6" t="str">
            <v>GIFT CERTIFICATE</v>
          </cell>
          <cell r="G6" t="str">
            <v>PIZZA EXTRAVAGANZA - GIFT CERTIFICATE</v>
          </cell>
          <cell r="H6" t="str">
            <v>YES</v>
          </cell>
          <cell r="I6">
            <v>50</v>
          </cell>
          <cell r="J6">
            <v>0.25</v>
          </cell>
          <cell r="K6">
            <v>20</v>
          </cell>
        </row>
        <row r="7">
          <cell r="B7">
            <v>4</v>
          </cell>
          <cell r="C7">
            <v>3</v>
          </cell>
          <cell r="D7" t="str">
            <v>Dan Davis</v>
          </cell>
          <cell r="E7" t="str">
            <v>CHERRY CREEK WELLNESS</v>
          </cell>
          <cell r="F7" t="str">
            <v>GOURMET BRUNCH BASKET</v>
          </cell>
          <cell r="G7" t="str">
            <v>GREY GOOSE VODKA, BLOODY MARY MIX, COFFEE, MAPLE SYRUP, PANCAKE MIX</v>
          </cell>
          <cell r="H7" t="str">
            <v>NO</v>
          </cell>
          <cell r="I7">
            <v>85</v>
          </cell>
          <cell r="J7">
            <v>0.25</v>
          </cell>
          <cell r="K7">
            <v>30</v>
          </cell>
        </row>
        <row r="8">
          <cell r="B8">
            <v>5</v>
          </cell>
          <cell r="C8">
            <v>3</v>
          </cell>
          <cell r="D8" t="str">
            <v>Dan Davis</v>
          </cell>
          <cell r="E8" t="str">
            <v>CHERRY CREEK WELLNESS</v>
          </cell>
          <cell r="F8" t="str">
            <v>OUTDOOR WINTER PACKAGE BASKET</v>
          </cell>
          <cell r="G8" t="str">
            <v>SET OF SNOWSHOES, BLANKET, MUGS, SOCKS</v>
          </cell>
          <cell r="H8" t="str">
            <v>NO</v>
          </cell>
          <cell r="I8">
            <v>175</v>
          </cell>
          <cell r="J8">
            <v>0.25</v>
          </cell>
          <cell r="K8">
            <v>50</v>
          </cell>
        </row>
        <row r="9">
          <cell r="B9">
            <v>6</v>
          </cell>
          <cell r="C9">
            <v>3</v>
          </cell>
          <cell r="D9" t="str">
            <v>Dan Davis</v>
          </cell>
          <cell r="E9" t="str">
            <v>CHERRY CREEK WELLNESS</v>
          </cell>
          <cell r="F9" t="str">
            <v>RELAXATION AND PAMPER BASKET</v>
          </cell>
          <cell r="G9" t="str">
            <v>HOT CHOCOLATE, SOCKS, NUTS, MUGS, CANDLE</v>
          </cell>
          <cell r="H9" t="str">
            <v>NO</v>
          </cell>
          <cell r="I9">
            <v>75</v>
          </cell>
          <cell r="J9">
            <v>0.25</v>
          </cell>
          <cell r="K9">
            <v>20</v>
          </cell>
        </row>
        <row r="10">
          <cell r="B10">
            <v>7</v>
          </cell>
          <cell r="C10">
            <v>3</v>
          </cell>
          <cell r="D10" t="str">
            <v>Dan Davis</v>
          </cell>
          <cell r="E10" t="str">
            <v>CHERRY CREEK WELLNESS</v>
          </cell>
          <cell r="F10" t="str">
            <v>IT'S FIVE O'CLOCK SOMEWHERE WINE BASKET</v>
          </cell>
          <cell r="G10" t="str">
            <v>ASSORTMENT OF WINES, CRACKERS, CHOCOLATES, WINE OPENER</v>
          </cell>
          <cell r="H10" t="str">
            <v>NO</v>
          </cell>
          <cell r="I10">
            <v>150</v>
          </cell>
          <cell r="J10">
            <v>0.25</v>
          </cell>
          <cell r="K10">
            <v>40</v>
          </cell>
        </row>
        <row r="11">
          <cell r="B11">
            <v>8</v>
          </cell>
          <cell r="C11">
            <v>2</v>
          </cell>
          <cell r="D11" t="str">
            <v>Dan Davis</v>
          </cell>
          <cell r="E11" t="str">
            <v>CHERRY CREEK WELLNESS</v>
          </cell>
          <cell r="F11" t="str">
            <v>BRONCO BASKET</v>
          </cell>
          <cell r="G11" t="str">
            <v>BRONCO BLANKET, SERVING TRAYS, COOLER, DECAL, MUG</v>
          </cell>
          <cell r="H11" t="str">
            <v>NO</v>
          </cell>
          <cell r="I11">
            <v>60</v>
          </cell>
          <cell r="J11">
            <v>0.25</v>
          </cell>
          <cell r="K11">
            <v>20</v>
          </cell>
        </row>
        <row r="12">
          <cell r="B12">
            <v>9</v>
          </cell>
          <cell r="C12">
            <v>0</v>
          </cell>
          <cell r="D12" t="str">
            <v>Dan Davis</v>
          </cell>
          <cell r="E12" t="str">
            <v>JUDI TOINTON</v>
          </cell>
          <cell r="F12" t="str">
            <v>GOURMET WINES AND OILS BASKET</v>
          </cell>
          <cell r="G12" t="str">
            <v>ASSORTED WINE, OILS, PLACE MATS, NAPKINS AND COASTERS</v>
          </cell>
          <cell r="H12" t="str">
            <v>NO</v>
          </cell>
          <cell r="I12">
            <v>130</v>
          </cell>
          <cell r="J12">
            <v>0.25</v>
          </cell>
          <cell r="K12">
            <v>40</v>
          </cell>
        </row>
        <row r="13">
          <cell r="B13">
            <v>10</v>
          </cell>
          <cell r="C13">
            <v>0</v>
          </cell>
          <cell r="D13" t="str">
            <v>Kyle Evashevski</v>
          </cell>
          <cell r="E13" t="str">
            <v>KYLE EVASHEVSKI</v>
          </cell>
          <cell r="F13" t="str">
            <v>DERMATOLOGIST SKIN CARE &amp; BASKET</v>
          </cell>
          <cell r="G13" t="str">
            <v>DERMATOLOGIST GRADE SKIN CARE AND MAKE-UP PRODUCTS BASKET</v>
          </cell>
          <cell r="H13" t="str">
            <v>NO</v>
          </cell>
          <cell r="I13">
            <v>409</v>
          </cell>
          <cell r="J13">
            <v>0.25</v>
          </cell>
          <cell r="K13">
            <v>110</v>
          </cell>
        </row>
        <row r="14">
          <cell r="B14">
            <v>11</v>
          </cell>
          <cell r="C14">
            <v>0</v>
          </cell>
          <cell r="D14" t="str">
            <v>Robert Pywell</v>
          </cell>
          <cell r="E14" t="str">
            <v>MOEN - JUSTIN LARGE</v>
          </cell>
          <cell r="F14" t="str">
            <v>KITCHEN FAUCET W/PULL DOWN SPRAY</v>
          </cell>
          <cell r="G14" t="str">
            <v xml:space="preserve">MOEN ALIGN SPOT RESIST STAINLESS ONE-HANDLE PRE-RINSE SPRING PULLDOWN KITCHEN FAUCET </v>
          </cell>
          <cell r="H14" t="str">
            <v>YES</v>
          </cell>
          <cell r="I14">
            <v>550</v>
          </cell>
          <cell r="J14">
            <v>0.25</v>
          </cell>
          <cell r="K14">
            <v>140</v>
          </cell>
        </row>
        <row r="15">
          <cell r="B15">
            <v>12</v>
          </cell>
          <cell r="C15">
            <v>0</v>
          </cell>
          <cell r="D15" t="str">
            <v>Dan Davis</v>
          </cell>
          <cell r="E15" t="str">
            <v>DAN DAVIS</v>
          </cell>
          <cell r="F15" t="str">
            <v>SMOKELESS INDOOR BARBEQUE GRILL</v>
          </cell>
          <cell r="G15" t="str">
            <v>GREAT INDOOR ELECTRIC GRILL</v>
          </cell>
          <cell r="H15" t="str">
            <v>YES</v>
          </cell>
          <cell r="I15">
            <v>45</v>
          </cell>
          <cell r="J15">
            <v>0.25</v>
          </cell>
          <cell r="K15">
            <v>20</v>
          </cell>
        </row>
        <row r="16">
          <cell r="B16">
            <v>13</v>
          </cell>
          <cell r="C16">
            <v>0</v>
          </cell>
          <cell r="D16">
            <v>0</v>
          </cell>
          <cell r="E16" t="str">
            <v>WYNDHAM HOTELS</v>
          </cell>
          <cell r="F16" t="str">
            <v>WYNDHAM HOTEL - MINING EXCHANGE - COLORADO SPRINGS</v>
          </cell>
          <cell r="G16" t="str">
            <v>ONE NIGHT STAY AT THE LUXURIOUS WYNDHAM-THE MINING EXCHANGE HOTEL</v>
          </cell>
          <cell r="H16" t="str">
            <v>NO</v>
          </cell>
          <cell r="I16">
            <v>250</v>
          </cell>
          <cell r="J16">
            <v>0.25</v>
          </cell>
          <cell r="K16">
            <v>70</v>
          </cell>
        </row>
        <row r="17">
          <cell r="B17">
            <v>14</v>
          </cell>
          <cell r="C17">
            <v>3</v>
          </cell>
          <cell r="D17" t="str">
            <v>Dan Davis</v>
          </cell>
          <cell r="E17" t="str">
            <v>BECKY DAVIS</v>
          </cell>
          <cell r="F17" t="str">
            <v>VAIL CONDO - 3 NIGHT STAY</v>
          </cell>
          <cell r="G17" t="str">
            <v>3 BEDROOM + LOFT, 1400 SQ FT, EAST VAIL CONDOMINIUM - AVAILABLE JANUARY, MARCH THRU JUNE, AUGUST THRU DECEMBER (EXCLUDING HOLIDAYS)</v>
          </cell>
          <cell r="H17" t="str">
            <v>NO</v>
          </cell>
          <cell r="I17">
            <v>1000</v>
          </cell>
          <cell r="J17">
            <v>0.3</v>
          </cell>
          <cell r="K17">
            <v>300</v>
          </cell>
        </row>
        <row r="18">
          <cell r="B18">
            <v>15</v>
          </cell>
          <cell r="C18">
            <v>0</v>
          </cell>
          <cell r="D18" t="str">
            <v>Dan Davis</v>
          </cell>
          <cell r="E18" t="str">
            <v>KEVIN CHADWICK</v>
          </cell>
          <cell r="F18" t="str">
            <v>EAST VAIL CONDO - UP TO 3 NIGHT STAY</v>
          </cell>
          <cell r="G18" t="str">
            <v>EAST VAIL CONDO - UP TO 3 NIGHT STAY - SLEEPS UP TO 4 - APPROX. APRIL TO NOV. 20TH 2017, HOLIDAYS EXCLUDED. BASED ON AVAILABILITY. COMPLETELY REMODELED WITH GRANITE, STONE, BAMBOO FLOORS, ORIENTAL RUGS. ON THE CREEK. ON BUS STOP. ACROSS THE STREET FROM BIKE PATH. COMPLEX HAS POOL &amp; HOT TUB.
CONTACT KEVIN @ 303.619.6877</v>
          </cell>
          <cell r="H18" t="str">
            <v>NO</v>
          </cell>
          <cell r="I18">
            <v>600</v>
          </cell>
          <cell r="J18">
            <v>0.25</v>
          </cell>
          <cell r="K18">
            <v>150</v>
          </cell>
        </row>
        <row r="19">
          <cell r="B19">
            <v>16</v>
          </cell>
          <cell r="C19">
            <v>1</v>
          </cell>
          <cell r="D19" t="str">
            <v>Dan Davis</v>
          </cell>
          <cell r="E19" t="str">
            <v>KEVIN KNIPE</v>
          </cell>
          <cell r="F19" t="str">
            <v>ONE FREE NIGHT WESTIN DIA</v>
          </cell>
          <cell r="G19" t="str">
            <v>FREE NIGHT AT THE WESTIN DIA AIRPORT, PLUS BREAKFAST FOR 2 IN THE GRILL. GOOD FRI, SAT, SUN.</v>
          </cell>
          <cell r="H19" t="str">
            <v>YES</v>
          </cell>
          <cell r="I19">
            <v>225</v>
          </cell>
          <cell r="J19">
            <v>0.25</v>
          </cell>
          <cell r="K19">
            <v>60</v>
          </cell>
        </row>
        <row r="20">
          <cell r="B20">
            <v>17</v>
          </cell>
          <cell r="C20">
            <v>3</v>
          </cell>
          <cell r="D20" t="str">
            <v>Sandra Tafoya</v>
          </cell>
          <cell r="E20" t="str">
            <v>SANDRA TAFOYA</v>
          </cell>
          <cell r="F20" t="str">
            <v>JEWELRY</v>
          </cell>
          <cell r="G20" t="str">
            <v>3 SETS OF EARRINGS</v>
          </cell>
          <cell r="H20" t="str">
            <v>NO</v>
          </cell>
          <cell r="I20">
            <v>50</v>
          </cell>
          <cell r="J20">
            <v>0.25</v>
          </cell>
          <cell r="K20">
            <v>20</v>
          </cell>
        </row>
        <row r="21">
          <cell r="B21">
            <v>18</v>
          </cell>
          <cell r="C21">
            <v>3</v>
          </cell>
          <cell r="D21" t="str">
            <v>Sandra Tafoya</v>
          </cell>
          <cell r="E21" t="str">
            <v>SANDRA TAFOYA</v>
          </cell>
          <cell r="F21" t="str">
            <v>JEWELRY</v>
          </cell>
          <cell r="G21" t="str">
            <v>3 SETS OF EARRINGS</v>
          </cell>
          <cell r="H21" t="str">
            <v>NO</v>
          </cell>
          <cell r="I21">
            <v>50</v>
          </cell>
          <cell r="J21">
            <v>0.25</v>
          </cell>
          <cell r="K21">
            <v>20</v>
          </cell>
        </row>
        <row r="22">
          <cell r="B22">
            <v>19</v>
          </cell>
          <cell r="C22">
            <v>3</v>
          </cell>
          <cell r="D22" t="str">
            <v>Sandra Tafoya</v>
          </cell>
          <cell r="E22" t="str">
            <v>SANDRA TAFOYA</v>
          </cell>
          <cell r="F22" t="str">
            <v>JEWELRY</v>
          </cell>
          <cell r="G22" t="str">
            <v>3 SETS OF EARRINGS</v>
          </cell>
          <cell r="H22" t="str">
            <v>NO</v>
          </cell>
          <cell r="I22">
            <v>50</v>
          </cell>
          <cell r="J22">
            <v>0.25</v>
          </cell>
          <cell r="K22">
            <v>20</v>
          </cell>
        </row>
        <row r="23">
          <cell r="B23">
            <v>20</v>
          </cell>
          <cell r="C23">
            <v>3</v>
          </cell>
          <cell r="D23" t="str">
            <v>Sandra Tafoya</v>
          </cell>
          <cell r="E23" t="str">
            <v>SANDRA TAFOYA</v>
          </cell>
          <cell r="F23" t="str">
            <v>JEWELRY</v>
          </cell>
          <cell r="G23" t="str">
            <v>3 SETS OF EARRINGS</v>
          </cell>
          <cell r="H23" t="str">
            <v>NO</v>
          </cell>
          <cell r="I23">
            <v>50</v>
          </cell>
          <cell r="J23">
            <v>0.25</v>
          </cell>
          <cell r="K23">
            <v>20</v>
          </cell>
        </row>
        <row r="24">
          <cell r="B24">
            <v>21</v>
          </cell>
          <cell r="C24">
            <v>3</v>
          </cell>
          <cell r="D24" t="str">
            <v>Sandra Tafoya</v>
          </cell>
          <cell r="E24" t="str">
            <v>SANDRA TAFOYA</v>
          </cell>
          <cell r="F24" t="str">
            <v>JEWELRY</v>
          </cell>
          <cell r="G24" t="str">
            <v>3 SETS OF EARRINGS</v>
          </cell>
          <cell r="H24" t="str">
            <v>NO</v>
          </cell>
          <cell r="I24">
            <v>50</v>
          </cell>
          <cell r="J24">
            <v>0.25</v>
          </cell>
          <cell r="K24">
            <v>20</v>
          </cell>
        </row>
        <row r="25">
          <cell r="B25">
            <v>22</v>
          </cell>
          <cell r="C25">
            <v>3</v>
          </cell>
          <cell r="D25" t="str">
            <v>Sandra Tafoya</v>
          </cell>
          <cell r="E25" t="str">
            <v>SANDRA TAFOYA</v>
          </cell>
          <cell r="F25" t="str">
            <v>JEWELRY</v>
          </cell>
          <cell r="G25" t="str">
            <v>3 SETS OF EARRINGS</v>
          </cell>
          <cell r="H25" t="str">
            <v>NO</v>
          </cell>
          <cell r="I25">
            <v>50</v>
          </cell>
          <cell r="J25">
            <v>0.25</v>
          </cell>
          <cell r="K25">
            <v>20</v>
          </cell>
        </row>
        <row r="26">
          <cell r="B26">
            <v>23</v>
          </cell>
          <cell r="C26">
            <v>3</v>
          </cell>
          <cell r="D26" t="str">
            <v>Sandra Tafoya</v>
          </cell>
          <cell r="E26" t="str">
            <v>SANDRA TAFOYA</v>
          </cell>
          <cell r="F26" t="str">
            <v>JEWELRY</v>
          </cell>
          <cell r="G26" t="str">
            <v>3 SETS OF EARRINGS</v>
          </cell>
          <cell r="H26" t="str">
            <v>NO</v>
          </cell>
          <cell r="I26">
            <v>50</v>
          </cell>
          <cell r="J26">
            <v>0.25</v>
          </cell>
          <cell r="K26">
            <v>20</v>
          </cell>
        </row>
        <row r="27">
          <cell r="B27">
            <v>24</v>
          </cell>
          <cell r="C27">
            <v>3</v>
          </cell>
          <cell r="D27" t="str">
            <v>Sandra Tafoya</v>
          </cell>
          <cell r="E27" t="str">
            <v>SANDRA TAFOYA</v>
          </cell>
          <cell r="F27" t="str">
            <v>JEWELRY</v>
          </cell>
          <cell r="G27" t="str">
            <v>3 SETS OF EARRINGS</v>
          </cell>
          <cell r="H27" t="str">
            <v>NO</v>
          </cell>
          <cell r="I27">
            <v>50</v>
          </cell>
          <cell r="J27">
            <v>0.25</v>
          </cell>
          <cell r="K27">
            <v>20</v>
          </cell>
        </row>
        <row r="28">
          <cell r="B28">
            <v>25</v>
          </cell>
          <cell r="C28">
            <v>0</v>
          </cell>
          <cell r="D28" t="str">
            <v>Dan Davis</v>
          </cell>
          <cell r="E28" t="str">
            <v>GREGG HOFFMAN</v>
          </cell>
          <cell r="F28" t="str">
            <v>GREGG HOFFMAN ARTWORK</v>
          </cell>
          <cell r="G28" t="str">
            <v>24 X 36 CANVAS OF JOHN LEE HOOKER</v>
          </cell>
          <cell r="H28" t="str">
            <v>NO</v>
          </cell>
          <cell r="I28">
            <v>175</v>
          </cell>
          <cell r="J28">
            <v>0.25</v>
          </cell>
          <cell r="K28">
            <v>50</v>
          </cell>
        </row>
        <row r="29">
          <cell r="B29">
            <v>26</v>
          </cell>
          <cell r="C29">
            <v>0</v>
          </cell>
          <cell r="D29" t="str">
            <v>Dan Davis</v>
          </cell>
          <cell r="E29" t="str">
            <v>MARIA TRUJILLO</v>
          </cell>
          <cell r="F29" t="str">
            <v>JEWELRY, PURSE, SCARF COLLECTION</v>
          </cell>
          <cell r="G29" t="str">
            <v>GREAT COLLECTION OF JEWELRY, FASHION PURSE, DESIGNER SCARF.</v>
          </cell>
          <cell r="H29" t="str">
            <v>NO</v>
          </cell>
          <cell r="I29">
            <v>55</v>
          </cell>
          <cell r="J29">
            <v>0.25</v>
          </cell>
          <cell r="K29">
            <v>20</v>
          </cell>
        </row>
        <row r="30">
          <cell r="B30">
            <v>27</v>
          </cell>
          <cell r="C30">
            <v>0</v>
          </cell>
          <cell r="D30" t="str">
            <v>Dan Davis</v>
          </cell>
          <cell r="E30" t="str">
            <v>2520 LAR ART AND FURNISHINGS GALLERY</v>
          </cell>
          <cell r="F30" t="str">
            <v>$100 GIFT CARD TO 2520 LAR ART AND FURNISHINGS GALLERY</v>
          </cell>
          <cell r="G30" t="str">
            <v>FABULOUS ART GALLERY AND DESIGNER FURNISHINGS AT 2520 LARIMER ST.
BRIAN TRYBUS @ 303.888.5512</v>
          </cell>
          <cell r="H30" t="str">
            <v>YES</v>
          </cell>
          <cell r="I30">
            <v>175</v>
          </cell>
          <cell r="J30">
            <v>0.25</v>
          </cell>
          <cell r="K30">
            <v>50</v>
          </cell>
        </row>
        <row r="31">
          <cell r="B31">
            <v>28</v>
          </cell>
          <cell r="C31">
            <v>1</v>
          </cell>
          <cell r="D31" t="str">
            <v>Robert Pywell</v>
          </cell>
          <cell r="E31" t="str">
            <v>FERGUSON ENTERPRISES</v>
          </cell>
          <cell r="F31" t="str">
            <v>HEATED MILWAUKEE JACKET</v>
          </cell>
          <cell r="G31" t="str">
            <v>HEATED MILWAUKEE JACKET</v>
          </cell>
          <cell r="H31" t="str">
            <v>NO</v>
          </cell>
          <cell r="I31">
            <v>284</v>
          </cell>
          <cell r="J31">
            <v>0.25</v>
          </cell>
          <cell r="K31">
            <v>80</v>
          </cell>
        </row>
        <row r="32">
          <cell r="B32">
            <v>29</v>
          </cell>
          <cell r="C32">
            <v>1</v>
          </cell>
          <cell r="D32" t="str">
            <v>Robert Pywell</v>
          </cell>
          <cell r="E32" t="str">
            <v>CFM - JUSTIN SMITH</v>
          </cell>
          <cell r="F32" t="str">
            <v>HD TELEVISION</v>
          </cell>
          <cell r="G32" t="str">
            <v>HD TELEVISION</v>
          </cell>
          <cell r="H32" t="str">
            <v>NO</v>
          </cell>
          <cell r="I32">
            <v>284</v>
          </cell>
          <cell r="J32">
            <v>0.25</v>
          </cell>
          <cell r="K32">
            <v>80</v>
          </cell>
        </row>
        <row r="33">
          <cell r="B33">
            <v>30</v>
          </cell>
          <cell r="C33">
            <v>0</v>
          </cell>
          <cell r="D33" t="str">
            <v>Jay Watson</v>
          </cell>
          <cell r="E33" t="str">
            <v>WESTERN MECHANICAL SERVICES - BRIAN LYNCH</v>
          </cell>
          <cell r="F33" t="str">
            <v>FITBIT ALTA</v>
          </cell>
          <cell r="G33" t="str">
            <v>FITBIT ALTA - LARGE</v>
          </cell>
          <cell r="H33" t="str">
            <v>YES</v>
          </cell>
          <cell r="I33">
            <v>100</v>
          </cell>
          <cell r="J33">
            <v>0.25</v>
          </cell>
          <cell r="K33">
            <v>30</v>
          </cell>
        </row>
        <row r="34">
          <cell r="B34">
            <v>35</v>
          </cell>
          <cell r="C34">
            <v>0</v>
          </cell>
          <cell r="D34" t="str">
            <v>Dan Davis</v>
          </cell>
          <cell r="E34" t="str">
            <v>BRIAN TOINTON</v>
          </cell>
          <cell r="F34" t="str">
            <v>PINOT NOIR WINE COLLECTION</v>
          </cell>
          <cell r="G34" t="str">
            <v>THREE FINE WINES FROM OREGON AND SONOMA CA.</v>
          </cell>
          <cell r="H34" t="str">
            <v>NO</v>
          </cell>
          <cell r="I34">
            <v>125</v>
          </cell>
          <cell r="J34">
            <v>0.25</v>
          </cell>
          <cell r="K34">
            <v>40</v>
          </cell>
        </row>
        <row r="35">
          <cell r="B35">
            <v>36</v>
          </cell>
          <cell r="C35">
            <v>0</v>
          </cell>
          <cell r="D35" t="str">
            <v>Dan Davis</v>
          </cell>
          <cell r="E35" t="str">
            <v>MARIA TRUJILLO</v>
          </cell>
          <cell r="F35" t="str">
            <v>WINTER WARMER KIT</v>
          </cell>
          <cell r="G35" t="str">
            <v>TWO NECK WARMERS, TWO FLASKS.</v>
          </cell>
          <cell r="H35" t="str">
            <v>NO</v>
          </cell>
          <cell r="I35">
            <v>45</v>
          </cell>
          <cell r="J35">
            <v>0.25</v>
          </cell>
          <cell r="K35">
            <v>20</v>
          </cell>
        </row>
        <row r="36">
          <cell r="B36">
            <v>37</v>
          </cell>
          <cell r="C36">
            <v>0</v>
          </cell>
          <cell r="D36" t="str">
            <v>Kyle Evashevski</v>
          </cell>
          <cell r="E36" t="str">
            <v>COMRADE BREWING</v>
          </cell>
          <cell r="F36" t="str">
            <v>COMRADE BREWING GIFT PACK</v>
          </cell>
          <cell r="G36" t="str">
            <v>2 PINT GLASSES, 3 PINT VOUCHERS, KEY CHAIN.</v>
          </cell>
          <cell r="H36" t="str">
            <v>NO</v>
          </cell>
          <cell r="I36">
            <v>30</v>
          </cell>
          <cell r="J36">
            <v>0.25</v>
          </cell>
          <cell r="K36">
            <v>10</v>
          </cell>
        </row>
        <row r="37">
          <cell r="B37">
            <v>38</v>
          </cell>
          <cell r="C37">
            <v>0</v>
          </cell>
          <cell r="D37" t="str">
            <v>Kyle Evashevski</v>
          </cell>
          <cell r="E37" t="str">
            <v>DAVE HARNETT &amp; KYLE EVASHEVSKI</v>
          </cell>
          <cell r="F37" t="str">
            <v>HOMEBREWING ON A SPRING DAY</v>
          </cell>
          <cell r="G37" t="str">
            <v>HOMEBREW WITH 2 MASTERS WHO WILL WALK YOU THROUGH A SESSION TO CREATE YOUR OWN HOME BREW. YOU WILL BE PART OF THE MASTERPIECE AND WALK AWAY WITH 2 CASES OF BOMBERS OF YOUR OWN CREATION AND CHOICE.</v>
          </cell>
          <cell r="H37" t="str">
            <v>YES</v>
          </cell>
          <cell r="I37">
            <v>75</v>
          </cell>
          <cell r="J37">
            <v>0.25</v>
          </cell>
          <cell r="K37">
            <v>20</v>
          </cell>
        </row>
        <row r="38">
          <cell r="B38">
            <v>0</v>
          </cell>
          <cell r="C38">
            <v>0</v>
          </cell>
          <cell r="D38" t="str">
            <v>Kyle Evashevski</v>
          </cell>
          <cell r="E38" t="str">
            <v>HOLIDAILY</v>
          </cell>
          <cell r="F38" t="str">
            <v>COLORADO'S GLUTEN FREE BREWERY EXPERIENCE</v>
          </cell>
          <cell r="G38" t="str">
            <v>HOLIDAY GIFT PACK. FOUR-PACK OF MY FAVORITE BLONDE, FAT RANDY'S IPA PINT GLASS, TWO COOZIES, $25 GIFT CERTIFICATE</v>
          </cell>
          <cell r="H38" t="str">
            <v>NO</v>
          </cell>
          <cell r="I38">
            <v>52</v>
          </cell>
          <cell r="J38">
            <v>0.25</v>
          </cell>
          <cell r="K38">
            <v>20</v>
          </cell>
        </row>
        <row r="39">
          <cell r="B39">
            <v>40</v>
          </cell>
          <cell r="C39">
            <v>0</v>
          </cell>
          <cell r="D39" t="str">
            <v>Dan Davis</v>
          </cell>
          <cell r="E39" t="str">
            <v>DEREK VISOKY'S SCOTCH CELLAR</v>
          </cell>
          <cell r="F39" t="str">
            <v>COLLECTION OF FINE SCOTCHES</v>
          </cell>
          <cell r="G39" t="str">
            <v>ASSORTMENT OF SCOTCHES</v>
          </cell>
          <cell r="H39" t="str">
            <v>NO</v>
          </cell>
          <cell r="I39">
            <v>275</v>
          </cell>
          <cell r="J39">
            <v>0.25</v>
          </cell>
          <cell r="K39">
            <v>70</v>
          </cell>
        </row>
        <row r="40">
          <cell r="B40">
            <v>41</v>
          </cell>
          <cell r="C40">
            <v>0</v>
          </cell>
          <cell r="D40" t="str">
            <v>Jay Watson</v>
          </cell>
          <cell r="E40" t="str">
            <v>CRAZY MOUNTAIN BREWING COMPANY</v>
          </cell>
          <cell r="F40" t="str">
            <v>GROWLER, GIFT CARD, GLASS AND KOOZIE</v>
          </cell>
          <cell r="G40" t="str">
            <v>GROWLER, $50 GIFT CARD, GLASS AND KOOZIE</v>
          </cell>
          <cell r="H40" t="str">
            <v>YES</v>
          </cell>
          <cell r="I40">
            <v>71</v>
          </cell>
          <cell r="J40">
            <v>0.25</v>
          </cell>
          <cell r="K40">
            <v>20</v>
          </cell>
        </row>
        <row r="41">
          <cell r="B41">
            <v>42</v>
          </cell>
          <cell r="C41">
            <v>0</v>
          </cell>
          <cell r="D41" t="str">
            <v>Sandra Tafoya</v>
          </cell>
          <cell r="E41" t="str">
            <v>SANDRA TAFOYA</v>
          </cell>
          <cell r="F41" t="str">
            <v>JIM BEAM OUTDOOR BASKETBALL HOOP</v>
          </cell>
          <cell r="G41" t="str">
            <v>JIM BEAM OUTDOOR BASKETBALL HOOP</v>
          </cell>
          <cell r="H41" t="str">
            <v>NO</v>
          </cell>
          <cell r="I41">
            <v>275</v>
          </cell>
          <cell r="J41">
            <v>0.25</v>
          </cell>
          <cell r="K41">
            <v>70</v>
          </cell>
        </row>
        <row r="42">
          <cell r="B42">
            <v>43</v>
          </cell>
          <cell r="C42">
            <v>0</v>
          </cell>
          <cell r="D42" t="str">
            <v>Dan Davis</v>
          </cell>
          <cell r="E42" t="str">
            <v>MIKE COUGHLIN</v>
          </cell>
          <cell r="F42" t="str">
            <v>PICKLE BALL RACQUET AND BAG</v>
          </cell>
          <cell r="G42" t="str">
            <v>PICKLE BALL RACQUET AND BAG</v>
          </cell>
          <cell r="H42" t="str">
            <v>NO</v>
          </cell>
          <cell r="I42">
            <v>75</v>
          </cell>
          <cell r="J42">
            <v>0.25</v>
          </cell>
          <cell r="K42">
            <v>20</v>
          </cell>
        </row>
        <row r="43">
          <cell r="B43">
            <v>44</v>
          </cell>
          <cell r="C43">
            <v>0</v>
          </cell>
          <cell r="D43" t="str">
            <v>Dan Davis</v>
          </cell>
          <cell r="E43" t="str">
            <v>MIKE COUGHLIN</v>
          </cell>
          <cell r="F43" t="str">
            <v>PICKLE BALL RACQUET AND BAG</v>
          </cell>
          <cell r="G43" t="str">
            <v>PICKLE BALL RACQUET AND BAG</v>
          </cell>
          <cell r="H43" t="str">
            <v>NO</v>
          </cell>
          <cell r="I43">
            <v>75</v>
          </cell>
          <cell r="J43">
            <v>0.25</v>
          </cell>
          <cell r="K43">
            <v>20</v>
          </cell>
        </row>
        <row r="44">
          <cell r="B44">
            <v>45</v>
          </cell>
          <cell r="C44">
            <v>0</v>
          </cell>
          <cell r="D44" t="str">
            <v>Dan Davis</v>
          </cell>
          <cell r="E44" t="str">
            <v>B4 ADVENTURES</v>
          </cell>
          <cell r="F44" t="str">
            <v>SKY BOARD</v>
          </cell>
          <cell r="G44" t="str">
            <v>CREATE YOUR OWN TRICKS WITH SKY BOARD.</v>
          </cell>
          <cell r="H44" t="str">
            <v>NO</v>
          </cell>
          <cell r="I44">
            <v>55</v>
          </cell>
          <cell r="J44">
            <v>0.25</v>
          </cell>
          <cell r="K44">
            <v>20</v>
          </cell>
        </row>
        <row r="45">
          <cell r="B45">
            <v>46</v>
          </cell>
          <cell r="C45">
            <v>0</v>
          </cell>
          <cell r="D45" t="str">
            <v>Dan Davis</v>
          </cell>
          <cell r="E45" t="str">
            <v>B4 ADVENTURES</v>
          </cell>
          <cell r="F45" t="str">
            <v>NINJA OUTDOOR LINE KIT</v>
          </cell>
          <cell r="G45" t="str">
            <v>CREATE YOUR OWN BACKYARD NINJA COURSE WITH THIS KIT.</v>
          </cell>
          <cell r="H45" t="str">
            <v>NO</v>
          </cell>
          <cell r="I45">
            <v>85</v>
          </cell>
          <cell r="J45">
            <v>0.25</v>
          </cell>
          <cell r="K45">
            <v>30</v>
          </cell>
        </row>
        <row r="46">
          <cell r="B46">
            <v>47</v>
          </cell>
          <cell r="C46">
            <v>0</v>
          </cell>
          <cell r="D46" t="str">
            <v>Dan Davis</v>
          </cell>
          <cell r="E46" t="str">
            <v>B4 ADVENTURES</v>
          </cell>
          <cell r="F46" t="str">
            <v>OUTDOOR GLOW-IN-THE-DARK ZIPLINE</v>
          </cell>
          <cell r="G46" t="str">
            <v>SLACKERS GLOW-IN-THE-DARK SEAT FOR BACKYARD ZIPLINE FUN.</v>
          </cell>
          <cell r="H46" t="str">
            <v>NO</v>
          </cell>
          <cell r="I46">
            <v>125</v>
          </cell>
          <cell r="J46">
            <v>0.25</v>
          </cell>
          <cell r="K46">
            <v>40</v>
          </cell>
        </row>
        <row r="47">
          <cell r="B47">
            <v>48</v>
          </cell>
          <cell r="C47">
            <v>0</v>
          </cell>
          <cell r="D47" t="str">
            <v>Dan Davis</v>
          </cell>
          <cell r="E47" t="str">
            <v>B4 ADVENTURES</v>
          </cell>
          <cell r="F47" t="str">
            <v>JUMBO BALL BOUNCE</v>
          </cell>
          <cell r="G47" t="str">
            <v>KIDS' JUMBO BALL TOY.</v>
          </cell>
          <cell r="H47" t="str">
            <v>NO</v>
          </cell>
          <cell r="I47">
            <v>40</v>
          </cell>
          <cell r="J47">
            <v>0.25</v>
          </cell>
          <cell r="K47">
            <v>10</v>
          </cell>
        </row>
        <row r="48">
          <cell r="B48">
            <v>49</v>
          </cell>
          <cell r="C48">
            <v>0</v>
          </cell>
          <cell r="D48" t="str">
            <v>Dan Davis</v>
          </cell>
          <cell r="E48" t="str">
            <v>B4 ADVENTURES</v>
          </cell>
          <cell r="F48" t="str">
            <v>PLAYZONE FIT JR. JUMPER</v>
          </cell>
          <cell r="G48" t="str">
            <v>JUMPING TOY FOR FAMILY</v>
          </cell>
          <cell r="H48" t="str">
            <v>YES</v>
          </cell>
          <cell r="I48">
            <v>160</v>
          </cell>
          <cell r="J48">
            <v>0.25</v>
          </cell>
          <cell r="K48">
            <v>40</v>
          </cell>
        </row>
        <row r="49">
          <cell r="B49">
            <v>0</v>
          </cell>
          <cell r="C49">
            <v>0</v>
          </cell>
          <cell r="D49" t="str">
            <v>Dan Davis</v>
          </cell>
          <cell r="E49" t="str">
            <v>KEVIN CHADWICK</v>
          </cell>
          <cell r="F49" t="str">
            <v>HALF DAY PRIVATE SKI LESSON WITH VAIL INSTRUCTOR</v>
          </cell>
          <cell r="G49" t="str">
            <v>PRIVATE GUIDED TOUR OR COACHING ON VAIL MOUNTAIN. UP TO 3 GUESTS. WEEKENDS, BASED ON AVAILABILITY (NO HOLIDAYS).</v>
          </cell>
          <cell r="H49" t="str">
            <v>NO</v>
          </cell>
          <cell r="I49">
            <v>675</v>
          </cell>
          <cell r="J49">
            <v>0.25</v>
          </cell>
          <cell r="K49">
            <v>170</v>
          </cell>
        </row>
        <row r="50">
          <cell r="B50">
            <v>51</v>
          </cell>
          <cell r="C50">
            <v>0</v>
          </cell>
          <cell r="D50" t="str">
            <v>Jay Watson</v>
          </cell>
          <cell r="E50" t="str">
            <v>LOHMILLER &amp; COMPANY - RUFFIN PAULLING</v>
          </cell>
          <cell r="F50" t="str">
            <v>FOSSIL TRACE GOLF OUTING FOR 4</v>
          </cell>
          <cell r="G50" t="str">
            <v>GREEN FEES &amp; CARTS FOR YOU AND 3 FRIENDS TO BE USED AT YOUR LEISURE IN 2017</v>
          </cell>
          <cell r="H50" t="str">
            <v>NO</v>
          </cell>
          <cell r="I50">
            <v>360</v>
          </cell>
          <cell r="J50">
            <v>0.25</v>
          </cell>
          <cell r="K50">
            <v>90</v>
          </cell>
        </row>
        <row r="51">
          <cell r="B51">
            <v>52</v>
          </cell>
          <cell r="C51">
            <v>1</v>
          </cell>
          <cell r="D51" t="str">
            <v>Robert Pywell</v>
          </cell>
          <cell r="E51" t="str">
            <v>AIR PURIFICATION</v>
          </cell>
          <cell r="F51" t="str">
            <v>FOSSIL TRACE GOLF OUTING FOR 4 W/ CARTS</v>
          </cell>
          <cell r="G51" t="str">
            <v>FOSSIL TRACE GOLF OUTING FOR 4 W/ CARTS</v>
          </cell>
          <cell r="H51" t="str">
            <v>NO</v>
          </cell>
          <cell r="I51">
            <v>360</v>
          </cell>
          <cell r="J51">
            <v>0.25</v>
          </cell>
          <cell r="K51">
            <v>90</v>
          </cell>
        </row>
        <row r="52">
          <cell r="B52">
            <v>53</v>
          </cell>
          <cell r="C52">
            <v>2</v>
          </cell>
          <cell r="D52" t="str">
            <v>Dan Davis</v>
          </cell>
          <cell r="E52" t="str">
            <v>JOE BARRET</v>
          </cell>
          <cell r="F52" t="str">
            <v>GUITAR LESSONS - 3 SESSIONS</v>
          </cell>
          <cell r="G52" t="str">
            <v>3 GUITAR LEARNING SESSIONS FOR 1 PERSON AS TUTORED BY JOE BARRET
CONTACT JOE @ 651.357.8724</v>
          </cell>
          <cell r="H52" t="str">
            <v>YES</v>
          </cell>
          <cell r="I52">
            <v>75</v>
          </cell>
          <cell r="J52">
            <v>0.25</v>
          </cell>
          <cell r="K52">
            <v>20</v>
          </cell>
        </row>
        <row r="53">
          <cell r="B53">
            <v>54</v>
          </cell>
          <cell r="C53">
            <v>2</v>
          </cell>
          <cell r="D53" t="str">
            <v>Dan Davis</v>
          </cell>
          <cell r="E53" t="str">
            <v>DAN LIBBY</v>
          </cell>
          <cell r="F53" t="str">
            <v>BIKE TUNE UP - COMPREHENSIVE (2 WINNERS)</v>
          </cell>
          <cell r="G53"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3" t="str">
            <v>YES</v>
          </cell>
          <cell r="I53">
            <v>80</v>
          </cell>
          <cell r="J53">
            <v>0.5</v>
          </cell>
          <cell r="K53">
            <v>40</v>
          </cell>
        </row>
        <row r="54">
          <cell r="B54">
            <v>55</v>
          </cell>
          <cell r="C54">
            <v>2</v>
          </cell>
          <cell r="D54" t="str">
            <v>Dan Davis</v>
          </cell>
          <cell r="E54" t="str">
            <v>DAN LIBBY</v>
          </cell>
          <cell r="F54" t="str">
            <v>BIKE TUNE UP - COMPREHENSIVE (2 WINNERS)</v>
          </cell>
          <cell r="G54"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4" t="str">
            <v>NO</v>
          </cell>
          <cell r="I54">
            <v>80</v>
          </cell>
          <cell r="J54">
            <v>0.5</v>
          </cell>
          <cell r="K54">
            <v>40</v>
          </cell>
        </row>
        <row r="55">
          <cell r="B55">
            <v>56</v>
          </cell>
          <cell r="C55">
            <v>2</v>
          </cell>
          <cell r="D55" t="str">
            <v>Dan Davis</v>
          </cell>
          <cell r="E55" t="str">
            <v>CHERRY CREEK WELLNESS</v>
          </cell>
          <cell r="F55" t="str">
            <v>CHERRY CREEK WELLNESS - MASSAGE SESSION</v>
          </cell>
          <cell r="G55" t="str">
            <v>1 HOUR MASSAGE SESSION - FIRST 5 BIDDERS WIN - $85 VALUE FOR $40</v>
          </cell>
          <cell r="H55" t="str">
            <v>NO</v>
          </cell>
          <cell r="I55">
            <v>85</v>
          </cell>
          <cell r="J55">
            <v>0.4</v>
          </cell>
          <cell r="K55">
            <v>40</v>
          </cell>
        </row>
        <row r="56">
          <cell r="B56">
            <v>53</v>
          </cell>
          <cell r="C56">
            <v>2</v>
          </cell>
          <cell r="D56" t="str">
            <v>Dan Davis</v>
          </cell>
          <cell r="E56" t="str">
            <v>CHERRY CREEK WELLNESS</v>
          </cell>
          <cell r="F56" t="str">
            <v>CHERRY CREEK WELLNESS - MASSAGE SESSION</v>
          </cell>
          <cell r="G56" t="str">
            <v>1 HOUR MASSAGE SESSION - FIRST 5 BIDDERS WIN - $85 VALUE FOR $40</v>
          </cell>
          <cell r="H56" t="str">
            <v>NO</v>
          </cell>
          <cell r="I56">
            <v>85</v>
          </cell>
          <cell r="J56">
            <v>0.4</v>
          </cell>
          <cell r="K56">
            <v>40</v>
          </cell>
        </row>
        <row r="57">
          <cell r="B57">
            <v>54</v>
          </cell>
          <cell r="C57">
            <v>2</v>
          </cell>
          <cell r="D57" t="str">
            <v>Dan Davis</v>
          </cell>
          <cell r="E57" t="str">
            <v>CHERRY CREEK WELLNESS</v>
          </cell>
          <cell r="F57" t="str">
            <v>CHERRY CREEK WELLNESS - MASSAGE SESSION</v>
          </cell>
          <cell r="G57" t="str">
            <v>1 HOUR MASSAGE SESSION - FIRST 5 BIDDERS WIN - $85 VALUE FOR $40</v>
          </cell>
          <cell r="H57" t="str">
            <v>NO</v>
          </cell>
          <cell r="I57">
            <v>85</v>
          </cell>
          <cell r="J57">
            <v>0.4</v>
          </cell>
          <cell r="K57">
            <v>40</v>
          </cell>
        </row>
        <row r="58">
          <cell r="B58">
            <v>55</v>
          </cell>
          <cell r="C58">
            <v>2</v>
          </cell>
          <cell r="D58" t="str">
            <v>Dan Davis</v>
          </cell>
          <cell r="E58" t="str">
            <v>CHERRY CREEK WELLNESS</v>
          </cell>
          <cell r="F58" t="str">
            <v>CHERRY CREEK WELLNESS - MASSAGE SESSION</v>
          </cell>
          <cell r="G58" t="str">
            <v>1 HOUR MASSAGE SESSION - FIRST 5 BIDDERS WIN - $85 VALUE FOR $40</v>
          </cell>
          <cell r="H58" t="str">
            <v>NO</v>
          </cell>
          <cell r="I58">
            <v>85</v>
          </cell>
          <cell r="J58">
            <v>0.4</v>
          </cell>
          <cell r="K58">
            <v>40</v>
          </cell>
        </row>
        <row r="59">
          <cell r="B59">
            <v>56</v>
          </cell>
          <cell r="C59">
            <v>2</v>
          </cell>
          <cell r="D59" t="str">
            <v>Dan Davis</v>
          </cell>
          <cell r="E59" t="str">
            <v>CHERRY CREEK WELLNESS</v>
          </cell>
          <cell r="F59" t="str">
            <v>CHERRY CREEK WELLNESS - MASSAGE SESSION</v>
          </cell>
          <cell r="G59" t="str">
            <v>1 HOUR MASSAGE SESSION - FIRST 5 BIDDERS WIN - $85 VALUE FOR $40</v>
          </cell>
          <cell r="H59" t="str">
            <v>NO</v>
          </cell>
          <cell r="I59">
            <v>85</v>
          </cell>
          <cell r="J59">
            <v>0.4</v>
          </cell>
          <cell r="K59">
            <v>40</v>
          </cell>
        </row>
        <row r="60">
          <cell r="B60">
            <v>57</v>
          </cell>
          <cell r="C60">
            <v>0</v>
          </cell>
          <cell r="D60" t="str">
            <v>Sandra Tafoya</v>
          </cell>
          <cell r="E60" t="str">
            <v>SEAN WIGGINS</v>
          </cell>
          <cell r="F60" t="str">
            <v>$200 OFF WINDOW CLEANING OR TINTING</v>
          </cell>
          <cell r="G60" t="str">
            <v>$200 OFF WINDOW CLEANING OR TINTING FROM 'KNOW SPOT WINDOW CLEANING &amp; MORE, Including Residential and 1 Story Commercial Buildings; Window Cleaning; Window Tinting; Vinyl Graphics (Installation Only); Pressure Cleaning; 
Contact: SEAN WIGGINS @ 772.260.7041  or  htps://www.facebook.com/KNOW-SPOT</v>
          </cell>
          <cell r="H60" t="str">
            <v>NO</v>
          </cell>
          <cell r="I60">
            <v>200</v>
          </cell>
          <cell r="J60">
            <v>0.25</v>
          </cell>
          <cell r="K60">
            <v>50</v>
          </cell>
        </row>
        <row r="61">
          <cell r="B61">
            <v>58</v>
          </cell>
          <cell r="C61">
            <v>0</v>
          </cell>
          <cell r="D61" t="str">
            <v>Dan Davis</v>
          </cell>
          <cell r="E61" t="str">
            <v>ADRIENNE E. STEWART, M.D.</v>
          </cell>
          <cell r="F61" t="str">
            <v>LASER GENESIS TREATMENT</v>
          </cell>
          <cell r="G61" t="str">
            <v>LASER GENESIS TREATMENT. REMOVE SCARS, FINE LINES, PORE SIZE, REDNESS, ETC.
ADRIENNE E. STEWART, M.D.  BOARD CERTIFIED DERMATOLOGIST</v>
          </cell>
          <cell r="H61" t="str">
            <v>YES</v>
          </cell>
          <cell r="I61">
            <v>250</v>
          </cell>
          <cell r="J61">
            <v>0.25</v>
          </cell>
          <cell r="K61">
            <v>70</v>
          </cell>
        </row>
        <row r="62">
          <cell r="B62">
            <v>59</v>
          </cell>
          <cell r="C62">
            <v>0</v>
          </cell>
          <cell r="D62" t="str">
            <v>Kyle Evashevski</v>
          </cell>
          <cell r="E62" t="str">
            <v>DAVID McMURTRY</v>
          </cell>
          <cell r="F62" t="str">
            <v>LIFE COACH</v>
          </cell>
          <cell r="G62" t="str">
            <v>LASTING MOTIVATION PERSONAL COACHING PROGRAM - 5 SESSIONS TO GET YOU POINTED IN THE RIGHT DIRECTION.</v>
          </cell>
          <cell r="H62" t="str">
            <v>NO</v>
          </cell>
          <cell r="I62">
            <v>300</v>
          </cell>
          <cell r="J62">
            <v>0.25</v>
          </cell>
          <cell r="K62">
            <v>80</v>
          </cell>
        </row>
        <row r="63">
          <cell r="B63">
            <v>60</v>
          </cell>
          <cell r="C63">
            <v>0</v>
          </cell>
          <cell r="D63" t="str">
            <v>Dan Davis</v>
          </cell>
          <cell r="E63" t="str">
            <v>SALON AND SPA ON THE BOULEVARD</v>
          </cell>
          <cell r="F63" t="str">
            <v>SALON AND SPA ON THE BOULEVARD MANICURE</v>
          </cell>
          <cell r="G63" t="str">
            <v>$30 GIFT CARD, NAIL POLISH, NAIL KIT, SCARF.</v>
          </cell>
          <cell r="H63" t="str">
            <v>NO</v>
          </cell>
          <cell r="I63">
            <v>60</v>
          </cell>
          <cell r="J63">
            <v>0.25</v>
          </cell>
          <cell r="K63">
            <v>20</v>
          </cell>
        </row>
        <row r="64">
          <cell r="B64">
            <v>61</v>
          </cell>
          <cell r="C64">
            <v>0</v>
          </cell>
          <cell r="D64" t="str">
            <v>Kyle Evashevski</v>
          </cell>
          <cell r="E64" t="str">
            <v>FRIENDS &amp; FOODIES</v>
          </cell>
          <cell r="F64" t="str">
            <v>GOURMET FOOD PREPARATION</v>
          </cell>
          <cell r="G64" t="str">
            <v>GOURMET FOOD PREPARATION FOR FOLKS ON THE GO. $50 CERTIFICATE FOR MENU ITEMS</v>
          </cell>
          <cell r="H64" t="str">
            <v>NO</v>
          </cell>
          <cell r="I64">
            <v>50</v>
          </cell>
          <cell r="J64">
            <v>0.25</v>
          </cell>
          <cell r="K64">
            <v>20</v>
          </cell>
        </row>
        <row r="65">
          <cell r="B65">
            <v>62</v>
          </cell>
          <cell r="C65">
            <v>0</v>
          </cell>
          <cell r="D65" t="str">
            <v>Kyle Evashevski</v>
          </cell>
          <cell r="E65" t="str">
            <v>FAST FRAME</v>
          </cell>
          <cell r="F65" t="str">
            <v>FAST FRAME FRAMING SERVICE</v>
          </cell>
          <cell r="G65" t="str">
            <v>FAST FRAME FRAMING SERVICE $40 GIFT CERTIFICATE</v>
          </cell>
          <cell r="H65" t="str">
            <v>NO</v>
          </cell>
          <cell r="I65">
            <v>40</v>
          </cell>
          <cell r="J65">
            <v>0.25</v>
          </cell>
          <cell r="K65">
            <v>10</v>
          </cell>
        </row>
        <row r="66">
          <cell r="B66">
            <v>63</v>
          </cell>
          <cell r="C66">
            <v>2</v>
          </cell>
          <cell r="D66" t="str">
            <v>Dan Davis</v>
          </cell>
          <cell r="E66" t="str">
            <v>COMMUNITY AUTO CENTER</v>
          </cell>
          <cell r="F66" t="str">
            <v>OIL CHANGE &amp; TIRE ROTATION</v>
          </cell>
          <cell r="G66" t="str">
            <v>OIL CHANGE &amp; TIRE ROTATION - TOP 2 BIDDERS WIN</v>
          </cell>
          <cell r="H66" t="str">
            <v>NO</v>
          </cell>
          <cell r="I66">
            <v>50</v>
          </cell>
          <cell r="J66">
            <v>0.25</v>
          </cell>
          <cell r="K66">
            <v>20</v>
          </cell>
        </row>
        <row r="67">
          <cell r="B67">
            <v>64</v>
          </cell>
          <cell r="C67">
            <v>1</v>
          </cell>
          <cell r="D67" t="str">
            <v>Dan Davis</v>
          </cell>
          <cell r="E67" t="str">
            <v>TRANSAMERICA - TAYLOR VERMIE</v>
          </cell>
          <cell r="F67" t="str">
            <v>COLORADO RAPIDS - 4 GAME TICKETS</v>
          </cell>
          <cell r="G67" t="str">
            <v>COLORADO RAPIDS - 4 GAME TICKETS FOR MARCH 2017 SEASON OPENER
CONTACT TAYLOR @ 720.493.8051</v>
          </cell>
          <cell r="H67" t="str">
            <v>NO</v>
          </cell>
          <cell r="I67">
            <v>120</v>
          </cell>
          <cell r="J67">
            <v>0.25</v>
          </cell>
          <cell r="K67">
            <v>30</v>
          </cell>
        </row>
        <row r="68">
          <cell r="B68">
            <v>65</v>
          </cell>
          <cell r="C68">
            <v>0</v>
          </cell>
          <cell r="D68" t="str">
            <v>Robert Pywell</v>
          </cell>
          <cell r="E68" t="str">
            <v>KROENKE SPORTS - TRACY HARTMAN</v>
          </cell>
          <cell r="F68" t="str">
            <v>NUGGETS SUITE</v>
          </cell>
          <cell r="G68" t="str">
            <v>NUGGETS SUITE WITH 20 TICKETS - SECTION ….,; WITH …. PARKING PASSES?</v>
          </cell>
          <cell r="H68" t="str">
            <v>NO</v>
          </cell>
          <cell r="I68">
            <v>2000</v>
          </cell>
          <cell r="J68">
            <v>0.25</v>
          </cell>
          <cell r="K68">
            <v>500</v>
          </cell>
        </row>
        <row r="69">
          <cell r="B69">
            <v>66</v>
          </cell>
          <cell r="C69">
            <v>0</v>
          </cell>
          <cell r="D69" t="str">
            <v>Robert Pywell</v>
          </cell>
          <cell r="E69" t="str">
            <v>RAMPART SUPPLY - DEREK BELL</v>
          </cell>
          <cell r="F69" t="str">
            <v>AVALANCHE TICKETS VS. MINNESOTA WILD</v>
          </cell>
          <cell r="G69" t="str">
            <v>AVALANCHE TICKETS - SECTION 146, ROW 6; WITH PARKING PASS; THURSDAY 4/6/17</v>
          </cell>
          <cell r="H69" t="str">
            <v>NO</v>
          </cell>
          <cell r="I69">
            <v>285</v>
          </cell>
          <cell r="J69">
            <v>0.25</v>
          </cell>
          <cell r="K69">
            <v>80</v>
          </cell>
        </row>
        <row r="70">
          <cell r="B70">
            <v>67</v>
          </cell>
          <cell r="C70">
            <v>0</v>
          </cell>
          <cell r="D70" t="str">
            <v>Dan Davis</v>
          </cell>
          <cell r="E70" t="str">
            <v>DU</v>
          </cell>
          <cell r="F70" t="str">
            <v>DU PIONEERS' HOCKEY TICKETS FOR 4</v>
          </cell>
          <cell r="G70" t="str">
            <v>DU PIONEERS' HOCKEY TICKETS FOR 4 - ANY DATE</v>
          </cell>
          <cell r="H70" t="str">
            <v>YES</v>
          </cell>
          <cell r="I70">
            <v>150</v>
          </cell>
          <cell r="J70">
            <v>0.25</v>
          </cell>
          <cell r="K70">
            <v>40</v>
          </cell>
        </row>
        <row r="71">
          <cell r="B71">
            <v>68</v>
          </cell>
          <cell r="C71">
            <v>0</v>
          </cell>
          <cell r="D71" t="str">
            <v>Dan Davis</v>
          </cell>
          <cell r="E71" t="str">
            <v>COLORADO RAPIDS - CAITLIN KINSER</v>
          </cell>
          <cell r="F71" t="str">
            <v>COLORADO RAPIDS FAN PACKAGE</v>
          </cell>
          <cell r="G71" t="str">
            <v>TEAM SIGNED SOCCER BALL, JERSEY, HAT, STICKER</v>
          </cell>
          <cell r="H71" t="str">
            <v>YES</v>
          </cell>
          <cell r="I71">
            <v>85</v>
          </cell>
          <cell r="J71">
            <v>0.25</v>
          </cell>
          <cell r="K71">
            <v>30</v>
          </cell>
        </row>
        <row r="72">
          <cell r="B72">
            <v>69</v>
          </cell>
          <cell r="C72">
            <v>0</v>
          </cell>
          <cell r="D72" t="str">
            <v>Robert Pywell</v>
          </cell>
          <cell r="E72" t="str">
            <v>BEABOUT BROCK EASLEY - BLAINE HEMPHILL</v>
          </cell>
          <cell r="F72" t="str">
            <v>DU PIONEERS' HOCKEY TICKETS VS. ST. CLOUD AND DU HOODIE</v>
          </cell>
          <cell r="G72" t="str">
            <v>DU PIONEERS' HOCKEY TICKETS VS. ST. CLOUD AND DU HOODIE</v>
          </cell>
          <cell r="H72" t="str">
            <v>NO</v>
          </cell>
          <cell r="I72">
            <v>175</v>
          </cell>
          <cell r="J72">
            <v>0.25</v>
          </cell>
          <cell r="K72">
            <v>50</v>
          </cell>
        </row>
        <row r="73">
          <cell r="B73">
            <v>70</v>
          </cell>
          <cell r="C73">
            <v>0</v>
          </cell>
          <cell r="D73" t="str">
            <v>Robert Pywell</v>
          </cell>
          <cell r="E73" t="str">
            <v>RKR MANUFACTURER'S REPS - PAUL PRUTCH</v>
          </cell>
          <cell r="F73" t="str">
            <v>(4) AVALANCHE TICKETS VS EDMONTON OILERS + PARKING PASS - PEPSI CENTER</v>
          </cell>
          <cell r="G73" t="str">
            <v>(4) AVALANCHE TICKETS - WITH VIP PARKING PASS, THURS. MAR 23, 2017 SECT 146-ROWS 7 &amp; 8-SEATS 1-2</v>
          </cell>
          <cell r="H73" t="str">
            <v>NO</v>
          </cell>
          <cell r="I73">
            <v>640</v>
          </cell>
          <cell r="J73">
            <v>0.25</v>
          </cell>
          <cell r="K73">
            <v>160</v>
          </cell>
        </row>
        <row r="74">
          <cell r="B74">
            <v>71</v>
          </cell>
          <cell r="C74">
            <v>0</v>
          </cell>
          <cell r="D74" t="str">
            <v>Jay Watson</v>
          </cell>
          <cell r="E74" t="str">
            <v>JAY WATSON</v>
          </cell>
          <cell r="F74" t="str">
            <v>(2) AVALANCHE TICKETS VS BUFFALO SABRES - PEPSI CENTER</v>
          </cell>
          <cell r="G74" t="str">
            <v>2ND ROW FROM THE ICE;  ATTACK TWICE;  SATURDAY, FEBRUARY 25TH;  SECTION 130, ROW 2, SEATS 1 &amp; 2. CALL JAY WATSON @ 720.839.3631 TO TRANSFER TIXS VIA FLASH SEATS.</v>
          </cell>
          <cell r="H74" t="str">
            <v>YES</v>
          </cell>
          <cell r="I74">
            <v>330</v>
          </cell>
          <cell r="J74">
            <v>0.25</v>
          </cell>
          <cell r="K74">
            <v>90</v>
          </cell>
        </row>
        <row r="75">
          <cell r="B75">
            <v>72</v>
          </cell>
          <cell r="C75">
            <v>0</v>
          </cell>
          <cell r="D75" t="str">
            <v>Robert Pywell</v>
          </cell>
          <cell r="E75" t="str">
            <v>SIEMENS</v>
          </cell>
          <cell r="F75" t="str">
            <v>SIGNED BRONCOS HELMET-AQIB TALIB</v>
          </cell>
          <cell r="G75" t="str">
            <v>AUTOGRAPHED FULL SIZE - DENVER BRONCOS HELMET - AQIB TALIB</v>
          </cell>
          <cell r="H75" t="str">
            <v>NO</v>
          </cell>
          <cell r="I75">
            <v>300</v>
          </cell>
          <cell r="J75">
            <v>0.25</v>
          </cell>
          <cell r="K75">
            <v>80</v>
          </cell>
        </row>
        <row r="76">
          <cell r="B76">
            <v>73</v>
          </cell>
          <cell r="C76">
            <v>0</v>
          </cell>
          <cell r="D76" t="str">
            <v>Dan Davis</v>
          </cell>
          <cell r="E76" t="str">
            <v>McNEIL DESIGNER STUDIOS</v>
          </cell>
          <cell r="F76" t="str">
            <v>FAMILY PORTRIAT</v>
          </cell>
          <cell r="G76" t="str">
            <v>FAMILY PORTRIAT, LOCATION OF YOUR CHOICE</v>
          </cell>
          <cell r="H76" t="str">
            <v>YES</v>
          </cell>
          <cell r="I76">
            <v>750</v>
          </cell>
          <cell r="J76">
            <v>0.25</v>
          </cell>
          <cell r="K76">
            <v>190</v>
          </cell>
        </row>
        <row r="77">
          <cell r="B77">
            <v>74</v>
          </cell>
          <cell r="C77">
            <v>3</v>
          </cell>
          <cell r="D77" t="str">
            <v>Dan Davis</v>
          </cell>
          <cell r="E77" t="str">
            <v>DAN DAVIS</v>
          </cell>
          <cell r="F77" t="str">
            <v>SCOTCH WHISKEY TASTING PARTY</v>
          </cell>
          <cell r="G77" t="str">
            <v>SCOTCH TASTING OF ALL LEVELS TO BE HOSTED BY DAN DAVIS - ALL BIDDERS TO BE INVITED</v>
          </cell>
          <cell r="H77" t="str">
            <v>YES</v>
          </cell>
          <cell r="I77">
            <v>20</v>
          </cell>
          <cell r="J77">
            <v>1</v>
          </cell>
          <cell r="K77">
            <v>20</v>
          </cell>
        </row>
        <row r="78">
          <cell r="B78">
            <v>74</v>
          </cell>
          <cell r="C78">
            <v>3</v>
          </cell>
          <cell r="D78" t="str">
            <v>Dan Davis</v>
          </cell>
          <cell r="E78" t="str">
            <v>DAN DAVIS</v>
          </cell>
          <cell r="F78" t="str">
            <v>SCOTCH WHISKEY TASTING PARTY</v>
          </cell>
          <cell r="G78" t="str">
            <v>SCOTCH TASTING OF ALL LEVELS TO BE HOSTED BY DAN DAVIS - ALL BIDDERS TO BE INVITED</v>
          </cell>
          <cell r="H78" t="str">
            <v>YES</v>
          </cell>
          <cell r="I78">
            <v>20</v>
          </cell>
          <cell r="J78">
            <v>1</v>
          </cell>
          <cell r="K78">
            <v>20</v>
          </cell>
        </row>
        <row r="79">
          <cell r="B79">
            <v>74</v>
          </cell>
          <cell r="C79">
            <v>3</v>
          </cell>
          <cell r="D79" t="str">
            <v>Dan Davis</v>
          </cell>
          <cell r="E79" t="str">
            <v>DAN DAVIS</v>
          </cell>
          <cell r="F79" t="str">
            <v>SCOTCH WHISKEY TASTING PARTY</v>
          </cell>
          <cell r="G79" t="str">
            <v>SCOTCH TASTING OF ALL LEVELS TO BE HOSTED BY DAN DAVIS - ALL BIDDERS TO BE INVITED</v>
          </cell>
          <cell r="H79" t="str">
            <v>YES</v>
          </cell>
          <cell r="I79">
            <v>20</v>
          </cell>
          <cell r="J79">
            <v>1</v>
          </cell>
          <cell r="K79">
            <v>20</v>
          </cell>
        </row>
        <row r="80">
          <cell r="B80">
            <v>74</v>
          </cell>
          <cell r="C80">
            <v>3</v>
          </cell>
          <cell r="D80" t="str">
            <v>Dan Davis</v>
          </cell>
          <cell r="E80" t="str">
            <v>DAN DAVIS</v>
          </cell>
          <cell r="F80" t="str">
            <v>SCOTCH WHISKEY TASTING PARTY</v>
          </cell>
          <cell r="G80" t="str">
            <v>SCOTCH TASTING OF ALL LEVELS TO BE HOSTED BY DAN DAVIS - ALL BIDDERS TO BE INVITED</v>
          </cell>
          <cell r="H80" t="str">
            <v>YES</v>
          </cell>
          <cell r="I80">
            <v>20</v>
          </cell>
          <cell r="J80">
            <v>1</v>
          </cell>
          <cell r="K80">
            <v>20</v>
          </cell>
        </row>
        <row r="81">
          <cell r="B81">
            <v>74</v>
          </cell>
          <cell r="C81">
            <v>3</v>
          </cell>
          <cell r="D81" t="str">
            <v>Dan Davis</v>
          </cell>
          <cell r="E81" t="str">
            <v>DAN DAVIS</v>
          </cell>
          <cell r="F81" t="str">
            <v>SCOTCH WHISKEY TASTING PARTY</v>
          </cell>
          <cell r="G81" t="str">
            <v>SCOTCH TASTING OF ALL LEVELS TO BE HOSTED BY DAN DAVIS - ALL BIDDERS TO BE INVITED</v>
          </cell>
          <cell r="H81" t="str">
            <v>YES</v>
          </cell>
          <cell r="I81">
            <v>20</v>
          </cell>
          <cell r="J81">
            <v>1</v>
          </cell>
          <cell r="K81">
            <v>20</v>
          </cell>
        </row>
        <row r="82">
          <cell r="B82">
            <v>74</v>
          </cell>
          <cell r="C82">
            <v>3</v>
          </cell>
          <cell r="D82" t="str">
            <v>Dan Davis</v>
          </cell>
          <cell r="E82" t="str">
            <v>DAN DAVIS</v>
          </cell>
          <cell r="F82" t="str">
            <v>SCOTCH WHISKEY TASTING PARTY</v>
          </cell>
          <cell r="G82" t="str">
            <v>SCOTCH TASTING OF ALL LEVELS TO BE HOSTED BY DAN DAVIS - ALL BIDDERS TO BE INVITED</v>
          </cell>
          <cell r="H82" t="str">
            <v>YES</v>
          </cell>
          <cell r="I82">
            <v>20</v>
          </cell>
          <cell r="J82">
            <v>1</v>
          </cell>
          <cell r="K82">
            <v>20</v>
          </cell>
        </row>
        <row r="83">
          <cell r="B83">
            <v>74</v>
          </cell>
          <cell r="C83">
            <v>3</v>
          </cell>
          <cell r="D83" t="str">
            <v>Dan Davis</v>
          </cell>
          <cell r="E83" t="str">
            <v>DAN DAVIS</v>
          </cell>
          <cell r="F83" t="str">
            <v>SCOTCH WHISKEY TASTING PARTY</v>
          </cell>
          <cell r="G83" t="str">
            <v>SCOTCH TASTING OF ALL LEVELS TO BE HOSTED BY DAN DAVIS - ALL BIDDERS TO BE INVITED</v>
          </cell>
          <cell r="H83" t="str">
            <v>YES</v>
          </cell>
          <cell r="I83">
            <v>20</v>
          </cell>
          <cell r="J83">
            <v>1</v>
          </cell>
          <cell r="K83">
            <v>20</v>
          </cell>
        </row>
        <row r="84">
          <cell r="B84">
            <v>74</v>
          </cell>
          <cell r="C84">
            <v>3</v>
          </cell>
          <cell r="D84" t="str">
            <v>Dan Davis</v>
          </cell>
          <cell r="E84" t="str">
            <v>DAN DAVIS</v>
          </cell>
          <cell r="F84" t="str">
            <v>SCOTCH WHISKEY TASTING PARTY</v>
          </cell>
          <cell r="G84" t="str">
            <v>SCOTCH TASTING OF ALL LEVELS TO BE HOSTED BY DAN DAVIS - ALL BIDDERS TO BE INVITED</v>
          </cell>
          <cell r="H84" t="str">
            <v>YES</v>
          </cell>
          <cell r="I84">
            <v>20</v>
          </cell>
          <cell r="J84">
            <v>1</v>
          </cell>
          <cell r="K84">
            <v>20</v>
          </cell>
        </row>
        <row r="85">
          <cell r="B85">
            <v>74</v>
          </cell>
          <cell r="C85">
            <v>3</v>
          </cell>
          <cell r="D85" t="str">
            <v>Dan Davis</v>
          </cell>
          <cell r="E85" t="str">
            <v>DAN DAVIS</v>
          </cell>
          <cell r="F85" t="str">
            <v>SCOTCH WHISKEY TASTING PARTY</v>
          </cell>
          <cell r="G85" t="str">
            <v>SCOTCH TASTING OF ALL LEVELS TO BE HOSTED BY DAN DAVIS - ALL BIDDERS TO BE INVITED</v>
          </cell>
          <cell r="H85" t="str">
            <v>YES</v>
          </cell>
          <cell r="I85">
            <v>20</v>
          </cell>
          <cell r="J85">
            <v>1</v>
          </cell>
          <cell r="K85">
            <v>20</v>
          </cell>
        </row>
        <row r="86">
          <cell r="B86">
            <v>74</v>
          </cell>
          <cell r="C86">
            <v>3</v>
          </cell>
          <cell r="D86" t="str">
            <v>Dan Davis</v>
          </cell>
          <cell r="E86" t="str">
            <v>DAN DAVIS</v>
          </cell>
          <cell r="F86" t="str">
            <v>SCOTCH WHISKEY TASTING PARTY</v>
          </cell>
          <cell r="G86" t="str">
            <v>SCOTCH TASTING OF ALL LEVELS TO BE HOSTED BY DAN DAVIS - ALL BIDDERS TO BE INVITED</v>
          </cell>
          <cell r="H86" t="str">
            <v>YES</v>
          </cell>
          <cell r="I86">
            <v>20</v>
          </cell>
          <cell r="J86">
            <v>1</v>
          </cell>
          <cell r="K86">
            <v>20</v>
          </cell>
        </row>
        <row r="87">
          <cell r="B87">
            <v>74</v>
          </cell>
          <cell r="C87">
            <v>3</v>
          </cell>
          <cell r="D87" t="str">
            <v>Dan Davis</v>
          </cell>
          <cell r="E87" t="str">
            <v>DAN DAVIS</v>
          </cell>
          <cell r="F87" t="str">
            <v>SCOTCH WHISKEY TASTING PARTY</v>
          </cell>
          <cell r="G87" t="str">
            <v>SCOTCH TASTING OF ALL LEVELS TO BE HOSTED BY DAN DAVIS - ALL BIDDERS TO BE INVITED</v>
          </cell>
          <cell r="H87" t="str">
            <v>YES</v>
          </cell>
          <cell r="I87">
            <v>20</v>
          </cell>
          <cell r="J87">
            <v>1</v>
          </cell>
          <cell r="K87">
            <v>20</v>
          </cell>
        </row>
        <row r="88">
          <cell r="B88">
            <v>74</v>
          </cell>
          <cell r="C88">
            <v>3</v>
          </cell>
          <cell r="D88" t="str">
            <v>Dan Davis</v>
          </cell>
          <cell r="E88" t="str">
            <v>DAN DAVIS</v>
          </cell>
          <cell r="F88" t="str">
            <v>SCOTCH WHISKEY TASTING PARTY</v>
          </cell>
          <cell r="G88" t="str">
            <v>SCOTCH TASTING OF ALL LEVELS TO BE HOSTED BY DAN DAVIS - ALL BIDDERS TO BE INVITED</v>
          </cell>
          <cell r="H88" t="str">
            <v>YES</v>
          </cell>
          <cell r="I88">
            <v>20</v>
          </cell>
          <cell r="J88">
            <v>1</v>
          </cell>
          <cell r="K88">
            <v>20</v>
          </cell>
        </row>
        <row r="89">
          <cell r="B89">
            <v>75</v>
          </cell>
          <cell r="C89">
            <v>2</v>
          </cell>
          <cell r="D89" t="str">
            <v>Dan Davis</v>
          </cell>
          <cell r="E89" t="str">
            <v>DAN DAVIS</v>
          </cell>
          <cell r="F89" t="str">
            <v>TEQUILA TASTING PARTY</v>
          </cell>
          <cell r="G89" t="str">
            <v>FUN NIGHT OF TEQUILA TASTING &amp; EDUCATION OF THE FINE SPIRIT</v>
          </cell>
          <cell r="H89" t="str">
            <v>NO</v>
          </cell>
          <cell r="I89">
            <v>20</v>
          </cell>
          <cell r="J89">
            <v>1</v>
          </cell>
          <cell r="K89">
            <v>20</v>
          </cell>
        </row>
        <row r="90">
          <cell r="B90">
            <v>0</v>
          </cell>
          <cell r="C90">
            <v>2</v>
          </cell>
          <cell r="D90" t="str">
            <v>Dan Davis</v>
          </cell>
          <cell r="E90" t="str">
            <v>DAN DAVIS</v>
          </cell>
          <cell r="F90" t="str">
            <v>TEQUILA TASTING PARTY</v>
          </cell>
          <cell r="G90" t="str">
            <v>FUN NIGHT OF TEQUILA TASTING &amp; EDUCATION OF THE FINE SPIRIT</v>
          </cell>
          <cell r="H90" t="str">
            <v>NO</v>
          </cell>
          <cell r="I90">
            <v>20</v>
          </cell>
          <cell r="J90">
            <v>1</v>
          </cell>
          <cell r="K90">
            <v>20</v>
          </cell>
        </row>
        <row r="91">
          <cell r="B91">
            <v>0</v>
          </cell>
          <cell r="C91">
            <v>2</v>
          </cell>
          <cell r="D91" t="str">
            <v>Dan Davis</v>
          </cell>
          <cell r="E91" t="str">
            <v>DAN DAVIS</v>
          </cell>
          <cell r="F91" t="str">
            <v>TEQUILA TASTING PARTY</v>
          </cell>
          <cell r="G91" t="str">
            <v>FUN NIGHT OF TEQUILA TASTING &amp; EDUCATION OF THE FINE SPIRIT</v>
          </cell>
          <cell r="H91" t="str">
            <v>NO</v>
          </cell>
          <cell r="I91">
            <v>20</v>
          </cell>
          <cell r="J91">
            <v>1</v>
          </cell>
          <cell r="K91">
            <v>20</v>
          </cell>
        </row>
        <row r="92">
          <cell r="B92">
            <v>0</v>
          </cell>
          <cell r="C92">
            <v>2</v>
          </cell>
          <cell r="D92" t="str">
            <v>Dan Davis</v>
          </cell>
          <cell r="E92" t="str">
            <v>DAN DAVIS</v>
          </cell>
          <cell r="F92" t="str">
            <v>TEQUILA TASTING PARTY</v>
          </cell>
          <cell r="G92" t="str">
            <v>FUN NIGHT OF TEQUILA TASTING &amp; EDUCATION OF THE FINE SPIRIT</v>
          </cell>
          <cell r="H92" t="str">
            <v>NO</v>
          </cell>
          <cell r="I92">
            <v>20</v>
          </cell>
          <cell r="J92">
            <v>1</v>
          </cell>
          <cell r="K92">
            <v>20</v>
          </cell>
        </row>
        <row r="93">
          <cell r="B93">
            <v>0</v>
          </cell>
          <cell r="C93">
            <v>2</v>
          </cell>
          <cell r="D93" t="str">
            <v>Dan Davis</v>
          </cell>
          <cell r="E93" t="str">
            <v>DAN DAVIS</v>
          </cell>
          <cell r="F93" t="str">
            <v>TEQUILA TASTING PARTY</v>
          </cell>
          <cell r="G93" t="str">
            <v>FUN NIGHT OF TEQUILA TASTING &amp; EDUCATION OF THE FINE SPIRIT</v>
          </cell>
          <cell r="H93" t="str">
            <v>NO</v>
          </cell>
          <cell r="I93">
            <v>20</v>
          </cell>
          <cell r="J93">
            <v>1</v>
          </cell>
          <cell r="K93">
            <v>20</v>
          </cell>
        </row>
        <row r="94">
          <cell r="B94">
            <v>0</v>
          </cell>
          <cell r="C94">
            <v>2</v>
          </cell>
          <cell r="D94" t="str">
            <v>Dan Davis</v>
          </cell>
          <cell r="E94" t="str">
            <v>DAN DAVIS</v>
          </cell>
          <cell r="F94" t="str">
            <v>TEQUILA TASTING PARTY</v>
          </cell>
          <cell r="G94" t="str">
            <v>FUN NIGHT OF TEQUILA TASTING &amp; EDUCATION OF THE FINE SPIRIT</v>
          </cell>
          <cell r="H94" t="str">
            <v>NO</v>
          </cell>
          <cell r="I94">
            <v>20</v>
          </cell>
          <cell r="J94">
            <v>1</v>
          </cell>
          <cell r="K94">
            <v>20</v>
          </cell>
        </row>
        <row r="95">
          <cell r="B95">
            <v>0</v>
          </cell>
          <cell r="C95">
            <v>2</v>
          </cell>
          <cell r="D95" t="str">
            <v>Dan Davis</v>
          </cell>
          <cell r="E95" t="str">
            <v>DAN DAVIS</v>
          </cell>
          <cell r="F95" t="str">
            <v>TEQUILA TASTING PARTY</v>
          </cell>
          <cell r="G95" t="str">
            <v>FUN NIGHT OF TEQUILA TASTING &amp; EDUCATION OF THE FINE SPIRIT</v>
          </cell>
          <cell r="H95" t="str">
            <v>NO</v>
          </cell>
          <cell r="I95">
            <v>20</v>
          </cell>
          <cell r="J95">
            <v>1</v>
          </cell>
          <cell r="K95">
            <v>20</v>
          </cell>
        </row>
        <row r="96">
          <cell r="B96">
            <v>0</v>
          </cell>
          <cell r="C96">
            <v>2</v>
          </cell>
          <cell r="D96" t="str">
            <v>Dan Davis</v>
          </cell>
          <cell r="E96" t="str">
            <v>DAN DAVIS</v>
          </cell>
          <cell r="F96" t="str">
            <v>TEQUILA TASTING PARTY</v>
          </cell>
          <cell r="G96" t="str">
            <v>FUN NIGHT OF TEQUILA TASTING &amp; EDUCATION OF THE FINE SPIRIT</v>
          </cell>
          <cell r="H96" t="str">
            <v>NO</v>
          </cell>
          <cell r="I96">
            <v>20</v>
          </cell>
          <cell r="J96">
            <v>1</v>
          </cell>
          <cell r="K96">
            <v>20</v>
          </cell>
        </row>
        <row r="97">
          <cell r="B97">
            <v>0</v>
          </cell>
          <cell r="C97">
            <v>2</v>
          </cell>
          <cell r="D97" t="str">
            <v>Dan Davis</v>
          </cell>
          <cell r="E97" t="str">
            <v>DAN DAVIS</v>
          </cell>
          <cell r="F97" t="str">
            <v>TEQUILA TASTING PARTY</v>
          </cell>
          <cell r="G97" t="str">
            <v>FUN NIGHT OF TEQUILA TASTING &amp; EDUCATION OF THE FINE SPIRIT</v>
          </cell>
          <cell r="H97" t="str">
            <v>NO</v>
          </cell>
          <cell r="I97">
            <v>20</v>
          </cell>
          <cell r="J97">
            <v>1</v>
          </cell>
          <cell r="K97">
            <v>20</v>
          </cell>
        </row>
        <row r="98">
          <cell r="B98">
            <v>0</v>
          </cell>
          <cell r="C98">
            <v>2</v>
          </cell>
          <cell r="D98" t="str">
            <v>Dan Davis</v>
          </cell>
          <cell r="E98" t="str">
            <v>DAN DAVIS</v>
          </cell>
          <cell r="F98" t="str">
            <v>TEQUILA TASTING PARTY</v>
          </cell>
          <cell r="G98" t="str">
            <v>FUN NIGHT OF TEQUILA TASTING &amp; EDUCATION OF THE FINE SPIRIT</v>
          </cell>
          <cell r="H98" t="str">
            <v>NO</v>
          </cell>
          <cell r="I98">
            <v>20</v>
          </cell>
          <cell r="J98">
            <v>1</v>
          </cell>
          <cell r="K98">
            <v>20</v>
          </cell>
        </row>
        <row r="99">
          <cell r="B99">
            <v>0</v>
          </cell>
          <cell r="C99">
            <v>2</v>
          </cell>
          <cell r="D99" t="str">
            <v>Dan Davis</v>
          </cell>
          <cell r="E99" t="str">
            <v>DAN DAVIS</v>
          </cell>
          <cell r="F99" t="str">
            <v>TEQUILA TASTING PARTY</v>
          </cell>
          <cell r="G99" t="str">
            <v>FUN NIGHT OF TEQUILA TASTING &amp; EDUCATION OF THE FINE SPIRIT</v>
          </cell>
          <cell r="H99" t="str">
            <v>NO</v>
          </cell>
          <cell r="I99">
            <v>20</v>
          </cell>
          <cell r="J99">
            <v>1</v>
          </cell>
          <cell r="K99">
            <v>20</v>
          </cell>
        </row>
        <row r="100">
          <cell r="B100">
            <v>0</v>
          </cell>
          <cell r="C100">
            <v>2</v>
          </cell>
          <cell r="D100" t="str">
            <v>Dan Davis</v>
          </cell>
          <cell r="E100" t="str">
            <v>DAN DAVIS</v>
          </cell>
          <cell r="F100" t="str">
            <v>TEQUILA TASTING PARTY</v>
          </cell>
          <cell r="G100" t="str">
            <v>FUN NIGHT OF TEQUILA TASTING &amp; EDUCATION OF THE FINE SPIRIT</v>
          </cell>
          <cell r="H100" t="str">
            <v>NO</v>
          </cell>
          <cell r="I100">
            <v>20</v>
          </cell>
          <cell r="J100">
            <v>1</v>
          </cell>
          <cell r="K100">
            <v>20</v>
          </cell>
        </row>
        <row r="101">
          <cell r="B101">
            <v>0</v>
          </cell>
          <cell r="C101">
            <v>2</v>
          </cell>
          <cell r="D101" t="str">
            <v>Dan Davis</v>
          </cell>
          <cell r="E101" t="str">
            <v>DAN DAVIS</v>
          </cell>
          <cell r="F101" t="str">
            <v>TEQUILA TASTING PARTY</v>
          </cell>
          <cell r="G101" t="str">
            <v>FUN NIGHT OF TEQUILA TASTING &amp; EDUCATION OF THE FINE SPIRIT</v>
          </cell>
          <cell r="H101" t="str">
            <v>NO</v>
          </cell>
          <cell r="I101">
            <v>20</v>
          </cell>
          <cell r="J101">
            <v>1</v>
          </cell>
          <cell r="K101">
            <v>20</v>
          </cell>
        </row>
        <row r="102">
          <cell r="B102">
            <v>0</v>
          </cell>
          <cell r="C102">
            <v>2</v>
          </cell>
          <cell r="D102" t="str">
            <v>Dan Davis</v>
          </cell>
          <cell r="E102" t="str">
            <v>DAN DAVIS</v>
          </cell>
          <cell r="F102" t="str">
            <v>TEQUILA TASTING PARTY</v>
          </cell>
          <cell r="G102" t="str">
            <v>FUN NIGHT OF TEQUILA TASTING &amp; EDUCATION OF THE FINE SPIRIT</v>
          </cell>
          <cell r="H102" t="str">
            <v>NO</v>
          </cell>
          <cell r="I102">
            <v>20</v>
          </cell>
          <cell r="J102">
            <v>1</v>
          </cell>
          <cell r="K102">
            <v>20</v>
          </cell>
        </row>
        <row r="103">
          <cell r="B103">
            <v>0</v>
          </cell>
          <cell r="C103">
            <v>2</v>
          </cell>
          <cell r="D103" t="str">
            <v>Dan Davis</v>
          </cell>
          <cell r="E103" t="str">
            <v>DAN DAVIS</v>
          </cell>
          <cell r="F103" t="str">
            <v>TEQUILA TASTING PARTY</v>
          </cell>
          <cell r="G103" t="str">
            <v>FUN NIGHT OF TEQUILA TASTING &amp; EDUCATION OF THE FINE SPIRIT</v>
          </cell>
          <cell r="H103" t="str">
            <v>NO</v>
          </cell>
          <cell r="I103">
            <v>20</v>
          </cell>
          <cell r="J103">
            <v>1</v>
          </cell>
          <cell r="K103">
            <v>20</v>
          </cell>
        </row>
        <row r="104">
          <cell r="B104">
            <v>0</v>
          </cell>
          <cell r="C104">
            <v>2</v>
          </cell>
          <cell r="D104" t="str">
            <v>Dan Davis</v>
          </cell>
          <cell r="E104" t="str">
            <v>DAN DAVIS</v>
          </cell>
          <cell r="F104" t="str">
            <v>TEQUILA TASTING PARTY</v>
          </cell>
          <cell r="G104" t="str">
            <v>FUN NIGHT OF TEQUILA TASTING &amp; EDUCATION OF THE FINE SPIRIT</v>
          </cell>
          <cell r="H104" t="str">
            <v>NO</v>
          </cell>
          <cell r="I104">
            <v>20</v>
          </cell>
          <cell r="J104">
            <v>1</v>
          </cell>
          <cell r="K104">
            <v>20</v>
          </cell>
        </row>
        <row r="105">
          <cell r="B105">
            <v>0</v>
          </cell>
          <cell r="C105">
            <v>2</v>
          </cell>
          <cell r="D105" t="str">
            <v>Dan Davis</v>
          </cell>
          <cell r="E105" t="str">
            <v>DAN DAVIS</v>
          </cell>
          <cell r="F105" t="str">
            <v>TEQUILA TASTING PARTY</v>
          </cell>
          <cell r="G105" t="str">
            <v>FUN NIGHT OF TEQUILA TASTING &amp; EDUCATION OF THE FINE SPIRIT</v>
          </cell>
          <cell r="H105" t="str">
            <v>NO</v>
          </cell>
          <cell r="I105">
            <v>20</v>
          </cell>
          <cell r="J105">
            <v>1</v>
          </cell>
          <cell r="K105">
            <v>20</v>
          </cell>
        </row>
        <row r="106">
          <cell r="B106">
            <v>0</v>
          </cell>
          <cell r="C106">
            <v>2</v>
          </cell>
          <cell r="D106" t="str">
            <v>Dan Davis</v>
          </cell>
          <cell r="E106" t="str">
            <v>DAN DAVIS</v>
          </cell>
          <cell r="F106" t="str">
            <v>TEQUILA TASTING PARTY</v>
          </cell>
          <cell r="G106" t="str">
            <v>FUN NIGHT OF TEQUILA TASTING &amp; EDUCATION OF THE FINE SPIRIT</v>
          </cell>
          <cell r="H106" t="str">
            <v>NO</v>
          </cell>
          <cell r="I106">
            <v>20</v>
          </cell>
          <cell r="J106">
            <v>1</v>
          </cell>
          <cell r="K106">
            <v>20</v>
          </cell>
        </row>
        <row r="107">
          <cell r="B107">
            <v>0</v>
          </cell>
          <cell r="C107">
            <v>2</v>
          </cell>
          <cell r="D107" t="str">
            <v>Dan Davis</v>
          </cell>
          <cell r="E107" t="str">
            <v>DAN DAVIS</v>
          </cell>
          <cell r="F107" t="str">
            <v>TEQUILA TASTING PARTY</v>
          </cell>
          <cell r="G107" t="str">
            <v>FUN NIGHT OF TEQUILA TASTING &amp; EDUCATION OF THE FINE SPIRIT</v>
          </cell>
          <cell r="H107" t="str">
            <v>NO</v>
          </cell>
          <cell r="I107">
            <v>20</v>
          </cell>
          <cell r="J107">
            <v>1</v>
          </cell>
          <cell r="K107">
            <v>20</v>
          </cell>
        </row>
        <row r="108">
          <cell r="B108">
            <v>0</v>
          </cell>
          <cell r="C108">
            <v>2</v>
          </cell>
          <cell r="D108" t="str">
            <v>Dan Davis</v>
          </cell>
          <cell r="E108" t="str">
            <v>DAN DAVIS</v>
          </cell>
          <cell r="F108" t="str">
            <v>TEQUILA TASTING PARTY</v>
          </cell>
          <cell r="G108" t="str">
            <v>FUN NIGHT OF TEQUILA TASTING &amp; EDUCATION OF THE FINE SPIRIT</v>
          </cell>
          <cell r="H108" t="str">
            <v>NO</v>
          </cell>
          <cell r="I108">
            <v>20</v>
          </cell>
          <cell r="J108">
            <v>1</v>
          </cell>
          <cell r="K108">
            <v>20</v>
          </cell>
        </row>
        <row r="109">
          <cell r="B109">
            <v>76</v>
          </cell>
          <cell r="C109">
            <v>0</v>
          </cell>
          <cell r="D109" t="str">
            <v>Dan Davis</v>
          </cell>
          <cell r="E109" t="str">
            <v>DAN DAVIS</v>
          </cell>
          <cell r="F109" t="str">
            <v>MOAB BIKE TRIP</v>
          </cell>
          <cell r="G109" t="str">
            <v>MOAB BIKE TRIP - SPRING 2017 - DAN DAVIS AS TRAIL GUIDE - 20 ENTRIES WIN</v>
          </cell>
          <cell r="H109" t="str">
            <v>YES</v>
          </cell>
          <cell r="I109">
            <v>25</v>
          </cell>
          <cell r="J109">
            <v>1</v>
          </cell>
          <cell r="K109">
            <v>25</v>
          </cell>
        </row>
        <row r="110">
          <cell r="B110">
            <v>0</v>
          </cell>
          <cell r="C110">
            <v>0</v>
          </cell>
          <cell r="D110" t="str">
            <v>Dan Davis</v>
          </cell>
          <cell r="E110" t="str">
            <v>DAN DAVIS</v>
          </cell>
          <cell r="F110" t="str">
            <v>MOAB BIKE TRIP</v>
          </cell>
          <cell r="G110" t="str">
            <v>MOAB BIKE TRIP - SPRING 2017 - DAN DAVIS AS TRAIL GUIDE - 20 ENTRIES WIN</v>
          </cell>
          <cell r="H110" t="str">
            <v>YES</v>
          </cell>
          <cell r="I110">
            <v>25</v>
          </cell>
          <cell r="J110">
            <v>1</v>
          </cell>
          <cell r="K110">
            <v>25</v>
          </cell>
        </row>
        <row r="111">
          <cell r="B111">
            <v>0</v>
          </cell>
          <cell r="C111">
            <v>0</v>
          </cell>
          <cell r="D111" t="str">
            <v>Dan Davis</v>
          </cell>
          <cell r="E111" t="str">
            <v>DAN DAVIS</v>
          </cell>
          <cell r="F111" t="str">
            <v>MOAB BIKE TRIP</v>
          </cell>
          <cell r="G111" t="str">
            <v>MOAB BIKE TRIP - SPRING 2017 - DAN DAVIS AS TRAIL GUIDE - 20 ENTRIES WIN</v>
          </cell>
          <cell r="H111" t="str">
            <v>YES</v>
          </cell>
          <cell r="I111">
            <v>25</v>
          </cell>
          <cell r="J111">
            <v>1</v>
          </cell>
          <cell r="K111">
            <v>25</v>
          </cell>
        </row>
        <row r="112">
          <cell r="B112">
            <v>0</v>
          </cell>
          <cell r="C112">
            <v>0</v>
          </cell>
          <cell r="D112" t="str">
            <v>Dan Davis</v>
          </cell>
          <cell r="E112" t="str">
            <v>DAN DAVIS</v>
          </cell>
          <cell r="F112" t="str">
            <v>MOAB BIKE TRIP</v>
          </cell>
          <cell r="G112" t="str">
            <v>MOAB BIKE TRIP - SPRING 2017 - DAN DAVIS AS TRAIL GUIDE - 20 ENTRIES WIN</v>
          </cell>
          <cell r="H112" t="str">
            <v>YES</v>
          </cell>
          <cell r="I112">
            <v>25</v>
          </cell>
          <cell r="J112">
            <v>1</v>
          </cell>
          <cell r="K112">
            <v>25</v>
          </cell>
        </row>
        <row r="113">
          <cell r="B113">
            <v>0</v>
          </cell>
          <cell r="C113">
            <v>0</v>
          </cell>
          <cell r="D113" t="str">
            <v>Dan Davis</v>
          </cell>
          <cell r="E113" t="str">
            <v>DAN DAVIS</v>
          </cell>
          <cell r="F113" t="str">
            <v>MOAB BIKE TRIP</v>
          </cell>
          <cell r="G113" t="str">
            <v>MOAB BIKE TRIP - SPRING 2017 - DAN DAVIS AS TRAIL GUIDE - 20 ENTRIES WIN</v>
          </cell>
          <cell r="H113" t="str">
            <v>YES</v>
          </cell>
          <cell r="I113">
            <v>25</v>
          </cell>
          <cell r="J113">
            <v>1</v>
          </cell>
          <cell r="K113">
            <v>25</v>
          </cell>
        </row>
        <row r="114">
          <cell r="B114">
            <v>0</v>
          </cell>
          <cell r="C114">
            <v>0</v>
          </cell>
          <cell r="D114" t="str">
            <v>Dan Davis</v>
          </cell>
          <cell r="E114" t="str">
            <v>DAN DAVIS</v>
          </cell>
          <cell r="F114" t="str">
            <v>MOAB BIKE TRIP</v>
          </cell>
          <cell r="G114" t="str">
            <v>MOAB BIKE TRIP - SPRING 2017 - DAN DAVIS AS TRAIL GUIDE - 20 ENTRIES WIN</v>
          </cell>
          <cell r="H114" t="str">
            <v>YES</v>
          </cell>
          <cell r="I114">
            <v>25</v>
          </cell>
          <cell r="J114">
            <v>1</v>
          </cell>
          <cell r="K114">
            <v>25</v>
          </cell>
        </row>
        <row r="115">
          <cell r="B115">
            <v>0</v>
          </cell>
          <cell r="C115">
            <v>0</v>
          </cell>
          <cell r="D115" t="str">
            <v>Dan Davis</v>
          </cell>
          <cell r="E115" t="str">
            <v>DAN DAVIS</v>
          </cell>
          <cell r="F115" t="str">
            <v>MOAB BIKE TRIP</v>
          </cell>
          <cell r="G115" t="str">
            <v>MOAB BIKE TRIP - SPRING 2017 - DAN DAVIS AS TRAIL GUIDE - 20 ENTRIES WIN</v>
          </cell>
          <cell r="H115" t="str">
            <v>YES</v>
          </cell>
          <cell r="I115">
            <v>25</v>
          </cell>
          <cell r="J115">
            <v>1</v>
          </cell>
          <cell r="K115">
            <v>25</v>
          </cell>
        </row>
        <row r="116">
          <cell r="B116">
            <v>0</v>
          </cell>
          <cell r="C116">
            <v>0</v>
          </cell>
          <cell r="D116" t="str">
            <v>Dan Davis</v>
          </cell>
          <cell r="E116" t="str">
            <v>DAN DAVIS</v>
          </cell>
          <cell r="F116" t="str">
            <v>MOAB BIKE TRIP</v>
          </cell>
          <cell r="G116" t="str">
            <v>MOAB BIKE TRIP - SPRING 2017 - DAN DAVIS AS TRAIL GUIDE - 20 ENTRIES WIN</v>
          </cell>
          <cell r="H116" t="str">
            <v>YES</v>
          </cell>
          <cell r="I116">
            <v>25</v>
          </cell>
          <cell r="J116">
            <v>1</v>
          </cell>
          <cell r="K116">
            <v>25</v>
          </cell>
        </row>
        <row r="117">
          <cell r="B117">
            <v>0</v>
          </cell>
          <cell r="C117">
            <v>0</v>
          </cell>
          <cell r="D117" t="str">
            <v>Dan Davis</v>
          </cell>
          <cell r="E117" t="str">
            <v>DAN DAVIS</v>
          </cell>
          <cell r="F117" t="str">
            <v>MOAB BIKE TRIP</v>
          </cell>
          <cell r="G117" t="str">
            <v>MOAB BIKE TRIP - SPRING 2017 - DAN DAVIS AS TRAIL GUIDE - 20 ENTRIES WIN</v>
          </cell>
          <cell r="H117" t="str">
            <v>YES</v>
          </cell>
          <cell r="I117">
            <v>25</v>
          </cell>
          <cell r="J117">
            <v>1</v>
          </cell>
          <cell r="K117">
            <v>25</v>
          </cell>
        </row>
        <row r="118">
          <cell r="B118">
            <v>0</v>
          </cell>
          <cell r="C118">
            <v>0</v>
          </cell>
          <cell r="D118" t="str">
            <v>Dan Davis</v>
          </cell>
          <cell r="E118" t="str">
            <v>DAN DAVIS</v>
          </cell>
          <cell r="F118" t="str">
            <v>MOAB BIKE TRIP</v>
          </cell>
          <cell r="G118" t="str">
            <v>MOAB BIKE TRIP - SPRING 2017 - DAN DAVIS AS TRAIL GUIDE - 20 ENTRIES WIN</v>
          </cell>
          <cell r="H118" t="str">
            <v>YES</v>
          </cell>
          <cell r="I118">
            <v>25</v>
          </cell>
          <cell r="J118">
            <v>1</v>
          </cell>
          <cell r="K118">
            <v>25</v>
          </cell>
        </row>
        <row r="119">
          <cell r="B119">
            <v>0</v>
          </cell>
          <cell r="C119">
            <v>0</v>
          </cell>
          <cell r="D119" t="str">
            <v>Dan Davis</v>
          </cell>
          <cell r="E119" t="str">
            <v>DAN DAVIS</v>
          </cell>
          <cell r="F119" t="str">
            <v>MOAB BIKE TRIP</v>
          </cell>
          <cell r="G119" t="str">
            <v>MOAB BIKE TRIP - SPRING 2017 - DAN DAVIS AS TRAIL GUIDE - 20 ENTRIES WIN</v>
          </cell>
          <cell r="H119" t="str">
            <v>YES</v>
          </cell>
          <cell r="I119">
            <v>25</v>
          </cell>
          <cell r="J119">
            <v>1</v>
          </cell>
          <cell r="K119">
            <v>25</v>
          </cell>
        </row>
        <row r="120">
          <cell r="B120">
            <v>0</v>
          </cell>
          <cell r="C120">
            <v>0</v>
          </cell>
          <cell r="D120" t="str">
            <v>Dan Davis</v>
          </cell>
          <cell r="E120" t="str">
            <v>DAN DAVIS</v>
          </cell>
          <cell r="F120" t="str">
            <v>MOAB BIKE TRIP</v>
          </cell>
          <cell r="G120" t="str">
            <v>MOAB BIKE TRIP - SPRING 2017 - DAN DAVIS AS TRAIL GUIDE - 20 ENTRIES WIN</v>
          </cell>
          <cell r="H120" t="str">
            <v>YES</v>
          </cell>
          <cell r="I120">
            <v>25</v>
          </cell>
          <cell r="J120">
            <v>1</v>
          </cell>
          <cell r="K120">
            <v>25</v>
          </cell>
        </row>
        <row r="121">
          <cell r="B121">
            <v>0</v>
          </cell>
          <cell r="C121">
            <v>0</v>
          </cell>
          <cell r="D121" t="str">
            <v>Dan Davis</v>
          </cell>
          <cell r="E121" t="str">
            <v>DAN DAVIS</v>
          </cell>
          <cell r="F121" t="str">
            <v>MOAB BIKE TRIP</v>
          </cell>
          <cell r="G121" t="str">
            <v>MOAB BIKE TRIP - SPRING 2017 - DAN DAVIS AS TRAIL GUIDE - 20 ENTRIES WIN</v>
          </cell>
          <cell r="H121" t="str">
            <v>YES</v>
          </cell>
          <cell r="I121">
            <v>25</v>
          </cell>
          <cell r="J121">
            <v>1</v>
          </cell>
          <cell r="K121">
            <v>25</v>
          </cell>
        </row>
        <row r="122">
          <cell r="B122">
            <v>0</v>
          </cell>
          <cell r="C122">
            <v>0</v>
          </cell>
          <cell r="D122" t="str">
            <v>Dan Davis</v>
          </cell>
          <cell r="E122" t="str">
            <v>DAN DAVIS</v>
          </cell>
          <cell r="F122" t="str">
            <v>MOAB BIKE TRIP</v>
          </cell>
          <cell r="G122" t="str">
            <v>MOAB BIKE TRIP - SPRING 2017 - DAN DAVIS AS TRAIL GUIDE - 20 ENTRIES WIN</v>
          </cell>
          <cell r="H122" t="str">
            <v>YES</v>
          </cell>
          <cell r="I122">
            <v>25</v>
          </cell>
          <cell r="J122">
            <v>1</v>
          </cell>
          <cell r="K122">
            <v>25</v>
          </cell>
        </row>
        <row r="123">
          <cell r="B123">
            <v>0</v>
          </cell>
          <cell r="C123">
            <v>0</v>
          </cell>
          <cell r="D123" t="str">
            <v>Dan Davis</v>
          </cell>
          <cell r="E123" t="str">
            <v>DAN DAVIS</v>
          </cell>
          <cell r="F123" t="str">
            <v>MOAB BIKE TRIP</v>
          </cell>
          <cell r="G123" t="str">
            <v>MOAB BIKE TRIP - SPRING 2017 - DAN DAVIS AS TRAIL GUIDE - 20 ENTRIES WIN</v>
          </cell>
          <cell r="H123" t="str">
            <v>YES</v>
          </cell>
          <cell r="I123">
            <v>25</v>
          </cell>
          <cell r="J123">
            <v>1</v>
          </cell>
          <cell r="K123">
            <v>25</v>
          </cell>
        </row>
        <row r="124">
          <cell r="B124">
            <v>0</v>
          </cell>
          <cell r="C124">
            <v>0</v>
          </cell>
          <cell r="D124" t="str">
            <v>Dan Davis</v>
          </cell>
          <cell r="E124" t="str">
            <v>DAN DAVIS</v>
          </cell>
          <cell r="F124" t="str">
            <v>MOAB BIKE TRIP</v>
          </cell>
          <cell r="G124" t="str">
            <v>MOAB BIKE TRIP - SPRING 2017 - DAN DAVIS AS TRAIL GUIDE - 20 ENTRIES WIN</v>
          </cell>
          <cell r="H124" t="str">
            <v>YES</v>
          </cell>
          <cell r="I124">
            <v>25</v>
          </cell>
          <cell r="J124">
            <v>1</v>
          </cell>
          <cell r="K124">
            <v>25</v>
          </cell>
        </row>
        <row r="125">
          <cell r="B125">
            <v>0</v>
          </cell>
          <cell r="C125">
            <v>0</v>
          </cell>
          <cell r="D125" t="str">
            <v>Dan Davis</v>
          </cell>
          <cell r="E125" t="str">
            <v>DAN DAVIS</v>
          </cell>
          <cell r="F125" t="str">
            <v>MOAB BIKE TRIP</v>
          </cell>
          <cell r="G125" t="str">
            <v>MOAB BIKE TRIP - SPRING 2017 - DAN DAVIS AS TRAIL GUIDE - 20 ENTRIES WIN</v>
          </cell>
          <cell r="H125" t="str">
            <v>YES</v>
          </cell>
          <cell r="I125">
            <v>25</v>
          </cell>
          <cell r="J125">
            <v>1</v>
          </cell>
          <cell r="K125">
            <v>25</v>
          </cell>
        </row>
        <row r="126">
          <cell r="B126">
            <v>0</v>
          </cell>
          <cell r="C126">
            <v>0</v>
          </cell>
          <cell r="D126" t="str">
            <v>Dan Davis</v>
          </cell>
          <cell r="E126" t="str">
            <v>DAN DAVIS</v>
          </cell>
          <cell r="F126" t="str">
            <v>MOAB BIKE TRIP</v>
          </cell>
          <cell r="G126" t="str">
            <v>MOAB BIKE TRIP - SPRING 2017 - DAN DAVIS AS TRAIL GUIDE - 20 ENTRIES WIN</v>
          </cell>
          <cell r="H126" t="str">
            <v>YES</v>
          </cell>
          <cell r="I126">
            <v>25</v>
          </cell>
          <cell r="J126">
            <v>1</v>
          </cell>
          <cell r="K126">
            <v>25</v>
          </cell>
        </row>
        <row r="127">
          <cell r="B127">
            <v>0</v>
          </cell>
          <cell r="C127">
            <v>0</v>
          </cell>
          <cell r="D127" t="str">
            <v>Dan Davis</v>
          </cell>
          <cell r="E127" t="str">
            <v>DAN DAVIS</v>
          </cell>
          <cell r="F127" t="str">
            <v>MOAB BIKE TRIP</v>
          </cell>
          <cell r="G127" t="str">
            <v>MOAB BIKE TRIP - SPRING 2017 - DAN DAVIS AS TRAIL GUIDE - 20 ENTRIES WIN</v>
          </cell>
          <cell r="H127" t="str">
            <v>YES</v>
          </cell>
          <cell r="I127">
            <v>25</v>
          </cell>
          <cell r="J127">
            <v>1</v>
          </cell>
          <cell r="K127">
            <v>25</v>
          </cell>
        </row>
        <row r="128">
          <cell r="B128">
            <v>0</v>
          </cell>
          <cell r="C128">
            <v>0</v>
          </cell>
          <cell r="D128" t="str">
            <v>Dan Davis</v>
          </cell>
          <cell r="E128" t="str">
            <v>DAN DAVIS</v>
          </cell>
          <cell r="F128" t="str">
            <v>MOAB BIKE TRIP</v>
          </cell>
          <cell r="G128" t="str">
            <v>MOAB BIKE TRIP - SPRING 2017 - DAN DAVIS AS TRAIL GUIDE - 20 ENTRIES WIN</v>
          </cell>
          <cell r="H128" t="str">
            <v>YES</v>
          </cell>
          <cell r="I128">
            <v>25</v>
          </cell>
          <cell r="J128">
            <v>1</v>
          </cell>
          <cell r="K128">
            <v>25</v>
          </cell>
        </row>
        <row r="129">
          <cell r="B129">
            <v>0</v>
          </cell>
          <cell r="C129">
            <v>0</v>
          </cell>
          <cell r="D129">
            <v>0</v>
          </cell>
          <cell r="E129">
            <v>0</v>
          </cell>
          <cell r="F129">
            <v>0</v>
          </cell>
          <cell r="G129">
            <v>0</v>
          </cell>
          <cell r="H129">
            <v>0</v>
          </cell>
          <cell r="I129">
            <v>0</v>
          </cell>
          <cell r="J129">
            <v>0</v>
          </cell>
          <cell r="K129">
            <v>0</v>
          </cell>
        </row>
        <row r="130">
          <cell r="B130">
            <v>0</v>
          </cell>
          <cell r="C130">
            <v>0</v>
          </cell>
          <cell r="D130">
            <v>0</v>
          </cell>
          <cell r="E130">
            <v>0</v>
          </cell>
          <cell r="F130">
            <v>0</v>
          </cell>
          <cell r="G130">
            <v>0</v>
          </cell>
          <cell r="H130">
            <v>0</v>
          </cell>
          <cell r="I130">
            <v>0</v>
          </cell>
          <cell r="J130">
            <v>0</v>
          </cell>
          <cell r="K130">
            <v>0</v>
          </cell>
        </row>
        <row r="131">
          <cell r="B131">
            <v>0</v>
          </cell>
          <cell r="C131">
            <v>0</v>
          </cell>
          <cell r="D131">
            <v>0</v>
          </cell>
          <cell r="E131">
            <v>0</v>
          </cell>
          <cell r="F131">
            <v>0</v>
          </cell>
          <cell r="G131">
            <v>0</v>
          </cell>
          <cell r="H131">
            <v>0</v>
          </cell>
          <cell r="I131">
            <v>0</v>
          </cell>
          <cell r="J131">
            <v>0</v>
          </cell>
          <cell r="K131">
            <v>0</v>
          </cell>
        </row>
        <row r="132">
          <cell r="B132">
            <v>0</v>
          </cell>
          <cell r="C132">
            <v>0</v>
          </cell>
          <cell r="D132">
            <v>0</v>
          </cell>
          <cell r="E132">
            <v>0</v>
          </cell>
          <cell r="F132">
            <v>0</v>
          </cell>
          <cell r="G132">
            <v>0</v>
          </cell>
          <cell r="H132">
            <v>0</v>
          </cell>
          <cell r="I132">
            <v>0</v>
          </cell>
          <cell r="J132">
            <v>0</v>
          </cell>
          <cell r="K132">
            <v>0</v>
          </cell>
        </row>
        <row r="133">
          <cell r="B133">
            <v>0</v>
          </cell>
          <cell r="C133">
            <v>0</v>
          </cell>
          <cell r="D133">
            <v>0</v>
          </cell>
          <cell r="E133">
            <v>0</v>
          </cell>
          <cell r="F133">
            <v>0</v>
          </cell>
          <cell r="G133">
            <v>0</v>
          </cell>
          <cell r="H133">
            <v>0</v>
          </cell>
          <cell r="I133">
            <v>0</v>
          </cell>
          <cell r="J133">
            <v>0</v>
          </cell>
          <cell r="K133">
            <v>0</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row r="2">
          <cell r="B2" t="str">
            <v>Master</v>
          </cell>
        </row>
        <row r="4">
          <cell r="B4" t="str">
            <v>Variable</v>
          </cell>
          <cell r="C4" t="str">
            <v>Mat_$</v>
          </cell>
          <cell r="D4" t="str">
            <v>Base_$</v>
          </cell>
          <cell r="E4" t="str">
            <v>Fringe_$</v>
          </cell>
          <cell r="F4" t="str">
            <v>Labor_Hrs</v>
          </cell>
        </row>
        <row r="5">
          <cell r="B5" t="str">
            <v>BaseBidEquip_i</v>
          </cell>
          <cell r="C5">
            <v>111000</v>
          </cell>
          <cell r="D5">
            <v>10920.16</v>
          </cell>
          <cell r="E5">
            <v>2726.22</v>
          </cell>
          <cell r="F5">
            <v>553.20000000000005</v>
          </cell>
        </row>
        <row r="6">
          <cell r="B6" t="str">
            <v>BaseBidFixtures_i</v>
          </cell>
          <cell r="C6">
            <v>30520</v>
          </cell>
          <cell r="D6">
            <v>13595</v>
          </cell>
          <cell r="E6">
            <v>3193.44</v>
          </cell>
          <cell r="F6">
            <v>588</v>
          </cell>
        </row>
        <row r="7">
          <cell r="B7" t="str">
            <v>BaseBidHang_i</v>
          </cell>
          <cell r="C7">
            <v>115284.29</v>
          </cell>
          <cell r="D7">
            <v>8475.8856837940803</v>
          </cell>
          <cell r="E7">
            <v>2160.9670780850402</v>
          </cell>
          <cell r="F7">
            <v>410.28761193848698</v>
          </cell>
        </row>
        <row r="8">
          <cell r="B8" t="str">
            <v>BaseBidItemsTotal_i</v>
          </cell>
          <cell r="C8">
            <v>519625.08578000002</v>
          </cell>
          <cell r="D8">
            <v>95527.180559657907</v>
          </cell>
          <cell r="E8">
            <v>24018.921409708299</v>
          </cell>
          <cell r="F8">
            <v>4576.8114308671702</v>
          </cell>
        </row>
        <row r="9">
          <cell r="B9" t="str">
            <v>BaseBidMisc_Steel_i</v>
          </cell>
          <cell r="C9">
            <v>2104.86</v>
          </cell>
          <cell r="D9">
            <v>0</v>
          </cell>
          <cell r="E9">
            <v>0</v>
          </cell>
          <cell r="F9">
            <v>0</v>
          </cell>
        </row>
        <row r="10">
          <cell r="B10" t="str">
            <v>BaseBidMisc_i</v>
          </cell>
          <cell r="C10">
            <v>6236.3532800000003</v>
          </cell>
          <cell r="D10">
            <v>0</v>
          </cell>
          <cell r="E10">
            <v>0</v>
          </cell>
          <cell r="F10">
            <v>0</v>
          </cell>
        </row>
        <row r="11">
          <cell r="B11" t="str">
            <v>BaseBidPipe_Fit_i</v>
          </cell>
          <cell r="C11">
            <v>168045.1925</v>
          </cell>
          <cell r="D11">
            <v>57377.627426165302</v>
          </cell>
          <cell r="E11">
            <v>14623.9829370804</v>
          </cell>
          <cell r="F11">
            <v>2775.9049266644201</v>
          </cell>
        </row>
        <row r="12">
          <cell r="B12" t="str">
            <v>BaseBidSpec_i</v>
          </cell>
          <cell r="C12">
            <v>0</v>
          </cell>
          <cell r="D12">
            <v>0</v>
          </cell>
          <cell r="E12">
            <v>0</v>
          </cell>
          <cell r="F12">
            <v>0</v>
          </cell>
        </row>
        <row r="13">
          <cell r="B13" t="str">
            <v>BaseBidValves_i</v>
          </cell>
          <cell r="C13">
            <v>86434.39</v>
          </cell>
          <cell r="D13">
            <v>5158.5074496985999</v>
          </cell>
          <cell r="E13">
            <v>1314.3113945428199</v>
          </cell>
          <cell r="F13">
            <v>249.41889226426599</v>
          </cell>
        </row>
        <row r="14">
          <cell r="B14" t="str">
            <v>ChillerPlantHang_i</v>
          </cell>
          <cell r="C14">
            <v>6555.9</v>
          </cell>
          <cell r="D14">
            <v>180.33997313330499</v>
          </cell>
          <cell r="E14">
            <v>46.184627265846302</v>
          </cell>
          <cell r="F14">
            <v>8.7970718601611999</v>
          </cell>
        </row>
        <row r="15">
          <cell r="B15" t="str">
            <v>ChillerPlantItemsTotal_i</v>
          </cell>
          <cell r="C15">
            <v>43403.693399999996</v>
          </cell>
          <cell r="D15">
            <v>9743.9738127741293</v>
          </cell>
          <cell r="E15">
            <v>2495.4079276616699</v>
          </cell>
          <cell r="F15">
            <v>475.31579574507901</v>
          </cell>
        </row>
        <row r="16">
          <cell r="B16" t="str">
            <v>ChillerPlantMisc_Steel_i</v>
          </cell>
          <cell r="C16">
            <v>67.5</v>
          </cell>
          <cell r="D16">
            <v>0</v>
          </cell>
          <cell r="E16">
            <v>0</v>
          </cell>
          <cell r="F16">
            <v>0</v>
          </cell>
        </row>
        <row r="17">
          <cell r="B17" t="str">
            <v>ChillerPlantMisc_i</v>
          </cell>
          <cell r="C17">
            <v>602.99339999999995</v>
          </cell>
          <cell r="D17">
            <v>0</v>
          </cell>
          <cell r="E17">
            <v>0</v>
          </cell>
          <cell r="F17">
            <v>0</v>
          </cell>
        </row>
        <row r="18">
          <cell r="B18" t="str">
            <v>ChillerPlantPipe_Fit_i</v>
          </cell>
          <cell r="C18">
            <v>22267.3</v>
          </cell>
          <cell r="D18">
            <v>8882.1010897272809</v>
          </cell>
          <cell r="E18">
            <v>2274.68442541796</v>
          </cell>
          <cell r="F18">
            <v>433.27322388913598</v>
          </cell>
        </row>
        <row r="19">
          <cell r="B19" t="str">
            <v>ChillerPlantValves_i</v>
          </cell>
          <cell r="C19">
            <v>13910</v>
          </cell>
          <cell r="D19">
            <v>681.53274991354101</v>
          </cell>
          <cell r="E19">
            <v>174.538874977858</v>
          </cell>
          <cell r="F19">
            <v>33.245499995782502</v>
          </cell>
        </row>
        <row r="20">
          <cell r="B20" t="str">
            <v>WestWingEquip_i</v>
          </cell>
          <cell r="C20">
            <v>9000</v>
          </cell>
          <cell r="D20">
            <v>1367.12</v>
          </cell>
          <cell r="E20">
            <v>339.36</v>
          </cell>
          <cell r="F20">
            <v>70.400000000000006</v>
          </cell>
        </row>
        <row r="21">
          <cell r="B21" t="str">
            <v>WestWingHang_i</v>
          </cell>
          <cell r="C21">
            <v>12084.62</v>
          </cell>
          <cell r="D21">
            <v>1032.3461573142099</v>
          </cell>
          <cell r="E21">
            <v>264.38133297071101</v>
          </cell>
          <cell r="F21">
            <v>50.358349137278303</v>
          </cell>
        </row>
        <row r="22">
          <cell r="B22" t="str">
            <v>WestWingItemsTotal_i</v>
          </cell>
          <cell r="C22">
            <v>56292.906799999997</v>
          </cell>
          <cell r="D22">
            <v>18187.840141243902</v>
          </cell>
          <cell r="E22">
            <v>4647.1054020258698</v>
          </cell>
          <cell r="F22">
            <v>890.92293371921301</v>
          </cell>
        </row>
        <row r="23">
          <cell r="B23" t="str">
            <v>WestWingMisc_Steel_i</v>
          </cell>
          <cell r="C23">
            <v>266.27999999999997</v>
          </cell>
          <cell r="D23">
            <v>0</v>
          </cell>
          <cell r="E23">
            <v>0</v>
          </cell>
          <cell r="F23">
            <v>0</v>
          </cell>
        </row>
        <row r="24">
          <cell r="B24" t="str">
            <v>WestWingMisc_i</v>
          </cell>
          <cell r="C24">
            <v>719.85680000000002</v>
          </cell>
          <cell r="D24">
            <v>0</v>
          </cell>
          <cell r="E24">
            <v>0</v>
          </cell>
          <cell r="F24">
            <v>0</v>
          </cell>
        </row>
        <row r="25">
          <cell r="B25" t="str">
            <v>WestWingPipe_Fit_i</v>
          </cell>
          <cell r="C25">
            <v>19222.150000000001</v>
          </cell>
          <cell r="D25">
            <v>14791.2321082172</v>
          </cell>
          <cell r="E25">
            <v>3787.9984667385602</v>
          </cell>
          <cell r="F25">
            <v>721.52351747401099</v>
          </cell>
        </row>
        <row r="26">
          <cell r="B26" t="str">
            <v>WestWingValves_i</v>
          </cell>
          <cell r="C26">
            <v>15000</v>
          </cell>
          <cell r="D26">
            <v>997.14187571242906</v>
          </cell>
          <cell r="E26">
            <v>255.365602316598</v>
          </cell>
          <cell r="F26">
            <v>48.641067107923398</v>
          </cell>
        </row>
        <row r="27">
          <cell r="B27" t="str">
            <v>BaseBidGATotal_g</v>
          </cell>
          <cell r="C27">
            <v>27976</v>
          </cell>
          <cell r="D27">
            <v>57535</v>
          </cell>
          <cell r="E27">
            <v>0</v>
          </cell>
          <cell r="F27">
            <v>1424</v>
          </cell>
        </row>
        <row r="28">
          <cell r="B28" t="str">
            <v>BaseBidGeneralAdminLabor_g</v>
          </cell>
          <cell r="C28">
            <v>0</v>
          </cell>
          <cell r="D28">
            <v>56730</v>
          </cell>
          <cell r="E28">
            <v>0</v>
          </cell>
          <cell r="F28">
            <v>1401</v>
          </cell>
        </row>
        <row r="29">
          <cell r="B29" t="str">
            <v>BaseBidGeneralLabor_g</v>
          </cell>
          <cell r="C29">
            <v>0</v>
          </cell>
          <cell r="D29">
            <v>805</v>
          </cell>
          <cell r="E29">
            <v>0</v>
          </cell>
          <cell r="F29">
            <v>23</v>
          </cell>
        </row>
        <row r="30">
          <cell r="B30" t="str">
            <v>BaseBidMaterialMisc.NoTax_g</v>
          </cell>
          <cell r="C30">
            <v>12200</v>
          </cell>
          <cell r="D30">
            <v>0</v>
          </cell>
          <cell r="E30">
            <v>0</v>
          </cell>
          <cell r="F30">
            <v>0</v>
          </cell>
        </row>
        <row r="31">
          <cell r="B31" t="str">
            <v>BaseBidMaterialMisc.w/Tax_g</v>
          </cell>
          <cell r="C31">
            <v>2576</v>
          </cell>
          <cell r="D31">
            <v>0</v>
          </cell>
          <cell r="E31">
            <v>0</v>
          </cell>
          <cell r="F31">
            <v>0</v>
          </cell>
        </row>
        <row r="32">
          <cell r="B32" t="str">
            <v>BaseBidToolsAndEquipment_g</v>
          </cell>
          <cell r="C32">
            <v>13200</v>
          </cell>
          <cell r="D32">
            <v>0</v>
          </cell>
          <cell r="E32">
            <v>0</v>
          </cell>
          <cell r="F32">
            <v>0</v>
          </cell>
        </row>
        <row r="33">
          <cell r="B33" t="str">
            <v>ChillerPlantGATotal_g</v>
          </cell>
          <cell r="C33">
            <v>8688</v>
          </cell>
          <cell r="D33">
            <v>3358</v>
          </cell>
          <cell r="E33">
            <v>0</v>
          </cell>
          <cell r="F33">
            <v>69</v>
          </cell>
        </row>
        <row r="34">
          <cell r="B34" t="str">
            <v>ChillerPlantGeneralAdminLabor_g</v>
          </cell>
          <cell r="C34">
            <v>0</v>
          </cell>
          <cell r="D34">
            <v>2070</v>
          </cell>
          <cell r="E34">
            <v>0</v>
          </cell>
          <cell r="F34">
            <v>46</v>
          </cell>
        </row>
        <row r="35">
          <cell r="B35" t="str">
            <v>ChillerPlantGeneralLabor_g</v>
          </cell>
          <cell r="C35">
            <v>0</v>
          </cell>
          <cell r="D35">
            <v>1288</v>
          </cell>
          <cell r="E35">
            <v>0</v>
          </cell>
          <cell r="F35">
            <v>23</v>
          </cell>
        </row>
        <row r="36">
          <cell r="B36" t="str">
            <v>ChillerPlantMaterialMisc.NoTax_g</v>
          </cell>
          <cell r="C36">
            <v>2000</v>
          </cell>
          <cell r="D36">
            <v>0</v>
          </cell>
          <cell r="E36">
            <v>0</v>
          </cell>
          <cell r="F36">
            <v>0</v>
          </cell>
        </row>
        <row r="37">
          <cell r="B37" t="str">
            <v>ChillerPlantMaterialMisc.w/Tax_g</v>
          </cell>
          <cell r="C37">
            <v>1288</v>
          </cell>
          <cell r="D37">
            <v>0</v>
          </cell>
          <cell r="E37">
            <v>0</v>
          </cell>
          <cell r="F37">
            <v>0</v>
          </cell>
        </row>
        <row r="38">
          <cell r="B38" t="str">
            <v>ChillerPlantToolsAndEquipment_g</v>
          </cell>
          <cell r="C38">
            <v>5400</v>
          </cell>
          <cell r="D38">
            <v>0</v>
          </cell>
          <cell r="E38">
            <v>0</v>
          </cell>
          <cell r="F38">
            <v>0</v>
          </cell>
        </row>
        <row r="39">
          <cell r="B39" t="str">
            <v>WestWingGATotal_g</v>
          </cell>
          <cell r="C39">
            <v>8000</v>
          </cell>
          <cell r="D39">
            <v>13800</v>
          </cell>
          <cell r="E39">
            <v>0</v>
          </cell>
          <cell r="F39">
            <v>429</v>
          </cell>
        </row>
        <row r="40">
          <cell r="B40" t="str">
            <v>WestWingGeneralAdminLabor_g</v>
          </cell>
          <cell r="C40">
            <v>0</v>
          </cell>
          <cell r="D40">
            <v>1800</v>
          </cell>
          <cell r="E40">
            <v>0</v>
          </cell>
          <cell r="F40">
            <v>45</v>
          </cell>
        </row>
        <row r="41">
          <cell r="B41" t="str">
            <v>WestWingGeneralLabor_g</v>
          </cell>
          <cell r="C41">
            <v>0</v>
          </cell>
          <cell r="D41">
            <v>12000</v>
          </cell>
          <cell r="E41">
            <v>0</v>
          </cell>
          <cell r="F41">
            <v>384</v>
          </cell>
        </row>
        <row r="42">
          <cell r="B42" t="str">
            <v>WestWingMaterialMisc.NoTax_g</v>
          </cell>
          <cell r="C42">
            <v>2600</v>
          </cell>
          <cell r="D42">
            <v>0</v>
          </cell>
          <cell r="E42">
            <v>0</v>
          </cell>
          <cell r="F42">
            <v>0</v>
          </cell>
        </row>
        <row r="43">
          <cell r="B43" t="str">
            <v>WestWingMaterialMisc.w/Tax_g</v>
          </cell>
          <cell r="C43">
            <v>1800</v>
          </cell>
          <cell r="D43">
            <v>0</v>
          </cell>
          <cell r="E43">
            <v>0</v>
          </cell>
          <cell r="F43">
            <v>0</v>
          </cell>
        </row>
        <row r="44">
          <cell r="B44" t="str">
            <v>WestWingToolsAndEquipment_g</v>
          </cell>
          <cell r="C44">
            <v>3600</v>
          </cell>
          <cell r="D44">
            <v>0</v>
          </cell>
          <cell r="E44">
            <v>0</v>
          </cell>
          <cell r="F44">
            <v>0</v>
          </cell>
        </row>
        <row r="45">
          <cell r="B45" t="str">
            <v>BaseBidControls_s</v>
          </cell>
          <cell r="C45">
            <v>229000</v>
          </cell>
          <cell r="D45">
            <v>0</v>
          </cell>
          <cell r="E45">
            <v>0</v>
          </cell>
          <cell r="F45">
            <v>0</v>
          </cell>
        </row>
        <row r="46">
          <cell r="B46" t="str">
            <v>BaseBidInsulation_s</v>
          </cell>
          <cell r="C46">
            <v>331000</v>
          </cell>
          <cell r="D46">
            <v>0</v>
          </cell>
          <cell r="E46">
            <v>0</v>
          </cell>
          <cell r="F46">
            <v>0</v>
          </cell>
        </row>
        <row r="47">
          <cell r="B47" t="str">
            <v>BaseBidSheetMetal_s</v>
          </cell>
          <cell r="C47">
            <v>864000</v>
          </cell>
          <cell r="D47">
            <v>0</v>
          </cell>
          <cell r="E47">
            <v>0</v>
          </cell>
          <cell r="F47">
            <v>0</v>
          </cell>
        </row>
        <row r="48">
          <cell r="B48" t="str">
            <v>BaseBidSubTotal_s</v>
          </cell>
          <cell r="C48">
            <v>1424000</v>
          </cell>
          <cell r="D48">
            <v>0</v>
          </cell>
          <cell r="E48">
            <v>0</v>
          </cell>
          <cell r="F48">
            <v>0</v>
          </cell>
        </row>
        <row r="49">
          <cell r="B49" t="str">
            <v>ChillerPlantControls_s</v>
          </cell>
          <cell r="C49">
            <v>31000</v>
          </cell>
          <cell r="D49">
            <v>0</v>
          </cell>
          <cell r="E49">
            <v>0</v>
          </cell>
          <cell r="F49">
            <v>0</v>
          </cell>
        </row>
        <row r="50">
          <cell r="B50" t="str">
            <v>ChillerPlantInsulation_s</v>
          </cell>
          <cell r="C50">
            <v>39000</v>
          </cell>
          <cell r="D50">
            <v>0</v>
          </cell>
          <cell r="E50">
            <v>0</v>
          </cell>
          <cell r="F50">
            <v>0</v>
          </cell>
        </row>
        <row r="51">
          <cell r="B51" t="str">
            <v>ChillerPlantSheetMetal_s</v>
          </cell>
          <cell r="C51">
            <v>0</v>
          </cell>
          <cell r="D51">
            <v>0</v>
          </cell>
          <cell r="E51">
            <v>0</v>
          </cell>
          <cell r="F51">
            <v>0</v>
          </cell>
        </row>
        <row r="52">
          <cell r="B52" t="str">
            <v>ChillerPlantSubTotal_s</v>
          </cell>
          <cell r="C52">
            <v>70000</v>
          </cell>
          <cell r="D52">
            <v>0</v>
          </cell>
          <cell r="E52">
            <v>0</v>
          </cell>
          <cell r="F52">
            <v>0</v>
          </cell>
        </row>
        <row r="53">
          <cell r="B53" t="str">
            <v>ChillerPlantSubcontractor_s</v>
          </cell>
          <cell r="C53">
            <v>0</v>
          </cell>
          <cell r="D53">
            <v>0</v>
          </cell>
          <cell r="E53">
            <v>0</v>
          </cell>
          <cell r="F53">
            <v>0</v>
          </cell>
        </row>
        <row r="54">
          <cell r="B54" t="str">
            <v>WestWingControls_s</v>
          </cell>
          <cell r="C54">
            <v>58000</v>
          </cell>
          <cell r="D54">
            <v>0</v>
          </cell>
          <cell r="E54">
            <v>0</v>
          </cell>
          <cell r="F54">
            <v>0</v>
          </cell>
        </row>
        <row r="55">
          <cell r="B55" t="str">
            <v>WestWingInsulation_s</v>
          </cell>
          <cell r="C55">
            <v>69000</v>
          </cell>
          <cell r="D55">
            <v>0</v>
          </cell>
          <cell r="E55">
            <v>0</v>
          </cell>
          <cell r="F55">
            <v>0</v>
          </cell>
        </row>
        <row r="56">
          <cell r="B56" t="str">
            <v>WestWingSheetMetal_s</v>
          </cell>
          <cell r="C56">
            <v>124000</v>
          </cell>
          <cell r="D56">
            <v>0</v>
          </cell>
          <cell r="E56">
            <v>0</v>
          </cell>
          <cell r="F56">
            <v>0</v>
          </cell>
        </row>
        <row r="57">
          <cell r="B57" t="str">
            <v>WestWingSubTotal_s</v>
          </cell>
          <cell r="C57">
            <v>251000</v>
          </cell>
          <cell r="D57">
            <v>0</v>
          </cell>
          <cell r="E57">
            <v>0</v>
          </cell>
          <cell r="F57">
            <v>0</v>
          </cell>
        </row>
        <row r="58">
          <cell r="B58" t="str">
            <v>WestWingSubcontractor_s</v>
          </cell>
          <cell r="C58">
            <v>0</v>
          </cell>
          <cell r="D58">
            <v>0</v>
          </cell>
          <cell r="E58">
            <v>0</v>
          </cell>
          <cell r="F5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4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printerSettings" Target="../printerSettings/printerSettings52.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printerSettings" Target="../printerSettings/printerSettings56.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printerSettings" Target="../printerSettings/printerSettings60.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64.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6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printerSettings" Target="../printerSettings/printerSettings7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printerSettings" Target="../printerSettings/printerSettings76.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79.bin"/><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80.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8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printerSettings" Target="../printerSettings/printerSettings8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91.bin"/><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9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94.bin"/><Relationship Id="rId1" Type="http://schemas.openxmlformats.org/officeDocument/2006/relationships/printerSettings" Target="../printerSettings/printerSettings9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4" Type="http://schemas.openxmlformats.org/officeDocument/2006/relationships/printerSettings" Target="../printerSettings/printerSettings9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01.bin"/><Relationship Id="rId2" Type="http://schemas.openxmlformats.org/officeDocument/2006/relationships/printerSettings" Target="../printerSettings/printerSettings100.bin"/><Relationship Id="rId1" Type="http://schemas.openxmlformats.org/officeDocument/2006/relationships/printerSettings" Target="../printerSettings/printerSettings99.bin"/><Relationship Id="rId5" Type="http://schemas.openxmlformats.org/officeDocument/2006/relationships/drawing" Target="../drawings/drawing3.xml"/><Relationship Id="rId4" Type="http://schemas.openxmlformats.org/officeDocument/2006/relationships/printerSettings" Target="../printerSettings/printerSettings102.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05.bin"/><Relationship Id="rId2" Type="http://schemas.openxmlformats.org/officeDocument/2006/relationships/printerSettings" Target="../printerSettings/printerSettings104.bin"/><Relationship Id="rId1" Type="http://schemas.openxmlformats.org/officeDocument/2006/relationships/printerSettings" Target="../printerSettings/printerSettings103.bin"/><Relationship Id="rId4" Type="http://schemas.openxmlformats.org/officeDocument/2006/relationships/printerSettings" Target="../printerSettings/printerSettings10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2"/>
  <sheetViews>
    <sheetView topLeftCell="A10" zoomScaleNormal="100" workbookViewId="0">
      <selection activeCell="N32" sqref="N32"/>
    </sheetView>
  </sheetViews>
  <sheetFormatPr defaultRowHeight="12.75" x14ac:dyDescent="0.2"/>
  <cols>
    <col min="1" max="1" width="4.5703125" customWidth="1"/>
    <col min="3" max="3" width="10.5703125" customWidth="1"/>
    <col min="4" max="4" width="4.5703125" customWidth="1"/>
    <col min="5" max="5" width="7.85546875" customWidth="1"/>
    <col min="8" max="8" width="10.42578125" customWidth="1"/>
    <col min="9" max="9" width="16.5703125" customWidth="1"/>
    <col min="10" max="10" width="9.140625" customWidth="1"/>
    <col min="11" max="11" width="9" customWidth="1"/>
  </cols>
  <sheetData>
    <row r="1" spans="1:11" ht="12.75" customHeight="1" x14ac:dyDescent="0.2">
      <c r="A1" s="1493" t="s">
        <v>1638</v>
      </c>
      <c r="B1" s="1493"/>
      <c r="C1" s="1493"/>
      <c r="D1" s="1493"/>
      <c r="E1" s="1493"/>
      <c r="F1" s="1493"/>
      <c r="G1" s="1493"/>
      <c r="H1" s="1493"/>
      <c r="I1" s="1493"/>
      <c r="J1" s="1493"/>
      <c r="K1" s="1493"/>
    </row>
    <row r="2" spans="1:11" ht="14.25" customHeight="1" x14ac:dyDescent="0.2">
      <c r="A2" s="1494" t="s">
        <v>2348</v>
      </c>
      <c r="B2" s="1494"/>
      <c r="C2" s="1494"/>
      <c r="D2" s="1494"/>
      <c r="E2" s="1494"/>
      <c r="F2" s="1494"/>
      <c r="G2" s="1494"/>
      <c r="H2" s="1494"/>
      <c r="I2" s="1494"/>
      <c r="J2" s="1494"/>
      <c r="K2" s="1494"/>
    </row>
    <row r="3" spans="1:11" ht="14.25" x14ac:dyDescent="0.2">
      <c r="B3" s="567"/>
    </row>
    <row r="4" spans="1:11" ht="27.75" customHeight="1" x14ac:dyDescent="0.2">
      <c r="A4" s="1449" t="s">
        <v>1663</v>
      </c>
      <c r="B4" s="1449"/>
      <c r="C4" s="1449"/>
      <c r="D4" s="1449"/>
      <c r="E4" s="1449"/>
      <c r="F4" s="1449"/>
      <c r="G4" s="1449"/>
      <c r="H4" s="1449"/>
      <c r="I4" s="1449"/>
      <c r="J4" s="1449"/>
      <c r="K4" s="1449"/>
    </row>
    <row r="5" spans="1:11" ht="14.25" customHeight="1" x14ac:dyDescent="0.2">
      <c r="B5" s="567"/>
    </row>
    <row r="6" spans="1:11" ht="14.25" customHeight="1" x14ac:dyDescent="0.2">
      <c r="A6" s="1448" t="s">
        <v>1664</v>
      </c>
      <c r="B6" s="1448"/>
      <c r="C6" s="1448"/>
      <c r="D6" s="1448"/>
      <c r="E6" s="1448"/>
      <c r="F6" s="1448"/>
      <c r="G6" s="1448"/>
      <c r="H6" s="1448"/>
      <c r="I6" s="1448"/>
      <c r="J6" s="1448"/>
      <c r="K6" s="1448"/>
    </row>
    <row r="7" spans="1:11" ht="14.25" customHeight="1" x14ac:dyDescent="0.2">
      <c r="A7" s="1448" t="s">
        <v>1665</v>
      </c>
      <c r="B7" s="1448"/>
      <c r="C7" s="1448"/>
      <c r="D7" s="1448"/>
      <c r="E7" s="1448"/>
      <c r="F7" s="1448"/>
      <c r="G7" s="1448"/>
      <c r="H7" s="1448"/>
      <c r="I7" s="1448"/>
      <c r="J7" s="1448"/>
      <c r="K7" s="1448"/>
    </row>
    <row r="8" spans="1:11" ht="14.25" customHeight="1" x14ac:dyDescent="0.2">
      <c r="A8" s="1448" t="s">
        <v>1666</v>
      </c>
      <c r="B8" s="1448"/>
      <c r="C8" s="1448"/>
      <c r="D8" s="1448"/>
      <c r="E8" s="1448"/>
      <c r="F8" s="1448"/>
      <c r="G8" s="1448"/>
      <c r="H8" s="1448"/>
      <c r="I8" s="1448"/>
      <c r="J8" s="1448"/>
      <c r="K8" s="1448"/>
    </row>
    <row r="9" spans="1:11" ht="14.25" customHeight="1" x14ac:dyDescent="0.2">
      <c r="A9" s="1448" t="s">
        <v>1667</v>
      </c>
      <c r="B9" s="1448"/>
      <c r="C9" s="1448"/>
      <c r="D9" s="1448"/>
      <c r="E9" s="1448"/>
      <c r="F9" s="1448"/>
      <c r="G9" s="1448"/>
      <c r="H9" s="1448"/>
      <c r="I9" s="1448"/>
      <c r="J9" s="1448"/>
      <c r="K9" s="1448"/>
    </row>
    <row r="10" spans="1:11" ht="14.25" customHeight="1" x14ac:dyDescent="0.2">
      <c r="A10" s="1448" t="s">
        <v>1668</v>
      </c>
      <c r="B10" s="1448"/>
      <c r="C10" s="1448"/>
      <c r="D10" s="1448"/>
      <c r="E10" s="1448"/>
      <c r="F10" s="1448"/>
      <c r="G10" s="1448"/>
      <c r="H10" s="1448"/>
      <c r="I10" s="1448"/>
      <c r="J10" s="1448"/>
      <c r="K10" s="1448"/>
    </row>
    <row r="11" spans="1:11" ht="14.25" customHeight="1" x14ac:dyDescent="0.2">
      <c r="A11" s="1449" t="s">
        <v>1669</v>
      </c>
      <c r="B11" s="1449"/>
      <c r="C11" s="1449"/>
      <c r="D11" s="1449"/>
      <c r="E11" s="1449"/>
      <c r="F11" s="1449"/>
      <c r="G11" s="1449"/>
      <c r="H11" s="1449"/>
      <c r="I11" s="1449"/>
      <c r="J11" s="1449"/>
      <c r="K11" s="1449"/>
    </row>
    <row r="12" spans="1:11" ht="14.25" customHeight="1" x14ac:dyDescent="0.2">
      <c r="A12" s="1448" t="s">
        <v>1670</v>
      </c>
      <c r="B12" s="1448"/>
      <c r="C12" s="1448"/>
      <c r="D12" s="1448"/>
      <c r="E12" s="1448"/>
      <c r="F12" s="1448"/>
      <c r="G12" s="1448"/>
      <c r="H12" s="1448"/>
      <c r="I12" s="1448"/>
      <c r="J12" s="1448"/>
      <c r="K12" s="1448"/>
    </row>
    <row r="13" spans="1:11" ht="14.25" customHeight="1" x14ac:dyDescent="0.2">
      <c r="A13" s="1448" t="s">
        <v>1671</v>
      </c>
      <c r="B13" s="1448"/>
      <c r="C13" s="1448"/>
      <c r="D13" s="1448"/>
      <c r="E13" s="1448"/>
      <c r="F13" s="1448"/>
      <c r="G13" s="1448"/>
      <c r="H13" s="1448"/>
      <c r="I13" s="1448"/>
      <c r="J13" s="1448"/>
      <c r="K13" s="1448"/>
    </row>
    <row r="14" spans="1:11" ht="14.25" customHeight="1" x14ac:dyDescent="0.2">
      <c r="A14" s="584"/>
      <c r="B14" s="569"/>
      <c r="C14" s="584"/>
      <c r="D14" s="584"/>
      <c r="E14" s="584"/>
      <c r="F14" s="584"/>
      <c r="G14" s="584"/>
      <c r="H14" s="584"/>
      <c r="I14" s="584"/>
      <c r="J14" s="584"/>
      <c r="K14" s="584"/>
    </row>
    <row r="15" spans="1:11" ht="28.5" customHeight="1" x14ac:dyDescent="0.2">
      <c r="A15" s="1449" t="s">
        <v>1639</v>
      </c>
      <c r="B15" s="1449"/>
      <c r="C15" s="1449"/>
      <c r="D15" s="1449"/>
      <c r="E15" s="1449"/>
      <c r="F15" s="1449"/>
      <c r="G15" s="1449"/>
      <c r="H15" s="1449"/>
      <c r="I15" s="1449"/>
      <c r="J15" s="1449"/>
      <c r="K15" s="1449"/>
    </row>
    <row r="16" spans="1:11" ht="14.25" x14ac:dyDescent="0.2">
      <c r="A16" s="584"/>
      <c r="B16" s="568"/>
      <c r="C16" s="584"/>
      <c r="D16" s="584"/>
      <c r="E16" s="584"/>
      <c r="F16" s="584"/>
      <c r="G16" s="584"/>
      <c r="H16" s="584"/>
      <c r="I16" s="584"/>
      <c r="J16" s="584"/>
      <c r="K16" s="584"/>
    </row>
    <row r="17" spans="1:22" ht="27" customHeight="1" x14ac:dyDescent="0.2">
      <c r="A17" s="1449" t="s">
        <v>2071</v>
      </c>
      <c r="B17" s="1449"/>
      <c r="C17" s="1449"/>
      <c r="D17" s="1449"/>
      <c r="E17" s="1449"/>
      <c r="F17" s="1449"/>
      <c r="G17" s="1449"/>
      <c r="H17" s="1449"/>
      <c r="I17" s="1449"/>
      <c r="J17" s="1449"/>
      <c r="K17" s="1449"/>
    </row>
    <row r="18" spans="1:22" ht="27" customHeight="1" thickBot="1" x14ac:dyDescent="0.25">
      <c r="A18" s="1051"/>
      <c r="B18" s="1051"/>
      <c r="C18" s="1051"/>
      <c r="D18" s="1051"/>
      <c r="E18" s="1051"/>
      <c r="F18" s="1051"/>
      <c r="G18" s="1051"/>
      <c r="H18" s="1051"/>
      <c r="I18" s="1051"/>
      <c r="J18" s="1051"/>
      <c r="K18" s="1051"/>
    </row>
    <row r="19" spans="1:22" ht="13.5" thickBot="1" x14ac:dyDescent="0.25">
      <c r="A19" s="1464"/>
      <c r="B19" s="1465"/>
      <c r="C19" s="1465"/>
      <c r="D19" s="1465"/>
      <c r="E19" s="1465"/>
      <c r="F19" s="1465"/>
      <c r="G19" s="1465"/>
      <c r="H19" s="1465"/>
      <c r="I19" s="1465"/>
      <c r="J19" s="1465"/>
      <c r="K19" s="1466"/>
    </row>
    <row r="20" spans="1:22" ht="13.5" thickBot="1" x14ac:dyDescent="0.25">
      <c r="A20" s="1073"/>
      <c r="B20" s="1074"/>
      <c r="C20" s="1074"/>
      <c r="D20" s="1074"/>
      <c r="E20" s="1074"/>
      <c r="F20" s="1074"/>
      <c r="G20" s="1074"/>
      <c r="H20" s="1074"/>
      <c r="I20" s="1074"/>
      <c r="J20" s="1074"/>
      <c r="K20" s="1074"/>
    </row>
    <row r="21" spans="1:22" ht="15" x14ac:dyDescent="0.25">
      <c r="A21" s="1467" t="s">
        <v>1155</v>
      </c>
      <c r="B21" s="1468"/>
      <c r="C21" s="1468"/>
      <c r="D21" s="1469"/>
      <c r="E21" s="1470" t="s">
        <v>2469</v>
      </c>
      <c r="F21" s="1471"/>
      <c r="G21" s="1471"/>
      <c r="H21" s="1471"/>
      <c r="I21" s="1472"/>
      <c r="J21" s="590" t="s">
        <v>1640</v>
      </c>
      <c r="K21" s="589">
        <v>106000</v>
      </c>
    </row>
    <row r="22" spans="1:22" ht="15" x14ac:dyDescent="0.25">
      <c r="A22" s="1450" t="s">
        <v>1641</v>
      </c>
      <c r="B22" s="1451"/>
      <c r="C22" s="1451"/>
      <c r="D22" s="1452"/>
      <c r="E22" s="1473" t="s">
        <v>2469</v>
      </c>
      <c r="F22" s="1474"/>
      <c r="G22" s="1474"/>
      <c r="H22" s="1474"/>
      <c r="I22" s="1474"/>
      <c r="J22" s="1474"/>
      <c r="K22" s="1475"/>
    </row>
    <row r="23" spans="1:22" ht="15" x14ac:dyDescent="0.25">
      <c r="A23" s="1450" t="s">
        <v>1642</v>
      </c>
      <c r="B23" s="1451"/>
      <c r="C23" s="1451"/>
      <c r="D23" s="1452"/>
      <c r="E23" s="1462" t="s">
        <v>2470</v>
      </c>
      <c r="F23" s="1462"/>
      <c r="G23" s="1462"/>
      <c r="H23" s="1462"/>
      <c r="I23" s="1462"/>
      <c r="J23" s="1462"/>
      <c r="K23" s="1463"/>
    </row>
    <row r="24" spans="1:22" ht="15" x14ac:dyDescent="0.25">
      <c r="A24" s="1450" t="s">
        <v>1643</v>
      </c>
      <c r="B24" s="1451"/>
      <c r="C24" s="1452"/>
      <c r="D24" s="1479">
        <v>44624</v>
      </c>
      <c r="E24" s="1479"/>
      <c r="F24" s="1479"/>
      <c r="G24" s="1481" t="s">
        <v>1644</v>
      </c>
      <c r="H24" s="1481"/>
      <c r="I24" s="1484">
        <v>0.5</v>
      </c>
      <c r="J24" s="1484"/>
      <c r="K24" s="1485"/>
    </row>
    <row r="25" spans="1:22" ht="15" x14ac:dyDescent="0.25">
      <c r="A25" s="1450" t="s">
        <v>1660</v>
      </c>
      <c r="B25" s="1451"/>
      <c r="C25" s="1451"/>
      <c r="D25" s="1452"/>
      <c r="E25" s="1479">
        <v>44757</v>
      </c>
      <c r="F25" s="1479"/>
      <c r="G25" s="1480" t="s">
        <v>1661</v>
      </c>
      <c r="H25" s="1480"/>
      <c r="I25" s="1480"/>
      <c r="J25" s="1482">
        <v>45056</v>
      </c>
      <c r="K25" s="1483"/>
      <c r="M25" s="1072"/>
    </row>
    <row r="26" spans="1:22" ht="15" x14ac:dyDescent="0.25">
      <c r="A26" s="1450" t="s">
        <v>2072</v>
      </c>
      <c r="B26" s="1451"/>
      <c r="C26" s="1451"/>
      <c r="D26" s="1451"/>
      <c r="E26" s="1491" t="s">
        <v>307</v>
      </c>
      <c r="F26" s="1492"/>
      <c r="G26" s="1075"/>
      <c r="H26" s="1075" t="s">
        <v>633</v>
      </c>
      <c r="I26" s="1259" t="s">
        <v>2471</v>
      </c>
      <c r="J26" s="1076"/>
      <c r="K26" s="1077"/>
      <c r="M26" s="1072"/>
    </row>
    <row r="27" spans="1:22" ht="15" x14ac:dyDescent="0.25">
      <c r="A27" s="1450" t="s">
        <v>1645</v>
      </c>
      <c r="B27" s="1451"/>
      <c r="C27" s="1451"/>
      <c r="D27" s="1451"/>
      <c r="E27" s="1452"/>
      <c r="F27" s="1458"/>
      <c r="G27" s="1458"/>
      <c r="H27" s="1458"/>
      <c r="I27" s="1458"/>
      <c r="J27" s="571"/>
      <c r="K27" s="570"/>
    </row>
    <row r="28" spans="1:22" ht="15" x14ac:dyDescent="0.25">
      <c r="A28" s="1450" t="s">
        <v>1646</v>
      </c>
      <c r="B28" s="1451"/>
      <c r="C28" s="1451"/>
      <c r="D28" s="1451"/>
      <c r="E28" s="1452"/>
      <c r="F28" s="573"/>
      <c r="G28" s="1481" t="s">
        <v>1647</v>
      </c>
      <c r="H28" s="1481"/>
      <c r="I28" s="1486">
        <v>44603</v>
      </c>
      <c r="J28" s="1486"/>
      <c r="K28" s="1487"/>
    </row>
    <row r="29" spans="1:22" ht="15.75" thickBot="1" x14ac:dyDescent="0.3">
      <c r="A29" s="1498" t="s">
        <v>1648</v>
      </c>
      <c r="B29" s="1499"/>
      <c r="C29" s="1499"/>
      <c r="D29" s="1499"/>
      <c r="E29" s="1500"/>
      <c r="F29" s="1488" t="s">
        <v>337</v>
      </c>
      <c r="G29" s="1489"/>
      <c r="H29" s="1489"/>
      <c r="I29" s="1489"/>
      <c r="J29" s="1489"/>
      <c r="K29" s="1490"/>
    </row>
    <row r="30" spans="1:22" ht="15" x14ac:dyDescent="0.25">
      <c r="A30" s="585" t="s">
        <v>1619</v>
      </c>
      <c r="B30" s="1459" t="s">
        <v>1701</v>
      </c>
      <c r="C30" s="1460"/>
      <c r="D30" s="1460"/>
      <c r="E30" s="1460"/>
      <c r="F30" s="1461" t="s">
        <v>1649</v>
      </c>
      <c r="G30" s="1461"/>
      <c r="H30" s="1461"/>
      <c r="I30" s="586"/>
      <c r="J30" s="587" t="s">
        <v>1655</v>
      </c>
      <c r="K30" s="588" t="s">
        <v>1659</v>
      </c>
      <c r="V30" t="s">
        <v>70</v>
      </c>
    </row>
    <row r="31" spans="1:22" x14ac:dyDescent="0.2">
      <c r="A31" s="572">
        <v>1</v>
      </c>
      <c r="B31" s="1455" t="s">
        <v>996</v>
      </c>
      <c r="C31" s="1456"/>
      <c r="D31" s="1456"/>
      <c r="E31" s="1456"/>
      <c r="F31" s="1456"/>
      <c r="G31" s="1456"/>
      <c r="H31" s="1456"/>
      <c r="I31" s="1456"/>
      <c r="J31" s="573" t="s">
        <v>261</v>
      </c>
      <c r="K31" s="573"/>
    </row>
    <row r="32" spans="1:22" x14ac:dyDescent="0.2">
      <c r="A32" s="572">
        <v>2</v>
      </c>
      <c r="B32" s="1455"/>
      <c r="C32" s="1456"/>
      <c r="D32" s="1456"/>
      <c r="E32" s="1456"/>
      <c r="F32" s="1456"/>
      <c r="G32" s="1456"/>
      <c r="H32" s="1456"/>
      <c r="I32" s="1456"/>
      <c r="J32" s="573"/>
      <c r="K32" s="573"/>
    </row>
    <row r="33" spans="1:11" x14ac:dyDescent="0.2">
      <c r="A33" s="572">
        <v>3</v>
      </c>
      <c r="B33" s="1455"/>
      <c r="C33" s="1456"/>
      <c r="D33" s="1456"/>
      <c r="E33" s="1456"/>
      <c r="F33" s="1456"/>
      <c r="G33" s="1456"/>
      <c r="H33" s="1456"/>
      <c r="I33" s="1456"/>
      <c r="J33" s="573"/>
      <c r="K33" s="573"/>
    </row>
    <row r="34" spans="1:11" x14ac:dyDescent="0.2">
      <c r="A34" s="572">
        <v>4</v>
      </c>
      <c r="B34" s="1455"/>
      <c r="C34" s="1456"/>
      <c r="D34" s="1456"/>
      <c r="E34" s="1456"/>
      <c r="F34" s="1456"/>
      <c r="G34" s="1456"/>
      <c r="H34" s="1456"/>
      <c r="I34" s="1456"/>
      <c r="J34" s="573"/>
      <c r="K34" s="573"/>
    </row>
    <row r="35" spans="1:11" x14ac:dyDescent="0.2">
      <c r="A35" s="572">
        <v>5</v>
      </c>
      <c r="B35" s="1455"/>
      <c r="C35" s="1456"/>
      <c r="D35" s="1456"/>
      <c r="E35" s="1456"/>
      <c r="F35" s="1456"/>
      <c r="G35" s="1456"/>
      <c r="H35" s="1456"/>
      <c r="I35" s="1456"/>
      <c r="J35" s="573"/>
      <c r="K35" s="573"/>
    </row>
    <row r="36" spans="1:11" ht="4.5" customHeight="1" x14ac:dyDescent="0.2">
      <c r="A36" s="583"/>
      <c r="B36" s="1440"/>
      <c r="C36" s="1440"/>
      <c r="D36" s="1440"/>
      <c r="E36" s="1440"/>
      <c r="F36" s="1440"/>
      <c r="G36" s="1440"/>
      <c r="H36" s="1440"/>
      <c r="I36" s="1440"/>
      <c r="J36" s="1440"/>
      <c r="K36" s="1441"/>
    </row>
    <row r="37" spans="1:11" x14ac:dyDescent="0.2">
      <c r="A37" s="582" t="s">
        <v>1619</v>
      </c>
      <c r="B37" s="1504" t="s">
        <v>1650</v>
      </c>
      <c r="C37" s="1505"/>
      <c r="D37" s="1505"/>
      <c r="E37" s="1505"/>
      <c r="F37" s="1505"/>
      <c r="G37" s="1505"/>
      <c r="H37" s="1505"/>
      <c r="I37" s="1506"/>
      <c r="J37" s="577" t="s">
        <v>1655</v>
      </c>
      <c r="K37" s="578" t="s">
        <v>1659</v>
      </c>
    </row>
    <row r="38" spans="1:11" x14ac:dyDescent="0.2">
      <c r="A38" s="572">
        <v>1</v>
      </c>
      <c r="B38" s="1457"/>
      <c r="C38" s="1458"/>
      <c r="D38" s="1458"/>
      <c r="E38" s="1458"/>
      <c r="F38" s="1458"/>
      <c r="G38" s="1458"/>
      <c r="H38" s="1458"/>
      <c r="I38" s="1458"/>
      <c r="J38" s="573"/>
      <c r="K38" s="573"/>
    </row>
    <row r="39" spans="1:11" x14ac:dyDescent="0.2">
      <c r="A39" s="572">
        <v>2</v>
      </c>
      <c r="B39" s="1457"/>
      <c r="C39" s="1458"/>
      <c r="D39" s="1458"/>
      <c r="E39" s="1458"/>
      <c r="F39" s="1458"/>
      <c r="G39" s="1458"/>
      <c r="H39" s="1458"/>
      <c r="I39" s="1458"/>
      <c r="J39" s="573"/>
      <c r="K39" s="573"/>
    </row>
    <row r="40" spans="1:11" x14ac:dyDescent="0.2">
      <c r="A40" s="572">
        <v>3</v>
      </c>
      <c r="B40" s="1457"/>
      <c r="C40" s="1458"/>
      <c r="D40" s="1458"/>
      <c r="E40" s="1458"/>
      <c r="F40" s="1458"/>
      <c r="G40" s="1458"/>
      <c r="H40" s="1458"/>
      <c r="I40" s="1458"/>
      <c r="J40" s="573"/>
      <c r="K40" s="573"/>
    </row>
    <row r="41" spans="1:11" x14ac:dyDescent="0.2">
      <c r="A41" s="572">
        <v>4</v>
      </c>
      <c r="B41" s="1457"/>
      <c r="C41" s="1458"/>
      <c r="D41" s="1458"/>
      <c r="E41" s="1458"/>
      <c r="F41" s="1458"/>
      <c r="G41" s="1458"/>
      <c r="H41" s="1458"/>
      <c r="I41" s="1458"/>
      <c r="J41" s="573"/>
      <c r="K41" s="573"/>
    </row>
    <row r="42" spans="1:11" x14ac:dyDescent="0.2">
      <c r="A42" s="572">
        <v>5</v>
      </c>
      <c r="B42" s="1457"/>
      <c r="C42" s="1458"/>
      <c r="D42" s="1458"/>
      <c r="E42" s="1458"/>
      <c r="F42" s="1458"/>
      <c r="G42" s="1458"/>
      <c r="H42" s="1458"/>
      <c r="I42" s="1458"/>
      <c r="J42" s="573"/>
      <c r="K42" s="573"/>
    </row>
    <row r="43" spans="1:11" x14ac:dyDescent="0.2">
      <c r="A43" s="572">
        <v>6</v>
      </c>
      <c r="B43" s="1457"/>
      <c r="C43" s="1458"/>
      <c r="D43" s="1458"/>
      <c r="E43" s="1458"/>
      <c r="F43" s="1458"/>
      <c r="G43" s="1458"/>
      <c r="H43" s="1458"/>
      <c r="I43" s="1458"/>
      <c r="J43" s="573"/>
      <c r="K43" s="573"/>
    </row>
    <row r="44" spans="1:11" ht="4.5" customHeight="1" x14ac:dyDescent="0.2">
      <c r="A44" s="583"/>
      <c r="B44" s="1440"/>
      <c r="C44" s="1440"/>
      <c r="D44" s="1440"/>
      <c r="E44" s="1440"/>
      <c r="F44" s="1440"/>
      <c r="G44" s="1440"/>
      <c r="H44" s="1440"/>
      <c r="I44" s="1440"/>
      <c r="J44" s="1440"/>
      <c r="K44" s="1441"/>
    </row>
    <row r="45" spans="1:11" x14ac:dyDescent="0.2">
      <c r="A45" s="790" t="s">
        <v>1619</v>
      </c>
      <c r="B45" s="1501" t="s">
        <v>580</v>
      </c>
      <c r="C45" s="1502"/>
      <c r="D45" s="1502"/>
      <c r="E45" s="1502"/>
      <c r="F45" s="1502"/>
      <c r="G45" s="1502"/>
      <c r="H45" s="1502"/>
      <c r="I45" s="1503"/>
      <c r="J45" s="577" t="s">
        <v>1655</v>
      </c>
      <c r="K45" s="578" t="s">
        <v>1659</v>
      </c>
    </row>
    <row r="46" spans="1:11" x14ac:dyDescent="0.2">
      <c r="A46" s="789">
        <v>1</v>
      </c>
      <c r="B46" s="1457"/>
      <c r="C46" s="1458"/>
      <c r="D46" s="1458"/>
      <c r="E46" s="1458"/>
      <c r="F46" s="1458"/>
      <c r="G46" s="1458"/>
      <c r="H46" s="1458"/>
      <c r="I46" s="1458"/>
      <c r="J46" s="573"/>
      <c r="K46" s="573"/>
    </row>
    <row r="47" spans="1:11" x14ac:dyDescent="0.2">
      <c r="A47" s="789">
        <v>2</v>
      </c>
      <c r="B47" s="1457"/>
      <c r="C47" s="1458"/>
      <c r="D47" s="1458"/>
      <c r="E47" s="1458"/>
      <c r="F47" s="1458"/>
      <c r="G47" s="1458"/>
      <c r="H47" s="1458"/>
      <c r="I47" s="1458"/>
      <c r="J47" s="573"/>
      <c r="K47" s="573"/>
    </row>
    <row r="48" spans="1:11" x14ac:dyDescent="0.2">
      <c r="A48" s="789">
        <v>3</v>
      </c>
      <c r="B48" s="1457"/>
      <c r="C48" s="1458"/>
      <c r="D48" s="1458"/>
      <c r="E48" s="1458"/>
      <c r="F48" s="1458"/>
      <c r="G48" s="1458"/>
      <c r="H48" s="1458"/>
      <c r="I48" s="1458"/>
      <c r="J48" s="573"/>
      <c r="K48" s="573"/>
    </row>
    <row r="49" spans="1:11" x14ac:dyDescent="0.2">
      <c r="A49" s="789">
        <v>4</v>
      </c>
      <c r="B49" s="1457"/>
      <c r="C49" s="1458"/>
      <c r="D49" s="1458"/>
      <c r="E49" s="1458"/>
      <c r="F49" s="1458"/>
      <c r="G49" s="1458"/>
      <c r="H49" s="1458"/>
      <c r="I49" s="1458"/>
      <c r="J49" s="573"/>
      <c r="K49" s="573"/>
    </row>
    <row r="50" spans="1:11" x14ac:dyDescent="0.2">
      <c r="A50" s="789">
        <v>5</v>
      </c>
      <c r="B50" s="1457"/>
      <c r="C50" s="1458"/>
      <c r="D50" s="1458"/>
      <c r="E50" s="1458"/>
      <c r="F50" s="1458"/>
      <c r="G50" s="1458"/>
      <c r="H50" s="1458"/>
      <c r="I50" s="1458"/>
      <c r="J50" s="573"/>
      <c r="K50" s="573"/>
    </row>
    <row r="51" spans="1:11" x14ac:dyDescent="0.2">
      <c r="A51" s="789">
        <v>6</v>
      </c>
      <c r="B51" s="1457"/>
      <c r="C51" s="1458"/>
      <c r="D51" s="1458"/>
      <c r="E51" s="1458"/>
      <c r="F51" s="1458"/>
      <c r="G51" s="1458"/>
      <c r="H51" s="1458"/>
      <c r="I51" s="1458"/>
      <c r="J51" s="573"/>
      <c r="K51" s="573"/>
    </row>
    <row r="52" spans="1:11" ht="4.5" customHeight="1" x14ac:dyDescent="0.2">
      <c r="A52" s="583"/>
      <c r="B52" s="1440"/>
      <c r="C52" s="1440"/>
      <c r="D52" s="1440"/>
      <c r="E52" s="1440"/>
      <c r="F52" s="1440"/>
      <c r="G52" s="1440"/>
      <c r="H52" s="1440"/>
      <c r="I52" s="1440"/>
      <c r="J52" s="1440"/>
      <c r="K52" s="1441"/>
    </row>
    <row r="53" spans="1:11" ht="15" x14ac:dyDescent="0.25">
      <c r="A53" s="582" t="s">
        <v>1619</v>
      </c>
      <c r="B53" s="1453" t="s">
        <v>1651</v>
      </c>
      <c r="C53" s="1454"/>
      <c r="D53" s="1454"/>
      <c r="E53" s="1454"/>
      <c r="F53" s="575" t="s">
        <v>1662</v>
      </c>
      <c r="G53" s="576"/>
      <c r="H53" s="576"/>
      <c r="I53" s="576"/>
      <c r="J53" s="576" t="s">
        <v>1655</v>
      </c>
      <c r="K53" s="578" t="s">
        <v>1659</v>
      </c>
    </row>
    <row r="54" spans="1:11" x14ac:dyDescent="0.2">
      <c r="A54" s="572">
        <v>1</v>
      </c>
      <c r="B54" s="1438" t="s">
        <v>137</v>
      </c>
      <c r="C54" s="1439"/>
      <c r="D54" s="1439"/>
      <c r="E54" s="1439"/>
      <c r="F54" s="1439"/>
      <c r="G54" s="1439"/>
      <c r="H54" s="1439"/>
      <c r="I54" s="1439"/>
      <c r="J54" s="573"/>
      <c r="K54" s="573"/>
    </row>
    <row r="55" spans="1:11" x14ac:dyDescent="0.2">
      <c r="A55" s="572">
        <v>2</v>
      </c>
      <c r="B55" s="1438" t="s">
        <v>1746</v>
      </c>
      <c r="C55" s="1439"/>
      <c r="D55" s="1439"/>
      <c r="E55" s="1439"/>
      <c r="F55" s="1439"/>
      <c r="G55" s="1439"/>
      <c r="H55" s="1439"/>
      <c r="I55" s="1439"/>
      <c r="J55" s="573"/>
      <c r="K55" s="573"/>
    </row>
    <row r="56" spans="1:11" x14ac:dyDescent="0.2">
      <c r="A56" s="572">
        <v>3</v>
      </c>
      <c r="B56" s="1438" t="s">
        <v>463</v>
      </c>
      <c r="C56" s="1439"/>
      <c r="D56" s="1439"/>
      <c r="E56" s="1439"/>
      <c r="F56" s="1439"/>
      <c r="G56" s="1439"/>
      <c r="H56" s="1439"/>
      <c r="I56" s="1439"/>
      <c r="J56" s="573"/>
      <c r="K56" s="573"/>
    </row>
    <row r="57" spans="1:11" x14ac:dyDescent="0.2">
      <c r="A57" s="572">
        <v>4</v>
      </c>
      <c r="B57" s="1438"/>
      <c r="C57" s="1439"/>
      <c r="D57" s="1439"/>
      <c r="E57" s="1439"/>
      <c r="F57" s="1439"/>
      <c r="G57" s="1439"/>
      <c r="H57" s="1439"/>
      <c r="I57" s="1439"/>
      <c r="J57" s="573"/>
      <c r="K57" s="573"/>
    </row>
    <row r="58" spans="1:11" x14ac:dyDescent="0.2">
      <c r="A58" s="572">
        <v>5</v>
      </c>
      <c r="B58" s="1438"/>
      <c r="C58" s="1439"/>
      <c r="D58" s="1439"/>
      <c r="E58" s="1439"/>
      <c r="F58" s="1439"/>
      <c r="G58" s="1439"/>
      <c r="H58" s="1439"/>
      <c r="I58" s="1439"/>
      <c r="J58" s="573"/>
      <c r="K58" s="573"/>
    </row>
    <row r="59" spans="1:11" x14ac:dyDescent="0.2">
      <c r="A59" s="572">
        <v>6</v>
      </c>
      <c r="B59" s="1438"/>
      <c r="C59" s="1439"/>
      <c r="D59" s="1439"/>
      <c r="E59" s="1439"/>
      <c r="F59" s="1439"/>
      <c r="G59" s="1439"/>
      <c r="H59" s="1439"/>
      <c r="I59" s="1439"/>
      <c r="J59" s="573"/>
      <c r="K59" s="573"/>
    </row>
    <row r="60" spans="1:11" x14ac:dyDescent="0.2">
      <c r="A60" s="572">
        <v>7</v>
      </c>
      <c r="B60" s="1438"/>
      <c r="C60" s="1439"/>
      <c r="D60" s="1439"/>
      <c r="E60" s="1439"/>
      <c r="F60" s="1439"/>
      <c r="G60" s="1439"/>
      <c r="H60" s="1439"/>
      <c r="I60" s="1439"/>
      <c r="J60" s="573"/>
      <c r="K60" s="573"/>
    </row>
    <row r="61" spans="1:11" ht="4.5" customHeight="1" x14ac:dyDescent="0.2">
      <c r="A61" s="583"/>
      <c r="B61" s="1440"/>
      <c r="C61" s="1440"/>
      <c r="D61" s="1440"/>
      <c r="E61" s="1440"/>
      <c r="F61" s="1440"/>
      <c r="G61" s="1440"/>
      <c r="H61" s="1440"/>
      <c r="I61" s="1440"/>
      <c r="J61" s="1440"/>
      <c r="K61" s="1441"/>
    </row>
    <row r="62" spans="1:11" ht="15" x14ac:dyDescent="0.25">
      <c r="A62" s="582" t="s">
        <v>1619</v>
      </c>
      <c r="B62" s="1476" t="s">
        <v>1652</v>
      </c>
      <c r="C62" s="1477"/>
      <c r="D62" s="1477"/>
      <c r="E62" s="1477"/>
      <c r="F62" s="1477"/>
      <c r="G62" s="1477"/>
      <c r="H62" s="1477"/>
      <c r="I62" s="1478"/>
      <c r="J62" s="576" t="s">
        <v>1655</v>
      </c>
      <c r="K62" s="578" t="s">
        <v>1659</v>
      </c>
    </row>
    <row r="63" spans="1:11" x14ac:dyDescent="0.2">
      <c r="A63" s="572">
        <v>1</v>
      </c>
      <c r="B63" s="1438" t="s">
        <v>441</v>
      </c>
      <c r="C63" s="1439"/>
      <c r="D63" s="1439"/>
      <c r="E63" s="1439"/>
      <c r="F63" s="1439"/>
      <c r="G63" s="1439"/>
      <c r="H63" s="1439"/>
      <c r="I63" s="1439"/>
      <c r="J63" s="573"/>
      <c r="K63" s="573"/>
    </row>
    <row r="64" spans="1:11" x14ac:dyDescent="0.2">
      <c r="A64" s="572">
        <v>2</v>
      </c>
      <c r="B64" s="1438" t="s">
        <v>440</v>
      </c>
      <c r="C64" s="1439"/>
      <c r="D64" s="1439"/>
      <c r="E64" s="1439"/>
      <c r="F64" s="1439"/>
      <c r="G64" s="1439"/>
      <c r="H64" s="1439"/>
      <c r="I64" s="1439"/>
      <c r="J64" s="573"/>
      <c r="K64" s="573"/>
    </row>
    <row r="65" spans="1:11" x14ac:dyDescent="0.2">
      <c r="A65" s="572">
        <v>3</v>
      </c>
      <c r="B65" s="1438" t="s">
        <v>2070</v>
      </c>
      <c r="C65" s="1439"/>
      <c r="D65" s="1439"/>
      <c r="E65" s="1439"/>
      <c r="F65" s="1439"/>
      <c r="G65" s="1439"/>
      <c r="H65" s="1439"/>
      <c r="I65" s="1439"/>
      <c r="J65" s="573"/>
      <c r="K65" s="573"/>
    </row>
    <row r="66" spans="1:11" x14ac:dyDescent="0.2">
      <c r="A66" s="572">
        <v>4</v>
      </c>
      <c r="B66" s="1438" t="s">
        <v>1656</v>
      </c>
      <c r="C66" s="1439"/>
      <c r="D66" s="1439"/>
      <c r="E66" s="1439"/>
      <c r="F66" s="1439"/>
      <c r="G66" s="1439"/>
      <c r="H66" s="1439"/>
      <c r="I66" s="1439"/>
      <c r="J66" s="573"/>
      <c r="K66" s="573"/>
    </row>
    <row r="67" spans="1:11" x14ac:dyDescent="0.2">
      <c r="A67" s="572">
        <v>5</v>
      </c>
      <c r="B67" s="1438"/>
      <c r="C67" s="1439"/>
      <c r="D67" s="1439"/>
      <c r="E67" s="1439"/>
      <c r="F67" s="1439"/>
      <c r="G67" s="1439"/>
      <c r="H67" s="1439"/>
      <c r="I67" s="1439"/>
      <c r="J67" s="573"/>
      <c r="K67" s="573"/>
    </row>
    <row r="68" spans="1:11" x14ac:dyDescent="0.2">
      <c r="A68" s="572">
        <v>6</v>
      </c>
      <c r="B68" s="1438"/>
      <c r="C68" s="1439"/>
      <c r="D68" s="1439"/>
      <c r="E68" s="1439"/>
      <c r="F68" s="1439"/>
      <c r="G68" s="1439"/>
      <c r="H68" s="1439"/>
      <c r="I68" s="1439"/>
      <c r="J68" s="573"/>
      <c r="K68" s="573"/>
    </row>
    <row r="69" spans="1:11" x14ac:dyDescent="0.2">
      <c r="A69" s="572">
        <v>7</v>
      </c>
      <c r="B69" s="1438"/>
      <c r="C69" s="1439"/>
      <c r="D69" s="1439"/>
      <c r="E69" s="1439"/>
      <c r="F69" s="1439"/>
      <c r="G69" s="1439"/>
      <c r="H69" s="1439"/>
      <c r="I69" s="1439"/>
      <c r="J69" s="573"/>
      <c r="K69" s="573"/>
    </row>
    <row r="70" spans="1:11" ht="4.5" customHeight="1" x14ac:dyDescent="0.2">
      <c r="A70" s="583"/>
      <c r="B70" s="1440"/>
      <c r="C70" s="1440"/>
      <c r="D70" s="1440"/>
      <c r="E70" s="1440"/>
      <c r="F70" s="1440"/>
      <c r="G70" s="1440"/>
      <c r="H70" s="1440"/>
      <c r="I70" s="1440"/>
      <c r="J70" s="1440"/>
      <c r="K70" s="1441"/>
    </row>
    <row r="71" spans="1:11" ht="15" x14ac:dyDescent="0.25">
      <c r="A71" s="481"/>
      <c r="B71" s="1445" t="s">
        <v>1539</v>
      </c>
      <c r="C71" s="1446"/>
      <c r="D71" s="1446"/>
      <c r="E71" s="1446"/>
      <c r="F71" s="1446"/>
      <c r="G71" s="1446"/>
      <c r="H71" s="1446"/>
      <c r="I71" s="1447"/>
      <c r="J71" s="576" t="s">
        <v>1655</v>
      </c>
      <c r="K71" s="578" t="s">
        <v>1659</v>
      </c>
    </row>
    <row r="72" spans="1:11" x14ac:dyDescent="0.2">
      <c r="A72" s="572">
        <v>1</v>
      </c>
      <c r="B72" s="1438" t="s">
        <v>1542</v>
      </c>
      <c r="C72" s="1439"/>
      <c r="D72" s="1439"/>
      <c r="E72" s="1439"/>
      <c r="F72" s="1439"/>
      <c r="G72" s="1439"/>
      <c r="H72" s="1439"/>
      <c r="I72" s="1439"/>
      <c r="J72" s="573"/>
      <c r="K72" s="573"/>
    </row>
    <row r="73" spans="1:11" x14ac:dyDescent="0.2">
      <c r="A73" s="572">
        <v>2</v>
      </c>
      <c r="B73" s="1438" t="s">
        <v>1635</v>
      </c>
      <c r="C73" s="1439"/>
      <c r="D73" s="1439"/>
      <c r="E73" s="1439"/>
      <c r="F73" s="1439"/>
      <c r="G73" s="1439"/>
      <c r="H73" s="1439"/>
      <c r="I73" s="1439"/>
      <c r="J73" s="573"/>
      <c r="K73" s="573"/>
    </row>
    <row r="74" spans="1:11" x14ac:dyDescent="0.2">
      <c r="A74" s="572">
        <v>3</v>
      </c>
      <c r="B74" s="1438" t="s">
        <v>1541</v>
      </c>
      <c r="C74" s="1439"/>
      <c r="D74" s="1439"/>
      <c r="E74" s="1439"/>
      <c r="F74" s="1439"/>
      <c r="G74" s="1439"/>
      <c r="H74" s="1439"/>
      <c r="I74" s="1439"/>
      <c r="J74" s="573"/>
      <c r="K74" s="573"/>
    </row>
    <row r="75" spans="1:11" x14ac:dyDescent="0.2">
      <c r="A75" s="572">
        <v>4</v>
      </c>
      <c r="B75" s="1438"/>
      <c r="C75" s="1439"/>
      <c r="D75" s="1439"/>
      <c r="E75" s="1439"/>
      <c r="F75" s="1439"/>
      <c r="G75" s="1439"/>
      <c r="H75" s="1439"/>
      <c r="I75" s="1439"/>
      <c r="J75" s="573"/>
      <c r="K75" s="573"/>
    </row>
    <row r="76" spans="1:11" x14ac:dyDescent="0.2">
      <c r="A76" s="572">
        <v>5</v>
      </c>
      <c r="B76" s="1438"/>
      <c r="C76" s="1439"/>
      <c r="D76" s="1439"/>
      <c r="E76" s="1439"/>
      <c r="F76" s="1439"/>
      <c r="G76" s="1439"/>
      <c r="H76" s="1439"/>
      <c r="I76" s="1439"/>
      <c r="J76" s="573"/>
      <c r="K76" s="573"/>
    </row>
    <row r="77" spans="1:11" x14ac:dyDescent="0.2">
      <c r="A77" s="572">
        <v>6</v>
      </c>
      <c r="B77" s="1438"/>
      <c r="C77" s="1439"/>
      <c r="D77" s="1439"/>
      <c r="E77" s="1439"/>
      <c r="F77" s="1439"/>
      <c r="G77" s="1439"/>
      <c r="H77" s="1439"/>
      <c r="I77" s="1439"/>
      <c r="J77" s="573"/>
      <c r="K77" s="573"/>
    </row>
    <row r="78" spans="1:11" ht="4.5" customHeight="1" x14ac:dyDescent="0.2">
      <c r="A78" s="583"/>
      <c r="B78" s="1440"/>
      <c r="C78" s="1440"/>
      <c r="D78" s="1440"/>
      <c r="E78" s="1440"/>
      <c r="F78" s="1440"/>
      <c r="G78" s="1440"/>
      <c r="H78" s="1440"/>
      <c r="I78" s="1440"/>
      <c r="J78" s="1440"/>
      <c r="K78" s="1441"/>
    </row>
    <row r="79" spans="1:11" ht="15" x14ac:dyDescent="0.25">
      <c r="A79" s="481"/>
      <c r="B79" s="1442" t="s">
        <v>425</v>
      </c>
      <c r="C79" s="1443"/>
      <c r="D79" s="1443"/>
      <c r="E79" s="1443"/>
      <c r="F79" s="1443"/>
      <c r="G79" s="1443"/>
      <c r="H79" s="1443"/>
      <c r="I79" s="1444"/>
      <c r="J79" s="576" t="s">
        <v>1655</v>
      </c>
      <c r="K79" s="578" t="s">
        <v>1659</v>
      </c>
    </row>
    <row r="80" spans="1:11" x14ac:dyDescent="0.2">
      <c r="A80" s="572">
        <v>1</v>
      </c>
      <c r="B80" s="1438" t="s">
        <v>1581</v>
      </c>
      <c r="C80" s="1439"/>
      <c r="D80" s="1439"/>
      <c r="E80" s="1439"/>
      <c r="F80" s="1439"/>
      <c r="G80" s="1439"/>
      <c r="H80" s="1439"/>
      <c r="I80" s="1439"/>
      <c r="J80" s="573"/>
      <c r="K80" s="573"/>
    </row>
    <row r="81" spans="1:11" x14ac:dyDescent="0.2">
      <c r="A81" s="572">
        <v>2</v>
      </c>
      <c r="B81" s="1438"/>
      <c r="C81" s="1439"/>
      <c r="D81" s="1439"/>
      <c r="E81" s="1439"/>
      <c r="F81" s="1439"/>
      <c r="G81" s="1439"/>
      <c r="H81" s="1439"/>
      <c r="I81" s="1439"/>
      <c r="J81" s="573"/>
      <c r="K81" s="573"/>
    </row>
    <row r="82" spans="1:11" x14ac:dyDescent="0.2">
      <c r="A82" s="572">
        <v>3</v>
      </c>
      <c r="B82" s="1438"/>
      <c r="C82" s="1439"/>
      <c r="D82" s="1439"/>
      <c r="E82" s="1439"/>
      <c r="F82" s="1439"/>
      <c r="G82" s="1439"/>
      <c r="H82" s="1439"/>
      <c r="I82" s="1439"/>
      <c r="J82" s="573"/>
      <c r="K82" s="573"/>
    </row>
    <row r="83" spans="1:11" x14ac:dyDescent="0.2">
      <c r="A83" s="572">
        <v>4</v>
      </c>
      <c r="B83" s="1438"/>
      <c r="C83" s="1439"/>
      <c r="D83" s="1439"/>
      <c r="E83" s="1439"/>
      <c r="F83" s="1439"/>
      <c r="G83" s="1439"/>
      <c r="H83" s="1439"/>
      <c r="I83" s="1439"/>
      <c r="J83" s="573"/>
      <c r="K83" s="573"/>
    </row>
    <row r="84" spans="1:11" x14ac:dyDescent="0.2">
      <c r="A84" s="572">
        <v>5</v>
      </c>
      <c r="B84" s="1438"/>
      <c r="C84" s="1439"/>
      <c r="D84" s="1439"/>
      <c r="E84" s="1439"/>
      <c r="F84" s="1439"/>
      <c r="G84" s="1439"/>
      <c r="H84" s="1439"/>
      <c r="I84" s="1439"/>
      <c r="J84" s="573"/>
      <c r="K84" s="573"/>
    </row>
    <row r="85" spans="1:11" ht="4.5" customHeight="1" x14ac:dyDescent="0.2">
      <c r="A85" s="583"/>
      <c r="B85" s="1440"/>
      <c r="C85" s="1440"/>
      <c r="D85" s="1440"/>
      <c r="E85" s="1440"/>
      <c r="F85" s="1440"/>
      <c r="G85" s="1440"/>
      <c r="H85" s="1440"/>
      <c r="I85" s="1440"/>
      <c r="J85" s="1440"/>
      <c r="K85" s="1441"/>
    </row>
    <row r="86" spans="1:11" ht="15" x14ac:dyDescent="0.25">
      <c r="A86" s="481"/>
      <c r="B86" s="1445" t="s">
        <v>420</v>
      </c>
      <c r="C86" s="1446"/>
      <c r="D86" s="1446"/>
      <c r="E86" s="1446"/>
      <c r="F86" s="1446"/>
      <c r="G86" s="1446"/>
      <c r="H86" s="1446"/>
      <c r="I86" s="1447"/>
      <c r="J86" s="576" t="s">
        <v>1655</v>
      </c>
      <c r="K86" s="578" t="s">
        <v>1659</v>
      </c>
    </row>
    <row r="87" spans="1:11" x14ac:dyDescent="0.2">
      <c r="A87" s="788">
        <v>1</v>
      </c>
      <c r="B87" s="1438"/>
      <c r="C87" s="1439"/>
      <c r="D87" s="1439"/>
      <c r="E87" s="1439"/>
      <c r="F87" s="1439"/>
      <c r="G87" s="1439"/>
      <c r="H87" s="1439"/>
      <c r="I87" s="1439"/>
      <c r="J87" s="573"/>
      <c r="K87" s="573"/>
    </row>
    <row r="88" spans="1:11" x14ac:dyDescent="0.2">
      <c r="A88" s="788">
        <v>2</v>
      </c>
      <c r="B88" s="1438"/>
      <c r="C88" s="1439"/>
      <c r="D88" s="1439"/>
      <c r="E88" s="1439"/>
      <c r="F88" s="1439"/>
      <c r="G88" s="1439"/>
      <c r="H88" s="1439"/>
      <c r="I88" s="1439"/>
      <c r="J88" s="573"/>
      <c r="K88" s="573"/>
    </row>
    <row r="89" spans="1:11" x14ac:dyDescent="0.2">
      <c r="A89" s="788">
        <v>3</v>
      </c>
      <c r="B89" s="1438"/>
      <c r="C89" s="1439"/>
      <c r="D89" s="1439"/>
      <c r="E89" s="1439"/>
      <c r="F89" s="1439"/>
      <c r="G89" s="1439"/>
      <c r="H89" s="1439"/>
      <c r="I89" s="1439"/>
      <c r="J89" s="573"/>
      <c r="K89" s="573"/>
    </row>
    <row r="90" spans="1:11" x14ac:dyDescent="0.2">
      <c r="A90" s="788">
        <v>4</v>
      </c>
      <c r="B90" s="1438"/>
      <c r="C90" s="1439"/>
      <c r="D90" s="1439"/>
      <c r="E90" s="1439"/>
      <c r="F90" s="1439"/>
      <c r="G90" s="1439"/>
      <c r="H90" s="1439"/>
      <c r="I90" s="1439"/>
      <c r="J90" s="573"/>
      <c r="K90" s="573"/>
    </row>
    <row r="91" spans="1:11" x14ac:dyDescent="0.2">
      <c r="A91" s="788">
        <v>5</v>
      </c>
      <c r="B91" s="1438"/>
      <c r="C91" s="1439"/>
      <c r="D91" s="1439"/>
      <c r="E91" s="1439"/>
      <c r="F91" s="1439"/>
      <c r="G91" s="1439"/>
      <c r="H91" s="1439"/>
      <c r="I91" s="1439"/>
      <c r="J91" s="573"/>
      <c r="K91" s="573"/>
    </row>
    <row r="92" spans="1:11" x14ac:dyDescent="0.2">
      <c r="A92" s="788">
        <v>6</v>
      </c>
      <c r="B92" s="1438"/>
      <c r="C92" s="1439"/>
      <c r="D92" s="1439"/>
      <c r="E92" s="1439"/>
      <c r="F92" s="1439"/>
      <c r="G92" s="1439"/>
      <c r="H92" s="1439"/>
      <c r="I92" s="1439"/>
      <c r="J92" s="573"/>
      <c r="K92" s="573"/>
    </row>
    <row r="93" spans="1:11" ht="4.5" customHeight="1" x14ac:dyDescent="0.2">
      <c r="A93" s="583"/>
      <c r="B93" s="847"/>
      <c r="C93" s="848"/>
      <c r="D93" s="848"/>
      <c r="E93" s="848"/>
      <c r="F93" s="848"/>
      <c r="G93" s="848"/>
      <c r="H93" s="848"/>
      <c r="I93" s="848"/>
      <c r="J93" s="848"/>
      <c r="K93" s="849"/>
    </row>
    <row r="94" spans="1:11" ht="15" x14ac:dyDescent="0.25">
      <c r="A94" s="481"/>
      <c r="B94" s="1445" t="s">
        <v>417</v>
      </c>
      <c r="C94" s="1446"/>
      <c r="D94" s="1446"/>
      <c r="E94" s="1446"/>
      <c r="F94" s="1446"/>
      <c r="G94" s="1446"/>
      <c r="H94" s="1446"/>
      <c r="I94" s="1447"/>
      <c r="J94" s="576" t="s">
        <v>1655</v>
      </c>
      <c r="K94" s="578" t="s">
        <v>1659</v>
      </c>
    </row>
    <row r="95" spans="1:11" x14ac:dyDescent="0.2">
      <c r="A95" s="615">
        <v>1</v>
      </c>
      <c r="B95" s="1438"/>
      <c r="C95" s="1439"/>
      <c r="D95" s="1439"/>
      <c r="E95" s="1439"/>
      <c r="F95" s="1439"/>
      <c r="G95" s="1439"/>
      <c r="H95" s="1439"/>
      <c r="I95" s="1439"/>
      <c r="J95" s="573"/>
      <c r="K95" s="573"/>
    </row>
    <row r="96" spans="1:11" x14ac:dyDescent="0.2">
      <c r="A96" s="615">
        <v>2</v>
      </c>
      <c r="B96" s="1438"/>
      <c r="C96" s="1439"/>
      <c r="D96" s="1439"/>
      <c r="E96" s="1439"/>
      <c r="F96" s="1439"/>
      <c r="G96" s="1439"/>
      <c r="H96" s="1439"/>
      <c r="I96" s="1439"/>
      <c r="J96" s="573"/>
      <c r="K96" s="573"/>
    </row>
    <row r="97" spans="1:11" x14ac:dyDescent="0.2">
      <c r="A97" s="615">
        <v>3</v>
      </c>
      <c r="B97" s="1438"/>
      <c r="C97" s="1439"/>
      <c r="D97" s="1439"/>
      <c r="E97" s="1439"/>
      <c r="F97" s="1439"/>
      <c r="G97" s="1439"/>
      <c r="H97" s="1439"/>
      <c r="I97" s="1439"/>
      <c r="J97" s="573"/>
      <c r="K97" s="573"/>
    </row>
    <row r="98" spans="1:11" x14ac:dyDescent="0.2">
      <c r="A98" s="615">
        <v>4</v>
      </c>
      <c r="B98" s="1438"/>
      <c r="C98" s="1439"/>
      <c r="D98" s="1439"/>
      <c r="E98" s="1439"/>
      <c r="F98" s="1439"/>
      <c r="G98" s="1439"/>
      <c r="H98" s="1439"/>
      <c r="I98" s="1439"/>
      <c r="J98" s="573"/>
      <c r="K98" s="573"/>
    </row>
    <row r="99" spans="1:11" x14ac:dyDescent="0.2">
      <c r="A99" s="615">
        <v>5</v>
      </c>
      <c r="B99" s="1438"/>
      <c r="C99" s="1439"/>
      <c r="D99" s="1439"/>
      <c r="E99" s="1439"/>
      <c r="F99" s="1439"/>
      <c r="G99" s="1439"/>
      <c r="H99" s="1439"/>
      <c r="I99" s="1439"/>
      <c r="J99" s="573"/>
      <c r="K99" s="573"/>
    </row>
    <row r="100" spans="1:11" x14ac:dyDescent="0.2">
      <c r="A100" s="615">
        <v>6</v>
      </c>
      <c r="B100" s="1438"/>
      <c r="C100" s="1439"/>
      <c r="D100" s="1439"/>
      <c r="E100" s="1439"/>
      <c r="F100" s="1439"/>
      <c r="G100" s="1439"/>
      <c r="H100" s="1439"/>
      <c r="I100" s="1439"/>
      <c r="J100" s="573"/>
      <c r="K100" s="573"/>
    </row>
    <row r="101" spans="1:11" ht="4.5" customHeight="1" x14ac:dyDescent="0.2">
      <c r="A101" s="583"/>
      <c r="B101" s="847"/>
      <c r="C101" s="848"/>
      <c r="D101" s="848"/>
      <c r="E101" s="848"/>
      <c r="F101" s="848"/>
      <c r="G101" s="848"/>
      <c r="H101" s="848"/>
      <c r="I101" s="848"/>
      <c r="J101" s="848"/>
      <c r="K101" s="849"/>
    </row>
    <row r="102" spans="1:11" ht="15" x14ac:dyDescent="0.25">
      <c r="A102" s="481"/>
      <c r="B102" s="1445" t="s">
        <v>424</v>
      </c>
      <c r="C102" s="1446"/>
      <c r="D102" s="1446"/>
      <c r="E102" s="1446"/>
      <c r="F102" s="1446"/>
      <c r="G102" s="1446"/>
      <c r="H102" s="1446"/>
      <c r="I102" s="1447"/>
      <c r="J102" s="576" t="s">
        <v>1655</v>
      </c>
      <c r="K102" s="578" t="s">
        <v>1659</v>
      </c>
    </row>
    <row r="103" spans="1:11" x14ac:dyDescent="0.2">
      <c r="A103" s="855">
        <v>1</v>
      </c>
      <c r="B103" s="1438"/>
      <c r="C103" s="1439"/>
      <c r="D103" s="1439"/>
      <c r="E103" s="1439"/>
      <c r="F103" s="1439"/>
      <c r="G103" s="1439"/>
      <c r="H103" s="1439"/>
      <c r="I103" s="1439"/>
      <c r="J103" s="573"/>
      <c r="K103" s="573"/>
    </row>
    <row r="104" spans="1:11" x14ac:dyDescent="0.2">
      <c r="A104" s="855">
        <v>2</v>
      </c>
      <c r="B104" s="1438"/>
      <c r="C104" s="1439"/>
      <c r="D104" s="1439"/>
      <c r="E104" s="1439"/>
      <c r="F104" s="1439"/>
      <c r="G104" s="1439"/>
      <c r="H104" s="1439"/>
      <c r="I104" s="1439"/>
      <c r="J104" s="573"/>
      <c r="K104" s="573"/>
    </row>
    <row r="105" spans="1:11" x14ac:dyDescent="0.2">
      <c r="A105" s="855">
        <v>3</v>
      </c>
      <c r="B105" s="1438"/>
      <c r="C105" s="1439"/>
      <c r="D105" s="1439"/>
      <c r="E105" s="1439"/>
      <c r="F105" s="1439"/>
      <c r="G105" s="1439"/>
      <c r="H105" s="1439"/>
      <c r="I105" s="1439"/>
      <c r="J105" s="573"/>
      <c r="K105" s="573"/>
    </row>
    <row r="106" spans="1:11" x14ac:dyDescent="0.2">
      <c r="A106" s="855">
        <v>4</v>
      </c>
      <c r="B106" s="1438"/>
      <c r="C106" s="1439"/>
      <c r="D106" s="1439"/>
      <c r="E106" s="1439"/>
      <c r="F106" s="1439"/>
      <c r="G106" s="1439"/>
      <c r="H106" s="1439"/>
      <c r="I106" s="1439"/>
      <c r="J106" s="573"/>
      <c r="K106" s="573"/>
    </row>
    <row r="107" spans="1:11" x14ac:dyDescent="0.2">
      <c r="A107" s="855">
        <v>5</v>
      </c>
      <c r="B107" s="1438"/>
      <c r="C107" s="1439"/>
      <c r="D107" s="1439"/>
      <c r="E107" s="1439"/>
      <c r="F107" s="1439"/>
      <c r="G107" s="1439"/>
      <c r="H107" s="1439"/>
      <c r="I107" s="1439"/>
      <c r="J107" s="573"/>
      <c r="K107" s="573"/>
    </row>
    <row r="108" spans="1:11" x14ac:dyDescent="0.2">
      <c r="A108" s="855">
        <v>6</v>
      </c>
      <c r="B108" s="1438"/>
      <c r="C108" s="1439"/>
      <c r="D108" s="1439"/>
      <c r="E108" s="1439"/>
      <c r="F108" s="1439"/>
      <c r="G108" s="1439"/>
      <c r="H108" s="1439"/>
      <c r="I108" s="1439"/>
      <c r="J108" s="573"/>
      <c r="K108" s="573"/>
    </row>
    <row r="109" spans="1:11" ht="4.5" customHeight="1" x14ac:dyDescent="0.2">
      <c r="A109" s="583"/>
      <c r="B109" s="847"/>
      <c r="C109" s="848"/>
      <c r="D109" s="848"/>
      <c r="E109" s="848"/>
      <c r="F109" s="848"/>
      <c r="G109" s="848"/>
      <c r="H109" s="848"/>
      <c r="I109" s="848"/>
      <c r="J109" s="848"/>
      <c r="K109" s="849"/>
    </row>
    <row r="110" spans="1:11" ht="15" x14ac:dyDescent="0.25">
      <c r="A110" s="481"/>
      <c r="B110" s="1445" t="s">
        <v>579</v>
      </c>
      <c r="C110" s="1446"/>
      <c r="D110" s="1446"/>
      <c r="E110" s="1446"/>
      <c r="F110" s="1446"/>
      <c r="G110" s="1446"/>
      <c r="H110" s="1446"/>
      <c r="I110" s="1447"/>
      <c r="J110" s="576" t="s">
        <v>1655</v>
      </c>
      <c r="K110" s="578" t="s">
        <v>1659</v>
      </c>
    </row>
    <row r="111" spans="1:11" x14ac:dyDescent="0.2">
      <c r="A111" s="855">
        <v>1</v>
      </c>
      <c r="B111" s="1438"/>
      <c r="C111" s="1439"/>
      <c r="D111" s="1439"/>
      <c r="E111" s="1439"/>
      <c r="F111" s="1439"/>
      <c r="G111" s="1439"/>
      <c r="H111" s="1439"/>
      <c r="I111" s="1439"/>
      <c r="J111" s="573"/>
      <c r="K111" s="573"/>
    </row>
    <row r="112" spans="1:11" x14ac:dyDescent="0.2">
      <c r="A112" s="855">
        <v>2</v>
      </c>
      <c r="B112" s="1438"/>
      <c r="C112" s="1439"/>
      <c r="D112" s="1439"/>
      <c r="E112" s="1439"/>
      <c r="F112" s="1439"/>
      <c r="G112" s="1439"/>
      <c r="H112" s="1439"/>
      <c r="I112" s="1439"/>
      <c r="J112" s="573"/>
      <c r="K112" s="573"/>
    </row>
    <row r="113" spans="1:11" x14ac:dyDescent="0.2">
      <c r="A113" s="855">
        <v>3</v>
      </c>
      <c r="B113" s="1438"/>
      <c r="C113" s="1439"/>
      <c r="D113" s="1439"/>
      <c r="E113" s="1439"/>
      <c r="F113" s="1439"/>
      <c r="G113" s="1439"/>
      <c r="H113" s="1439"/>
      <c r="I113" s="1439"/>
      <c r="J113" s="573"/>
      <c r="K113" s="573"/>
    </row>
    <row r="114" spans="1:11" x14ac:dyDescent="0.2">
      <c r="A114" s="855">
        <v>4</v>
      </c>
      <c r="B114" s="1438"/>
      <c r="C114" s="1439"/>
      <c r="D114" s="1439"/>
      <c r="E114" s="1439"/>
      <c r="F114" s="1439"/>
      <c r="G114" s="1439"/>
      <c r="H114" s="1439"/>
      <c r="I114" s="1439"/>
      <c r="J114" s="573"/>
      <c r="K114" s="573"/>
    </row>
    <row r="115" spans="1:11" x14ac:dyDescent="0.2">
      <c r="A115" s="855">
        <v>5</v>
      </c>
      <c r="B115" s="1438"/>
      <c r="C115" s="1439"/>
      <c r="D115" s="1439"/>
      <c r="E115" s="1439"/>
      <c r="F115" s="1439"/>
      <c r="G115" s="1439"/>
      <c r="H115" s="1439"/>
      <c r="I115" s="1439"/>
      <c r="J115" s="573"/>
      <c r="K115" s="573"/>
    </row>
    <row r="116" spans="1:11" x14ac:dyDescent="0.2">
      <c r="A116" s="855">
        <v>6</v>
      </c>
      <c r="B116" s="1438"/>
      <c r="C116" s="1439"/>
      <c r="D116" s="1439"/>
      <c r="E116" s="1439"/>
      <c r="F116" s="1439"/>
      <c r="G116" s="1439"/>
      <c r="H116" s="1439"/>
      <c r="I116" s="1439"/>
      <c r="J116" s="573"/>
      <c r="K116" s="573"/>
    </row>
    <row r="117" spans="1:11" ht="4.5" customHeight="1" x14ac:dyDescent="0.2">
      <c r="A117" s="583"/>
      <c r="B117" s="1440"/>
      <c r="C117" s="1440"/>
      <c r="D117" s="1440"/>
      <c r="E117" s="1440"/>
      <c r="F117" s="1440"/>
      <c r="G117" s="1440"/>
      <c r="H117" s="1440"/>
      <c r="I117" s="1440"/>
      <c r="J117" s="1440"/>
      <c r="K117" s="1441"/>
    </row>
    <row r="118" spans="1:11" ht="15" x14ac:dyDescent="0.25">
      <c r="A118" s="481"/>
      <c r="B118" s="1445" t="s">
        <v>1699</v>
      </c>
      <c r="C118" s="1446"/>
      <c r="D118" s="1446"/>
      <c r="E118" s="1446"/>
      <c r="F118" s="1446"/>
      <c r="G118" s="1446"/>
      <c r="H118" s="1446"/>
      <c r="I118" s="1447"/>
      <c r="J118" s="576" t="s">
        <v>1655</v>
      </c>
      <c r="K118" s="578" t="s">
        <v>1659</v>
      </c>
    </row>
    <row r="119" spans="1:11" x14ac:dyDescent="0.2">
      <c r="A119" s="615">
        <v>1</v>
      </c>
      <c r="B119" s="1438"/>
      <c r="C119" s="1439"/>
      <c r="D119" s="1439"/>
      <c r="E119" s="1439"/>
      <c r="F119" s="1439"/>
      <c r="G119" s="1439"/>
      <c r="H119" s="1439"/>
      <c r="I119" s="1439"/>
      <c r="J119" s="573"/>
      <c r="K119" s="573"/>
    </row>
    <row r="120" spans="1:11" x14ac:dyDescent="0.2">
      <c r="A120" s="615">
        <v>2</v>
      </c>
      <c r="B120" s="1438"/>
      <c r="C120" s="1439"/>
      <c r="D120" s="1439"/>
      <c r="E120" s="1439"/>
      <c r="F120" s="1439"/>
      <c r="G120" s="1439"/>
      <c r="H120" s="1439"/>
      <c r="I120" s="1439"/>
      <c r="J120" s="573"/>
      <c r="K120" s="573"/>
    </row>
    <row r="121" spans="1:11" x14ac:dyDescent="0.2">
      <c r="A121" s="615">
        <v>3</v>
      </c>
      <c r="B121" s="1438"/>
      <c r="C121" s="1439"/>
      <c r="D121" s="1439"/>
      <c r="E121" s="1439"/>
      <c r="F121" s="1439"/>
      <c r="G121" s="1439"/>
      <c r="H121" s="1439"/>
      <c r="I121" s="1439"/>
      <c r="J121" s="573"/>
      <c r="K121" s="573"/>
    </row>
    <row r="122" spans="1:11" x14ac:dyDescent="0.2">
      <c r="A122" s="615">
        <v>4</v>
      </c>
      <c r="B122" s="1438"/>
      <c r="C122" s="1439"/>
      <c r="D122" s="1439"/>
      <c r="E122" s="1439"/>
      <c r="F122" s="1439"/>
      <c r="G122" s="1439"/>
      <c r="H122" s="1439"/>
      <c r="I122" s="1439"/>
      <c r="J122" s="573"/>
      <c r="K122" s="573"/>
    </row>
    <row r="123" spans="1:11" x14ac:dyDescent="0.2">
      <c r="A123" s="615">
        <v>5</v>
      </c>
      <c r="B123" s="1438"/>
      <c r="C123" s="1439"/>
      <c r="D123" s="1439"/>
      <c r="E123" s="1439"/>
      <c r="F123" s="1439"/>
      <c r="G123" s="1439"/>
      <c r="H123" s="1439"/>
      <c r="I123" s="1439"/>
      <c r="J123" s="573"/>
      <c r="K123" s="573"/>
    </row>
    <row r="124" spans="1:11" x14ac:dyDescent="0.2">
      <c r="A124" s="615">
        <v>6</v>
      </c>
      <c r="B124" s="1438"/>
      <c r="C124" s="1439"/>
      <c r="D124" s="1439"/>
      <c r="E124" s="1439"/>
      <c r="F124" s="1439"/>
      <c r="G124" s="1439"/>
      <c r="H124" s="1439"/>
      <c r="I124" s="1439"/>
      <c r="J124" s="573"/>
      <c r="K124" s="573"/>
    </row>
    <row r="125" spans="1:11" ht="4.5" customHeight="1" x14ac:dyDescent="0.2">
      <c r="A125" s="583"/>
      <c r="B125" s="1440"/>
      <c r="C125" s="1440"/>
      <c r="D125" s="1440"/>
      <c r="E125" s="1440"/>
      <c r="F125" s="1440"/>
      <c r="G125" s="1440"/>
      <c r="H125" s="1440"/>
      <c r="I125" s="1440"/>
      <c r="J125" s="1440"/>
      <c r="K125" s="1441"/>
    </row>
    <row r="126" spans="1:11" ht="15" x14ac:dyDescent="0.25">
      <c r="A126" s="572"/>
      <c r="B126" s="1442" t="s">
        <v>423</v>
      </c>
      <c r="C126" s="1443"/>
      <c r="D126" s="1443"/>
      <c r="E126" s="1443"/>
      <c r="F126" s="1443"/>
      <c r="G126" s="1443"/>
      <c r="H126" s="1443"/>
      <c r="I126" s="1444"/>
      <c r="J126" s="576" t="s">
        <v>1655</v>
      </c>
      <c r="K126" s="578" t="s">
        <v>1659</v>
      </c>
    </row>
    <row r="127" spans="1:11" x14ac:dyDescent="0.2">
      <c r="A127" s="572">
        <v>1</v>
      </c>
      <c r="B127" s="1438" t="s">
        <v>1597</v>
      </c>
      <c r="C127" s="1439"/>
      <c r="D127" s="1439"/>
      <c r="E127" s="1439"/>
      <c r="F127" s="1439"/>
      <c r="G127" s="1439"/>
      <c r="H127" s="1439"/>
      <c r="I127" s="1439"/>
      <c r="J127" s="573"/>
      <c r="K127" s="573"/>
    </row>
    <row r="128" spans="1:11" x14ac:dyDescent="0.2">
      <c r="A128" s="572">
        <v>2</v>
      </c>
      <c r="B128" s="1438" t="s">
        <v>1535</v>
      </c>
      <c r="C128" s="1439"/>
      <c r="D128" s="1439"/>
      <c r="E128" s="1439"/>
      <c r="F128" s="1439"/>
      <c r="G128" s="1439"/>
      <c r="H128" s="1439"/>
      <c r="I128" s="1439"/>
      <c r="J128" s="573"/>
      <c r="K128" s="573"/>
    </row>
    <row r="129" spans="1:11" x14ac:dyDescent="0.2">
      <c r="A129" s="572">
        <v>3</v>
      </c>
      <c r="B129" s="1438" t="s">
        <v>1698</v>
      </c>
      <c r="C129" s="1439"/>
      <c r="D129" s="1439"/>
      <c r="E129" s="1439"/>
      <c r="F129" s="1439"/>
      <c r="G129" s="1439"/>
      <c r="H129" s="1439"/>
      <c r="I129" s="1439"/>
      <c r="J129" s="573"/>
      <c r="K129" s="573"/>
    </row>
    <row r="130" spans="1:11" x14ac:dyDescent="0.2">
      <c r="A130" s="572">
        <v>4</v>
      </c>
      <c r="B130" s="1438"/>
      <c r="C130" s="1439"/>
      <c r="D130" s="1439"/>
      <c r="E130" s="1439"/>
      <c r="F130" s="1439"/>
      <c r="G130" s="1439"/>
      <c r="H130" s="1439"/>
      <c r="I130" s="1439"/>
      <c r="J130" s="573"/>
      <c r="K130" s="573"/>
    </row>
    <row r="131" spans="1:11" x14ac:dyDescent="0.2">
      <c r="A131" s="572">
        <v>5</v>
      </c>
      <c r="B131" s="1438"/>
      <c r="C131" s="1439"/>
      <c r="D131" s="1439"/>
      <c r="E131" s="1439"/>
      <c r="F131" s="1439"/>
      <c r="G131" s="1439"/>
      <c r="H131" s="1439"/>
      <c r="I131" s="1439"/>
      <c r="J131" s="573"/>
      <c r="K131" s="573"/>
    </row>
    <row r="132" spans="1:11" x14ac:dyDescent="0.2">
      <c r="A132" s="572">
        <v>6</v>
      </c>
      <c r="B132" s="1438"/>
      <c r="C132" s="1439"/>
      <c r="D132" s="1439"/>
      <c r="E132" s="1439"/>
      <c r="F132" s="1439"/>
      <c r="G132" s="1439"/>
      <c r="H132" s="1439"/>
      <c r="I132" s="1439"/>
      <c r="J132" s="573"/>
      <c r="K132" s="573"/>
    </row>
    <row r="133" spans="1:11" ht="4.5" customHeight="1" x14ac:dyDescent="0.2">
      <c r="A133" s="583"/>
      <c r="B133" s="1440"/>
      <c r="C133" s="1440"/>
      <c r="D133" s="1440"/>
      <c r="E133" s="1440"/>
      <c r="F133" s="1440"/>
      <c r="G133" s="1440"/>
      <c r="H133" s="1440"/>
      <c r="I133" s="1440"/>
      <c r="J133" s="1440"/>
      <c r="K133" s="1441"/>
    </row>
    <row r="134" spans="1:11" ht="15" x14ac:dyDescent="0.25">
      <c r="A134" s="797"/>
      <c r="B134" s="1445" t="s">
        <v>1727</v>
      </c>
      <c r="C134" s="1446"/>
      <c r="D134" s="1446"/>
      <c r="E134" s="1446"/>
      <c r="F134" s="1446"/>
      <c r="G134" s="1446"/>
      <c r="H134" s="1446"/>
      <c r="I134" s="1447"/>
      <c r="J134" s="576" t="s">
        <v>1655</v>
      </c>
      <c r="K134" s="578" t="s">
        <v>1659</v>
      </c>
    </row>
    <row r="135" spans="1:11" x14ac:dyDescent="0.2">
      <c r="A135" s="797">
        <v>1</v>
      </c>
      <c r="B135" s="1438"/>
      <c r="C135" s="1439"/>
      <c r="D135" s="1439"/>
      <c r="E135" s="1439"/>
      <c r="F135" s="1439"/>
      <c r="G135" s="1439"/>
      <c r="H135" s="1439"/>
      <c r="I135" s="1439"/>
      <c r="J135" s="573"/>
      <c r="K135" s="573"/>
    </row>
    <row r="136" spans="1:11" x14ac:dyDescent="0.2">
      <c r="A136" s="797">
        <v>2</v>
      </c>
      <c r="B136" s="1438"/>
      <c r="C136" s="1439"/>
      <c r="D136" s="1439"/>
      <c r="E136" s="1439"/>
      <c r="F136" s="1439"/>
      <c r="G136" s="1439"/>
      <c r="H136" s="1439"/>
      <c r="I136" s="1439"/>
      <c r="J136" s="573"/>
      <c r="K136" s="573"/>
    </row>
    <row r="137" spans="1:11" x14ac:dyDescent="0.2">
      <c r="A137" s="797">
        <v>3</v>
      </c>
      <c r="B137" s="1438"/>
      <c r="C137" s="1439"/>
      <c r="D137" s="1439"/>
      <c r="E137" s="1439"/>
      <c r="F137" s="1439"/>
      <c r="G137" s="1439"/>
      <c r="H137" s="1439"/>
      <c r="I137" s="1439"/>
      <c r="J137" s="573"/>
      <c r="K137" s="573"/>
    </row>
    <row r="138" spans="1:11" x14ac:dyDescent="0.2">
      <c r="A138" s="797">
        <v>4</v>
      </c>
      <c r="B138" s="1438"/>
      <c r="C138" s="1439"/>
      <c r="D138" s="1439"/>
      <c r="E138" s="1439"/>
      <c r="F138" s="1439"/>
      <c r="G138" s="1439"/>
      <c r="H138" s="1439"/>
      <c r="I138" s="1439"/>
      <c r="J138" s="573"/>
      <c r="K138" s="573"/>
    </row>
    <row r="139" spans="1:11" x14ac:dyDescent="0.2">
      <c r="A139" s="797">
        <v>5</v>
      </c>
      <c r="B139" s="1438"/>
      <c r="C139" s="1439"/>
      <c r="D139" s="1439"/>
      <c r="E139" s="1439"/>
      <c r="F139" s="1439"/>
      <c r="G139" s="1439"/>
      <c r="H139" s="1439"/>
      <c r="I139" s="1439"/>
      <c r="J139" s="573"/>
      <c r="K139" s="573"/>
    </row>
    <row r="140" spans="1:11" x14ac:dyDescent="0.2">
      <c r="A140" s="797">
        <v>6</v>
      </c>
      <c r="B140" s="1438"/>
      <c r="C140" s="1439"/>
      <c r="D140" s="1439"/>
      <c r="E140" s="1439"/>
      <c r="F140" s="1439"/>
      <c r="G140" s="1439"/>
      <c r="H140" s="1439"/>
      <c r="I140" s="1439"/>
      <c r="J140" s="573"/>
      <c r="K140" s="573"/>
    </row>
    <row r="141" spans="1:11" ht="4.5" customHeight="1" x14ac:dyDescent="0.2">
      <c r="A141" s="583"/>
      <c r="B141" s="1440"/>
      <c r="C141" s="1440"/>
      <c r="D141" s="1440"/>
      <c r="E141" s="1440"/>
      <c r="F141" s="1440"/>
      <c r="G141" s="1440"/>
      <c r="H141" s="1440"/>
      <c r="I141" s="1440"/>
      <c r="J141" s="1440"/>
      <c r="K141" s="1441"/>
    </row>
    <row r="142" spans="1:11" ht="15" x14ac:dyDescent="0.25">
      <c r="A142" s="481"/>
      <c r="B142" s="1445" t="s">
        <v>1700</v>
      </c>
      <c r="C142" s="1446"/>
      <c r="D142" s="1446"/>
      <c r="E142" s="1446"/>
      <c r="F142" s="1446"/>
      <c r="G142" s="1446"/>
      <c r="H142" s="1446"/>
      <c r="I142" s="1447"/>
      <c r="J142" s="576" t="s">
        <v>1655</v>
      </c>
      <c r="K142" s="578" t="s">
        <v>1659</v>
      </c>
    </row>
    <row r="143" spans="1:11" x14ac:dyDescent="0.2">
      <c r="A143" s="615">
        <v>1</v>
      </c>
      <c r="B143" s="1438"/>
      <c r="C143" s="1439"/>
      <c r="D143" s="1439"/>
      <c r="E143" s="1439"/>
      <c r="F143" s="1439"/>
      <c r="G143" s="1439"/>
      <c r="H143" s="1439"/>
      <c r="I143" s="1439"/>
      <c r="J143" s="573"/>
      <c r="K143" s="573"/>
    </row>
    <row r="144" spans="1:11" x14ac:dyDescent="0.2">
      <c r="A144" s="615">
        <v>2</v>
      </c>
      <c r="B144" s="1438"/>
      <c r="C144" s="1439"/>
      <c r="D144" s="1439"/>
      <c r="E144" s="1439"/>
      <c r="F144" s="1439"/>
      <c r="G144" s="1439"/>
      <c r="H144" s="1439"/>
      <c r="I144" s="1439"/>
      <c r="J144" s="573"/>
      <c r="K144" s="573"/>
    </row>
    <row r="145" spans="1:11" x14ac:dyDescent="0.2">
      <c r="A145" s="615">
        <v>3</v>
      </c>
      <c r="B145" s="1438"/>
      <c r="C145" s="1439"/>
      <c r="D145" s="1439"/>
      <c r="E145" s="1439"/>
      <c r="F145" s="1439"/>
      <c r="G145" s="1439"/>
      <c r="H145" s="1439"/>
      <c r="I145" s="1439"/>
      <c r="J145" s="573"/>
      <c r="K145" s="573"/>
    </row>
    <row r="146" spans="1:11" x14ac:dyDescent="0.2">
      <c r="A146" s="615">
        <v>4</v>
      </c>
      <c r="B146" s="1438"/>
      <c r="C146" s="1439"/>
      <c r="D146" s="1439"/>
      <c r="E146" s="1439"/>
      <c r="F146" s="1439"/>
      <c r="G146" s="1439"/>
      <c r="H146" s="1439"/>
      <c r="I146" s="1439"/>
      <c r="J146" s="573"/>
      <c r="K146" s="573"/>
    </row>
    <row r="147" spans="1:11" x14ac:dyDescent="0.2">
      <c r="A147" s="615">
        <v>5</v>
      </c>
      <c r="B147" s="1438"/>
      <c r="C147" s="1439"/>
      <c r="D147" s="1439"/>
      <c r="E147" s="1439"/>
      <c r="F147" s="1439"/>
      <c r="G147" s="1439"/>
      <c r="H147" s="1439"/>
      <c r="I147" s="1439"/>
      <c r="J147" s="573"/>
      <c r="K147" s="573"/>
    </row>
    <row r="148" spans="1:11" x14ac:dyDescent="0.2">
      <c r="A148" s="615">
        <v>6</v>
      </c>
      <c r="B148" s="1438"/>
      <c r="C148" s="1439"/>
      <c r="D148" s="1439"/>
      <c r="E148" s="1439"/>
      <c r="F148" s="1439"/>
      <c r="G148" s="1439"/>
      <c r="H148" s="1439"/>
      <c r="I148" s="1439"/>
      <c r="J148" s="573"/>
      <c r="K148" s="573"/>
    </row>
    <row r="149" spans="1:11" ht="4.5" customHeight="1" x14ac:dyDescent="0.2">
      <c r="A149" s="583"/>
      <c r="B149" s="1440"/>
      <c r="C149" s="1440"/>
      <c r="D149" s="1440"/>
      <c r="E149" s="1440"/>
      <c r="F149" s="1440"/>
      <c r="G149" s="1440"/>
      <c r="H149" s="1440"/>
      <c r="I149" s="1440"/>
      <c r="J149" s="1440"/>
      <c r="K149" s="1441"/>
    </row>
    <row r="150" spans="1:11" ht="15" x14ac:dyDescent="0.25">
      <c r="A150" s="481"/>
      <c r="B150" s="1442" t="s">
        <v>419</v>
      </c>
      <c r="C150" s="1443"/>
      <c r="D150" s="1443"/>
      <c r="E150" s="1443"/>
      <c r="F150" s="1443"/>
      <c r="G150" s="1443"/>
      <c r="H150" s="1443"/>
      <c r="I150" s="1444"/>
      <c r="J150" s="576" t="s">
        <v>1655</v>
      </c>
      <c r="K150" s="578" t="s">
        <v>1659</v>
      </c>
    </row>
    <row r="151" spans="1:11" x14ac:dyDescent="0.2">
      <c r="A151" s="572">
        <v>1</v>
      </c>
      <c r="B151" s="1438"/>
      <c r="C151" s="1439"/>
      <c r="D151" s="1439"/>
      <c r="E151" s="1439"/>
      <c r="F151" s="1439"/>
      <c r="G151" s="1439"/>
      <c r="H151" s="1439"/>
      <c r="I151" s="1439"/>
      <c r="J151" s="573"/>
      <c r="K151" s="573"/>
    </row>
    <row r="152" spans="1:11" x14ac:dyDescent="0.2">
      <c r="A152" s="572">
        <v>2</v>
      </c>
      <c r="B152" s="1438"/>
      <c r="C152" s="1439"/>
      <c r="D152" s="1439"/>
      <c r="E152" s="1439"/>
      <c r="F152" s="1439"/>
      <c r="G152" s="1439"/>
      <c r="H152" s="1439"/>
      <c r="I152" s="1439"/>
      <c r="J152" s="573"/>
      <c r="K152" s="573"/>
    </row>
    <row r="153" spans="1:11" x14ac:dyDescent="0.2">
      <c r="A153" s="572">
        <v>3</v>
      </c>
      <c r="B153" s="1438"/>
      <c r="C153" s="1439"/>
      <c r="D153" s="1439"/>
      <c r="E153" s="1439"/>
      <c r="F153" s="1439"/>
      <c r="G153" s="1439"/>
      <c r="H153" s="1439"/>
      <c r="I153" s="1439"/>
      <c r="J153" s="573"/>
      <c r="K153" s="573"/>
    </row>
    <row r="154" spans="1:11" x14ac:dyDescent="0.2">
      <c r="A154" s="572">
        <v>4</v>
      </c>
      <c r="B154" s="1438"/>
      <c r="C154" s="1439"/>
      <c r="D154" s="1439"/>
      <c r="E154" s="1439"/>
      <c r="F154" s="1439"/>
      <c r="G154" s="1439"/>
      <c r="H154" s="1439"/>
      <c r="I154" s="1439"/>
      <c r="J154" s="573"/>
      <c r="K154" s="573"/>
    </row>
    <row r="155" spans="1:11" x14ac:dyDescent="0.2">
      <c r="A155" s="572">
        <v>5</v>
      </c>
      <c r="B155" s="1438"/>
      <c r="C155" s="1439"/>
      <c r="D155" s="1439"/>
      <c r="E155" s="1439"/>
      <c r="F155" s="1439"/>
      <c r="G155" s="1439"/>
      <c r="H155" s="1439"/>
      <c r="I155" s="1439"/>
      <c r="J155" s="573"/>
      <c r="K155" s="573"/>
    </row>
    <row r="156" spans="1:11" ht="4.5" customHeight="1" x14ac:dyDescent="0.2">
      <c r="A156" s="583"/>
      <c r="B156" s="1440"/>
      <c r="C156" s="1440"/>
      <c r="D156" s="1440"/>
      <c r="E156" s="1440"/>
      <c r="F156" s="1440"/>
      <c r="G156" s="1440"/>
      <c r="H156" s="1440"/>
      <c r="I156" s="1440"/>
      <c r="J156" s="1440"/>
      <c r="K156" s="1441"/>
    </row>
    <row r="157" spans="1:11" ht="15" x14ac:dyDescent="0.25">
      <c r="A157" s="481"/>
      <c r="B157" s="1442" t="s">
        <v>418</v>
      </c>
      <c r="C157" s="1443"/>
      <c r="D157" s="1443"/>
      <c r="E157" s="1443"/>
      <c r="F157" s="1443"/>
      <c r="G157" s="1443"/>
      <c r="H157" s="1443"/>
      <c r="I157" s="1444"/>
      <c r="J157" s="576" t="s">
        <v>1655</v>
      </c>
      <c r="K157" s="578" t="s">
        <v>1659</v>
      </c>
    </row>
    <row r="158" spans="1:11" x14ac:dyDescent="0.2">
      <c r="A158" s="572">
        <v>1</v>
      </c>
      <c r="B158" s="1438"/>
      <c r="C158" s="1439"/>
      <c r="D158" s="1439"/>
      <c r="E158" s="1439"/>
      <c r="F158" s="1439"/>
      <c r="G158" s="1439"/>
      <c r="H158" s="1439"/>
      <c r="I158" s="1439"/>
      <c r="J158" s="573"/>
      <c r="K158" s="573"/>
    </row>
    <row r="159" spans="1:11" x14ac:dyDescent="0.2">
      <c r="A159" s="572">
        <v>2</v>
      </c>
      <c r="B159" s="1438"/>
      <c r="C159" s="1439"/>
      <c r="D159" s="1439"/>
      <c r="E159" s="1439"/>
      <c r="F159" s="1439"/>
      <c r="G159" s="1439"/>
      <c r="H159" s="1439"/>
      <c r="I159" s="1439"/>
      <c r="J159" s="573"/>
      <c r="K159" s="573"/>
    </row>
    <row r="160" spans="1:11" x14ac:dyDescent="0.2">
      <c r="A160" s="572">
        <v>3</v>
      </c>
      <c r="B160" s="1438"/>
      <c r="C160" s="1439"/>
      <c r="D160" s="1439"/>
      <c r="E160" s="1439"/>
      <c r="F160" s="1439"/>
      <c r="G160" s="1439"/>
      <c r="H160" s="1439"/>
      <c r="I160" s="1439"/>
      <c r="J160" s="573"/>
      <c r="K160" s="573"/>
    </row>
    <row r="161" spans="1:11" x14ac:dyDescent="0.2">
      <c r="A161" s="572">
        <v>4</v>
      </c>
      <c r="B161" s="1438"/>
      <c r="C161" s="1439"/>
      <c r="D161" s="1439"/>
      <c r="E161" s="1439"/>
      <c r="F161" s="1439"/>
      <c r="G161" s="1439"/>
      <c r="H161" s="1439"/>
      <c r="I161" s="1439"/>
      <c r="J161" s="573"/>
      <c r="K161" s="573"/>
    </row>
    <row r="162" spans="1:11" x14ac:dyDescent="0.2">
      <c r="A162" s="572">
        <v>5</v>
      </c>
      <c r="B162" s="1438"/>
      <c r="C162" s="1439"/>
      <c r="D162" s="1439"/>
      <c r="E162" s="1439"/>
      <c r="F162" s="1439"/>
      <c r="G162" s="1439"/>
      <c r="H162" s="1439"/>
      <c r="I162" s="1439"/>
      <c r="J162" s="573"/>
      <c r="K162" s="573"/>
    </row>
    <row r="163" spans="1:11" x14ac:dyDescent="0.2">
      <c r="A163" s="572">
        <v>6</v>
      </c>
      <c r="B163" s="1438"/>
      <c r="C163" s="1439"/>
      <c r="D163" s="1439"/>
      <c r="E163" s="1439"/>
      <c r="F163" s="1439"/>
      <c r="G163" s="1439"/>
      <c r="H163" s="1439"/>
      <c r="I163" s="1439"/>
      <c r="J163" s="573"/>
      <c r="K163" s="573"/>
    </row>
    <row r="164" spans="1:11" ht="4.5" customHeight="1" x14ac:dyDescent="0.2">
      <c r="A164" s="583"/>
      <c r="B164" s="1440"/>
      <c r="C164" s="1440"/>
      <c r="D164" s="1440"/>
      <c r="E164" s="1440"/>
      <c r="F164" s="1440"/>
      <c r="G164" s="1440"/>
      <c r="H164" s="1440"/>
      <c r="I164" s="1440"/>
      <c r="J164" s="1440"/>
      <c r="K164" s="1441"/>
    </row>
    <row r="165" spans="1:11" ht="15" x14ac:dyDescent="0.25">
      <c r="A165" s="481"/>
      <c r="B165" s="1495" t="s">
        <v>1733</v>
      </c>
      <c r="C165" s="1496"/>
      <c r="D165" s="1496"/>
      <c r="E165" s="1496"/>
      <c r="F165" s="1496"/>
      <c r="G165" s="1496"/>
      <c r="H165" s="1496"/>
      <c r="I165" s="1497"/>
      <c r="J165" s="576" t="s">
        <v>1655</v>
      </c>
      <c r="K165" s="578" t="s">
        <v>1659</v>
      </c>
    </row>
    <row r="166" spans="1:11" x14ac:dyDescent="0.2">
      <c r="A166" s="854">
        <v>1</v>
      </c>
      <c r="B166" s="1438"/>
      <c r="C166" s="1439"/>
      <c r="D166" s="1439"/>
      <c r="E166" s="1439"/>
      <c r="F166" s="1439"/>
      <c r="G166" s="1439"/>
      <c r="H166" s="1439"/>
      <c r="I166" s="1439"/>
      <c r="J166" s="573"/>
      <c r="K166" s="573"/>
    </row>
    <row r="167" spans="1:11" x14ac:dyDescent="0.2">
      <c r="A167" s="854">
        <v>2</v>
      </c>
      <c r="B167" s="1438"/>
      <c r="C167" s="1439"/>
      <c r="D167" s="1439"/>
      <c r="E167" s="1439"/>
      <c r="F167" s="1439"/>
      <c r="G167" s="1439"/>
      <c r="H167" s="1439"/>
      <c r="I167" s="1439"/>
      <c r="J167" s="573"/>
      <c r="K167" s="573"/>
    </row>
    <row r="168" spans="1:11" x14ac:dyDescent="0.2">
      <c r="A168" s="854">
        <v>3</v>
      </c>
      <c r="B168" s="1438"/>
      <c r="C168" s="1439"/>
      <c r="D168" s="1439"/>
      <c r="E168" s="1439"/>
      <c r="F168" s="1439"/>
      <c r="G168" s="1439"/>
      <c r="H168" s="1439"/>
      <c r="I168" s="1439"/>
      <c r="J168" s="573"/>
      <c r="K168" s="573"/>
    </row>
    <row r="169" spans="1:11" x14ac:dyDescent="0.2">
      <c r="A169" s="854">
        <v>4</v>
      </c>
      <c r="B169" s="1438"/>
      <c r="C169" s="1439"/>
      <c r="D169" s="1439"/>
      <c r="E169" s="1439"/>
      <c r="F169" s="1439"/>
      <c r="G169" s="1439"/>
      <c r="H169" s="1439"/>
      <c r="I169" s="1439"/>
      <c r="J169" s="573"/>
      <c r="K169" s="573"/>
    </row>
    <row r="170" spans="1:11" x14ac:dyDescent="0.2">
      <c r="A170" s="854">
        <v>5</v>
      </c>
      <c r="B170" s="1438"/>
      <c r="C170" s="1439"/>
      <c r="D170" s="1439"/>
      <c r="E170" s="1439"/>
      <c r="F170" s="1439"/>
      <c r="G170" s="1439"/>
      <c r="H170" s="1439"/>
      <c r="I170" s="1439"/>
      <c r="J170" s="573"/>
      <c r="K170" s="573"/>
    </row>
    <row r="171" spans="1:11" x14ac:dyDescent="0.2">
      <c r="A171" s="854">
        <v>6</v>
      </c>
      <c r="B171" s="1438"/>
      <c r="C171" s="1439"/>
      <c r="D171" s="1439"/>
      <c r="E171" s="1439"/>
      <c r="F171" s="1439"/>
      <c r="G171" s="1439"/>
      <c r="H171" s="1439"/>
      <c r="I171" s="1439"/>
      <c r="J171" s="573"/>
      <c r="K171" s="573"/>
    </row>
    <row r="172" spans="1:11" ht="4.5" customHeight="1" x14ac:dyDescent="0.2">
      <c r="A172" s="583"/>
      <c r="B172" s="1440"/>
      <c r="C172" s="1440"/>
      <c r="D172" s="1440"/>
      <c r="E172" s="1440"/>
      <c r="F172" s="1440"/>
      <c r="G172" s="1440"/>
      <c r="H172" s="1440"/>
      <c r="I172" s="1440"/>
      <c r="J172" s="1440"/>
      <c r="K172" s="1441"/>
    </row>
  </sheetData>
  <customSheetViews>
    <customSheetView guid="{C88CD669-B349-4A86-8041-5686C62E698E}">
      <selection activeCell="N43" sqref="N43"/>
      <pageMargins left="0.7" right="0.7" top="0.75" bottom="0.75" header="0.3" footer="0.3"/>
      <pageSetup orientation="portrait" r:id="rId1"/>
      <headerFooter>
        <oddHeader xml:space="preserve">&amp;C&amp;"Arial,Bold"&amp;12GO - NO - GO CHECK LIST &amp; PROJECT INFORMATION&amp;"Arial,Regular"&amp;10
</oddHeader>
        <oddFooter>&amp;C&amp;F</oddFooter>
      </headerFooter>
    </customSheetView>
    <customSheetView guid="{14A9C729-6567-47B0-B521-30EFFF4E950A}" topLeftCell="A13">
      <selection activeCell="F24" sqref="F24:I24"/>
      <pageMargins left="0.7" right="0.7" top="0.75" bottom="0.75" header="0.3" footer="0.3"/>
      <pageSetup orientation="portrait" r:id="rId2"/>
      <headerFooter>
        <oddHeader xml:space="preserve">&amp;C&amp;"Arial,Bold"&amp;12GO - NO - GO CHECK LIST &amp; PROJECT INFORMATION&amp;"Arial,Regular"&amp;10
</oddHeader>
        <oddFooter>&amp;C&amp;F</oddFooter>
      </headerFooter>
    </customSheetView>
    <customSheetView guid="{198460B7-6D23-4AED-A971-BF824A975991}" topLeftCell="A13">
      <selection activeCell="M17" sqref="M17"/>
      <pageMargins left="0.7" right="0.7" top="0.75" bottom="0.75" header="0.3" footer="0.3"/>
      <pageSetup orientation="portrait" r:id="rId3"/>
      <headerFooter>
        <oddHeader xml:space="preserve">&amp;C&amp;"Arial,Bold"&amp;12GO - NO - GO CHECK LIST &amp; PROJECT INFORMATION&amp;"Arial,Regular"&amp;10
</oddHeader>
        <oddFooter>&amp;C&amp;F</oddFooter>
      </headerFooter>
    </customSheetView>
  </customSheetViews>
  <mergeCells count="178">
    <mergeCell ref="B167:I167"/>
    <mergeCell ref="B168:I168"/>
    <mergeCell ref="B169:I169"/>
    <mergeCell ref="B170:I170"/>
    <mergeCell ref="B171:I171"/>
    <mergeCell ref="B172:K172"/>
    <mergeCell ref="B100:I100"/>
    <mergeCell ref="B117:K117"/>
    <mergeCell ref="B122:I122"/>
    <mergeCell ref="B123:I123"/>
    <mergeCell ref="B124:I124"/>
    <mergeCell ref="B125:K125"/>
    <mergeCell ref="B143:I143"/>
    <mergeCell ref="B144:I144"/>
    <mergeCell ref="B145:I145"/>
    <mergeCell ref="B133:K133"/>
    <mergeCell ref="B164:K164"/>
    <mergeCell ref="B163:I163"/>
    <mergeCell ref="B159:I159"/>
    <mergeCell ref="B160:I160"/>
    <mergeCell ref="B161:I161"/>
    <mergeCell ref="B150:I150"/>
    <mergeCell ref="B120:I120"/>
    <mergeCell ref="B121:I121"/>
    <mergeCell ref="B165:I165"/>
    <mergeCell ref="B166:I166"/>
    <mergeCell ref="A27:E27"/>
    <mergeCell ref="A28:E28"/>
    <mergeCell ref="A29:E29"/>
    <mergeCell ref="B54:I54"/>
    <mergeCell ref="B55:I55"/>
    <mergeCell ref="B56:I56"/>
    <mergeCell ref="B57:I57"/>
    <mergeCell ref="B58:I58"/>
    <mergeCell ref="B59:I59"/>
    <mergeCell ref="B61:K61"/>
    <mergeCell ref="B128:I128"/>
    <mergeCell ref="B129:I129"/>
    <mergeCell ref="B80:I80"/>
    <mergeCell ref="B81:I81"/>
    <mergeCell ref="B82:I82"/>
    <mergeCell ref="B83:I83"/>
    <mergeCell ref="B92:I92"/>
    <mergeCell ref="B35:I35"/>
    <mergeCell ref="B45:I45"/>
    <mergeCell ref="B37:I37"/>
    <mergeCell ref="B134:I134"/>
    <mergeCell ref="B44:K44"/>
    <mergeCell ref="A1:K1"/>
    <mergeCell ref="A2:K2"/>
    <mergeCell ref="A4:K4"/>
    <mergeCell ref="A6:K6"/>
    <mergeCell ref="A7:K7"/>
    <mergeCell ref="A8:K8"/>
    <mergeCell ref="A9:K9"/>
    <mergeCell ref="A10:K10"/>
    <mergeCell ref="A11:K11"/>
    <mergeCell ref="B73:I73"/>
    <mergeCell ref="B98:I98"/>
    <mergeCell ref="B99:I99"/>
    <mergeCell ref="B75:I75"/>
    <mergeCell ref="B126:I126"/>
    <mergeCell ref="B119:I119"/>
    <mergeCell ref="B38:I38"/>
    <mergeCell ref="B39:I39"/>
    <mergeCell ref="B40:I40"/>
    <mergeCell ref="B74:I74"/>
    <mergeCell ref="B85:K85"/>
    <mergeCell ref="B87:I87"/>
    <mergeCell ref="B88:I88"/>
    <mergeCell ref="B89:I89"/>
    <mergeCell ref="B90:I90"/>
    <mergeCell ref="B91:I91"/>
    <mergeCell ref="B46:I46"/>
    <mergeCell ref="B47:I47"/>
    <mergeCell ref="B48:I48"/>
    <mergeCell ref="B49:I49"/>
    <mergeCell ref="B50:I50"/>
    <mergeCell ref="B51:I51"/>
    <mergeCell ref="B69:I69"/>
    <mergeCell ref="B60:I60"/>
    <mergeCell ref="B62:I62"/>
    <mergeCell ref="B71:I71"/>
    <mergeCell ref="B72:I72"/>
    <mergeCell ref="E25:F25"/>
    <mergeCell ref="G25:I25"/>
    <mergeCell ref="G24:H24"/>
    <mergeCell ref="F27:I27"/>
    <mergeCell ref="J25:K25"/>
    <mergeCell ref="A24:C24"/>
    <mergeCell ref="A25:D25"/>
    <mergeCell ref="I24:K24"/>
    <mergeCell ref="D24:F24"/>
    <mergeCell ref="G28:H28"/>
    <mergeCell ref="I28:K28"/>
    <mergeCell ref="F29:K29"/>
    <mergeCell ref="A26:D26"/>
    <mergeCell ref="E26:F26"/>
    <mergeCell ref="A12:K12"/>
    <mergeCell ref="A13:K13"/>
    <mergeCell ref="A15:K15"/>
    <mergeCell ref="A17:K17"/>
    <mergeCell ref="A23:D23"/>
    <mergeCell ref="B53:E53"/>
    <mergeCell ref="B31:I31"/>
    <mergeCell ref="B32:I32"/>
    <mergeCell ref="B33:I33"/>
    <mergeCell ref="B34:I34"/>
    <mergeCell ref="B41:I41"/>
    <mergeCell ref="B42:I42"/>
    <mergeCell ref="B36:K36"/>
    <mergeCell ref="B52:K52"/>
    <mergeCell ref="B43:I43"/>
    <mergeCell ref="B30:E30"/>
    <mergeCell ref="F30:H30"/>
    <mergeCell ref="E23:K23"/>
    <mergeCell ref="A19:K19"/>
    <mergeCell ref="A22:D22"/>
    <mergeCell ref="A21:D21"/>
    <mergeCell ref="E21:I21"/>
    <mergeCell ref="E22:K22"/>
    <mergeCell ref="B76:I76"/>
    <mergeCell ref="B77:I77"/>
    <mergeCell ref="B78:K78"/>
    <mergeCell ref="B95:I95"/>
    <mergeCell ref="B96:I96"/>
    <mergeCell ref="B97:I97"/>
    <mergeCell ref="B110:I110"/>
    <mergeCell ref="B111:I111"/>
    <mergeCell ref="B112:I112"/>
    <mergeCell ref="B105:I105"/>
    <mergeCell ref="B106:I106"/>
    <mergeCell ref="B107:I107"/>
    <mergeCell ref="B104:I104"/>
    <mergeCell ref="B102:I102"/>
    <mergeCell ref="B103:I103"/>
    <mergeCell ref="B79:I79"/>
    <mergeCell ref="B146:I146"/>
    <mergeCell ref="B148:I148"/>
    <mergeCell ref="B108:I108"/>
    <mergeCell ref="B84:I84"/>
    <mergeCell ref="B116:I116"/>
    <mergeCell ref="B147:I147"/>
    <mergeCell ref="B113:I113"/>
    <mergeCell ref="B114:I114"/>
    <mergeCell ref="B127:I127"/>
    <mergeCell ref="B118:I118"/>
    <mergeCell ref="B94:I94"/>
    <mergeCell ref="B86:I86"/>
    <mergeCell ref="B141:K141"/>
    <mergeCell ref="B130:I130"/>
    <mergeCell ref="B131:I131"/>
    <mergeCell ref="B132:I132"/>
    <mergeCell ref="B115:I115"/>
    <mergeCell ref="B162:I162"/>
    <mergeCell ref="B70:K70"/>
    <mergeCell ref="B63:I63"/>
    <mergeCell ref="B64:I64"/>
    <mergeCell ref="B65:I65"/>
    <mergeCell ref="B66:I66"/>
    <mergeCell ref="B67:I67"/>
    <mergeCell ref="B68:I68"/>
    <mergeCell ref="B155:I155"/>
    <mergeCell ref="B158:I158"/>
    <mergeCell ref="B157:I157"/>
    <mergeCell ref="B156:K156"/>
    <mergeCell ref="B149:K149"/>
    <mergeCell ref="B142:I142"/>
    <mergeCell ref="B135:I135"/>
    <mergeCell ref="B136:I136"/>
    <mergeCell ref="B137:I137"/>
    <mergeCell ref="B138:I138"/>
    <mergeCell ref="B139:I139"/>
    <mergeCell ref="B140:I140"/>
    <mergeCell ref="B154:I154"/>
    <mergeCell ref="B151:I151"/>
    <mergeCell ref="B152:I152"/>
    <mergeCell ref="B153:I153"/>
  </mergeCells>
  <conditionalFormatting sqref="J54:J60">
    <cfRule type="containsText" dxfId="519" priority="441" operator="containsText" text="No">
      <formula>NOT(ISERROR(SEARCH("No",J54)))</formula>
    </cfRule>
    <cfRule type="containsText" dxfId="518" priority="442" operator="containsText" text="&quot;Yes.&quot;">
      <formula>NOT(ISERROR(SEARCH("""Yes.""",J54)))</formula>
    </cfRule>
    <cfRule type="containsText" dxfId="517" priority="443" operator="containsText" text="Yes">
      <formula>NOT(ISERROR(SEARCH("Yes",J54)))</formula>
    </cfRule>
    <cfRule type="cellIs" priority="444" operator="equal">
      <formula>"""Yes"""</formula>
    </cfRule>
    <cfRule type="cellIs" dxfId="516" priority="445" operator="equal">
      <formula>"""Yes."""</formula>
    </cfRule>
    <cfRule type="cellIs" dxfId="515" priority="446" operator="equal">
      <formula>"Yes$H$58"</formula>
    </cfRule>
    <cfRule type="cellIs" dxfId="514" priority="447" operator="equal">
      <formula>$J$72</formula>
    </cfRule>
    <cfRule type="cellIs" dxfId="513" priority="448" operator="equal">
      <formula>"""Yes"""</formula>
    </cfRule>
    <cfRule type="cellIs" dxfId="512" priority="449" operator="equal">
      <formula>"Yes"</formula>
    </cfRule>
    <cfRule type="cellIs" dxfId="511" priority="450" operator="equal">
      <formula>"Yes"</formula>
    </cfRule>
  </conditionalFormatting>
  <conditionalFormatting sqref="J31:J35">
    <cfRule type="containsText" dxfId="510" priority="341" operator="containsText" text="No">
      <formula>NOT(ISERROR(SEARCH("No",J31)))</formula>
    </cfRule>
    <cfRule type="containsText" dxfId="509" priority="342" operator="containsText" text="&quot;Yes.&quot;">
      <formula>NOT(ISERROR(SEARCH("""Yes.""",J31)))</formula>
    </cfRule>
    <cfRule type="containsText" dxfId="508" priority="343" operator="containsText" text="Yes">
      <formula>NOT(ISERROR(SEARCH("Yes",J31)))</formula>
    </cfRule>
    <cfRule type="cellIs" priority="344" operator="equal">
      <formula>"""Yes"""</formula>
    </cfRule>
    <cfRule type="cellIs" dxfId="507" priority="345" operator="equal">
      <formula>"""Yes."""</formula>
    </cfRule>
    <cfRule type="cellIs" dxfId="506" priority="346" operator="equal">
      <formula>"Yes$H$58"</formula>
    </cfRule>
    <cfRule type="cellIs" dxfId="505" priority="347" operator="equal">
      <formula>$J$72</formula>
    </cfRule>
    <cfRule type="cellIs" dxfId="504" priority="348" operator="equal">
      <formula>"""Yes"""</formula>
    </cfRule>
    <cfRule type="cellIs" dxfId="503" priority="349" operator="equal">
      <formula>"Yes"</formula>
    </cfRule>
    <cfRule type="cellIs" dxfId="502" priority="350" operator="equal">
      <formula>"Yes"</formula>
    </cfRule>
  </conditionalFormatting>
  <conditionalFormatting sqref="K72:K77">
    <cfRule type="containsText" dxfId="501" priority="421" operator="containsText" text="No">
      <formula>NOT(ISERROR(SEARCH("No",K72)))</formula>
    </cfRule>
    <cfRule type="containsText" dxfId="500" priority="422" operator="containsText" text="&quot;Yes.&quot;">
      <formula>NOT(ISERROR(SEARCH("""Yes.""",K72)))</formula>
    </cfRule>
    <cfRule type="containsText" dxfId="499" priority="423" operator="containsText" text="Yes">
      <formula>NOT(ISERROR(SEARCH("Yes",K72)))</formula>
    </cfRule>
    <cfRule type="cellIs" priority="424" operator="equal">
      <formula>"""Yes"""</formula>
    </cfRule>
    <cfRule type="cellIs" dxfId="498" priority="425" operator="equal">
      <formula>"""Yes."""</formula>
    </cfRule>
    <cfRule type="cellIs" dxfId="497" priority="426" operator="equal">
      <formula>"Yes$H$58"</formula>
    </cfRule>
    <cfRule type="cellIs" dxfId="496" priority="427" operator="equal">
      <formula>$J$72</formula>
    </cfRule>
    <cfRule type="cellIs" dxfId="495" priority="428" operator="equal">
      <formula>"""Yes"""</formula>
    </cfRule>
    <cfRule type="cellIs" dxfId="494" priority="429" operator="equal">
      <formula>"Yes"</formula>
    </cfRule>
    <cfRule type="cellIs" dxfId="493" priority="430" operator="equal">
      <formula>"Yes"</formula>
    </cfRule>
  </conditionalFormatting>
  <conditionalFormatting sqref="K38:K43">
    <cfRule type="containsText" dxfId="492" priority="411" operator="containsText" text="No">
      <formula>NOT(ISERROR(SEARCH("No",K38)))</formula>
    </cfRule>
    <cfRule type="containsText" dxfId="491" priority="412" operator="containsText" text="&quot;Yes.&quot;">
      <formula>NOT(ISERROR(SEARCH("""Yes.""",K38)))</formula>
    </cfRule>
    <cfRule type="containsText" dxfId="490" priority="413" operator="containsText" text="Yes">
      <formula>NOT(ISERROR(SEARCH("Yes",K38)))</formula>
    </cfRule>
    <cfRule type="cellIs" priority="414" operator="equal">
      <formula>"""Yes"""</formula>
    </cfRule>
    <cfRule type="cellIs" dxfId="489" priority="415" operator="equal">
      <formula>"""Yes."""</formula>
    </cfRule>
    <cfRule type="cellIs" dxfId="488" priority="416" operator="equal">
      <formula>"Yes$H$58"</formula>
    </cfRule>
    <cfRule type="cellIs" dxfId="487" priority="417" operator="equal">
      <formula>$J$72</formula>
    </cfRule>
    <cfRule type="cellIs" dxfId="486" priority="418" operator="equal">
      <formula>"""Yes"""</formula>
    </cfRule>
    <cfRule type="cellIs" dxfId="485" priority="419" operator="equal">
      <formula>"Yes"</formula>
    </cfRule>
    <cfRule type="cellIs" dxfId="484" priority="420" operator="equal">
      <formula>"Yes"</formula>
    </cfRule>
  </conditionalFormatting>
  <conditionalFormatting sqref="K31:K35">
    <cfRule type="containsText" dxfId="483" priority="331" operator="containsText" text="No">
      <formula>NOT(ISERROR(SEARCH("No",K31)))</formula>
    </cfRule>
    <cfRule type="containsText" dxfId="482" priority="332" operator="containsText" text="&quot;Yes.&quot;">
      <formula>NOT(ISERROR(SEARCH("""Yes.""",K31)))</formula>
    </cfRule>
    <cfRule type="containsText" dxfId="481" priority="333" operator="containsText" text="Yes">
      <formula>NOT(ISERROR(SEARCH("Yes",K31)))</formula>
    </cfRule>
    <cfRule type="cellIs" priority="334" operator="equal">
      <formula>"""Yes"""</formula>
    </cfRule>
    <cfRule type="cellIs" dxfId="480" priority="335" operator="equal">
      <formula>"""Yes."""</formula>
    </cfRule>
    <cfRule type="cellIs" dxfId="479" priority="336" operator="equal">
      <formula>"Yes$H$58"</formula>
    </cfRule>
    <cfRule type="cellIs" dxfId="478" priority="337" operator="equal">
      <formula>$J$72</formula>
    </cfRule>
    <cfRule type="cellIs" dxfId="477" priority="338" operator="equal">
      <formula>"""Yes"""</formula>
    </cfRule>
    <cfRule type="cellIs" dxfId="476" priority="339" operator="equal">
      <formula>"Yes"</formula>
    </cfRule>
    <cfRule type="cellIs" dxfId="475" priority="340" operator="equal">
      <formula>"Yes"</formula>
    </cfRule>
  </conditionalFormatting>
  <conditionalFormatting sqref="K54:K60">
    <cfRule type="containsText" dxfId="474" priority="381" operator="containsText" text="No">
      <formula>NOT(ISERROR(SEARCH("No",K54)))</formula>
    </cfRule>
    <cfRule type="containsText" dxfId="473" priority="382" operator="containsText" text="&quot;Yes.&quot;">
      <formula>NOT(ISERROR(SEARCH("""Yes.""",K54)))</formula>
    </cfRule>
    <cfRule type="containsText" dxfId="472" priority="383" operator="containsText" text="Yes">
      <formula>NOT(ISERROR(SEARCH("Yes",K54)))</formula>
    </cfRule>
    <cfRule type="cellIs" priority="384" operator="equal">
      <formula>"""Yes"""</formula>
    </cfRule>
    <cfRule type="cellIs" dxfId="471" priority="385" operator="equal">
      <formula>"""Yes."""</formula>
    </cfRule>
    <cfRule type="cellIs" dxfId="470" priority="386" operator="equal">
      <formula>"Yes$H$58"</formula>
    </cfRule>
    <cfRule type="cellIs" dxfId="469" priority="387" operator="equal">
      <formula>$J$72</formula>
    </cfRule>
    <cfRule type="cellIs" dxfId="468" priority="388" operator="equal">
      <formula>"""Yes"""</formula>
    </cfRule>
    <cfRule type="cellIs" dxfId="467" priority="389" operator="equal">
      <formula>"Yes"</formula>
    </cfRule>
    <cfRule type="cellIs" dxfId="466" priority="390" operator="equal">
      <formula>"Yes"</formula>
    </cfRule>
  </conditionalFormatting>
  <conditionalFormatting sqref="F28">
    <cfRule type="containsText" dxfId="465" priority="311" operator="containsText" text="No">
      <formula>NOT(ISERROR(SEARCH("No",F28)))</formula>
    </cfRule>
    <cfRule type="containsText" dxfId="464" priority="312" operator="containsText" text="&quot;Yes.&quot;">
      <formula>NOT(ISERROR(SEARCH("""Yes.""",F28)))</formula>
    </cfRule>
    <cfRule type="containsText" dxfId="463" priority="313" operator="containsText" text="Yes">
      <formula>NOT(ISERROR(SEARCH("Yes",F28)))</formula>
    </cfRule>
    <cfRule type="cellIs" priority="314" operator="equal">
      <formula>"""Yes"""</formula>
    </cfRule>
    <cfRule type="cellIs" dxfId="462" priority="315" operator="equal">
      <formula>"""Yes."""</formula>
    </cfRule>
    <cfRule type="cellIs" dxfId="461" priority="316" operator="equal">
      <formula>"Yes$H$58"</formula>
    </cfRule>
    <cfRule type="cellIs" dxfId="460" priority="317" operator="equal">
      <formula>$J$72</formula>
    </cfRule>
    <cfRule type="cellIs" dxfId="459" priority="318" operator="equal">
      <formula>"""Yes"""</formula>
    </cfRule>
    <cfRule type="cellIs" dxfId="458" priority="319" operator="equal">
      <formula>"Yes"</formula>
    </cfRule>
    <cfRule type="cellIs" dxfId="457" priority="320" operator="equal">
      <formula>"Yes"</formula>
    </cfRule>
  </conditionalFormatting>
  <conditionalFormatting sqref="K63:K69">
    <cfRule type="containsText" dxfId="456" priority="301" operator="containsText" text="No">
      <formula>NOT(ISERROR(SEARCH("No",K63)))</formula>
    </cfRule>
    <cfRule type="containsText" dxfId="455" priority="302" operator="containsText" text="&quot;Yes.&quot;">
      <formula>NOT(ISERROR(SEARCH("""Yes.""",K63)))</formula>
    </cfRule>
    <cfRule type="containsText" dxfId="454" priority="303" operator="containsText" text="Yes">
      <formula>NOT(ISERROR(SEARCH("Yes",K63)))</formula>
    </cfRule>
    <cfRule type="cellIs" priority="304" operator="equal">
      <formula>"""Yes"""</formula>
    </cfRule>
    <cfRule type="cellIs" dxfId="453" priority="305" operator="equal">
      <formula>"""Yes."""</formula>
    </cfRule>
    <cfRule type="cellIs" dxfId="452" priority="306" operator="equal">
      <formula>"Yes$H$58"</formula>
    </cfRule>
    <cfRule type="cellIs" dxfId="451" priority="307" operator="equal">
      <formula>$J$72</formula>
    </cfRule>
    <cfRule type="cellIs" dxfId="450" priority="308" operator="equal">
      <formula>"""Yes"""</formula>
    </cfRule>
    <cfRule type="cellIs" dxfId="449" priority="309" operator="equal">
      <formula>"Yes"</formula>
    </cfRule>
    <cfRule type="cellIs" dxfId="448" priority="310" operator="equal">
      <formula>"Yes"</formula>
    </cfRule>
  </conditionalFormatting>
  <conditionalFormatting sqref="K80:K84">
    <cfRule type="containsText" dxfId="447" priority="291" operator="containsText" text="No">
      <formula>NOT(ISERROR(SEARCH("No",K80)))</formula>
    </cfRule>
    <cfRule type="containsText" dxfId="446" priority="292" operator="containsText" text="&quot;Yes.&quot;">
      <formula>NOT(ISERROR(SEARCH("""Yes.""",K80)))</formula>
    </cfRule>
    <cfRule type="containsText" dxfId="445" priority="293" operator="containsText" text="Yes">
      <formula>NOT(ISERROR(SEARCH("Yes",K80)))</formula>
    </cfRule>
    <cfRule type="cellIs" priority="294" operator="equal">
      <formula>"""Yes"""</formula>
    </cfRule>
    <cfRule type="cellIs" dxfId="444" priority="295" operator="equal">
      <formula>"""Yes."""</formula>
    </cfRule>
    <cfRule type="cellIs" dxfId="443" priority="296" operator="equal">
      <formula>"Yes$H$58"</formula>
    </cfRule>
    <cfRule type="cellIs" dxfId="442" priority="297" operator="equal">
      <formula>$J$72</formula>
    </cfRule>
    <cfRule type="cellIs" dxfId="441" priority="298" operator="equal">
      <formula>"""Yes"""</formula>
    </cfRule>
    <cfRule type="cellIs" dxfId="440" priority="299" operator="equal">
      <formula>"Yes"</formula>
    </cfRule>
    <cfRule type="cellIs" dxfId="439" priority="300" operator="equal">
      <formula>"Yes"</formula>
    </cfRule>
  </conditionalFormatting>
  <conditionalFormatting sqref="I30">
    <cfRule type="containsText" dxfId="438" priority="321" operator="containsText" text="No">
      <formula>NOT(ISERROR(SEARCH("No",I30)))</formula>
    </cfRule>
    <cfRule type="containsText" dxfId="437" priority="322" operator="containsText" text="&quot;Yes.&quot;">
      <formula>NOT(ISERROR(SEARCH("""Yes.""",I30)))</formula>
    </cfRule>
    <cfRule type="containsText" dxfId="436" priority="323" operator="containsText" text="Yes">
      <formula>NOT(ISERROR(SEARCH("Yes",I30)))</formula>
    </cfRule>
    <cfRule type="cellIs" priority="324" operator="equal">
      <formula>"""Yes"""</formula>
    </cfRule>
    <cfRule type="cellIs" dxfId="435" priority="325" operator="equal">
      <formula>"""Yes."""</formula>
    </cfRule>
    <cfRule type="cellIs" dxfId="434" priority="326" operator="equal">
      <formula>"Yes$H$58"</formula>
    </cfRule>
    <cfRule type="cellIs" dxfId="433" priority="327" operator="equal">
      <formula>$J$72</formula>
    </cfRule>
    <cfRule type="cellIs" dxfId="432" priority="328" operator="equal">
      <formula>"""Yes"""</formula>
    </cfRule>
    <cfRule type="cellIs" dxfId="431" priority="329" operator="equal">
      <formula>"Yes"</formula>
    </cfRule>
    <cfRule type="cellIs" dxfId="430" priority="330" operator="equal">
      <formula>"Yes"</formula>
    </cfRule>
  </conditionalFormatting>
  <conditionalFormatting sqref="K151:K155">
    <cfRule type="containsText" dxfId="429" priority="271" operator="containsText" text="No">
      <formula>NOT(ISERROR(SEARCH("No",K151)))</formula>
    </cfRule>
    <cfRule type="containsText" dxfId="428" priority="272" operator="containsText" text="&quot;Yes.&quot;">
      <formula>NOT(ISERROR(SEARCH("""Yes.""",K151)))</formula>
    </cfRule>
    <cfRule type="containsText" dxfId="427" priority="273" operator="containsText" text="Yes">
      <formula>NOT(ISERROR(SEARCH("Yes",K151)))</formula>
    </cfRule>
    <cfRule type="cellIs" priority="274" operator="equal">
      <formula>"""Yes"""</formula>
    </cfRule>
    <cfRule type="cellIs" dxfId="426" priority="275" operator="equal">
      <formula>"""Yes."""</formula>
    </cfRule>
    <cfRule type="cellIs" dxfId="425" priority="276" operator="equal">
      <formula>"Yes$H$58"</formula>
    </cfRule>
    <cfRule type="cellIs" dxfId="424" priority="277" operator="equal">
      <formula>$J$72</formula>
    </cfRule>
    <cfRule type="cellIs" dxfId="423" priority="278" operator="equal">
      <formula>"""Yes"""</formula>
    </cfRule>
    <cfRule type="cellIs" dxfId="422" priority="279" operator="equal">
      <formula>"Yes"</formula>
    </cfRule>
    <cfRule type="cellIs" dxfId="421" priority="280" operator="equal">
      <formula>"Yes"</formula>
    </cfRule>
  </conditionalFormatting>
  <conditionalFormatting sqref="K158:K163">
    <cfRule type="containsText" dxfId="420" priority="261" operator="containsText" text="No">
      <formula>NOT(ISERROR(SEARCH("No",K158)))</formula>
    </cfRule>
    <cfRule type="containsText" dxfId="419" priority="262" operator="containsText" text="&quot;Yes.&quot;">
      <formula>NOT(ISERROR(SEARCH("""Yes.""",K158)))</formula>
    </cfRule>
    <cfRule type="containsText" dxfId="418" priority="263" operator="containsText" text="Yes">
      <formula>NOT(ISERROR(SEARCH("Yes",K158)))</formula>
    </cfRule>
    <cfRule type="cellIs" priority="264" operator="equal">
      <formula>"""Yes"""</formula>
    </cfRule>
    <cfRule type="cellIs" dxfId="417" priority="265" operator="equal">
      <formula>"""Yes."""</formula>
    </cfRule>
    <cfRule type="cellIs" dxfId="416" priority="266" operator="equal">
      <formula>"Yes$H$58"</formula>
    </cfRule>
    <cfRule type="cellIs" dxfId="415" priority="267" operator="equal">
      <formula>$J$72</formula>
    </cfRule>
    <cfRule type="cellIs" dxfId="414" priority="268" operator="equal">
      <formula>"""Yes"""</formula>
    </cfRule>
    <cfRule type="cellIs" dxfId="413" priority="269" operator="equal">
      <formula>"Yes"</formula>
    </cfRule>
    <cfRule type="cellIs" dxfId="412" priority="270" operator="equal">
      <formula>"Yes"</formula>
    </cfRule>
  </conditionalFormatting>
  <conditionalFormatting sqref="K127:K132">
    <cfRule type="containsText" dxfId="411" priority="281" operator="containsText" text="No">
      <formula>NOT(ISERROR(SEARCH("No",K127)))</formula>
    </cfRule>
    <cfRule type="containsText" dxfId="410" priority="282" operator="containsText" text="&quot;Yes.&quot;">
      <formula>NOT(ISERROR(SEARCH("""Yes.""",K127)))</formula>
    </cfRule>
    <cfRule type="containsText" dxfId="409" priority="283" operator="containsText" text="Yes">
      <formula>NOT(ISERROR(SEARCH("Yes",K127)))</formula>
    </cfRule>
    <cfRule type="cellIs" priority="284" operator="equal">
      <formula>"""Yes"""</formula>
    </cfRule>
    <cfRule type="cellIs" dxfId="408" priority="285" operator="equal">
      <formula>"""Yes."""</formula>
    </cfRule>
    <cfRule type="cellIs" dxfId="407" priority="286" operator="equal">
      <formula>"Yes$H$58"</formula>
    </cfRule>
    <cfRule type="cellIs" dxfId="406" priority="287" operator="equal">
      <formula>$J$72</formula>
    </cfRule>
    <cfRule type="cellIs" dxfId="405" priority="288" operator="equal">
      <formula>"""Yes"""</formula>
    </cfRule>
    <cfRule type="cellIs" dxfId="404" priority="289" operator="equal">
      <formula>"Yes"</formula>
    </cfRule>
    <cfRule type="cellIs" dxfId="403" priority="290" operator="equal">
      <formula>"Yes"</formula>
    </cfRule>
  </conditionalFormatting>
  <conditionalFormatting sqref="K119:K124">
    <cfRule type="containsText" dxfId="402" priority="241" operator="containsText" text="No">
      <formula>NOT(ISERROR(SEARCH("No",K119)))</formula>
    </cfRule>
    <cfRule type="containsText" dxfId="401" priority="242" operator="containsText" text="&quot;Yes.&quot;">
      <formula>NOT(ISERROR(SEARCH("""Yes.""",K119)))</formula>
    </cfRule>
    <cfRule type="containsText" dxfId="400" priority="243" operator="containsText" text="Yes">
      <formula>NOT(ISERROR(SEARCH("Yes",K119)))</formula>
    </cfRule>
    <cfRule type="cellIs" priority="244" operator="equal">
      <formula>"""Yes"""</formula>
    </cfRule>
    <cfRule type="cellIs" dxfId="399" priority="245" operator="equal">
      <formula>"""Yes."""</formula>
    </cfRule>
    <cfRule type="cellIs" dxfId="398" priority="246" operator="equal">
      <formula>"Yes$H$58"</formula>
    </cfRule>
    <cfRule type="cellIs" dxfId="397" priority="247" operator="equal">
      <formula>$J$72</formula>
    </cfRule>
    <cfRule type="cellIs" dxfId="396" priority="248" operator="equal">
      <formula>"""Yes"""</formula>
    </cfRule>
    <cfRule type="cellIs" dxfId="395" priority="249" operator="equal">
      <formula>"Yes"</formula>
    </cfRule>
    <cfRule type="cellIs" dxfId="394" priority="250" operator="equal">
      <formula>"Yes"</formula>
    </cfRule>
  </conditionalFormatting>
  <conditionalFormatting sqref="K143:K148">
    <cfRule type="containsText" dxfId="393" priority="231" operator="containsText" text="No">
      <formula>NOT(ISERROR(SEARCH("No",K143)))</formula>
    </cfRule>
    <cfRule type="containsText" dxfId="392" priority="232" operator="containsText" text="&quot;Yes.&quot;">
      <formula>NOT(ISERROR(SEARCH("""Yes.""",K143)))</formula>
    </cfRule>
    <cfRule type="containsText" dxfId="391" priority="233" operator="containsText" text="Yes">
      <formula>NOT(ISERROR(SEARCH("Yes",K143)))</formula>
    </cfRule>
    <cfRule type="cellIs" priority="234" operator="equal">
      <formula>"""Yes"""</formula>
    </cfRule>
    <cfRule type="cellIs" dxfId="390" priority="235" operator="equal">
      <formula>"""Yes."""</formula>
    </cfRule>
    <cfRule type="cellIs" dxfId="389" priority="236" operator="equal">
      <formula>"Yes$H$58"</formula>
    </cfRule>
    <cfRule type="cellIs" dxfId="388" priority="237" operator="equal">
      <formula>$J$72</formula>
    </cfRule>
    <cfRule type="cellIs" dxfId="387" priority="238" operator="equal">
      <formula>"""Yes"""</formula>
    </cfRule>
    <cfRule type="cellIs" dxfId="386" priority="239" operator="equal">
      <formula>"Yes"</formula>
    </cfRule>
    <cfRule type="cellIs" dxfId="385" priority="240" operator="equal">
      <formula>"Yes"</formula>
    </cfRule>
  </conditionalFormatting>
  <conditionalFormatting sqref="K95:K100">
    <cfRule type="containsText" dxfId="384" priority="221" operator="containsText" text="No">
      <formula>NOT(ISERROR(SEARCH("No",K95)))</formula>
    </cfRule>
    <cfRule type="containsText" dxfId="383" priority="222" operator="containsText" text="&quot;Yes.&quot;">
      <formula>NOT(ISERROR(SEARCH("""Yes.""",K95)))</formula>
    </cfRule>
    <cfRule type="containsText" dxfId="382" priority="223" operator="containsText" text="Yes">
      <formula>NOT(ISERROR(SEARCH("Yes",K95)))</formula>
    </cfRule>
    <cfRule type="cellIs" priority="224" operator="equal">
      <formula>"""Yes"""</formula>
    </cfRule>
    <cfRule type="cellIs" dxfId="381" priority="225" operator="equal">
      <formula>"""Yes."""</formula>
    </cfRule>
    <cfRule type="cellIs" dxfId="380" priority="226" operator="equal">
      <formula>"Yes$H$58"</formula>
    </cfRule>
    <cfRule type="cellIs" dxfId="379" priority="227" operator="equal">
      <formula>$J$72</formula>
    </cfRule>
    <cfRule type="cellIs" dxfId="378" priority="228" operator="equal">
      <formula>"""Yes"""</formula>
    </cfRule>
    <cfRule type="cellIs" dxfId="377" priority="229" operator="equal">
      <formula>"Yes"</formula>
    </cfRule>
    <cfRule type="cellIs" dxfId="376" priority="230" operator="equal">
      <formula>"Yes"</formula>
    </cfRule>
  </conditionalFormatting>
  <conditionalFormatting sqref="J63:J69">
    <cfRule type="containsText" dxfId="375" priority="211" operator="containsText" text="No">
      <formula>NOT(ISERROR(SEARCH("No",J63)))</formula>
    </cfRule>
    <cfRule type="containsText" dxfId="374" priority="212" operator="containsText" text="&quot;Yes.&quot;">
      <formula>NOT(ISERROR(SEARCH("""Yes.""",J63)))</formula>
    </cfRule>
    <cfRule type="containsText" dxfId="373" priority="213" operator="containsText" text="Yes">
      <formula>NOT(ISERROR(SEARCH("Yes",J63)))</formula>
    </cfRule>
    <cfRule type="cellIs" priority="214" operator="equal">
      <formula>"""Yes"""</formula>
    </cfRule>
    <cfRule type="cellIs" dxfId="372" priority="215" operator="equal">
      <formula>"""Yes."""</formula>
    </cfRule>
    <cfRule type="cellIs" dxfId="371" priority="216" operator="equal">
      <formula>"Yes$H$58"</formula>
    </cfRule>
    <cfRule type="cellIs" dxfId="370" priority="217" operator="equal">
      <formula>$J$72</formula>
    </cfRule>
    <cfRule type="cellIs" dxfId="369" priority="218" operator="equal">
      <formula>"""Yes"""</formula>
    </cfRule>
    <cfRule type="cellIs" dxfId="368" priority="219" operator="equal">
      <formula>"Yes"</formula>
    </cfRule>
    <cfRule type="cellIs" dxfId="367" priority="220" operator="equal">
      <formula>"Yes"</formula>
    </cfRule>
  </conditionalFormatting>
  <conditionalFormatting sqref="J72:J77">
    <cfRule type="containsText" dxfId="366" priority="201" operator="containsText" text="No">
      <formula>NOT(ISERROR(SEARCH("No",J72)))</formula>
    </cfRule>
    <cfRule type="containsText" dxfId="365" priority="202" operator="containsText" text="&quot;Yes.&quot;">
      <formula>NOT(ISERROR(SEARCH("""Yes.""",J72)))</formula>
    </cfRule>
    <cfRule type="containsText" dxfId="364" priority="203" operator="containsText" text="Yes">
      <formula>NOT(ISERROR(SEARCH("Yes",J72)))</formula>
    </cfRule>
    <cfRule type="cellIs" priority="204" operator="equal">
      <formula>"""Yes"""</formula>
    </cfRule>
    <cfRule type="cellIs" dxfId="363" priority="205" operator="equal">
      <formula>"""Yes."""</formula>
    </cfRule>
    <cfRule type="cellIs" dxfId="362" priority="206" operator="equal">
      <formula>"Yes$H$58"</formula>
    </cfRule>
    <cfRule type="cellIs" dxfId="361" priority="207" operator="equal">
      <formula>$J$72</formula>
    </cfRule>
    <cfRule type="cellIs" dxfId="360" priority="208" operator="equal">
      <formula>"""Yes"""</formula>
    </cfRule>
    <cfRule type="cellIs" dxfId="359" priority="209" operator="equal">
      <formula>"Yes"</formula>
    </cfRule>
    <cfRule type="cellIs" dxfId="358" priority="210" operator="equal">
      <formula>"Yes"</formula>
    </cfRule>
  </conditionalFormatting>
  <conditionalFormatting sqref="J80:J84">
    <cfRule type="containsText" dxfId="357" priority="191" operator="containsText" text="No">
      <formula>NOT(ISERROR(SEARCH("No",J80)))</formula>
    </cfRule>
    <cfRule type="containsText" dxfId="356" priority="192" operator="containsText" text="&quot;Yes.&quot;">
      <formula>NOT(ISERROR(SEARCH("""Yes.""",J80)))</formula>
    </cfRule>
    <cfRule type="containsText" dxfId="355" priority="193" operator="containsText" text="Yes">
      <formula>NOT(ISERROR(SEARCH("Yes",J80)))</formula>
    </cfRule>
    <cfRule type="cellIs" priority="194" operator="equal">
      <formula>"""Yes"""</formula>
    </cfRule>
    <cfRule type="cellIs" dxfId="354" priority="195" operator="equal">
      <formula>"""Yes."""</formula>
    </cfRule>
    <cfRule type="cellIs" dxfId="353" priority="196" operator="equal">
      <formula>"Yes$H$58"</formula>
    </cfRule>
    <cfRule type="cellIs" dxfId="352" priority="197" operator="equal">
      <formula>$J$72</formula>
    </cfRule>
    <cfRule type="cellIs" dxfId="351" priority="198" operator="equal">
      <formula>"""Yes"""</formula>
    </cfRule>
    <cfRule type="cellIs" dxfId="350" priority="199" operator="equal">
      <formula>"Yes"</formula>
    </cfRule>
    <cfRule type="cellIs" dxfId="349" priority="200" operator="equal">
      <formula>"Yes"</formula>
    </cfRule>
  </conditionalFormatting>
  <conditionalFormatting sqref="J95:J100">
    <cfRule type="containsText" dxfId="348" priority="181" operator="containsText" text="No">
      <formula>NOT(ISERROR(SEARCH("No",J95)))</formula>
    </cfRule>
    <cfRule type="containsText" dxfId="347" priority="182" operator="containsText" text="&quot;Yes.&quot;">
      <formula>NOT(ISERROR(SEARCH("""Yes.""",J95)))</formula>
    </cfRule>
    <cfRule type="containsText" dxfId="346" priority="183" operator="containsText" text="Yes">
      <formula>NOT(ISERROR(SEARCH("Yes",J95)))</formula>
    </cfRule>
    <cfRule type="cellIs" priority="184" operator="equal">
      <formula>"""Yes"""</formula>
    </cfRule>
    <cfRule type="cellIs" dxfId="345" priority="185" operator="equal">
      <formula>"""Yes."""</formula>
    </cfRule>
    <cfRule type="cellIs" dxfId="344" priority="186" operator="equal">
      <formula>"Yes$H$58"</formula>
    </cfRule>
    <cfRule type="cellIs" dxfId="343" priority="187" operator="equal">
      <formula>$J$72</formula>
    </cfRule>
    <cfRule type="cellIs" dxfId="342" priority="188" operator="equal">
      <formula>"""Yes"""</formula>
    </cfRule>
    <cfRule type="cellIs" dxfId="341" priority="189" operator="equal">
      <formula>"Yes"</formula>
    </cfRule>
    <cfRule type="cellIs" dxfId="340" priority="190" operator="equal">
      <formula>"Yes"</formula>
    </cfRule>
  </conditionalFormatting>
  <conditionalFormatting sqref="J119:J124">
    <cfRule type="containsText" dxfId="339" priority="171" operator="containsText" text="No">
      <formula>NOT(ISERROR(SEARCH("No",J119)))</formula>
    </cfRule>
    <cfRule type="containsText" dxfId="338" priority="172" operator="containsText" text="&quot;Yes.&quot;">
      <formula>NOT(ISERROR(SEARCH("""Yes.""",J119)))</formula>
    </cfRule>
    <cfRule type="containsText" dxfId="337" priority="173" operator="containsText" text="Yes">
      <formula>NOT(ISERROR(SEARCH("Yes",J119)))</formula>
    </cfRule>
    <cfRule type="cellIs" priority="174" operator="equal">
      <formula>"""Yes"""</formula>
    </cfRule>
    <cfRule type="cellIs" dxfId="336" priority="175" operator="equal">
      <formula>"""Yes."""</formula>
    </cfRule>
    <cfRule type="cellIs" dxfId="335" priority="176" operator="equal">
      <formula>"Yes$H$58"</formula>
    </cfRule>
    <cfRule type="cellIs" dxfId="334" priority="177" operator="equal">
      <formula>$J$72</formula>
    </cfRule>
    <cfRule type="cellIs" dxfId="333" priority="178" operator="equal">
      <formula>"""Yes"""</formula>
    </cfRule>
    <cfRule type="cellIs" dxfId="332" priority="179" operator="equal">
      <formula>"Yes"</formula>
    </cfRule>
    <cfRule type="cellIs" dxfId="331" priority="180" operator="equal">
      <formula>"Yes"</formula>
    </cfRule>
  </conditionalFormatting>
  <conditionalFormatting sqref="J127:J132">
    <cfRule type="containsText" dxfId="330" priority="161" operator="containsText" text="No">
      <formula>NOT(ISERROR(SEARCH("No",J127)))</formula>
    </cfRule>
    <cfRule type="containsText" dxfId="329" priority="162" operator="containsText" text="&quot;Yes.&quot;">
      <formula>NOT(ISERROR(SEARCH("""Yes.""",J127)))</formula>
    </cfRule>
    <cfRule type="containsText" dxfId="328" priority="163" operator="containsText" text="Yes">
      <formula>NOT(ISERROR(SEARCH("Yes",J127)))</formula>
    </cfRule>
    <cfRule type="cellIs" priority="164" operator="equal">
      <formula>"""Yes"""</formula>
    </cfRule>
    <cfRule type="cellIs" dxfId="327" priority="165" operator="equal">
      <formula>"""Yes."""</formula>
    </cfRule>
    <cfRule type="cellIs" dxfId="326" priority="166" operator="equal">
      <formula>"Yes$H$58"</formula>
    </cfRule>
    <cfRule type="cellIs" dxfId="325" priority="167" operator="equal">
      <formula>$J$72</formula>
    </cfRule>
    <cfRule type="cellIs" dxfId="324" priority="168" operator="equal">
      <formula>"""Yes"""</formula>
    </cfRule>
    <cfRule type="cellIs" dxfId="323" priority="169" operator="equal">
      <formula>"Yes"</formula>
    </cfRule>
    <cfRule type="cellIs" dxfId="322" priority="170" operator="equal">
      <formula>"Yes"</formula>
    </cfRule>
  </conditionalFormatting>
  <conditionalFormatting sqref="J143:J148">
    <cfRule type="containsText" dxfId="321" priority="151" operator="containsText" text="No">
      <formula>NOT(ISERROR(SEARCH("No",J143)))</formula>
    </cfRule>
    <cfRule type="containsText" dxfId="320" priority="152" operator="containsText" text="&quot;Yes.&quot;">
      <formula>NOT(ISERROR(SEARCH("""Yes.""",J143)))</formula>
    </cfRule>
    <cfRule type="containsText" dxfId="319" priority="153" operator="containsText" text="Yes">
      <formula>NOT(ISERROR(SEARCH("Yes",J143)))</formula>
    </cfRule>
    <cfRule type="cellIs" priority="154" operator="equal">
      <formula>"""Yes"""</formula>
    </cfRule>
    <cfRule type="cellIs" dxfId="318" priority="155" operator="equal">
      <formula>"""Yes."""</formula>
    </cfRule>
    <cfRule type="cellIs" dxfId="317" priority="156" operator="equal">
      <formula>"Yes$H$58"</formula>
    </cfRule>
    <cfRule type="cellIs" dxfId="316" priority="157" operator="equal">
      <formula>$J$72</formula>
    </cfRule>
    <cfRule type="cellIs" dxfId="315" priority="158" operator="equal">
      <formula>"""Yes"""</formula>
    </cfRule>
    <cfRule type="cellIs" dxfId="314" priority="159" operator="equal">
      <formula>"Yes"</formula>
    </cfRule>
    <cfRule type="cellIs" dxfId="313" priority="160" operator="equal">
      <formula>"Yes"</formula>
    </cfRule>
  </conditionalFormatting>
  <conditionalFormatting sqref="J151:J155">
    <cfRule type="containsText" dxfId="312" priority="141" operator="containsText" text="No">
      <formula>NOT(ISERROR(SEARCH("No",J151)))</formula>
    </cfRule>
    <cfRule type="containsText" dxfId="311" priority="142" operator="containsText" text="&quot;Yes.&quot;">
      <formula>NOT(ISERROR(SEARCH("""Yes.""",J151)))</formula>
    </cfRule>
    <cfRule type="containsText" dxfId="310" priority="143" operator="containsText" text="Yes">
      <formula>NOT(ISERROR(SEARCH("Yes",J151)))</formula>
    </cfRule>
    <cfRule type="cellIs" priority="144" operator="equal">
      <formula>"""Yes"""</formula>
    </cfRule>
    <cfRule type="cellIs" dxfId="309" priority="145" operator="equal">
      <formula>"""Yes."""</formula>
    </cfRule>
    <cfRule type="cellIs" dxfId="308" priority="146" operator="equal">
      <formula>"Yes$H$58"</formula>
    </cfRule>
    <cfRule type="cellIs" dxfId="307" priority="147" operator="equal">
      <formula>$J$72</formula>
    </cfRule>
    <cfRule type="cellIs" dxfId="306" priority="148" operator="equal">
      <formula>"""Yes"""</formula>
    </cfRule>
    <cfRule type="cellIs" dxfId="305" priority="149" operator="equal">
      <formula>"Yes"</formula>
    </cfRule>
    <cfRule type="cellIs" dxfId="304" priority="150" operator="equal">
      <formula>"Yes"</formula>
    </cfRule>
  </conditionalFormatting>
  <conditionalFormatting sqref="J158:J163">
    <cfRule type="containsText" dxfId="303" priority="131" operator="containsText" text="No">
      <formula>NOT(ISERROR(SEARCH("No",J158)))</formula>
    </cfRule>
    <cfRule type="containsText" dxfId="302" priority="132" operator="containsText" text="&quot;Yes.&quot;">
      <formula>NOT(ISERROR(SEARCH("""Yes.""",J158)))</formula>
    </cfRule>
    <cfRule type="containsText" dxfId="301" priority="133" operator="containsText" text="Yes">
      <formula>NOT(ISERROR(SEARCH("Yes",J158)))</formula>
    </cfRule>
    <cfRule type="cellIs" priority="134" operator="equal">
      <formula>"""Yes"""</formula>
    </cfRule>
    <cfRule type="cellIs" dxfId="300" priority="135" operator="equal">
      <formula>"""Yes."""</formula>
    </cfRule>
    <cfRule type="cellIs" dxfId="299" priority="136" operator="equal">
      <formula>"Yes$H$58"</formula>
    </cfRule>
    <cfRule type="cellIs" dxfId="298" priority="137" operator="equal">
      <formula>$J$72</formula>
    </cfRule>
    <cfRule type="cellIs" dxfId="297" priority="138" operator="equal">
      <formula>"""Yes"""</formula>
    </cfRule>
    <cfRule type="cellIs" dxfId="296" priority="139" operator="equal">
      <formula>"Yes"</formula>
    </cfRule>
    <cfRule type="cellIs" dxfId="295" priority="140" operator="equal">
      <formula>"Yes"</formula>
    </cfRule>
  </conditionalFormatting>
  <conditionalFormatting sqref="K87:K92">
    <cfRule type="containsText" dxfId="294" priority="121" operator="containsText" text="No">
      <formula>NOT(ISERROR(SEARCH("No",K87)))</formula>
    </cfRule>
    <cfRule type="containsText" dxfId="293" priority="122" operator="containsText" text="&quot;Yes.&quot;">
      <formula>NOT(ISERROR(SEARCH("""Yes.""",K87)))</formula>
    </cfRule>
    <cfRule type="containsText" dxfId="292" priority="123" operator="containsText" text="Yes">
      <formula>NOT(ISERROR(SEARCH("Yes",K87)))</formula>
    </cfRule>
    <cfRule type="cellIs" priority="124" operator="equal">
      <formula>"""Yes"""</formula>
    </cfRule>
    <cfRule type="cellIs" dxfId="291" priority="125" operator="equal">
      <formula>"""Yes."""</formula>
    </cfRule>
    <cfRule type="cellIs" dxfId="290" priority="126" operator="equal">
      <formula>"Yes$H$58"</formula>
    </cfRule>
    <cfRule type="cellIs" dxfId="289" priority="127" operator="equal">
      <formula>$J$72</formula>
    </cfRule>
    <cfRule type="cellIs" dxfId="288" priority="128" operator="equal">
      <formula>"""Yes"""</formula>
    </cfRule>
    <cfRule type="cellIs" dxfId="287" priority="129" operator="equal">
      <formula>"Yes"</formula>
    </cfRule>
    <cfRule type="cellIs" dxfId="286" priority="130" operator="equal">
      <formula>"Yes"</formula>
    </cfRule>
  </conditionalFormatting>
  <conditionalFormatting sqref="J87:J92">
    <cfRule type="containsText" dxfId="285" priority="111" operator="containsText" text="No">
      <formula>NOT(ISERROR(SEARCH("No",J87)))</formula>
    </cfRule>
    <cfRule type="containsText" dxfId="284" priority="112" operator="containsText" text="&quot;Yes.&quot;">
      <formula>NOT(ISERROR(SEARCH("""Yes.""",J87)))</formula>
    </cfRule>
    <cfRule type="containsText" dxfId="283" priority="113" operator="containsText" text="Yes">
      <formula>NOT(ISERROR(SEARCH("Yes",J87)))</formula>
    </cfRule>
    <cfRule type="cellIs" priority="114" operator="equal">
      <formula>"""Yes"""</formula>
    </cfRule>
    <cfRule type="cellIs" dxfId="282" priority="115" operator="equal">
      <formula>"""Yes."""</formula>
    </cfRule>
    <cfRule type="cellIs" dxfId="281" priority="116" operator="equal">
      <formula>"Yes$H$58"</formula>
    </cfRule>
    <cfRule type="cellIs" dxfId="280" priority="117" operator="equal">
      <formula>$J$72</formula>
    </cfRule>
    <cfRule type="cellIs" dxfId="279" priority="118" operator="equal">
      <formula>"""Yes"""</formula>
    </cfRule>
    <cfRule type="cellIs" dxfId="278" priority="119" operator="equal">
      <formula>"Yes"</formula>
    </cfRule>
    <cfRule type="cellIs" dxfId="277" priority="120" operator="equal">
      <formula>"Yes"</formula>
    </cfRule>
  </conditionalFormatting>
  <conditionalFormatting sqref="J46:J51">
    <cfRule type="containsText" dxfId="276" priority="101" operator="containsText" text="No">
      <formula>NOT(ISERROR(SEARCH("No",J46)))</formula>
    </cfRule>
    <cfRule type="containsText" dxfId="275" priority="102" operator="containsText" text="&quot;Yes.&quot;">
      <formula>NOT(ISERROR(SEARCH("""Yes.""",J46)))</formula>
    </cfRule>
    <cfRule type="containsText" dxfId="274" priority="103" operator="containsText" text="Yes">
      <formula>NOT(ISERROR(SEARCH("Yes",J46)))</formula>
    </cfRule>
    <cfRule type="cellIs" priority="104" operator="equal">
      <formula>"""Yes"""</formula>
    </cfRule>
    <cfRule type="cellIs" dxfId="273" priority="105" operator="equal">
      <formula>"""Yes."""</formula>
    </cfRule>
    <cfRule type="cellIs" dxfId="272" priority="106" operator="equal">
      <formula>"Yes$H$58"</formula>
    </cfRule>
    <cfRule type="cellIs" dxfId="271" priority="107" operator="equal">
      <formula>$J$72</formula>
    </cfRule>
    <cfRule type="cellIs" dxfId="270" priority="108" operator="equal">
      <formula>"""Yes"""</formula>
    </cfRule>
    <cfRule type="cellIs" dxfId="269" priority="109" operator="equal">
      <formula>"Yes"</formula>
    </cfRule>
    <cfRule type="cellIs" dxfId="268" priority="110" operator="equal">
      <formula>"Yes"</formula>
    </cfRule>
  </conditionalFormatting>
  <conditionalFormatting sqref="K46:K51">
    <cfRule type="containsText" dxfId="267" priority="91" operator="containsText" text="No">
      <formula>NOT(ISERROR(SEARCH("No",K46)))</formula>
    </cfRule>
    <cfRule type="containsText" dxfId="266" priority="92" operator="containsText" text="&quot;Yes.&quot;">
      <formula>NOT(ISERROR(SEARCH("""Yes.""",K46)))</formula>
    </cfRule>
    <cfRule type="containsText" dxfId="265" priority="93" operator="containsText" text="Yes">
      <formula>NOT(ISERROR(SEARCH("Yes",K46)))</formula>
    </cfRule>
    <cfRule type="cellIs" priority="94" operator="equal">
      <formula>"""Yes"""</formula>
    </cfRule>
    <cfRule type="cellIs" dxfId="264" priority="95" operator="equal">
      <formula>"""Yes."""</formula>
    </cfRule>
    <cfRule type="cellIs" dxfId="263" priority="96" operator="equal">
      <formula>"Yes$H$58"</formula>
    </cfRule>
    <cfRule type="cellIs" dxfId="262" priority="97" operator="equal">
      <formula>$J$72</formula>
    </cfRule>
    <cfRule type="cellIs" dxfId="261" priority="98" operator="equal">
      <formula>"""Yes"""</formula>
    </cfRule>
    <cfRule type="cellIs" dxfId="260" priority="99" operator="equal">
      <formula>"Yes"</formula>
    </cfRule>
    <cfRule type="cellIs" dxfId="259" priority="100" operator="equal">
      <formula>"Yes"</formula>
    </cfRule>
  </conditionalFormatting>
  <conditionalFormatting sqref="J38:J43">
    <cfRule type="containsText" dxfId="258" priority="81" operator="containsText" text="No">
      <formula>NOT(ISERROR(SEARCH("No",J38)))</formula>
    </cfRule>
    <cfRule type="containsText" dxfId="257" priority="82" operator="containsText" text="&quot;Yes.&quot;">
      <formula>NOT(ISERROR(SEARCH("""Yes.""",J38)))</formula>
    </cfRule>
    <cfRule type="containsText" dxfId="256" priority="83" operator="containsText" text="Yes">
      <formula>NOT(ISERROR(SEARCH("Yes",J38)))</formula>
    </cfRule>
    <cfRule type="cellIs" priority="84" operator="equal">
      <formula>"""Yes"""</formula>
    </cfRule>
    <cfRule type="cellIs" dxfId="255" priority="85" operator="equal">
      <formula>"""Yes."""</formula>
    </cfRule>
    <cfRule type="cellIs" dxfId="254" priority="86" operator="equal">
      <formula>"Yes$H$58"</formula>
    </cfRule>
    <cfRule type="cellIs" dxfId="253" priority="87" operator="equal">
      <formula>$J$72</formula>
    </cfRule>
    <cfRule type="cellIs" dxfId="252" priority="88" operator="equal">
      <formula>"""Yes"""</formula>
    </cfRule>
    <cfRule type="cellIs" dxfId="251" priority="89" operator="equal">
      <formula>"Yes"</formula>
    </cfRule>
    <cfRule type="cellIs" dxfId="250" priority="90" operator="equal">
      <formula>"Yes"</formula>
    </cfRule>
  </conditionalFormatting>
  <conditionalFormatting sqref="K135:K140">
    <cfRule type="containsText" dxfId="249" priority="71" operator="containsText" text="No">
      <formula>NOT(ISERROR(SEARCH("No",K135)))</formula>
    </cfRule>
    <cfRule type="containsText" dxfId="248" priority="72" operator="containsText" text="&quot;Yes.&quot;">
      <formula>NOT(ISERROR(SEARCH("""Yes.""",K135)))</formula>
    </cfRule>
    <cfRule type="containsText" dxfId="247" priority="73" operator="containsText" text="Yes">
      <formula>NOT(ISERROR(SEARCH("Yes",K135)))</formula>
    </cfRule>
    <cfRule type="cellIs" priority="74" operator="equal">
      <formula>"""Yes"""</formula>
    </cfRule>
    <cfRule type="cellIs" dxfId="246" priority="75" operator="equal">
      <formula>"""Yes."""</formula>
    </cfRule>
    <cfRule type="cellIs" dxfId="245" priority="76" operator="equal">
      <formula>"Yes$H$58"</formula>
    </cfRule>
    <cfRule type="cellIs" dxfId="244" priority="77" operator="equal">
      <formula>$J$72</formula>
    </cfRule>
    <cfRule type="cellIs" dxfId="243" priority="78" operator="equal">
      <formula>"""Yes"""</formula>
    </cfRule>
    <cfRule type="cellIs" dxfId="242" priority="79" operator="equal">
      <formula>"Yes"</formula>
    </cfRule>
    <cfRule type="cellIs" dxfId="241" priority="80" operator="equal">
      <formula>"Yes"</formula>
    </cfRule>
  </conditionalFormatting>
  <conditionalFormatting sqref="J135:J140">
    <cfRule type="containsText" dxfId="240" priority="61" operator="containsText" text="No">
      <formula>NOT(ISERROR(SEARCH("No",J135)))</formula>
    </cfRule>
    <cfRule type="containsText" dxfId="239" priority="62" operator="containsText" text="&quot;Yes.&quot;">
      <formula>NOT(ISERROR(SEARCH("""Yes.""",J135)))</formula>
    </cfRule>
    <cfRule type="containsText" dxfId="238" priority="63" operator="containsText" text="Yes">
      <formula>NOT(ISERROR(SEARCH("Yes",J135)))</formula>
    </cfRule>
    <cfRule type="cellIs" priority="64" operator="equal">
      <formula>"""Yes"""</formula>
    </cfRule>
    <cfRule type="cellIs" dxfId="237" priority="65" operator="equal">
      <formula>"""Yes."""</formula>
    </cfRule>
    <cfRule type="cellIs" dxfId="236" priority="66" operator="equal">
      <formula>"Yes$H$58"</formula>
    </cfRule>
    <cfRule type="cellIs" dxfId="235" priority="67" operator="equal">
      <formula>$J$72</formula>
    </cfRule>
    <cfRule type="cellIs" dxfId="234" priority="68" operator="equal">
      <formula>"""Yes"""</formula>
    </cfRule>
    <cfRule type="cellIs" dxfId="233" priority="69" operator="equal">
      <formula>"Yes"</formula>
    </cfRule>
    <cfRule type="cellIs" dxfId="232" priority="70" operator="equal">
      <formula>"Yes"</formula>
    </cfRule>
  </conditionalFormatting>
  <conditionalFormatting sqref="K166:K171">
    <cfRule type="containsText" dxfId="231" priority="51" operator="containsText" text="No">
      <formula>NOT(ISERROR(SEARCH("No",K166)))</formula>
    </cfRule>
    <cfRule type="containsText" dxfId="230" priority="52" operator="containsText" text="&quot;Yes.&quot;">
      <formula>NOT(ISERROR(SEARCH("""Yes.""",K166)))</formula>
    </cfRule>
    <cfRule type="containsText" dxfId="229" priority="53" operator="containsText" text="Yes">
      <formula>NOT(ISERROR(SEARCH("Yes",K166)))</formula>
    </cfRule>
    <cfRule type="cellIs" priority="54" operator="equal">
      <formula>"""Yes"""</formula>
    </cfRule>
    <cfRule type="cellIs" dxfId="228" priority="55" operator="equal">
      <formula>"""Yes."""</formula>
    </cfRule>
    <cfRule type="cellIs" dxfId="227" priority="56" operator="equal">
      <formula>"Yes$H$58"</formula>
    </cfRule>
    <cfRule type="cellIs" dxfId="226" priority="57" operator="equal">
      <formula>$J$72</formula>
    </cfRule>
    <cfRule type="cellIs" dxfId="225" priority="58" operator="equal">
      <formula>"""Yes"""</formula>
    </cfRule>
    <cfRule type="cellIs" dxfId="224" priority="59" operator="equal">
      <formula>"Yes"</formula>
    </cfRule>
    <cfRule type="cellIs" dxfId="223" priority="60" operator="equal">
      <formula>"Yes"</formula>
    </cfRule>
  </conditionalFormatting>
  <conditionalFormatting sqref="J166:J171">
    <cfRule type="containsText" dxfId="222" priority="41" operator="containsText" text="No">
      <formula>NOT(ISERROR(SEARCH("No",J166)))</formula>
    </cfRule>
    <cfRule type="containsText" dxfId="221" priority="42" operator="containsText" text="&quot;Yes.&quot;">
      <formula>NOT(ISERROR(SEARCH("""Yes.""",J166)))</formula>
    </cfRule>
    <cfRule type="containsText" dxfId="220" priority="43" operator="containsText" text="Yes">
      <formula>NOT(ISERROR(SEARCH("Yes",J166)))</formula>
    </cfRule>
    <cfRule type="cellIs" priority="44" operator="equal">
      <formula>"""Yes"""</formula>
    </cfRule>
    <cfRule type="cellIs" dxfId="219" priority="45" operator="equal">
      <formula>"""Yes."""</formula>
    </cfRule>
    <cfRule type="cellIs" dxfId="218" priority="46" operator="equal">
      <formula>"Yes$H$58"</formula>
    </cfRule>
    <cfRule type="cellIs" dxfId="217" priority="47" operator="equal">
      <formula>$J$72</formula>
    </cfRule>
    <cfRule type="cellIs" dxfId="216" priority="48" operator="equal">
      <formula>"""Yes"""</formula>
    </cfRule>
    <cfRule type="cellIs" dxfId="215" priority="49" operator="equal">
      <formula>"Yes"</formula>
    </cfRule>
    <cfRule type="cellIs" dxfId="214" priority="50" operator="equal">
      <formula>"Yes"</formula>
    </cfRule>
  </conditionalFormatting>
  <conditionalFormatting sqref="K103:K108">
    <cfRule type="containsText" dxfId="213" priority="31" operator="containsText" text="No">
      <formula>NOT(ISERROR(SEARCH("No",K103)))</formula>
    </cfRule>
    <cfRule type="containsText" dxfId="212" priority="32" operator="containsText" text="&quot;Yes.&quot;">
      <formula>NOT(ISERROR(SEARCH("""Yes.""",K103)))</formula>
    </cfRule>
    <cfRule type="containsText" dxfId="211" priority="33" operator="containsText" text="Yes">
      <formula>NOT(ISERROR(SEARCH("Yes",K103)))</formula>
    </cfRule>
    <cfRule type="cellIs" priority="34" operator="equal">
      <formula>"""Yes"""</formula>
    </cfRule>
    <cfRule type="cellIs" dxfId="210" priority="35" operator="equal">
      <formula>"""Yes."""</formula>
    </cfRule>
    <cfRule type="cellIs" dxfId="209" priority="36" operator="equal">
      <formula>"Yes$H$58"</formula>
    </cfRule>
    <cfRule type="cellIs" dxfId="208" priority="37" operator="equal">
      <formula>$J$72</formula>
    </cfRule>
    <cfRule type="cellIs" dxfId="207" priority="38" operator="equal">
      <formula>"""Yes"""</formula>
    </cfRule>
    <cfRule type="cellIs" dxfId="206" priority="39" operator="equal">
      <formula>"Yes"</formula>
    </cfRule>
    <cfRule type="cellIs" dxfId="205" priority="40" operator="equal">
      <formula>"Yes"</formula>
    </cfRule>
  </conditionalFormatting>
  <conditionalFormatting sqref="J103:J108">
    <cfRule type="containsText" dxfId="204" priority="21" operator="containsText" text="No">
      <formula>NOT(ISERROR(SEARCH("No",J103)))</formula>
    </cfRule>
    <cfRule type="containsText" dxfId="203" priority="22" operator="containsText" text="&quot;Yes.&quot;">
      <formula>NOT(ISERROR(SEARCH("""Yes.""",J103)))</formula>
    </cfRule>
    <cfRule type="containsText" dxfId="202" priority="23" operator="containsText" text="Yes">
      <formula>NOT(ISERROR(SEARCH("Yes",J103)))</formula>
    </cfRule>
    <cfRule type="cellIs" priority="24" operator="equal">
      <formula>"""Yes"""</formula>
    </cfRule>
    <cfRule type="cellIs" dxfId="201" priority="25" operator="equal">
      <formula>"""Yes."""</formula>
    </cfRule>
    <cfRule type="cellIs" dxfId="200" priority="26" operator="equal">
      <formula>"Yes$H$58"</formula>
    </cfRule>
    <cfRule type="cellIs" dxfId="199" priority="27" operator="equal">
      <formula>$J$72</formula>
    </cfRule>
    <cfRule type="cellIs" dxfId="198" priority="28" operator="equal">
      <formula>"""Yes"""</formula>
    </cfRule>
    <cfRule type="cellIs" dxfId="197" priority="29" operator="equal">
      <formula>"Yes"</formula>
    </cfRule>
    <cfRule type="cellIs" dxfId="196" priority="30" operator="equal">
      <formula>"Yes"</formula>
    </cfRule>
  </conditionalFormatting>
  <conditionalFormatting sqref="K111:K116">
    <cfRule type="containsText" dxfId="195" priority="11" operator="containsText" text="No">
      <formula>NOT(ISERROR(SEARCH("No",K111)))</formula>
    </cfRule>
    <cfRule type="containsText" dxfId="194" priority="12" operator="containsText" text="&quot;Yes.&quot;">
      <formula>NOT(ISERROR(SEARCH("""Yes.""",K111)))</formula>
    </cfRule>
    <cfRule type="containsText" dxfId="193" priority="13" operator="containsText" text="Yes">
      <formula>NOT(ISERROR(SEARCH("Yes",K111)))</formula>
    </cfRule>
    <cfRule type="cellIs" priority="14" operator="equal">
      <formula>"""Yes"""</formula>
    </cfRule>
    <cfRule type="cellIs" dxfId="192" priority="15" operator="equal">
      <formula>"""Yes."""</formula>
    </cfRule>
    <cfRule type="cellIs" dxfId="191" priority="16" operator="equal">
      <formula>"Yes$H$58"</formula>
    </cfRule>
    <cfRule type="cellIs" dxfId="190" priority="17" operator="equal">
      <formula>$J$72</formula>
    </cfRule>
    <cfRule type="cellIs" dxfId="189" priority="18" operator="equal">
      <formula>"""Yes"""</formula>
    </cfRule>
    <cfRule type="cellIs" dxfId="188" priority="19" operator="equal">
      <formula>"Yes"</formula>
    </cfRule>
    <cfRule type="cellIs" dxfId="187" priority="20" operator="equal">
      <formula>"Yes"</formula>
    </cfRule>
  </conditionalFormatting>
  <conditionalFormatting sqref="J111:J116">
    <cfRule type="containsText" dxfId="186" priority="1" operator="containsText" text="No">
      <formula>NOT(ISERROR(SEARCH("No",J111)))</formula>
    </cfRule>
    <cfRule type="containsText" dxfId="185" priority="2" operator="containsText" text="&quot;Yes.&quot;">
      <formula>NOT(ISERROR(SEARCH("""Yes.""",J111)))</formula>
    </cfRule>
    <cfRule type="containsText" dxfId="184" priority="3" operator="containsText" text="Yes">
      <formula>NOT(ISERROR(SEARCH("Yes",J111)))</formula>
    </cfRule>
    <cfRule type="cellIs" priority="4" operator="equal">
      <formula>"""Yes"""</formula>
    </cfRule>
    <cfRule type="cellIs" dxfId="183" priority="5" operator="equal">
      <formula>"""Yes."""</formula>
    </cfRule>
    <cfRule type="cellIs" dxfId="182" priority="6" operator="equal">
      <formula>"Yes$H$58"</formula>
    </cfRule>
    <cfRule type="cellIs" dxfId="181" priority="7" operator="equal">
      <formula>$J$72</formula>
    </cfRule>
    <cfRule type="cellIs" dxfId="180" priority="8" operator="equal">
      <formula>"""Yes"""</formula>
    </cfRule>
    <cfRule type="cellIs" dxfId="179" priority="9" operator="equal">
      <formula>"Yes"</formula>
    </cfRule>
    <cfRule type="cellIs" dxfId="178" priority="10" operator="equal">
      <formula>"Yes"</formula>
    </cfRule>
  </conditionalFormatting>
  <pageMargins left="0.7" right="0.7" top="0.75" bottom="0.75" header="0.3" footer="0.3"/>
  <pageSetup orientation="portrait" r:id="rId4"/>
  <headerFooter>
    <oddHeader xml:space="preserve">&amp;C&amp;"Arial,Bold"&amp;12GO - NO - GO CHECK LIST &amp; PROJECT INFORMATION&amp;"Arial,Regular"&amp;10
</oddHeader>
    <oddFooter>&amp;C&amp;F</oddFooter>
  </headerFooter>
  <extLst>
    <ext xmlns:x14="http://schemas.microsoft.com/office/spreadsheetml/2009/9/main" uri="{CCE6A557-97BC-4b89-ADB6-D9C93CAAB3DF}">
      <x14:dataValidations xmlns:xm="http://schemas.microsoft.com/office/excel/2006/main" count="24">
        <x14:dataValidation type="list" allowBlank="1" showInputMessage="1" xr:uid="{00000000-0002-0000-0000-000003000000}">
          <x14:formula1>
            <xm:f>DATA!$H$9:$H$33</xm:f>
          </x14:formula1>
          <xm:sqref>I24</xm:sqref>
        </x14:dataValidation>
        <x14:dataValidation type="list" allowBlank="1" showInputMessage="1" xr:uid="{00000000-0002-0000-0000-000004000000}">
          <x14:formula1>
            <xm:f>DATA!$F$34:$F$43</xm:f>
          </x14:formula1>
          <xm:sqref>F27:I27</xm:sqref>
        </x14:dataValidation>
        <x14:dataValidation type="list" allowBlank="1" showInputMessage="1" xr:uid="{00000000-0002-0000-0000-000005000000}">
          <x14:formula1>
            <xm:f>DATA!$D$4:$D$32</xm:f>
          </x14:formula1>
          <xm:sqref>F29:K29</xm:sqref>
        </x14:dataValidation>
        <x14:dataValidation type="list" allowBlank="1" showInputMessage="1" xr:uid="{00000000-0002-0000-0000-000006000000}">
          <x14:formula1>
            <xm:f>DATA!$A$4:$A$153</xm:f>
          </x14:formula1>
          <xm:sqref>B36 B85 B52 B70 B78 B93 B149 B156 B164 B125 B109 B117 B44 B133 B141 B172 B101 B61</xm:sqref>
        </x14:dataValidation>
        <x14:dataValidation type="list" allowBlank="1" showInputMessage="1" xr:uid="{00000000-0002-0000-0000-000007000000}">
          <x14:formula1>
            <xm:f>DATA!$F$4:$F$30</xm:f>
          </x14:formula1>
          <xm:sqref>B38:I43</xm:sqref>
        </x14:dataValidation>
        <x14:dataValidation type="list" allowBlank="1" showInputMessage="1" xr:uid="{00000000-0002-0000-0000-000008000000}">
          <x14:formula1>
            <xm:f>DATA!$E$15:$E$18</xm:f>
          </x14:formula1>
          <xm:sqref>F28 K87:K92 K143:K148 I30 J46:K51 K72:K77 K54:K60 K63:K69 K127:K132 K151:K155 K119:K124 K166:K171 K158:K163 K80:K84 J31:K35 K38:K43 K135:K140 K95:K100 K103:K108 K111:K116</xm:sqref>
        </x14:dataValidation>
        <x14:dataValidation type="list" allowBlank="1" showInputMessage="1" xr:uid="{00000000-0002-0000-0000-00000A000000}">
          <x14:formula1>
            <xm:f>DATA!$J$78:$J$88</xm:f>
          </x14:formula1>
          <xm:sqref>B80:I84</xm:sqref>
        </x14:dataValidation>
        <x14:dataValidation type="list" allowBlank="1" showInputMessage="1" xr:uid="{00000000-0002-0000-0000-00000C000000}">
          <x14:formula1>
            <xm:f>DATA!$J$64:$J$76</xm:f>
          </x14:formula1>
          <xm:sqref>B158:I163</xm:sqref>
        </x14:dataValidation>
        <x14:dataValidation type="list" allowBlank="1" showInputMessage="1" xr:uid="{00000000-0002-0000-0000-00000D000000}">
          <x14:formula1>
            <xm:f>DATA!$J$26:$J$45</xm:f>
          </x14:formula1>
          <xm:sqref>B63:I69</xm:sqref>
        </x14:dataValidation>
        <x14:dataValidation type="list" allowBlank="1" showInputMessage="1" xr:uid="{00000000-0002-0000-0000-00000E000000}">
          <x14:formula1>
            <xm:f>DATA!$H$42:$H$56</xm:f>
          </x14:formula1>
          <xm:sqref>B127:I132</xm:sqref>
        </x14:dataValidation>
        <x14:dataValidation type="list" allowBlank="1" showInputMessage="1" xr:uid="{00000000-0002-0000-0000-00000F000000}">
          <x14:formula1>
            <xm:f>DATA!$G$15:$G$18</xm:f>
          </x14:formula1>
          <xm:sqref>J54:J60 J63:J69 J72:J77 J158:J163 J166:J171 J119:J124 J127:J132 J143:J148 J151:J155 J80:J84 J87:J92 J38:J43 J135:J140 J95:J100 J103:J108 J111:J116</xm:sqref>
        </x14:dataValidation>
        <x14:dataValidation type="list" allowBlank="1" showInputMessage="1" xr:uid="{00000000-0002-0000-0000-000010000000}">
          <x14:formula1>
            <xm:f>DATA!$I$100:$I$106</xm:f>
          </x14:formula1>
          <xm:sqref>B95:I100</xm:sqref>
        </x14:dataValidation>
        <x14:dataValidation type="list" allowBlank="1" showInputMessage="1" xr:uid="{00000000-0002-0000-0000-000011000000}">
          <x14:formula1>
            <xm:f>DATA!$J$90:$J$96</xm:f>
          </x14:formula1>
          <xm:sqref>B135:I140</xm:sqref>
        </x14:dataValidation>
        <x14:dataValidation type="list" allowBlank="1" showInputMessage="1" xr:uid="{00000000-0002-0000-0000-000012000000}">
          <x14:formula1>
            <xm:f>DATA!$I$108:$I$114</xm:f>
          </x14:formula1>
          <xm:sqref>B103:I108</xm:sqref>
        </x14:dataValidation>
        <x14:dataValidation type="list" allowBlank="1" showInputMessage="1" xr:uid="{00000000-0002-0000-0000-000013000000}">
          <x14:formula1>
            <xm:f>DATA!$I$115:$I$125</xm:f>
          </x14:formula1>
          <xm:sqref>B143:I148</xm:sqref>
        </x14:dataValidation>
        <x14:dataValidation type="list" allowBlank="1" showInputMessage="1" xr:uid="{00000000-0002-0000-0000-000015000000}">
          <x14:formula1>
            <xm:f>DATA!$H$74:$H$111</xm:f>
          </x14:formula1>
          <xm:sqref>B54:I60</xm:sqref>
        </x14:dataValidation>
        <x14:dataValidation type="list" allowBlank="1" showInputMessage="1" xr:uid="{00000000-0002-0000-0000-000017000000}">
          <x14:formula1>
            <xm:f>DATA!$I$4:$I$10</xm:f>
          </x14:formula1>
          <xm:sqref>E26:F26</xm:sqref>
        </x14:dataValidation>
        <x14:dataValidation type="list" allowBlank="1" showInputMessage="1" xr:uid="{00000000-0002-0000-0000-000018000000}">
          <x14:formula1>
            <xm:f>DATA!$J$117:$J$122</xm:f>
          </x14:formula1>
          <xm:sqref>B111:I116</xm:sqref>
        </x14:dataValidation>
        <x14:dataValidation type="list" allowBlank="1" showInputMessage="1" xr:uid="{00000000-0002-0000-0000-000019000000}">
          <x14:formula1>
            <xm:f>DATA!$I$42:$I$60</xm:f>
          </x14:formula1>
          <xm:sqref>B87:I92</xm:sqref>
        </x14:dataValidation>
        <x14:dataValidation type="list" allowBlank="1" showInputMessage="1" xr:uid="{00000000-0002-0000-0000-00001A000000}">
          <x14:formula1>
            <xm:f>DATA!$H$117:$H$127</xm:f>
          </x14:formula1>
          <xm:sqref>B46:I51</xm:sqref>
        </x14:dataValidation>
        <x14:dataValidation type="list" allowBlank="1" showInputMessage="1" xr:uid="{EF88AB24-0351-479C-A21A-2D51C5D8B552}">
          <x14:formula1>
            <xm:f>DATA!$I$77:$I$98</xm:f>
          </x14:formula1>
          <xm:sqref>B151:I155</xm:sqref>
        </x14:dataValidation>
        <x14:dataValidation type="list" allowBlank="1" showInputMessage="1" xr:uid="{8CCA00CA-940D-42A2-8D32-53895845725E}">
          <x14:formula1>
            <xm:f>DATA!$I$64:$I$75</xm:f>
          </x14:formula1>
          <xm:sqref>B72:I77</xm:sqref>
        </x14:dataValidation>
        <x14:dataValidation type="list" allowBlank="1" showInputMessage="1" xr:uid="{835EA899-8288-4DF6-B90F-8727BA75863F}">
          <x14:formula1>
            <xm:f>DATA!$J$108:$J$115</xm:f>
          </x14:formula1>
          <xm:sqref>B119:I124</xm:sqref>
        </x14:dataValidation>
        <x14:dataValidation type="list" allowBlank="1" showInputMessage="1" xr:uid="{F70DBD93-C5C2-413C-91D8-FB5D0B63ECE6}">
          <x14:formula1>
            <xm:f>DATA!$A$4:$A$172</xm:f>
          </x14:formula1>
          <xm:sqref>B31:I35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B294"/>
  <sheetViews>
    <sheetView zoomScale="70" zoomScaleNormal="70" zoomScaleSheetLayoutView="100" workbookViewId="0">
      <pane xSplit="9" ySplit="1" topLeftCell="J5" activePane="bottomRight" state="frozen"/>
      <selection pane="topRight" activeCell="J1" sqref="J1"/>
      <selection pane="bottomLeft" activeCell="A2" sqref="A2"/>
      <selection pane="bottomRight" activeCell="K11" sqref="K11"/>
    </sheetView>
  </sheetViews>
  <sheetFormatPr defaultColWidth="9.140625" defaultRowHeight="12.75" x14ac:dyDescent="0.2"/>
  <cols>
    <col min="1" max="1" width="1.85546875" style="115" customWidth="1"/>
    <col min="2" max="2" width="10.28515625" style="115" customWidth="1"/>
    <col min="3" max="3" width="11.140625" style="115" customWidth="1"/>
    <col min="4" max="4" width="14.85546875" style="166" customWidth="1"/>
    <col min="5" max="5" width="11.140625" style="115" customWidth="1"/>
    <col min="6" max="6" width="45.85546875" style="115" customWidth="1"/>
    <col min="7" max="7" width="10.85546875" style="151" customWidth="1"/>
    <col min="8" max="8" width="9.140625" style="152" customWidth="1"/>
    <col min="9" max="9" width="10.28515625" style="867" customWidth="1"/>
    <col min="10" max="10" width="2.28515625" style="154" customWidth="1"/>
    <col min="11" max="13" width="9.140625" style="115"/>
    <col min="14" max="14" width="12.7109375" style="300" customWidth="1"/>
    <col min="15" max="15" width="19.140625" style="115" customWidth="1"/>
    <col min="16" max="16" width="13.140625" style="136" customWidth="1"/>
    <col min="17" max="17" width="12.7109375" style="300" customWidth="1"/>
    <col min="18" max="18" width="18" style="115" customWidth="1"/>
    <col min="19" max="19" width="11.7109375" style="136" customWidth="1"/>
    <col min="20" max="20" width="12.7109375" style="300" customWidth="1"/>
    <col min="21" max="21" width="18" style="115" customWidth="1"/>
    <col min="22" max="22" width="11.7109375" style="136" customWidth="1"/>
    <col min="23" max="23" width="12.7109375" style="300" customWidth="1"/>
    <col min="24" max="24" width="18" style="115" customWidth="1"/>
    <col min="25" max="25" width="11.7109375" style="136" customWidth="1"/>
    <col min="26" max="26" width="11.7109375" style="115" customWidth="1"/>
    <col min="27" max="16384" width="9.140625" style="115"/>
  </cols>
  <sheetData>
    <row r="1" spans="2:28" ht="33.75" customHeight="1" thickBot="1" x14ac:dyDescent="0.25">
      <c r="B1" s="1647" t="s">
        <v>631</v>
      </c>
      <c r="C1" s="1648"/>
      <c r="D1" s="1648"/>
      <c r="E1" s="1648"/>
      <c r="F1" s="1648"/>
      <c r="G1" s="1648"/>
      <c r="H1" s="1648"/>
      <c r="I1" s="1648"/>
      <c r="J1" s="1648"/>
      <c r="K1" s="1648"/>
      <c r="L1" s="1648"/>
      <c r="M1" s="1648"/>
      <c r="N1" s="1648"/>
      <c r="O1" s="1648"/>
      <c r="P1" s="1648"/>
      <c r="Q1" s="1648"/>
      <c r="R1" s="1648"/>
      <c r="S1" s="1648"/>
      <c r="T1" s="1648"/>
      <c r="U1" s="1648"/>
      <c r="V1" s="1648"/>
      <c r="W1" s="1648"/>
      <c r="X1" s="1648"/>
      <c r="Y1" s="1648"/>
      <c r="Z1" s="1650"/>
    </row>
    <row r="2" spans="2:28" ht="13.5" thickBot="1" x14ac:dyDescent="0.25">
      <c r="B2" s="678" t="s">
        <v>181</v>
      </c>
      <c r="C2" s="679" t="str">
        <f>'GO-NO-GO CHECKLIST'!E21</f>
        <v>300 University Boulevard</v>
      </c>
      <c r="D2" s="1171"/>
      <c r="E2" s="1172"/>
      <c r="F2" s="680"/>
      <c r="G2" s="681"/>
      <c r="H2" s="682"/>
      <c r="I2" s="863"/>
      <c r="J2" s="665"/>
      <c r="K2" s="1651" t="s">
        <v>1706</v>
      </c>
      <c r="L2" s="1651"/>
      <c r="M2" s="1652"/>
      <c r="N2" s="683"/>
      <c r="O2" s="684"/>
      <c r="P2" s="685"/>
      <c r="Q2" s="683"/>
      <c r="R2" s="684"/>
      <c r="S2" s="685"/>
      <c r="T2" s="683"/>
      <c r="U2" s="684"/>
      <c r="V2" s="685"/>
      <c r="W2" s="683"/>
      <c r="X2" s="684"/>
      <c r="Y2" s="685"/>
      <c r="Z2" s="686"/>
      <c r="AB2" s="116" t="s">
        <v>467</v>
      </c>
    </row>
    <row r="3" spans="2:28" ht="13.5" thickBot="1" x14ac:dyDescent="0.25">
      <c r="B3" s="645" t="s">
        <v>1335</v>
      </c>
      <c r="C3" s="687" t="str">
        <f>'PROJECT INFO'!E4</f>
        <v>5888</v>
      </c>
      <c r="D3" s="1157"/>
      <c r="E3" s="890"/>
      <c r="F3" s="646" t="s">
        <v>635</v>
      </c>
      <c r="G3" s="156"/>
      <c r="H3" s="157" t="s">
        <v>68</v>
      </c>
      <c r="I3" s="864"/>
      <c r="J3" s="666"/>
      <c r="K3" s="664">
        <v>0</v>
      </c>
      <c r="L3" s="637">
        <v>0</v>
      </c>
      <c r="M3" s="637">
        <v>0</v>
      </c>
      <c r="N3" s="1654" t="s">
        <v>452</v>
      </c>
      <c r="O3" s="1654"/>
      <c r="P3" s="1654"/>
      <c r="Q3" s="1654" t="s">
        <v>452</v>
      </c>
      <c r="R3" s="1654"/>
      <c r="S3" s="1654"/>
      <c r="T3" s="1654" t="s">
        <v>452</v>
      </c>
      <c r="U3" s="1654"/>
      <c r="V3" s="1654"/>
      <c r="W3" s="1654" t="s">
        <v>452</v>
      </c>
      <c r="X3" s="1654"/>
      <c r="Y3" s="1654"/>
      <c r="Z3" s="644"/>
      <c r="AB3" s="116"/>
    </row>
    <row r="4" spans="2:28" s="150" customFormat="1" x14ac:dyDescent="0.2">
      <c r="B4" s="647"/>
      <c r="C4" s="648"/>
      <c r="D4" s="1052"/>
      <c r="E4" s="648"/>
      <c r="F4" s="648" t="s">
        <v>65</v>
      </c>
      <c r="G4" s="158" t="s">
        <v>196</v>
      </c>
      <c r="H4" s="157" t="s">
        <v>66</v>
      </c>
      <c r="I4" s="864" t="s">
        <v>67</v>
      </c>
      <c r="J4" s="667"/>
      <c r="K4" s="159" t="s">
        <v>232</v>
      </c>
      <c r="L4" s="660" t="s">
        <v>100</v>
      </c>
      <c r="M4" s="672" t="s">
        <v>233</v>
      </c>
      <c r="N4" s="671"/>
      <c r="O4" s="649"/>
      <c r="P4" s="669">
        <f>SUM(P9:P142)</f>
        <v>18099</v>
      </c>
      <c r="Q4" s="671"/>
      <c r="R4" s="649"/>
      <c r="S4" s="669">
        <f>SUM(S9:S142)</f>
        <v>125930</v>
      </c>
      <c r="T4" s="671"/>
      <c r="U4" s="649"/>
      <c r="V4" s="669">
        <f>SUM(V9:V142)</f>
        <v>130648.20000000001</v>
      </c>
      <c r="W4" s="671"/>
      <c r="X4" s="649"/>
      <c r="Y4" s="669">
        <f>SUM(Y9:Y142)</f>
        <v>130229.23</v>
      </c>
      <c r="Z4" s="650"/>
    </row>
    <row r="5" spans="2:28" s="150" customFormat="1" x14ac:dyDescent="0.2">
      <c r="B5" s="638"/>
      <c r="C5" s="640"/>
      <c r="D5" s="1053"/>
      <c r="E5" s="640"/>
      <c r="F5" s="640"/>
      <c r="G5" s="174">
        <f>SUM(G9:G142)</f>
        <v>144029</v>
      </c>
      <c r="H5" s="157" t="s">
        <v>69</v>
      </c>
      <c r="I5" s="670">
        <f>SUM(I9:I142)</f>
        <v>598</v>
      </c>
      <c r="J5" s="667"/>
      <c r="K5" s="206">
        <f>K3*I5+SUM(K18:K142)</f>
        <v>0</v>
      </c>
      <c r="L5" s="206">
        <f>L3*I5+SUM(L18:L142)</f>
        <v>0</v>
      </c>
      <c r="M5" s="206">
        <f>M3*I5+SUM(M18:M142)</f>
        <v>0</v>
      </c>
      <c r="N5" s="1655" t="s">
        <v>751</v>
      </c>
      <c r="O5" s="1655"/>
      <c r="P5" s="1655"/>
      <c r="Q5" s="1655" t="s">
        <v>751</v>
      </c>
      <c r="R5" s="1655"/>
      <c r="S5" s="1655"/>
      <c r="T5" s="1655" t="s">
        <v>751</v>
      </c>
      <c r="U5" s="1655"/>
      <c r="V5" s="1655"/>
      <c r="W5" s="1655" t="s">
        <v>751</v>
      </c>
      <c r="X5" s="1655"/>
      <c r="Y5" s="1655"/>
      <c r="Z5" s="650"/>
    </row>
    <row r="6" spans="2:28" s="150" customFormat="1" x14ac:dyDescent="0.2">
      <c r="B6" s="1656" t="s">
        <v>1595</v>
      </c>
      <c r="C6" s="1657"/>
      <c r="D6" s="1057"/>
      <c r="E6" s="860"/>
      <c r="F6" s="651">
        <v>0</v>
      </c>
      <c r="G6" s="1153">
        <f>G5*F6</f>
        <v>0</v>
      </c>
      <c r="H6" s="162"/>
      <c r="I6" s="865"/>
      <c r="J6" s="667"/>
      <c r="K6" s="163"/>
      <c r="L6" s="640"/>
      <c r="M6" s="164"/>
      <c r="N6" s="1646" t="s">
        <v>622</v>
      </c>
      <c r="O6" s="1646"/>
      <c r="P6" s="1646"/>
      <c r="Q6" s="1646" t="s">
        <v>2070</v>
      </c>
      <c r="R6" s="1646"/>
      <c r="S6" s="1646"/>
      <c r="T6" s="1646" t="s">
        <v>440</v>
      </c>
      <c r="U6" s="1646"/>
      <c r="V6" s="1646"/>
      <c r="W6" s="1646" t="s">
        <v>440</v>
      </c>
      <c r="X6" s="1646"/>
      <c r="Y6" s="1646"/>
      <c r="Z6" s="677" t="s">
        <v>621</v>
      </c>
    </row>
    <row r="7" spans="2:28" s="150" customFormat="1" ht="13.5" thickBot="1" x14ac:dyDescent="0.25">
      <c r="B7" s="652"/>
      <c r="C7" s="653"/>
      <c r="D7" s="1054"/>
      <c r="E7" s="653"/>
      <c r="F7" s="654" t="s">
        <v>1694</v>
      </c>
      <c r="G7" s="1154">
        <f>G6+G5</f>
        <v>144029</v>
      </c>
      <c r="H7" s="655"/>
      <c r="I7" s="866"/>
      <c r="J7" s="668"/>
      <c r="K7" s="656"/>
      <c r="L7" s="656"/>
      <c r="M7" s="657"/>
      <c r="N7" s="675" t="s">
        <v>451</v>
      </c>
      <c r="O7" s="674" t="s">
        <v>450</v>
      </c>
      <c r="P7" s="688" t="s">
        <v>69</v>
      </c>
      <c r="Q7" s="675" t="s">
        <v>451</v>
      </c>
      <c r="R7" s="674" t="s">
        <v>450</v>
      </c>
      <c r="S7" s="688" t="s">
        <v>69</v>
      </c>
      <c r="T7" s="675" t="s">
        <v>451</v>
      </c>
      <c r="U7" s="674" t="s">
        <v>450</v>
      </c>
      <c r="V7" s="688" t="s">
        <v>69</v>
      </c>
      <c r="W7" s="675" t="s">
        <v>451</v>
      </c>
      <c r="X7" s="674" t="s">
        <v>450</v>
      </c>
      <c r="Y7" s="688" t="s">
        <v>69</v>
      </c>
      <c r="Z7" s="676" t="s">
        <v>69</v>
      </c>
    </row>
    <row r="8" spans="2:28" ht="13.5" thickBot="1" x14ac:dyDescent="0.25">
      <c r="B8" s="1062" t="s">
        <v>64</v>
      </c>
      <c r="C8" s="1063" t="s">
        <v>470</v>
      </c>
      <c r="D8" s="1063" t="s">
        <v>2029</v>
      </c>
      <c r="E8" s="1063" t="s">
        <v>117</v>
      </c>
      <c r="F8" s="1658" t="s">
        <v>2111</v>
      </c>
      <c r="G8" s="1659"/>
      <c r="H8" s="1659"/>
      <c r="I8" s="1659"/>
      <c r="J8" s="1063"/>
      <c r="K8" s="1659" t="s">
        <v>2114</v>
      </c>
      <c r="L8" s="1659"/>
      <c r="M8" s="1659"/>
      <c r="N8" s="1659"/>
      <c r="O8" s="1659"/>
      <c r="P8" s="1659"/>
      <c r="Q8" s="1659"/>
      <c r="R8" s="1659"/>
      <c r="S8" s="1659"/>
      <c r="T8" s="1659"/>
      <c r="U8" s="1659"/>
      <c r="V8" s="1659"/>
      <c r="W8" s="1659"/>
      <c r="X8" s="1659"/>
      <c r="Y8" s="1659"/>
      <c r="Z8" s="1660"/>
    </row>
    <row r="9" spans="2:28" x14ac:dyDescent="0.2">
      <c r="B9" s="267">
        <v>0</v>
      </c>
      <c r="C9" s="271"/>
      <c r="D9" s="1058"/>
      <c r="E9" s="268"/>
      <c r="F9" s="271"/>
      <c r="G9" s="1173">
        <f t="shared" ref="G9:G115" si="0">Z9</f>
        <v>0</v>
      </c>
      <c r="H9" s="269">
        <v>0</v>
      </c>
      <c r="I9" s="1174">
        <f t="shared" ref="I9:I16" si="1">H9*B9</f>
        <v>0</v>
      </c>
      <c r="J9" s="270"/>
      <c r="K9" s="268"/>
      <c r="L9" s="268"/>
      <c r="M9" s="268"/>
      <c r="N9" s="296">
        <v>0</v>
      </c>
      <c r="O9" s="301"/>
      <c r="P9" s="1161">
        <f t="shared" ref="P9:P16" si="2">N9*B9</f>
        <v>0</v>
      </c>
      <c r="Q9" s="296">
        <v>0</v>
      </c>
      <c r="R9" s="301"/>
      <c r="S9" s="1161">
        <f t="shared" ref="S9:S16" si="3">Q9*B9</f>
        <v>0</v>
      </c>
      <c r="T9" s="296">
        <v>0</v>
      </c>
      <c r="U9" s="301"/>
      <c r="V9" s="1161">
        <f t="shared" ref="V9:V16" si="4">T9*B9</f>
        <v>0</v>
      </c>
      <c r="W9" s="296">
        <v>0</v>
      </c>
      <c r="X9" s="301"/>
      <c r="Y9" s="1161">
        <f t="shared" ref="Y9:Y16" si="5">W9*B9</f>
        <v>0</v>
      </c>
      <c r="Z9" s="1155">
        <f>IF(O9="SELECTED",((P9)),0)+IF(R9="SELECTED",((S9)),0)+IF(U9="SELECTED",((V9)),0)+IF(X9="SELECTED",((Y9)))</f>
        <v>0</v>
      </c>
    </row>
    <row r="10" spans="2:28" x14ac:dyDescent="0.2">
      <c r="B10" s="198">
        <v>0</v>
      </c>
      <c r="C10" s="200"/>
      <c r="D10" s="1058"/>
      <c r="E10" s="199"/>
      <c r="F10" s="200"/>
      <c r="G10" s="1173">
        <f t="shared" si="0"/>
        <v>0</v>
      </c>
      <c r="H10" s="205">
        <v>0</v>
      </c>
      <c r="I10" s="1174">
        <f t="shared" si="1"/>
        <v>0</v>
      </c>
      <c r="J10" s="201"/>
      <c r="K10" s="199"/>
      <c r="L10" s="199"/>
      <c r="M10" s="199"/>
      <c r="N10" s="297">
        <v>0</v>
      </c>
      <c r="O10" s="301"/>
      <c r="P10" s="1165">
        <f t="shared" si="2"/>
        <v>0</v>
      </c>
      <c r="Q10" s="297">
        <v>0</v>
      </c>
      <c r="R10" s="301"/>
      <c r="S10" s="1165">
        <f t="shared" si="3"/>
        <v>0</v>
      </c>
      <c r="T10" s="297">
        <v>0</v>
      </c>
      <c r="U10" s="301"/>
      <c r="V10" s="1161">
        <f t="shared" si="4"/>
        <v>0</v>
      </c>
      <c r="W10" s="297">
        <v>0</v>
      </c>
      <c r="X10" s="301"/>
      <c r="Y10" s="1165">
        <f t="shared" si="5"/>
        <v>0</v>
      </c>
      <c r="Z10" s="1155">
        <f t="shared" ref="Z10:Z16" si="6">IF(O10="SELECTED",((P10)),0)+IF(R10="SELECTED",((S10)),0)+IF(U10="SELECTED",((V10)),0)+IF(X10="SELECTED",((Y10)))</f>
        <v>0</v>
      </c>
    </row>
    <row r="11" spans="2:28" x14ac:dyDescent="0.2">
      <c r="B11" s="198">
        <v>0</v>
      </c>
      <c r="C11" s="199"/>
      <c r="D11" s="1058"/>
      <c r="E11" s="199"/>
      <c r="F11" s="199" t="s">
        <v>70</v>
      </c>
      <c r="G11" s="1173">
        <f t="shared" si="0"/>
        <v>0</v>
      </c>
      <c r="H11" s="205">
        <v>0</v>
      </c>
      <c r="I11" s="1174">
        <f t="shared" si="1"/>
        <v>0</v>
      </c>
      <c r="J11" s="201"/>
      <c r="K11" s="199"/>
      <c r="L11" s="199"/>
      <c r="M11" s="199"/>
      <c r="N11" s="297">
        <v>0</v>
      </c>
      <c r="O11" s="301"/>
      <c r="P11" s="1165">
        <f t="shared" si="2"/>
        <v>0</v>
      </c>
      <c r="Q11" s="297">
        <v>0</v>
      </c>
      <c r="R11" s="301"/>
      <c r="S11" s="1165">
        <f t="shared" si="3"/>
        <v>0</v>
      </c>
      <c r="T11" s="297">
        <v>0</v>
      </c>
      <c r="U11" s="301"/>
      <c r="V11" s="1161">
        <f t="shared" si="4"/>
        <v>0</v>
      </c>
      <c r="W11" s="297">
        <v>0</v>
      </c>
      <c r="X11" s="301"/>
      <c r="Y11" s="1165">
        <f t="shared" si="5"/>
        <v>0</v>
      </c>
      <c r="Z11" s="1155">
        <f t="shared" si="6"/>
        <v>0</v>
      </c>
    </row>
    <row r="12" spans="2:28" x14ac:dyDescent="0.2">
      <c r="B12" s="198">
        <v>0</v>
      </c>
      <c r="C12" s="199"/>
      <c r="D12" s="1058"/>
      <c r="E12" s="199"/>
      <c r="F12" s="199" t="s">
        <v>70</v>
      </c>
      <c r="G12" s="1173">
        <f t="shared" si="0"/>
        <v>0</v>
      </c>
      <c r="H12" s="205">
        <v>0</v>
      </c>
      <c r="I12" s="1174">
        <f t="shared" si="1"/>
        <v>0</v>
      </c>
      <c r="J12" s="201"/>
      <c r="K12" s="199"/>
      <c r="L12" s="199"/>
      <c r="M12" s="199"/>
      <c r="N12" s="297">
        <v>0</v>
      </c>
      <c r="O12" s="301"/>
      <c r="P12" s="1165">
        <f t="shared" si="2"/>
        <v>0</v>
      </c>
      <c r="Q12" s="297">
        <v>0</v>
      </c>
      <c r="R12" s="301"/>
      <c r="S12" s="1165">
        <f t="shared" si="3"/>
        <v>0</v>
      </c>
      <c r="T12" s="297">
        <v>0</v>
      </c>
      <c r="U12" s="301"/>
      <c r="V12" s="1161">
        <f t="shared" si="4"/>
        <v>0</v>
      </c>
      <c r="W12" s="297">
        <v>0</v>
      </c>
      <c r="X12" s="301"/>
      <c r="Y12" s="1165">
        <f t="shared" si="5"/>
        <v>0</v>
      </c>
      <c r="Z12" s="1155">
        <f t="shared" si="6"/>
        <v>0</v>
      </c>
    </row>
    <row r="13" spans="2:28" x14ac:dyDescent="0.2">
      <c r="B13" s="198">
        <v>0</v>
      </c>
      <c r="C13" s="199"/>
      <c r="D13" s="1058"/>
      <c r="E13" s="199"/>
      <c r="F13" s="199" t="s">
        <v>70</v>
      </c>
      <c r="G13" s="1173">
        <f t="shared" si="0"/>
        <v>0</v>
      </c>
      <c r="H13" s="205">
        <v>0</v>
      </c>
      <c r="I13" s="1174">
        <f t="shared" si="1"/>
        <v>0</v>
      </c>
      <c r="J13" s="201"/>
      <c r="K13" s="199"/>
      <c r="L13" s="199"/>
      <c r="M13" s="199"/>
      <c r="N13" s="297">
        <v>0</v>
      </c>
      <c r="O13" s="301"/>
      <c r="P13" s="1165">
        <f t="shared" si="2"/>
        <v>0</v>
      </c>
      <c r="Q13" s="297">
        <v>0</v>
      </c>
      <c r="R13" s="301"/>
      <c r="S13" s="1165">
        <f t="shared" si="3"/>
        <v>0</v>
      </c>
      <c r="T13" s="297">
        <v>0</v>
      </c>
      <c r="U13" s="301"/>
      <c r="V13" s="1161">
        <f t="shared" si="4"/>
        <v>0</v>
      </c>
      <c r="W13" s="297">
        <v>0</v>
      </c>
      <c r="X13" s="301"/>
      <c r="Y13" s="1165">
        <f t="shared" si="5"/>
        <v>0</v>
      </c>
      <c r="Z13" s="1155">
        <f t="shared" si="6"/>
        <v>0</v>
      </c>
    </row>
    <row r="14" spans="2:28" x14ac:dyDescent="0.2">
      <c r="B14" s="198">
        <v>0</v>
      </c>
      <c r="C14" s="199"/>
      <c r="D14" s="1058"/>
      <c r="E14" s="199"/>
      <c r="F14" s="199" t="s">
        <v>70</v>
      </c>
      <c r="G14" s="1173">
        <f t="shared" si="0"/>
        <v>0</v>
      </c>
      <c r="H14" s="205">
        <v>0</v>
      </c>
      <c r="I14" s="1174">
        <f t="shared" si="1"/>
        <v>0</v>
      </c>
      <c r="J14" s="201"/>
      <c r="K14" s="199"/>
      <c r="L14" s="199"/>
      <c r="M14" s="199"/>
      <c r="N14" s="297">
        <v>0</v>
      </c>
      <c r="O14" s="301"/>
      <c r="P14" s="1165">
        <f t="shared" si="2"/>
        <v>0</v>
      </c>
      <c r="Q14" s="297">
        <v>0</v>
      </c>
      <c r="R14" s="301"/>
      <c r="S14" s="1165">
        <f t="shared" si="3"/>
        <v>0</v>
      </c>
      <c r="T14" s="297">
        <v>0</v>
      </c>
      <c r="U14" s="301"/>
      <c r="V14" s="1161">
        <f t="shared" si="4"/>
        <v>0</v>
      </c>
      <c r="W14" s="297">
        <v>0</v>
      </c>
      <c r="X14" s="301"/>
      <c r="Y14" s="1165">
        <f t="shared" si="5"/>
        <v>0</v>
      </c>
      <c r="Z14" s="1155">
        <f t="shared" si="6"/>
        <v>0</v>
      </c>
    </row>
    <row r="15" spans="2:28" x14ac:dyDescent="0.2">
      <c r="B15" s="198">
        <v>0</v>
      </c>
      <c r="C15" s="199"/>
      <c r="D15" s="1058"/>
      <c r="E15" s="199"/>
      <c r="F15" s="199" t="s">
        <v>70</v>
      </c>
      <c r="G15" s="1173">
        <f t="shared" si="0"/>
        <v>0</v>
      </c>
      <c r="H15" s="205">
        <v>0</v>
      </c>
      <c r="I15" s="1174">
        <f t="shared" si="1"/>
        <v>0</v>
      </c>
      <c r="J15" s="201"/>
      <c r="K15" s="199"/>
      <c r="L15" s="199"/>
      <c r="M15" s="199"/>
      <c r="N15" s="297">
        <v>0</v>
      </c>
      <c r="O15" s="301"/>
      <c r="P15" s="1165">
        <f t="shared" si="2"/>
        <v>0</v>
      </c>
      <c r="Q15" s="297">
        <v>0</v>
      </c>
      <c r="R15" s="301"/>
      <c r="S15" s="1165">
        <f t="shared" si="3"/>
        <v>0</v>
      </c>
      <c r="T15" s="297">
        <v>0</v>
      </c>
      <c r="U15" s="301"/>
      <c r="V15" s="1161">
        <f t="shared" si="4"/>
        <v>0</v>
      </c>
      <c r="W15" s="297">
        <v>0</v>
      </c>
      <c r="X15" s="301"/>
      <c r="Y15" s="1165">
        <f t="shared" si="5"/>
        <v>0</v>
      </c>
      <c r="Z15" s="1155">
        <f t="shared" si="6"/>
        <v>0</v>
      </c>
    </row>
    <row r="16" spans="2:28" ht="13.5" thickBot="1" x14ac:dyDescent="0.25">
      <c r="B16" s="198">
        <v>0</v>
      </c>
      <c r="C16" s="264"/>
      <c r="D16" s="1058"/>
      <c r="E16" s="264"/>
      <c r="F16" s="264" t="s">
        <v>70</v>
      </c>
      <c r="G16" s="1173">
        <f t="shared" si="0"/>
        <v>0</v>
      </c>
      <c r="H16" s="265">
        <v>0</v>
      </c>
      <c r="I16" s="1175">
        <f t="shared" si="1"/>
        <v>0</v>
      </c>
      <c r="J16" s="266"/>
      <c r="K16" s="264"/>
      <c r="L16" s="264"/>
      <c r="M16" s="264"/>
      <c r="N16" s="298">
        <v>0</v>
      </c>
      <c r="O16" s="301"/>
      <c r="P16" s="1176">
        <f t="shared" si="2"/>
        <v>0</v>
      </c>
      <c r="Q16" s="298">
        <v>0</v>
      </c>
      <c r="R16" s="301"/>
      <c r="S16" s="1176">
        <f t="shared" si="3"/>
        <v>0</v>
      </c>
      <c r="T16" s="298">
        <v>0</v>
      </c>
      <c r="U16" s="301"/>
      <c r="V16" s="1161">
        <f t="shared" si="4"/>
        <v>0</v>
      </c>
      <c r="W16" s="298">
        <v>0</v>
      </c>
      <c r="X16" s="301"/>
      <c r="Y16" s="1176">
        <f t="shared" si="5"/>
        <v>0</v>
      </c>
      <c r="Z16" s="1155">
        <f t="shared" si="6"/>
        <v>0</v>
      </c>
    </row>
    <row r="17" spans="2:26" ht="13.5" thickBot="1" x14ac:dyDescent="0.25">
      <c r="B17" s="1070" t="s">
        <v>64</v>
      </c>
      <c r="C17" s="1071" t="s">
        <v>470</v>
      </c>
      <c r="D17" s="1071" t="s">
        <v>2029</v>
      </c>
      <c r="E17" s="1071" t="s">
        <v>117</v>
      </c>
      <c r="F17" s="1661" t="s">
        <v>2112</v>
      </c>
      <c r="G17" s="1641"/>
      <c r="H17" s="1641"/>
      <c r="I17" s="1641"/>
      <c r="J17" s="1071"/>
      <c r="K17" s="1641" t="s">
        <v>2113</v>
      </c>
      <c r="L17" s="1641"/>
      <c r="M17" s="1641"/>
      <c r="N17" s="1641"/>
      <c r="O17" s="1641"/>
      <c r="P17" s="1641"/>
      <c r="Q17" s="1641"/>
      <c r="R17" s="1641"/>
      <c r="S17" s="1641"/>
      <c r="T17" s="1641"/>
      <c r="U17" s="1641"/>
      <c r="V17" s="1641"/>
      <c r="W17" s="1641"/>
      <c r="X17" s="1641"/>
      <c r="Y17" s="1641"/>
      <c r="Z17" s="1642"/>
    </row>
    <row r="18" spans="2:26" x14ac:dyDescent="0.2">
      <c r="B18" s="267">
        <v>12</v>
      </c>
      <c r="C18" s="271" t="s">
        <v>512</v>
      </c>
      <c r="D18" s="1058" t="s">
        <v>2508</v>
      </c>
      <c r="E18" s="199"/>
      <c r="F18" s="861" t="s">
        <v>2481</v>
      </c>
      <c r="G18" s="1226">
        <f t="shared" si="0"/>
        <v>4764</v>
      </c>
      <c r="H18" s="1060">
        <v>4</v>
      </c>
      <c r="I18" s="1177">
        <f t="shared" ref="I18:I54" si="7">H18*B18</f>
        <v>48</v>
      </c>
      <c r="J18" s="270"/>
      <c r="K18" s="268"/>
      <c r="L18" s="268"/>
      <c r="M18" s="268"/>
      <c r="N18" s="296">
        <v>0</v>
      </c>
      <c r="O18" s="301"/>
      <c r="P18" s="1161">
        <f t="shared" ref="P18:P54" si="8">N18*B18</f>
        <v>0</v>
      </c>
      <c r="Q18" s="296">
        <v>397</v>
      </c>
      <c r="R18" s="301" t="s">
        <v>450</v>
      </c>
      <c r="S18" s="1161">
        <f t="shared" ref="S18:S54" si="9">Q18*B18</f>
        <v>4764</v>
      </c>
      <c r="T18" s="296">
        <v>375.6</v>
      </c>
      <c r="U18" s="301"/>
      <c r="V18" s="1161">
        <f t="shared" ref="V18:V54" si="10">T18*B18</f>
        <v>4507.2000000000007</v>
      </c>
      <c r="W18" s="296">
        <v>501.28</v>
      </c>
      <c r="X18" s="301"/>
      <c r="Y18" s="1161">
        <f t="shared" ref="Y18:Y54" si="11">W18*B18</f>
        <v>6015.36</v>
      </c>
      <c r="Z18" s="1155">
        <f t="shared" ref="Z18:Z120" si="12">IF(O18="SELECTED",((P18)),0)+IF(R18="SELECTED",((S18)),0)+IF(U18="SELECTED",((V18)),0)+IF(X18="SELECTED",((Y18)))</f>
        <v>4764</v>
      </c>
    </row>
    <row r="19" spans="2:26" x14ac:dyDescent="0.2">
      <c r="B19" s="198">
        <v>6</v>
      </c>
      <c r="C19" s="271" t="s">
        <v>513</v>
      </c>
      <c r="D19" s="1058" t="s">
        <v>2508</v>
      </c>
      <c r="E19" s="199"/>
      <c r="F19" s="862" t="s">
        <v>2482</v>
      </c>
      <c r="G19" s="1178">
        <f t="shared" si="0"/>
        <v>2382</v>
      </c>
      <c r="H19" s="1061">
        <v>4</v>
      </c>
      <c r="I19" s="1174">
        <f t="shared" si="7"/>
        <v>24</v>
      </c>
      <c r="J19" s="201"/>
      <c r="K19" s="199"/>
      <c r="L19" s="199"/>
      <c r="M19" s="199"/>
      <c r="N19" s="297">
        <v>0</v>
      </c>
      <c r="O19" s="301"/>
      <c r="P19" s="1165">
        <f t="shared" si="8"/>
        <v>0</v>
      </c>
      <c r="Q19" s="297">
        <v>397</v>
      </c>
      <c r="R19" s="301" t="s">
        <v>450</v>
      </c>
      <c r="S19" s="1165">
        <f t="shared" si="9"/>
        <v>2382</v>
      </c>
      <c r="T19" s="297">
        <v>375.5</v>
      </c>
      <c r="U19" s="301"/>
      <c r="V19" s="1161">
        <f t="shared" si="10"/>
        <v>2253</v>
      </c>
      <c r="W19" s="297">
        <v>501.28</v>
      </c>
      <c r="X19" s="301"/>
      <c r="Y19" s="1165">
        <f t="shared" si="11"/>
        <v>3007.68</v>
      </c>
      <c r="Z19" s="1155">
        <f t="shared" si="12"/>
        <v>2382</v>
      </c>
    </row>
    <row r="20" spans="2:26" x14ac:dyDescent="0.2">
      <c r="B20" s="267">
        <v>2</v>
      </c>
      <c r="C20" s="271" t="s">
        <v>1845</v>
      </c>
      <c r="D20" s="1058"/>
      <c r="E20" s="199"/>
      <c r="F20" s="862" t="s">
        <v>2483</v>
      </c>
      <c r="G20" s="1178">
        <f t="shared" si="0"/>
        <v>498</v>
      </c>
      <c r="H20" s="1061">
        <v>1</v>
      </c>
      <c r="I20" s="1174">
        <f t="shared" si="7"/>
        <v>2</v>
      </c>
      <c r="J20" s="201"/>
      <c r="K20" s="199"/>
      <c r="L20" s="199"/>
      <c r="M20" s="199"/>
      <c r="N20" s="297">
        <v>0</v>
      </c>
      <c r="O20" s="301"/>
      <c r="P20" s="1165">
        <f t="shared" si="8"/>
        <v>0</v>
      </c>
      <c r="Q20" s="297">
        <v>249</v>
      </c>
      <c r="R20" s="301" t="s">
        <v>450</v>
      </c>
      <c r="S20" s="1165">
        <f t="shared" si="9"/>
        <v>498</v>
      </c>
      <c r="T20" s="297">
        <v>377.8</v>
      </c>
      <c r="U20" s="301"/>
      <c r="V20" s="1161">
        <f t="shared" si="10"/>
        <v>755.6</v>
      </c>
      <c r="W20" s="297">
        <v>341.2</v>
      </c>
      <c r="X20" s="301"/>
      <c r="Y20" s="1165">
        <f t="shared" si="11"/>
        <v>682.4</v>
      </c>
      <c r="Z20" s="1155">
        <f t="shared" si="12"/>
        <v>498</v>
      </c>
    </row>
    <row r="21" spans="2:26" x14ac:dyDescent="0.2">
      <c r="B21" s="267">
        <v>6</v>
      </c>
      <c r="C21" s="271" t="s">
        <v>1845</v>
      </c>
      <c r="D21" s="1058"/>
      <c r="E21" s="199"/>
      <c r="F21" s="862" t="s">
        <v>2484</v>
      </c>
      <c r="G21" s="1178">
        <f t="shared" si="0"/>
        <v>2796</v>
      </c>
      <c r="H21" s="1061">
        <v>2</v>
      </c>
      <c r="I21" s="1174">
        <f t="shared" si="7"/>
        <v>12</v>
      </c>
      <c r="J21" s="201"/>
      <c r="K21" s="199"/>
      <c r="L21" s="199"/>
      <c r="M21" s="199"/>
      <c r="N21" s="297">
        <v>0</v>
      </c>
      <c r="O21" s="301"/>
      <c r="P21" s="1165">
        <f t="shared" si="8"/>
        <v>0</v>
      </c>
      <c r="Q21" s="297">
        <v>466</v>
      </c>
      <c r="R21" s="301" t="s">
        <v>450</v>
      </c>
      <c r="S21" s="1165">
        <f t="shared" si="9"/>
        <v>2796</v>
      </c>
      <c r="T21" s="297">
        <v>706.6</v>
      </c>
      <c r="U21" s="301"/>
      <c r="V21" s="1161">
        <f t="shared" si="10"/>
        <v>4239.6000000000004</v>
      </c>
      <c r="W21" s="297">
        <v>638.49</v>
      </c>
      <c r="X21" s="301"/>
      <c r="Y21" s="1165">
        <f t="shared" si="11"/>
        <v>3830.94</v>
      </c>
      <c r="Z21" s="1155">
        <f t="shared" si="12"/>
        <v>2796</v>
      </c>
    </row>
    <row r="22" spans="2:26" x14ac:dyDescent="0.2">
      <c r="B22" s="198">
        <v>6</v>
      </c>
      <c r="C22" s="271" t="s">
        <v>1839</v>
      </c>
      <c r="D22" s="1058" t="s">
        <v>2508</v>
      </c>
      <c r="E22" s="199"/>
      <c r="F22" s="862" t="s">
        <v>2485</v>
      </c>
      <c r="G22" s="1178">
        <f t="shared" si="0"/>
        <v>2640</v>
      </c>
      <c r="H22" s="1061">
        <v>4</v>
      </c>
      <c r="I22" s="1174">
        <f t="shared" si="7"/>
        <v>24</v>
      </c>
      <c r="J22" s="201"/>
      <c r="K22" s="199"/>
      <c r="L22" s="199"/>
      <c r="M22" s="199"/>
      <c r="N22" s="297">
        <v>0</v>
      </c>
      <c r="O22" s="301"/>
      <c r="P22" s="1165">
        <f t="shared" si="8"/>
        <v>0</v>
      </c>
      <c r="Q22" s="297">
        <v>440</v>
      </c>
      <c r="R22" s="301" t="s">
        <v>450</v>
      </c>
      <c r="S22" s="1165">
        <f t="shared" si="9"/>
        <v>2640</v>
      </c>
      <c r="T22" s="297">
        <v>439.2</v>
      </c>
      <c r="U22" s="301"/>
      <c r="V22" s="1161">
        <f t="shared" si="10"/>
        <v>2635.2</v>
      </c>
      <c r="W22" s="297">
        <v>529.20000000000005</v>
      </c>
      <c r="X22" s="301"/>
      <c r="Y22" s="1165">
        <f t="shared" si="11"/>
        <v>3175.2000000000003</v>
      </c>
      <c r="Z22" s="1155">
        <f t="shared" si="12"/>
        <v>2640</v>
      </c>
    </row>
    <row r="23" spans="2:26" x14ac:dyDescent="0.2">
      <c r="B23" s="198">
        <v>6</v>
      </c>
      <c r="C23" s="271" t="s">
        <v>1845</v>
      </c>
      <c r="D23" s="1058"/>
      <c r="E23" s="199"/>
      <c r="F23" s="862" t="s">
        <v>2486</v>
      </c>
      <c r="G23" s="1178">
        <f t="shared" si="0"/>
        <v>792</v>
      </c>
      <c r="H23" s="1061">
        <v>2</v>
      </c>
      <c r="I23" s="1174">
        <f t="shared" si="7"/>
        <v>12</v>
      </c>
      <c r="J23" s="201"/>
      <c r="K23" s="199"/>
      <c r="L23" s="199"/>
      <c r="M23" s="199"/>
      <c r="N23" s="297">
        <v>0</v>
      </c>
      <c r="O23" s="301"/>
      <c r="P23" s="1165">
        <f t="shared" si="8"/>
        <v>0</v>
      </c>
      <c r="Q23" s="297">
        <v>132</v>
      </c>
      <c r="R23" s="301" t="s">
        <v>450</v>
      </c>
      <c r="S23" s="1165">
        <f t="shared" si="9"/>
        <v>792</v>
      </c>
      <c r="T23" s="297">
        <v>200.8</v>
      </c>
      <c r="U23" s="301"/>
      <c r="V23" s="1161">
        <f t="shared" si="10"/>
        <v>1204.8000000000002</v>
      </c>
      <c r="W23" s="297">
        <v>180.36</v>
      </c>
      <c r="X23" s="301"/>
      <c r="Y23" s="1165">
        <f t="shared" si="11"/>
        <v>1082.1600000000001</v>
      </c>
      <c r="Z23" s="1155">
        <f t="shared" si="12"/>
        <v>792</v>
      </c>
    </row>
    <row r="24" spans="2:26" x14ac:dyDescent="0.2">
      <c r="B24" s="198">
        <v>12</v>
      </c>
      <c r="C24" s="271" t="s">
        <v>515</v>
      </c>
      <c r="D24" s="1058" t="s">
        <v>2509</v>
      </c>
      <c r="E24" s="199"/>
      <c r="F24" s="862" t="s">
        <v>2487</v>
      </c>
      <c r="G24" s="1178">
        <f t="shared" si="0"/>
        <v>33660</v>
      </c>
      <c r="H24" s="1061">
        <v>5</v>
      </c>
      <c r="I24" s="1174">
        <f t="shared" si="7"/>
        <v>60</v>
      </c>
      <c r="J24" s="201"/>
      <c r="K24" s="199"/>
      <c r="L24" s="199"/>
      <c r="M24" s="199"/>
      <c r="N24" s="297">
        <v>0</v>
      </c>
      <c r="O24" s="301"/>
      <c r="P24" s="1165">
        <f t="shared" si="8"/>
        <v>0</v>
      </c>
      <c r="Q24" s="297">
        <v>2805</v>
      </c>
      <c r="R24" s="301" t="s">
        <v>450</v>
      </c>
      <c r="S24" s="1165">
        <f t="shared" si="9"/>
        <v>33660</v>
      </c>
      <c r="T24" s="297">
        <v>3260.3</v>
      </c>
      <c r="U24" s="301"/>
      <c r="V24" s="1161">
        <f t="shared" si="10"/>
        <v>39123.600000000006</v>
      </c>
      <c r="W24" s="297">
        <v>3051.75</v>
      </c>
      <c r="X24" s="301"/>
      <c r="Y24" s="1165">
        <f t="shared" si="11"/>
        <v>36621</v>
      </c>
      <c r="Z24" s="1155">
        <f t="shared" si="12"/>
        <v>33660</v>
      </c>
    </row>
    <row r="25" spans="2:26" x14ac:dyDescent="0.2">
      <c r="B25" s="198">
        <v>3</v>
      </c>
      <c r="C25" s="271" t="s">
        <v>526</v>
      </c>
      <c r="D25" s="1058" t="s">
        <v>2510</v>
      </c>
      <c r="E25" s="199"/>
      <c r="F25" s="862" t="s">
        <v>1809</v>
      </c>
      <c r="G25" s="1178">
        <f t="shared" si="0"/>
        <v>12828</v>
      </c>
      <c r="H25" s="1061">
        <v>8</v>
      </c>
      <c r="I25" s="1174">
        <f t="shared" si="7"/>
        <v>24</v>
      </c>
      <c r="J25" s="201"/>
      <c r="K25" s="199"/>
      <c r="L25" s="199"/>
      <c r="M25" s="199"/>
      <c r="N25" s="297">
        <v>0</v>
      </c>
      <c r="O25" s="301"/>
      <c r="P25" s="1165">
        <f t="shared" si="8"/>
        <v>0</v>
      </c>
      <c r="Q25" s="297">
        <v>4276</v>
      </c>
      <c r="R25" s="301" t="s">
        <v>450</v>
      </c>
      <c r="S25" s="1165">
        <f t="shared" si="9"/>
        <v>12828</v>
      </c>
      <c r="T25" s="297">
        <v>4760.3999999999996</v>
      </c>
      <c r="U25" s="301"/>
      <c r="V25" s="1161">
        <f t="shared" si="10"/>
        <v>14281.199999999999</v>
      </c>
      <c r="W25" s="297">
        <v>3656.59</v>
      </c>
      <c r="X25" s="301"/>
      <c r="Y25" s="1165">
        <f t="shared" si="11"/>
        <v>10969.77</v>
      </c>
      <c r="Z25" s="1155">
        <f t="shared" si="12"/>
        <v>12828</v>
      </c>
    </row>
    <row r="26" spans="2:26" x14ac:dyDescent="0.2">
      <c r="B26" s="198">
        <v>0</v>
      </c>
      <c r="C26" s="271" t="s">
        <v>1845</v>
      </c>
      <c r="D26" s="1058"/>
      <c r="E26" s="199"/>
      <c r="F26" s="862"/>
      <c r="G26" s="1178">
        <f t="shared" si="0"/>
        <v>0</v>
      </c>
      <c r="H26" s="1061">
        <v>0</v>
      </c>
      <c r="I26" s="1174">
        <f t="shared" si="7"/>
        <v>0</v>
      </c>
      <c r="J26" s="201"/>
      <c r="K26" s="199"/>
      <c r="L26" s="199"/>
      <c r="M26" s="199"/>
      <c r="N26" s="297">
        <v>0</v>
      </c>
      <c r="O26" s="301"/>
      <c r="P26" s="1165">
        <f t="shared" si="8"/>
        <v>0</v>
      </c>
      <c r="Q26" s="297">
        <v>0</v>
      </c>
      <c r="R26" s="301"/>
      <c r="S26" s="1165">
        <f t="shared" si="9"/>
        <v>0</v>
      </c>
      <c r="T26" s="297">
        <v>0</v>
      </c>
      <c r="U26" s="301"/>
      <c r="V26" s="1161">
        <f t="shared" si="10"/>
        <v>0</v>
      </c>
      <c r="W26" s="297">
        <v>0</v>
      </c>
      <c r="X26" s="301"/>
      <c r="Y26" s="1165">
        <f t="shared" si="11"/>
        <v>0</v>
      </c>
      <c r="Z26" s="1155">
        <f t="shared" si="12"/>
        <v>0</v>
      </c>
    </row>
    <row r="27" spans="2:26" x14ac:dyDescent="0.2">
      <c r="B27" s="198">
        <v>3</v>
      </c>
      <c r="C27" s="271" t="s">
        <v>2472</v>
      </c>
      <c r="D27" s="1058" t="s">
        <v>2511</v>
      </c>
      <c r="E27" s="199"/>
      <c r="F27" s="862" t="s">
        <v>2488</v>
      </c>
      <c r="G27" s="1178">
        <f t="shared" si="0"/>
        <v>1953</v>
      </c>
      <c r="H27" s="1061">
        <v>4</v>
      </c>
      <c r="I27" s="1174">
        <f t="shared" si="7"/>
        <v>12</v>
      </c>
      <c r="J27" s="201"/>
      <c r="K27" s="199"/>
      <c r="L27" s="199"/>
      <c r="M27" s="199"/>
      <c r="N27" s="297">
        <v>0</v>
      </c>
      <c r="O27" s="301"/>
      <c r="P27" s="1165">
        <f t="shared" si="8"/>
        <v>0</v>
      </c>
      <c r="Q27" s="297">
        <v>651</v>
      </c>
      <c r="R27" s="301" t="s">
        <v>450</v>
      </c>
      <c r="S27" s="1165">
        <f t="shared" si="9"/>
        <v>1953</v>
      </c>
      <c r="T27" s="297">
        <v>810.3</v>
      </c>
      <c r="U27" s="301"/>
      <c r="V27" s="1161">
        <f t="shared" si="10"/>
        <v>2430.8999999999996</v>
      </c>
      <c r="W27" s="297">
        <v>885.12</v>
      </c>
      <c r="X27" s="301"/>
      <c r="Y27" s="1165">
        <f t="shared" si="11"/>
        <v>2655.36</v>
      </c>
      <c r="Z27" s="1155">
        <f t="shared" si="12"/>
        <v>1953</v>
      </c>
    </row>
    <row r="28" spans="2:26" x14ac:dyDescent="0.2">
      <c r="B28" s="198">
        <v>0</v>
      </c>
      <c r="C28" s="271" t="s">
        <v>1845</v>
      </c>
      <c r="D28" s="1058"/>
      <c r="E28" s="199"/>
      <c r="F28" s="862"/>
      <c r="G28" s="1178">
        <f t="shared" si="0"/>
        <v>0</v>
      </c>
      <c r="H28" s="1061">
        <v>0</v>
      </c>
      <c r="I28" s="1174">
        <f t="shared" si="7"/>
        <v>0</v>
      </c>
      <c r="J28" s="201"/>
      <c r="K28" s="199"/>
      <c r="L28" s="199"/>
      <c r="M28" s="199"/>
      <c r="N28" s="297">
        <v>0</v>
      </c>
      <c r="O28" s="301"/>
      <c r="P28" s="1165">
        <f t="shared" si="8"/>
        <v>0</v>
      </c>
      <c r="Q28" s="297">
        <v>0</v>
      </c>
      <c r="R28" s="301"/>
      <c r="S28" s="1165">
        <f t="shared" si="9"/>
        <v>0</v>
      </c>
      <c r="T28" s="297">
        <v>0</v>
      </c>
      <c r="U28" s="301"/>
      <c r="V28" s="1161">
        <f t="shared" si="10"/>
        <v>0</v>
      </c>
      <c r="W28" s="297">
        <v>0</v>
      </c>
      <c r="X28" s="301"/>
      <c r="Y28" s="1165">
        <f t="shared" si="11"/>
        <v>0</v>
      </c>
      <c r="Z28" s="1155">
        <f t="shared" si="12"/>
        <v>0</v>
      </c>
    </row>
    <row r="29" spans="2:26" x14ac:dyDescent="0.2">
      <c r="B29" s="198">
        <v>0</v>
      </c>
      <c r="C29" s="271" t="s">
        <v>1845</v>
      </c>
      <c r="D29" s="1058"/>
      <c r="E29" s="199"/>
      <c r="F29" s="862"/>
      <c r="G29" s="1178">
        <f t="shared" si="0"/>
        <v>0</v>
      </c>
      <c r="H29" s="1061">
        <v>0</v>
      </c>
      <c r="I29" s="1174">
        <f t="shared" si="7"/>
        <v>0</v>
      </c>
      <c r="J29" s="201"/>
      <c r="K29" s="199"/>
      <c r="L29" s="199"/>
      <c r="M29" s="199"/>
      <c r="N29" s="297">
        <v>0</v>
      </c>
      <c r="O29" s="301"/>
      <c r="P29" s="1165">
        <f t="shared" si="8"/>
        <v>0</v>
      </c>
      <c r="Q29" s="297">
        <v>0</v>
      </c>
      <c r="R29" s="301"/>
      <c r="S29" s="1165">
        <f t="shared" si="9"/>
        <v>0</v>
      </c>
      <c r="T29" s="297">
        <v>0</v>
      </c>
      <c r="U29" s="301"/>
      <c r="V29" s="1161">
        <f t="shared" si="10"/>
        <v>0</v>
      </c>
      <c r="W29" s="297">
        <v>0</v>
      </c>
      <c r="X29" s="301"/>
      <c r="Y29" s="1165">
        <f t="shared" si="11"/>
        <v>0</v>
      </c>
      <c r="Z29" s="1155">
        <f t="shared" si="12"/>
        <v>0</v>
      </c>
    </row>
    <row r="30" spans="2:26" x14ac:dyDescent="0.2">
      <c r="B30" s="198">
        <v>9</v>
      </c>
      <c r="C30" s="271" t="s">
        <v>536</v>
      </c>
      <c r="D30" s="1058" t="s">
        <v>2512</v>
      </c>
      <c r="E30" s="199" t="s">
        <v>543</v>
      </c>
      <c r="F30" s="862" t="s">
        <v>1812</v>
      </c>
      <c r="G30" s="1178">
        <f t="shared" si="0"/>
        <v>702</v>
      </c>
      <c r="H30" s="1061">
        <v>3</v>
      </c>
      <c r="I30" s="1174">
        <f t="shared" si="7"/>
        <v>27</v>
      </c>
      <c r="J30" s="201"/>
      <c r="K30" s="199"/>
      <c r="L30" s="199"/>
      <c r="M30" s="199"/>
      <c r="N30" s="297">
        <v>0</v>
      </c>
      <c r="O30" s="301"/>
      <c r="P30" s="1165">
        <f t="shared" si="8"/>
        <v>0</v>
      </c>
      <c r="Q30" s="297">
        <v>78</v>
      </c>
      <c r="R30" s="301" t="s">
        <v>450</v>
      </c>
      <c r="S30" s="1165">
        <f t="shared" si="9"/>
        <v>702</v>
      </c>
      <c r="T30" s="297">
        <v>121.6</v>
      </c>
      <c r="U30" s="301"/>
      <c r="V30" s="1161">
        <f t="shared" si="10"/>
        <v>1094.3999999999999</v>
      </c>
      <c r="W30" s="297">
        <v>110.96</v>
      </c>
      <c r="X30" s="301"/>
      <c r="Y30" s="1165">
        <f t="shared" si="11"/>
        <v>998.64</v>
      </c>
      <c r="Z30" s="1155">
        <f t="shared" si="12"/>
        <v>702</v>
      </c>
    </row>
    <row r="31" spans="2:26" x14ac:dyDescent="0.2">
      <c r="B31" s="198">
        <v>0</v>
      </c>
      <c r="C31" s="271" t="s">
        <v>1845</v>
      </c>
      <c r="D31" s="1058"/>
      <c r="E31" s="199"/>
      <c r="F31" s="862"/>
      <c r="G31" s="1178">
        <f t="shared" si="0"/>
        <v>0</v>
      </c>
      <c r="H31" s="1061">
        <v>0</v>
      </c>
      <c r="I31" s="1174">
        <f t="shared" si="7"/>
        <v>0</v>
      </c>
      <c r="J31" s="201"/>
      <c r="K31" s="199"/>
      <c r="L31" s="199"/>
      <c r="M31" s="199"/>
      <c r="N31" s="297">
        <v>0</v>
      </c>
      <c r="O31" s="301"/>
      <c r="P31" s="1165">
        <f t="shared" si="8"/>
        <v>0</v>
      </c>
      <c r="Q31" s="297">
        <v>0</v>
      </c>
      <c r="R31" s="301"/>
      <c r="S31" s="1165">
        <f t="shared" si="9"/>
        <v>0</v>
      </c>
      <c r="T31" s="297">
        <v>0</v>
      </c>
      <c r="U31" s="301"/>
      <c r="V31" s="1161">
        <f t="shared" si="10"/>
        <v>0</v>
      </c>
      <c r="W31" s="297">
        <v>0</v>
      </c>
      <c r="X31" s="301"/>
      <c r="Y31" s="1165">
        <f t="shared" si="11"/>
        <v>0</v>
      </c>
      <c r="Z31" s="1155">
        <f t="shared" si="12"/>
        <v>0</v>
      </c>
    </row>
    <row r="32" spans="2:26" x14ac:dyDescent="0.2">
      <c r="B32" s="198">
        <v>1</v>
      </c>
      <c r="C32" s="271" t="s">
        <v>600</v>
      </c>
      <c r="D32" s="1058"/>
      <c r="E32" s="199" t="s">
        <v>548</v>
      </c>
      <c r="F32" s="862" t="s">
        <v>1813</v>
      </c>
      <c r="G32" s="1178">
        <f t="shared" si="0"/>
        <v>972</v>
      </c>
      <c r="H32" s="1061">
        <v>3</v>
      </c>
      <c r="I32" s="1174">
        <f t="shared" si="7"/>
        <v>3</v>
      </c>
      <c r="J32" s="201"/>
      <c r="K32" s="199"/>
      <c r="L32" s="199"/>
      <c r="M32" s="199"/>
      <c r="N32" s="297">
        <v>0</v>
      </c>
      <c r="O32" s="301"/>
      <c r="P32" s="1165">
        <f t="shared" si="8"/>
        <v>0</v>
      </c>
      <c r="Q32" s="297">
        <f>688+194+90</f>
        <v>972</v>
      </c>
      <c r="R32" s="301" t="s">
        <v>450</v>
      </c>
      <c r="S32" s="1165">
        <f t="shared" si="9"/>
        <v>972</v>
      </c>
      <c r="T32" s="297">
        <v>1116.2</v>
      </c>
      <c r="U32" s="301"/>
      <c r="V32" s="1161">
        <f t="shared" si="10"/>
        <v>1116.2</v>
      </c>
      <c r="W32" s="297">
        <v>1018.53</v>
      </c>
      <c r="X32" s="301"/>
      <c r="Y32" s="1165">
        <f t="shared" si="11"/>
        <v>1018.53</v>
      </c>
      <c r="Z32" s="1155">
        <f t="shared" si="12"/>
        <v>972</v>
      </c>
    </row>
    <row r="33" spans="2:26" x14ac:dyDescent="0.2">
      <c r="B33" s="198">
        <v>0</v>
      </c>
      <c r="C33" s="271" t="s">
        <v>1845</v>
      </c>
      <c r="D33" s="1058"/>
      <c r="E33" s="199"/>
      <c r="F33" s="862"/>
      <c r="G33" s="1178">
        <f t="shared" si="0"/>
        <v>0</v>
      </c>
      <c r="H33" s="1061">
        <v>0</v>
      </c>
      <c r="I33" s="1174">
        <f t="shared" si="7"/>
        <v>0</v>
      </c>
      <c r="J33" s="201"/>
      <c r="K33" s="199"/>
      <c r="L33" s="199"/>
      <c r="M33" s="199"/>
      <c r="N33" s="297">
        <v>0</v>
      </c>
      <c r="O33" s="301"/>
      <c r="P33" s="1165">
        <f t="shared" si="8"/>
        <v>0</v>
      </c>
      <c r="Q33" s="297">
        <v>0</v>
      </c>
      <c r="R33" s="301"/>
      <c r="S33" s="1165">
        <f t="shared" si="9"/>
        <v>0</v>
      </c>
      <c r="T33" s="297">
        <v>0</v>
      </c>
      <c r="U33" s="301"/>
      <c r="V33" s="1161">
        <f t="shared" si="10"/>
        <v>0</v>
      </c>
      <c r="W33" s="297">
        <v>0</v>
      </c>
      <c r="X33" s="301"/>
      <c r="Y33" s="1165">
        <f t="shared" si="11"/>
        <v>0</v>
      </c>
      <c r="Z33" s="1155">
        <f t="shared" si="12"/>
        <v>0</v>
      </c>
    </row>
    <row r="34" spans="2:26" x14ac:dyDescent="0.2">
      <c r="B34" s="198">
        <v>8</v>
      </c>
      <c r="C34" s="271" t="s">
        <v>606</v>
      </c>
      <c r="D34" s="1058" t="s">
        <v>2513</v>
      </c>
      <c r="E34" s="199" t="s">
        <v>546</v>
      </c>
      <c r="F34" s="862" t="s">
        <v>2489</v>
      </c>
      <c r="G34" s="1178">
        <f t="shared" si="0"/>
        <v>4296</v>
      </c>
      <c r="H34" s="1061">
        <v>3</v>
      </c>
      <c r="I34" s="1174">
        <f t="shared" si="7"/>
        <v>24</v>
      </c>
      <c r="J34" s="201"/>
      <c r="K34" s="199"/>
      <c r="L34" s="199"/>
      <c r="M34" s="199"/>
      <c r="N34" s="297">
        <v>0</v>
      </c>
      <c r="O34" s="301"/>
      <c r="P34" s="1165">
        <f t="shared" si="8"/>
        <v>0</v>
      </c>
      <c r="Q34" s="297">
        <f>527+10</f>
        <v>537</v>
      </c>
      <c r="R34" s="301" t="s">
        <v>450</v>
      </c>
      <c r="S34" s="1165">
        <f t="shared" si="9"/>
        <v>4296</v>
      </c>
      <c r="T34" s="297">
        <v>650</v>
      </c>
      <c r="U34" s="301"/>
      <c r="V34" s="1161">
        <f t="shared" si="10"/>
        <v>5200</v>
      </c>
      <c r="W34" s="297">
        <v>593.30999999999995</v>
      </c>
      <c r="X34" s="301"/>
      <c r="Y34" s="1165">
        <f t="shared" si="11"/>
        <v>4746.4799999999996</v>
      </c>
      <c r="Z34" s="1155">
        <f t="shared" si="12"/>
        <v>4296</v>
      </c>
    </row>
    <row r="35" spans="2:26" x14ac:dyDescent="0.2">
      <c r="B35" s="198">
        <v>2</v>
      </c>
      <c r="C35" s="271" t="s">
        <v>614</v>
      </c>
      <c r="D35" s="1058" t="s">
        <v>2512</v>
      </c>
      <c r="E35" s="199" t="s">
        <v>545</v>
      </c>
      <c r="F35" s="862" t="s">
        <v>1798</v>
      </c>
      <c r="G35" s="1178">
        <f t="shared" si="0"/>
        <v>472</v>
      </c>
      <c r="H35" s="1061">
        <v>3</v>
      </c>
      <c r="I35" s="1174">
        <f t="shared" si="7"/>
        <v>6</v>
      </c>
      <c r="J35" s="201"/>
      <c r="K35" s="199"/>
      <c r="L35" s="199"/>
      <c r="M35" s="199"/>
      <c r="N35" s="297">
        <v>0</v>
      </c>
      <c r="O35" s="301"/>
      <c r="P35" s="1165">
        <f t="shared" si="8"/>
        <v>0</v>
      </c>
      <c r="Q35" s="297">
        <v>236</v>
      </c>
      <c r="R35" s="301" t="s">
        <v>450</v>
      </c>
      <c r="S35" s="1165">
        <f t="shared" si="9"/>
        <v>472</v>
      </c>
      <c r="T35" s="297">
        <v>345.8</v>
      </c>
      <c r="U35" s="301"/>
      <c r="V35" s="1161">
        <f t="shared" si="10"/>
        <v>691.6</v>
      </c>
      <c r="W35" s="297">
        <v>326.68</v>
      </c>
      <c r="X35" s="301"/>
      <c r="Y35" s="1165">
        <f t="shared" si="11"/>
        <v>653.36</v>
      </c>
      <c r="Z35" s="1155">
        <f t="shared" si="12"/>
        <v>472</v>
      </c>
    </row>
    <row r="36" spans="2:26" x14ac:dyDescent="0.2">
      <c r="B36" s="198">
        <v>0</v>
      </c>
      <c r="C36" s="271" t="s">
        <v>1845</v>
      </c>
      <c r="D36" s="1058"/>
      <c r="E36" s="199"/>
      <c r="F36" s="862"/>
      <c r="G36" s="1178">
        <f t="shared" si="0"/>
        <v>0</v>
      </c>
      <c r="H36" s="1061">
        <v>0</v>
      </c>
      <c r="I36" s="1174">
        <f t="shared" si="7"/>
        <v>0</v>
      </c>
      <c r="J36" s="201"/>
      <c r="K36" s="199"/>
      <c r="L36" s="199"/>
      <c r="M36" s="199"/>
      <c r="N36" s="297">
        <v>0</v>
      </c>
      <c r="O36" s="301"/>
      <c r="P36" s="1165">
        <f t="shared" si="8"/>
        <v>0</v>
      </c>
      <c r="Q36" s="297">
        <v>0</v>
      </c>
      <c r="R36" s="301"/>
      <c r="S36" s="1165">
        <f t="shared" si="9"/>
        <v>0</v>
      </c>
      <c r="T36" s="297">
        <v>0</v>
      </c>
      <c r="U36" s="301"/>
      <c r="V36" s="1161">
        <f t="shared" si="10"/>
        <v>0</v>
      </c>
      <c r="W36" s="297">
        <v>0</v>
      </c>
      <c r="X36" s="301"/>
      <c r="Y36" s="1165">
        <f t="shared" si="11"/>
        <v>0</v>
      </c>
      <c r="Z36" s="1155">
        <f t="shared" si="12"/>
        <v>0</v>
      </c>
    </row>
    <row r="37" spans="2:26" x14ac:dyDescent="0.2">
      <c r="B37" s="198">
        <v>6</v>
      </c>
      <c r="C37" s="271" t="s">
        <v>612</v>
      </c>
      <c r="D37" s="1058" t="s">
        <v>2512</v>
      </c>
      <c r="E37" s="199" t="s">
        <v>545</v>
      </c>
      <c r="F37" s="862" t="s">
        <v>1823</v>
      </c>
      <c r="G37" s="1178">
        <f t="shared" si="0"/>
        <v>1302</v>
      </c>
      <c r="H37" s="1061">
        <v>3</v>
      </c>
      <c r="I37" s="1174">
        <f t="shared" si="7"/>
        <v>18</v>
      </c>
      <c r="J37" s="201"/>
      <c r="K37" s="199"/>
      <c r="L37" s="199"/>
      <c r="M37" s="199"/>
      <c r="N37" s="297">
        <v>0</v>
      </c>
      <c r="O37" s="301"/>
      <c r="P37" s="1165">
        <f t="shared" si="8"/>
        <v>0</v>
      </c>
      <c r="Q37" s="297">
        <f>113+34+70</f>
        <v>217</v>
      </c>
      <c r="R37" s="301" t="s">
        <v>450</v>
      </c>
      <c r="S37" s="1165">
        <f t="shared" si="9"/>
        <v>1302</v>
      </c>
      <c r="T37" s="297">
        <v>339.6</v>
      </c>
      <c r="U37" s="301"/>
      <c r="V37" s="1161">
        <f t="shared" si="10"/>
        <v>2037.6000000000001</v>
      </c>
      <c r="W37" s="297">
        <v>309.89</v>
      </c>
      <c r="X37" s="301"/>
      <c r="Y37" s="1165">
        <f t="shared" si="11"/>
        <v>1859.34</v>
      </c>
      <c r="Z37" s="1155">
        <f t="shared" si="12"/>
        <v>1302</v>
      </c>
    </row>
    <row r="38" spans="2:26" x14ac:dyDescent="0.2">
      <c r="B38" s="198">
        <v>6</v>
      </c>
      <c r="C38" s="271" t="s">
        <v>613</v>
      </c>
      <c r="D38" s="1058" t="s">
        <v>2512</v>
      </c>
      <c r="E38" s="199" t="s">
        <v>545</v>
      </c>
      <c r="F38" s="862" t="s">
        <v>1820</v>
      </c>
      <c r="G38" s="1178">
        <f t="shared" si="0"/>
        <v>1704</v>
      </c>
      <c r="H38" s="1061">
        <v>3</v>
      </c>
      <c r="I38" s="1174">
        <f t="shared" si="7"/>
        <v>18</v>
      </c>
      <c r="J38" s="201"/>
      <c r="K38" s="199"/>
      <c r="L38" s="199"/>
      <c r="M38" s="199"/>
      <c r="N38" s="297">
        <v>0</v>
      </c>
      <c r="O38" s="301"/>
      <c r="P38" s="1165">
        <f t="shared" si="8"/>
        <v>0</v>
      </c>
      <c r="Q38" s="297">
        <f>180+34+70</f>
        <v>284</v>
      </c>
      <c r="R38" s="301" t="s">
        <v>450</v>
      </c>
      <c r="S38" s="1165">
        <f t="shared" si="9"/>
        <v>1704</v>
      </c>
      <c r="T38" s="297">
        <v>440.6</v>
      </c>
      <c r="U38" s="301"/>
      <c r="V38" s="1161">
        <f t="shared" si="10"/>
        <v>2643.6000000000004</v>
      </c>
      <c r="W38" s="297">
        <v>402.05</v>
      </c>
      <c r="X38" s="301"/>
      <c r="Y38" s="1165">
        <f t="shared" si="11"/>
        <v>2412.3000000000002</v>
      </c>
      <c r="Z38" s="1155">
        <f t="shared" si="12"/>
        <v>1704</v>
      </c>
    </row>
    <row r="39" spans="2:26" x14ac:dyDescent="0.2">
      <c r="B39" s="198">
        <v>4</v>
      </c>
      <c r="C39" s="271" t="s">
        <v>612</v>
      </c>
      <c r="D39" s="1058" t="s">
        <v>2512</v>
      </c>
      <c r="E39" s="199" t="s">
        <v>548</v>
      </c>
      <c r="F39" s="862" t="s">
        <v>1823</v>
      </c>
      <c r="G39" s="1178">
        <f t="shared" si="0"/>
        <v>1060</v>
      </c>
      <c r="H39" s="1061">
        <v>4</v>
      </c>
      <c r="I39" s="1174">
        <f t="shared" si="7"/>
        <v>16</v>
      </c>
      <c r="J39" s="201"/>
      <c r="K39" s="199"/>
      <c r="L39" s="199"/>
      <c r="M39" s="199"/>
      <c r="N39" s="297">
        <v>0</v>
      </c>
      <c r="O39" s="301"/>
      <c r="P39" s="1165">
        <f t="shared" si="8"/>
        <v>0</v>
      </c>
      <c r="Q39" s="297">
        <f>161+34+70</f>
        <v>265</v>
      </c>
      <c r="R39" s="301" t="s">
        <v>450</v>
      </c>
      <c r="S39" s="1165">
        <f t="shared" si="9"/>
        <v>1060</v>
      </c>
      <c r="T39" s="297">
        <v>339.6</v>
      </c>
      <c r="U39" s="301"/>
      <c r="V39" s="1161">
        <f t="shared" si="10"/>
        <v>1358.4</v>
      </c>
      <c r="W39" s="297">
        <v>375.95</v>
      </c>
      <c r="X39" s="301"/>
      <c r="Y39" s="1165">
        <f t="shared" si="11"/>
        <v>1503.8</v>
      </c>
      <c r="Z39" s="1155">
        <f t="shared" si="12"/>
        <v>1060</v>
      </c>
    </row>
    <row r="40" spans="2:26" x14ac:dyDescent="0.2">
      <c r="B40" s="198">
        <v>4</v>
      </c>
      <c r="C40" s="271" t="s">
        <v>613</v>
      </c>
      <c r="D40" s="1058" t="s">
        <v>2512</v>
      </c>
      <c r="E40" s="199" t="s">
        <v>548</v>
      </c>
      <c r="F40" s="862" t="s">
        <v>1820</v>
      </c>
      <c r="G40" s="1178">
        <f t="shared" si="0"/>
        <v>1328</v>
      </c>
      <c r="H40" s="1061">
        <v>4</v>
      </c>
      <c r="I40" s="1174">
        <f t="shared" si="7"/>
        <v>16</v>
      </c>
      <c r="J40" s="201"/>
      <c r="K40" s="199"/>
      <c r="L40" s="199"/>
      <c r="M40" s="199"/>
      <c r="N40" s="297">
        <v>0</v>
      </c>
      <c r="O40" s="301"/>
      <c r="P40" s="1165">
        <f t="shared" si="8"/>
        <v>0</v>
      </c>
      <c r="Q40" s="297">
        <f>228+34+70</f>
        <v>332</v>
      </c>
      <c r="R40" s="301" t="s">
        <v>450</v>
      </c>
      <c r="S40" s="1165">
        <f t="shared" si="9"/>
        <v>1328</v>
      </c>
      <c r="T40" s="297">
        <v>440.6</v>
      </c>
      <c r="U40" s="301"/>
      <c r="V40" s="1161">
        <f t="shared" si="10"/>
        <v>1762.4</v>
      </c>
      <c r="W40" s="297">
        <v>467.38</v>
      </c>
      <c r="X40" s="301"/>
      <c r="Y40" s="1165">
        <f t="shared" si="11"/>
        <v>1869.52</v>
      </c>
      <c r="Z40" s="1155">
        <f t="shared" si="12"/>
        <v>1328</v>
      </c>
    </row>
    <row r="41" spans="2:26" x14ac:dyDescent="0.2">
      <c r="B41" s="198">
        <v>0</v>
      </c>
      <c r="C41" s="271" t="s">
        <v>1845</v>
      </c>
      <c r="D41" s="1058"/>
      <c r="E41" s="199"/>
      <c r="F41" s="862"/>
      <c r="G41" s="1178">
        <f t="shared" si="0"/>
        <v>0</v>
      </c>
      <c r="H41" s="1061">
        <v>0</v>
      </c>
      <c r="I41" s="1174">
        <f t="shared" si="7"/>
        <v>0</v>
      </c>
      <c r="J41" s="201"/>
      <c r="K41" s="199"/>
      <c r="L41" s="199"/>
      <c r="M41" s="199"/>
      <c r="N41" s="297">
        <v>0</v>
      </c>
      <c r="O41" s="301"/>
      <c r="P41" s="1165">
        <f t="shared" si="8"/>
        <v>0</v>
      </c>
      <c r="Q41" s="297">
        <v>0</v>
      </c>
      <c r="R41" s="301"/>
      <c r="S41" s="1165">
        <f t="shared" si="9"/>
        <v>0</v>
      </c>
      <c r="T41" s="297">
        <v>0</v>
      </c>
      <c r="U41" s="301"/>
      <c r="V41" s="1161">
        <f t="shared" si="10"/>
        <v>0</v>
      </c>
      <c r="W41" s="297">
        <v>0</v>
      </c>
      <c r="X41" s="301"/>
      <c r="Y41" s="1165">
        <f t="shared" si="11"/>
        <v>0</v>
      </c>
      <c r="Z41" s="1155">
        <f t="shared" si="12"/>
        <v>0</v>
      </c>
    </row>
    <row r="42" spans="2:26" x14ac:dyDescent="0.2">
      <c r="B42" s="198">
        <v>4</v>
      </c>
      <c r="C42" s="271" t="s">
        <v>2473</v>
      </c>
      <c r="D42" s="1058" t="s">
        <v>2512</v>
      </c>
      <c r="E42" s="199"/>
      <c r="F42" s="862" t="s">
        <v>2480</v>
      </c>
      <c r="G42" s="1178">
        <f t="shared" si="0"/>
        <v>624</v>
      </c>
      <c r="H42" s="1061">
        <v>3</v>
      </c>
      <c r="I42" s="1174">
        <f t="shared" si="7"/>
        <v>12</v>
      </c>
      <c r="J42" s="201"/>
      <c r="K42" s="199"/>
      <c r="L42" s="199"/>
      <c r="M42" s="199"/>
      <c r="N42" s="297">
        <v>0</v>
      </c>
      <c r="O42" s="301"/>
      <c r="P42" s="1165">
        <f t="shared" si="8"/>
        <v>0</v>
      </c>
      <c r="Q42" s="297">
        <v>156</v>
      </c>
      <c r="R42" s="301" t="s">
        <v>450</v>
      </c>
      <c r="S42" s="1165">
        <f t="shared" si="9"/>
        <v>624</v>
      </c>
      <c r="T42" s="297">
        <v>171.2</v>
      </c>
      <c r="U42" s="301"/>
      <c r="V42" s="1161">
        <f t="shared" si="10"/>
        <v>684.8</v>
      </c>
      <c r="W42" s="297">
        <v>156.19999999999999</v>
      </c>
      <c r="X42" s="301"/>
      <c r="Y42" s="1165">
        <f t="shared" si="11"/>
        <v>624.79999999999995</v>
      </c>
      <c r="Z42" s="1155">
        <f t="shared" si="12"/>
        <v>624</v>
      </c>
    </row>
    <row r="43" spans="2:26" x14ac:dyDescent="0.2">
      <c r="B43" s="198">
        <f>B30</f>
        <v>9</v>
      </c>
      <c r="C43" s="271" t="s">
        <v>2536</v>
      </c>
      <c r="D43" s="1058"/>
      <c r="E43" s="199"/>
      <c r="F43" s="862" t="s">
        <v>2537</v>
      </c>
      <c r="G43" s="1178">
        <f t="shared" si="0"/>
        <v>315</v>
      </c>
      <c r="H43" s="1061">
        <v>0</v>
      </c>
      <c r="I43" s="1174">
        <f t="shared" si="7"/>
        <v>0</v>
      </c>
      <c r="J43" s="201"/>
      <c r="K43" s="199"/>
      <c r="L43" s="199"/>
      <c r="M43" s="199"/>
      <c r="N43" s="297">
        <v>0</v>
      </c>
      <c r="O43" s="301"/>
      <c r="P43" s="1165">
        <f t="shared" si="8"/>
        <v>0</v>
      </c>
      <c r="Q43" s="297">
        <v>35</v>
      </c>
      <c r="R43" s="301" t="s">
        <v>450</v>
      </c>
      <c r="S43" s="1165">
        <f t="shared" si="9"/>
        <v>315</v>
      </c>
      <c r="T43" s="297">
        <v>37.5</v>
      </c>
      <c r="U43" s="301"/>
      <c r="V43" s="1161">
        <f t="shared" si="10"/>
        <v>337.5</v>
      </c>
      <c r="W43" s="297">
        <v>27.33</v>
      </c>
      <c r="X43" s="301"/>
      <c r="Y43" s="1165">
        <f t="shared" si="11"/>
        <v>245.96999999999997</v>
      </c>
      <c r="Z43" s="1155">
        <f t="shared" si="12"/>
        <v>315</v>
      </c>
    </row>
    <row r="44" spans="2:26" x14ac:dyDescent="0.2">
      <c r="B44" s="198">
        <v>0</v>
      </c>
      <c r="C44" s="271" t="s">
        <v>1845</v>
      </c>
      <c r="D44" s="1058"/>
      <c r="E44" s="199"/>
      <c r="F44" s="862"/>
      <c r="G44" s="1178">
        <f>Z44</f>
        <v>0</v>
      </c>
      <c r="H44" s="1061">
        <v>0</v>
      </c>
      <c r="I44" s="1174">
        <f>H44*B44</f>
        <v>0</v>
      </c>
      <c r="J44" s="201"/>
      <c r="K44" s="199"/>
      <c r="L44" s="199"/>
      <c r="M44" s="199"/>
      <c r="N44" s="297">
        <v>0</v>
      </c>
      <c r="O44" s="301"/>
      <c r="P44" s="1165">
        <f>N44*B44</f>
        <v>0</v>
      </c>
      <c r="Q44" s="297">
        <v>0</v>
      </c>
      <c r="R44" s="301"/>
      <c r="S44" s="1165">
        <f>Q44*B44</f>
        <v>0</v>
      </c>
      <c r="T44" s="297">
        <v>0</v>
      </c>
      <c r="U44" s="301"/>
      <c r="V44" s="1161">
        <f>T44*B44</f>
        <v>0</v>
      </c>
      <c r="W44" s="297">
        <v>0</v>
      </c>
      <c r="X44" s="301"/>
      <c r="Y44" s="1165">
        <f>W44*B44</f>
        <v>0</v>
      </c>
      <c r="Z44" s="1155">
        <f>IF(O44="SELECTED",((P44)),0)+IF(R44="SELECTED",((S44)),0)+IF(U44="SELECTED",((V44)),0)+IF(X44="SELECTED",((Y44)))</f>
        <v>0</v>
      </c>
    </row>
    <row r="45" spans="2:26" x14ac:dyDescent="0.2">
      <c r="B45" s="198">
        <v>13</v>
      </c>
      <c r="C45" s="271" t="s">
        <v>2301</v>
      </c>
      <c r="D45" s="1058"/>
      <c r="E45" s="199" t="s">
        <v>546</v>
      </c>
      <c r="F45" s="862" t="s">
        <v>1811</v>
      </c>
      <c r="G45" s="1178">
        <f>Z45</f>
        <v>1833</v>
      </c>
      <c r="H45" s="1061">
        <v>2</v>
      </c>
      <c r="I45" s="1174">
        <f>H45*B45</f>
        <v>26</v>
      </c>
      <c r="J45" s="201"/>
      <c r="K45" s="199"/>
      <c r="L45" s="199"/>
      <c r="M45" s="199"/>
      <c r="N45" s="297">
        <v>0</v>
      </c>
      <c r="O45" s="301"/>
      <c r="P45" s="1165">
        <f>N45*B45</f>
        <v>0</v>
      </c>
      <c r="Q45" s="297">
        <v>141</v>
      </c>
      <c r="R45" s="301" t="s">
        <v>450</v>
      </c>
      <c r="S45" s="1165">
        <f>Q45*B45</f>
        <v>1833</v>
      </c>
      <c r="T45" s="1430">
        <v>141</v>
      </c>
      <c r="U45" s="301"/>
      <c r="V45" s="1161">
        <f>T45*B45</f>
        <v>1833</v>
      </c>
      <c r="W45" s="1430">
        <v>141</v>
      </c>
      <c r="X45" s="301"/>
      <c r="Y45" s="1165">
        <f>W45*B45</f>
        <v>1833</v>
      </c>
      <c r="Z45" s="1155">
        <f>IF(O45="SELECTED",((P45)),0)+IF(R45="SELECTED",((S45)),0)+IF(U45="SELECTED",((V45)),0)+IF(X45="SELECTED",((Y45)))</f>
        <v>1833</v>
      </c>
    </row>
    <row r="46" spans="2:26" x14ac:dyDescent="0.2">
      <c r="B46" s="198">
        <v>9</v>
      </c>
      <c r="C46" s="271" t="s">
        <v>2316</v>
      </c>
      <c r="D46" s="1058"/>
      <c r="E46" s="199" t="s">
        <v>546</v>
      </c>
      <c r="F46" s="862" t="s">
        <v>1831</v>
      </c>
      <c r="G46" s="1178">
        <f>Z46</f>
        <v>900</v>
      </c>
      <c r="H46" s="1061">
        <v>2</v>
      </c>
      <c r="I46" s="1174">
        <f>H46*B46</f>
        <v>18</v>
      </c>
      <c r="J46" s="201"/>
      <c r="K46" s="199"/>
      <c r="L46" s="199"/>
      <c r="M46" s="199"/>
      <c r="N46" s="297">
        <v>0</v>
      </c>
      <c r="O46" s="301"/>
      <c r="P46" s="1165">
        <f>N46*B46</f>
        <v>0</v>
      </c>
      <c r="Q46" s="297">
        <v>100</v>
      </c>
      <c r="R46" s="301" t="s">
        <v>450</v>
      </c>
      <c r="S46" s="1165">
        <f>Q46*B46</f>
        <v>900</v>
      </c>
      <c r="T46" s="1430">
        <v>100</v>
      </c>
      <c r="U46" s="301"/>
      <c r="V46" s="1161">
        <f>T46*B46</f>
        <v>900</v>
      </c>
      <c r="W46" s="1430">
        <v>100</v>
      </c>
      <c r="X46" s="301"/>
      <c r="Y46" s="1165">
        <f>W46*B46</f>
        <v>900</v>
      </c>
      <c r="Z46" s="1155">
        <f>IF(O46="SELECTED",((P46)),0)+IF(R46="SELECTED",((S46)),0)+IF(U46="SELECTED",((V46)),0)+IF(X46="SELECTED",((Y46)))</f>
        <v>900</v>
      </c>
    </row>
    <row r="47" spans="2:26" x14ac:dyDescent="0.2">
      <c r="B47" s="198">
        <v>1</v>
      </c>
      <c r="C47" s="271" t="s">
        <v>2532</v>
      </c>
      <c r="D47" s="1058"/>
      <c r="E47" s="199" t="s">
        <v>546</v>
      </c>
      <c r="F47" s="862" t="s">
        <v>2533</v>
      </c>
      <c r="G47" s="1178">
        <f>Z47</f>
        <v>280</v>
      </c>
      <c r="H47" s="1061">
        <v>3</v>
      </c>
      <c r="I47" s="1174">
        <f>H47*B47</f>
        <v>3</v>
      </c>
      <c r="J47" s="201"/>
      <c r="K47" s="199"/>
      <c r="L47" s="199"/>
      <c r="M47" s="199"/>
      <c r="N47" s="297">
        <v>0</v>
      </c>
      <c r="O47" s="301"/>
      <c r="P47" s="1165">
        <f>N47*B47</f>
        <v>0</v>
      </c>
      <c r="Q47" s="297">
        <v>280</v>
      </c>
      <c r="R47" s="301" t="s">
        <v>450</v>
      </c>
      <c r="S47" s="1165">
        <f>Q47*B47</f>
        <v>280</v>
      </c>
      <c r="T47" s="1430">
        <v>280</v>
      </c>
      <c r="U47" s="301"/>
      <c r="V47" s="1161">
        <f>T47*B47</f>
        <v>280</v>
      </c>
      <c r="W47" s="1430">
        <v>280</v>
      </c>
      <c r="X47" s="301"/>
      <c r="Y47" s="1165">
        <f>W47*B47</f>
        <v>280</v>
      </c>
      <c r="Z47" s="1155">
        <f>IF(O47="SELECTED",((P47)),0)+IF(R47="SELECTED",((S47)),0)+IF(U47="SELECTED",((V47)),0)+IF(X47="SELECTED",((Y47)))</f>
        <v>280</v>
      </c>
    </row>
    <row r="48" spans="2:26" x14ac:dyDescent="0.2">
      <c r="B48" s="198">
        <v>0</v>
      </c>
      <c r="C48" s="271" t="s">
        <v>1845</v>
      </c>
      <c r="D48" s="1058"/>
      <c r="E48" s="199"/>
      <c r="F48" s="862"/>
      <c r="G48" s="1178">
        <f t="shared" si="0"/>
        <v>0</v>
      </c>
      <c r="H48" s="1061">
        <v>0</v>
      </c>
      <c r="I48" s="1174">
        <f t="shared" si="7"/>
        <v>0</v>
      </c>
      <c r="J48" s="201"/>
      <c r="K48" s="199"/>
      <c r="L48" s="199"/>
      <c r="M48" s="199"/>
      <c r="N48" s="297">
        <v>0</v>
      </c>
      <c r="O48" s="301"/>
      <c r="P48" s="1165">
        <f t="shared" si="8"/>
        <v>0</v>
      </c>
      <c r="Q48" s="297">
        <v>0</v>
      </c>
      <c r="R48" s="301"/>
      <c r="S48" s="1165">
        <f t="shared" si="9"/>
        <v>0</v>
      </c>
      <c r="T48" s="297">
        <v>0</v>
      </c>
      <c r="U48" s="301"/>
      <c r="V48" s="1161">
        <f t="shared" si="10"/>
        <v>0</v>
      </c>
      <c r="W48" s="297">
        <v>0</v>
      </c>
      <c r="X48" s="301"/>
      <c r="Y48" s="1165">
        <f t="shared" si="11"/>
        <v>0</v>
      </c>
      <c r="Z48" s="1155">
        <f t="shared" si="12"/>
        <v>0</v>
      </c>
    </row>
    <row r="49" spans="2:26" x14ac:dyDescent="0.2">
      <c r="B49" s="198">
        <v>1</v>
      </c>
      <c r="C49" s="271" t="s">
        <v>599</v>
      </c>
      <c r="D49" s="1058" t="s">
        <v>2512</v>
      </c>
      <c r="E49" s="199" t="s">
        <v>545</v>
      </c>
      <c r="F49" s="862" t="s">
        <v>2479</v>
      </c>
      <c r="G49" s="1178">
        <f t="shared" si="0"/>
        <v>101</v>
      </c>
      <c r="H49" s="1061">
        <v>1</v>
      </c>
      <c r="I49" s="1174">
        <f t="shared" si="7"/>
        <v>1</v>
      </c>
      <c r="J49" s="201"/>
      <c r="K49" s="199"/>
      <c r="L49" s="199"/>
      <c r="M49" s="199"/>
      <c r="N49" s="297">
        <v>0</v>
      </c>
      <c r="O49" s="301"/>
      <c r="P49" s="1165">
        <f t="shared" si="8"/>
        <v>0</v>
      </c>
      <c r="Q49" s="297">
        <v>101</v>
      </c>
      <c r="R49" s="301" t="s">
        <v>450</v>
      </c>
      <c r="S49" s="1165">
        <f t="shared" si="9"/>
        <v>101</v>
      </c>
      <c r="T49" s="297">
        <v>257.8</v>
      </c>
      <c r="U49" s="301"/>
      <c r="V49" s="1161">
        <f t="shared" si="10"/>
        <v>257.8</v>
      </c>
      <c r="W49" s="297">
        <v>235.43</v>
      </c>
      <c r="X49" s="301"/>
      <c r="Y49" s="1165">
        <f t="shared" si="11"/>
        <v>235.43</v>
      </c>
      <c r="Z49" s="1155">
        <f t="shared" si="12"/>
        <v>101</v>
      </c>
    </row>
    <row r="50" spans="2:26" x14ac:dyDescent="0.2">
      <c r="B50" s="198">
        <v>1</v>
      </c>
      <c r="C50" s="271" t="s">
        <v>599</v>
      </c>
      <c r="D50" s="1058" t="s">
        <v>2512</v>
      </c>
      <c r="E50" s="199" t="s">
        <v>546</v>
      </c>
      <c r="F50" s="862" t="s">
        <v>2479</v>
      </c>
      <c r="G50" s="1178">
        <f t="shared" si="0"/>
        <v>101</v>
      </c>
      <c r="H50" s="1061">
        <v>1</v>
      </c>
      <c r="I50" s="1174">
        <f t="shared" si="7"/>
        <v>1</v>
      </c>
      <c r="J50" s="201"/>
      <c r="K50" s="199"/>
      <c r="L50" s="199"/>
      <c r="M50" s="199"/>
      <c r="N50" s="297">
        <v>0</v>
      </c>
      <c r="O50" s="301"/>
      <c r="P50" s="1165">
        <f t="shared" si="8"/>
        <v>0</v>
      </c>
      <c r="Q50" s="297">
        <v>101</v>
      </c>
      <c r="R50" s="301" t="s">
        <v>450</v>
      </c>
      <c r="S50" s="1165">
        <f t="shared" si="9"/>
        <v>101</v>
      </c>
      <c r="T50" s="297">
        <v>257.8</v>
      </c>
      <c r="U50" s="301"/>
      <c r="V50" s="1161">
        <f t="shared" si="10"/>
        <v>257.8</v>
      </c>
      <c r="W50" s="297">
        <v>235.43</v>
      </c>
      <c r="X50" s="301"/>
      <c r="Y50" s="1165">
        <f t="shared" si="11"/>
        <v>235.43</v>
      </c>
      <c r="Z50" s="1155">
        <f t="shared" si="12"/>
        <v>101</v>
      </c>
    </row>
    <row r="51" spans="2:26" x14ac:dyDescent="0.2">
      <c r="B51" s="198">
        <v>1</v>
      </c>
      <c r="C51" s="271" t="s">
        <v>599</v>
      </c>
      <c r="D51" s="1058" t="s">
        <v>2512</v>
      </c>
      <c r="E51" s="199" t="s">
        <v>549</v>
      </c>
      <c r="F51" s="862" t="s">
        <v>2479</v>
      </c>
      <c r="G51" s="1178">
        <f>Z51</f>
        <v>238</v>
      </c>
      <c r="H51" s="1061">
        <v>1</v>
      </c>
      <c r="I51" s="1174">
        <f>H51*B51</f>
        <v>1</v>
      </c>
      <c r="J51" s="201"/>
      <c r="K51" s="199"/>
      <c r="L51" s="199"/>
      <c r="M51" s="199"/>
      <c r="N51" s="297">
        <v>0</v>
      </c>
      <c r="O51" s="301"/>
      <c r="P51" s="1165">
        <f>N51*B51</f>
        <v>0</v>
      </c>
      <c r="Q51" s="297">
        <v>238</v>
      </c>
      <c r="R51" s="301" t="s">
        <v>450</v>
      </c>
      <c r="S51" s="1165">
        <f>Q51*B51</f>
        <v>238</v>
      </c>
      <c r="T51" s="297">
        <v>632.4</v>
      </c>
      <c r="U51" s="301"/>
      <c r="V51" s="1161">
        <f>T51*B51</f>
        <v>632.4</v>
      </c>
      <c r="W51" s="297">
        <v>577.07000000000005</v>
      </c>
      <c r="X51" s="301"/>
      <c r="Y51" s="1165">
        <f>W51*B51</f>
        <v>577.07000000000005</v>
      </c>
      <c r="Z51" s="1155">
        <f>IF(O51="SELECTED",((P51)),0)+IF(R51="SELECTED",((S51)),0)+IF(U51="SELECTED",((V51)),0)+IF(X51="SELECTED",((Y51)))</f>
        <v>238</v>
      </c>
    </row>
    <row r="52" spans="2:26" x14ac:dyDescent="0.2">
      <c r="B52" s="198">
        <v>7</v>
      </c>
      <c r="C52" s="271" t="s">
        <v>2474</v>
      </c>
      <c r="D52" s="1058" t="s">
        <v>2512</v>
      </c>
      <c r="E52" s="199"/>
      <c r="F52" s="862" t="s">
        <v>2478</v>
      </c>
      <c r="G52" s="1178">
        <f t="shared" si="0"/>
        <v>3717</v>
      </c>
      <c r="H52" s="1061">
        <v>1</v>
      </c>
      <c r="I52" s="1174">
        <f t="shared" si="7"/>
        <v>7</v>
      </c>
      <c r="J52" s="201"/>
      <c r="K52" s="199"/>
      <c r="L52" s="199"/>
      <c r="M52" s="199"/>
      <c r="N52" s="297">
        <v>0</v>
      </c>
      <c r="O52" s="301"/>
      <c r="P52" s="1165">
        <f t="shared" si="8"/>
        <v>0</v>
      </c>
      <c r="Q52" s="297">
        <v>531</v>
      </c>
      <c r="R52" s="301" t="s">
        <v>450</v>
      </c>
      <c r="S52" s="1165">
        <f t="shared" si="9"/>
        <v>3717</v>
      </c>
      <c r="T52" s="297">
        <v>364.8</v>
      </c>
      <c r="U52" s="301"/>
      <c r="V52" s="1161">
        <f t="shared" si="10"/>
        <v>2553.6</v>
      </c>
      <c r="W52" s="297">
        <v>412.59</v>
      </c>
      <c r="X52" s="301"/>
      <c r="Y52" s="1165">
        <f t="shared" si="11"/>
        <v>2888.1299999999997</v>
      </c>
      <c r="Z52" s="1155">
        <f t="shared" si="12"/>
        <v>3717</v>
      </c>
    </row>
    <row r="53" spans="2:26" x14ac:dyDescent="0.2">
      <c r="B53" s="198">
        <v>1</v>
      </c>
      <c r="C53" s="271" t="s">
        <v>605</v>
      </c>
      <c r="D53" s="1058" t="s">
        <v>2514</v>
      </c>
      <c r="E53" s="199"/>
      <c r="F53" s="862" t="s">
        <v>2477</v>
      </c>
      <c r="G53" s="1178">
        <f t="shared" si="0"/>
        <v>180</v>
      </c>
      <c r="H53" s="1061">
        <v>1</v>
      </c>
      <c r="I53" s="1174">
        <f t="shared" si="7"/>
        <v>1</v>
      </c>
      <c r="J53" s="201"/>
      <c r="K53" s="199"/>
      <c r="L53" s="199"/>
      <c r="M53" s="199"/>
      <c r="N53" s="297">
        <v>0</v>
      </c>
      <c r="O53" s="301"/>
      <c r="P53" s="1165">
        <f t="shared" si="8"/>
        <v>0</v>
      </c>
      <c r="Q53" s="297">
        <v>180</v>
      </c>
      <c r="R53" s="301" t="s">
        <v>450</v>
      </c>
      <c r="S53" s="1165">
        <f t="shared" si="9"/>
        <v>180</v>
      </c>
      <c r="T53" s="297">
        <v>190</v>
      </c>
      <c r="U53" s="301"/>
      <c r="V53" s="1161">
        <f t="shared" si="10"/>
        <v>190</v>
      </c>
      <c r="W53" s="297">
        <v>201.45</v>
      </c>
      <c r="X53" s="301"/>
      <c r="Y53" s="1165">
        <f t="shared" si="11"/>
        <v>201.45</v>
      </c>
      <c r="Z53" s="1155">
        <f t="shared" si="12"/>
        <v>180</v>
      </c>
    </row>
    <row r="54" spans="2:26" x14ac:dyDescent="0.2">
      <c r="B54" s="198">
        <f>B24</f>
        <v>12</v>
      </c>
      <c r="C54" s="271" t="s">
        <v>2475</v>
      </c>
      <c r="D54" s="1058" t="s">
        <v>2509</v>
      </c>
      <c r="E54" s="199"/>
      <c r="F54" s="862" t="s">
        <v>2476</v>
      </c>
      <c r="G54" s="1178">
        <f t="shared" si="0"/>
        <v>768</v>
      </c>
      <c r="H54" s="1061">
        <v>0.5</v>
      </c>
      <c r="I54" s="1174">
        <f t="shared" si="7"/>
        <v>6</v>
      </c>
      <c r="J54" s="201"/>
      <c r="K54" s="199"/>
      <c r="L54" s="199"/>
      <c r="M54" s="199"/>
      <c r="N54" s="297">
        <v>0</v>
      </c>
      <c r="O54" s="301"/>
      <c r="P54" s="1165">
        <f t="shared" si="8"/>
        <v>0</v>
      </c>
      <c r="Q54" s="297">
        <v>64</v>
      </c>
      <c r="R54" s="301" t="s">
        <v>450</v>
      </c>
      <c r="S54" s="1165">
        <f t="shared" si="9"/>
        <v>768</v>
      </c>
      <c r="T54" s="297">
        <v>79.3</v>
      </c>
      <c r="U54" s="301"/>
      <c r="V54" s="1161">
        <f t="shared" si="10"/>
        <v>951.59999999999991</v>
      </c>
      <c r="W54" s="297">
        <v>72.02</v>
      </c>
      <c r="X54" s="301"/>
      <c r="Y54" s="1165">
        <f t="shared" si="11"/>
        <v>864.24</v>
      </c>
      <c r="Z54" s="1155">
        <f t="shared" si="12"/>
        <v>768</v>
      </c>
    </row>
    <row r="55" spans="2:26" x14ac:dyDescent="0.2">
      <c r="B55" s="198">
        <f>B18+B19+B22</f>
        <v>24</v>
      </c>
      <c r="C55" s="271" t="s">
        <v>2496</v>
      </c>
      <c r="D55" s="1058"/>
      <c r="E55" s="199"/>
      <c r="F55" s="862" t="s">
        <v>1832</v>
      </c>
      <c r="G55" s="1178">
        <f t="shared" si="0"/>
        <v>480</v>
      </c>
      <c r="H55" s="1061">
        <v>0.5</v>
      </c>
      <c r="I55" s="1174">
        <f t="shared" ref="I55:I87" si="13">H55*B55</f>
        <v>12</v>
      </c>
      <c r="J55" s="201"/>
      <c r="K55" s="199"/>
      <c r="L55" s="199"/>
      <c r="M55" s="199"/>
      <c r="N55" s="1430">
        <v>20</v>
      </c>
      <c r="O55" s="301" t="s">
        <v>450</v>
      </c>
      <c r="P55" s="1165">
        <f t="shared" ref="P55:P87" si="14">N55*B55</f>
        <v>480</v>
      </c>
      <c r="Q55" s="297">
        <v>0</v>
      </c>
      <c r="R55" s="301"/>
      <c r="S55" s="1165">
        <f t="shared" ref="S55:S87" si="15">Q55*B55</f>
        <v>0</v>
      </c>
      <c r="T55" s="297">
        <v>0</v>
      </c>
      <c r="U55" s="301"/>
      <c r="V55" s="1161">
        <f t="shared" ref="V55:V87" si="16">T55*B55</f>
        <v>0</v>
      </c>
      <c r="W55" s="297">
        <v>0</v>
      </c>
      <c r="X55" s="301"/>
      <c r="Y55" s="1165">
        <f t="shared" ref="Y55:Y87" si="17">W55*B55</f>
        <v>0</v>
      </c>
      <c r="Z55" s="1155">
        <f t="shared" si="12"/>
        <v>480</v>
      </c>
    </row>
    <row r="56" spans="2:26" x14ac:dyDescent="0.2">
      <c r="B56" s="198">
        <v>12</v>
      </c>
      <c r="C56" s="271" t="s">
        <v>2534</v>
      </c>
      <c r="D56" s="1058"/>
      <c r="E56" s="199"/>
      <c r="F56" s="862" t="s">
        <v>2535</v>
      </c>
      <c r="G56" s="1178">
        <f t="shared" si="0"/>
        <v>1200</v>
      </c>
      <c r="H56" s="1061">
        <v>1</v>
      </c>
      <c r="I56" s="1174">
        <f>H56*B56</f>
        <v>12</v>
      </c>
      <c r="J56" s="201"/>
      <c r="K56" s="199"/>
      <c r="L56" s="199"/>
      <c r="M56" s="199"/>
      <c r="N56" s="1430">
        <v>100</v>
      </c>
      <c r="O56" s="301" t="s">
        <v>450</v>
      </c>
      <c r="P56" s="1165">
        <f>N56*B56</f>
        <v>1200</v>
      </c>
      <c r="Q56" s="297">
        <v>0</v>
      </c>
      <c r="R56" s="301"/>
      <c r="S56" s="1165">
        <f>Q56*B56</f>
        <v>0</v>
      </c>
      <c r="T56" s="297">
        <v>0</v>
      </c>
      <c r="U56" s="301"/>
      <c r="V56" s="1161">
        <f>T56*B56</f>
        <v>0</v>
      </c>
      <c r="W56" s="297">
        <v>0</v>
      </c>
      <c r="X56" s="301"/>
      <c r="Y56" s="1165">
        <f>W56*B56</f>
        <v>0</v>
      </c>
      <c r="Z56" s="1155">
        <f t="shared" si="12"/>
        <v>1200</v>
      </c>
    </row>
    <row r="57" spans="2:26" x14ac:dyDescent="0.2">
      <c r="B57" s="198">
        <v>1</v>
      </c>
      <c r="C57" s="271" t="s">
        <v>595</v>
      </c>
      <c r="D57" s="1058" t="s">
        <v>2490</v>
      </c>
      <c r="E57" s="199" t="s">
        <v>2491</v>
      </c>
      <c r="F57" s="862" t="s">
        <v>1810</v>
      </c>
      <c r="G57" s="1178">
        <f t="shared" si="0"/>
        <v>5426</v>
      </c>
      <c r="H57" s="1061">
        <v>8</v>
      </c>
      <c r="I57" s="1174">
        <f t="shared" si="13"/>
        <v>8</v>
      </c>
      <c r="J57" s="201"/>
      <c r="K57" s="199"/>
      <c r="L57" s="199"/>
      <c r="M57" s="199"/>
      <c r="N57" s="297">
        <v>0</v>
      </c>
      <c r="O57" s="301"/>
      <c r="P57" s="1165">
        <f t="shared" si="14"/>
        <v>0</v>
      </c>
      <c r="Q57" s="297">
        <f>3799+375+89+345+818</f>
        <v>5426</v>
      </c>
      <c r="R57" s="301" t="s">
        <v>450</v>
      </c>
      <c r="S57" s="1165">
        <f t="shared" si="15"/>
        <v>5426</v>
      </c>
      <c r="T57" s="297">
        <v>2976.4</v>
      </c>
      <c r="U57" s="301"/>
      <c r="V57" s="1161">
        <f t="shared" si="16"/>
        <v>2976.4</v>
      </c>
      <c r="W57" s="297">
        <f>5807+25.28+18.56</f>
        <v>5850.84</v>
      </c>
      <c r="X57" s="301"/>
      <c r="Y57" s="1165">
        <f t="shared" si="17"/>
        <v>5850.84</v>
      </c>
      <c r="Z57" s="1155">
        <f t="shared" si="12"/>
        <v>5426</v>
      </c>
    </row>
    <row r="58" spans="2:26" x14ac:dyDescent="0.2">
      <c r="B58" s="198">
        <v>0</v>
      </c>
      <c r="C58" s="271" t="s">
        <v>1845</v>
      </c>
      <c r="D58" s="1058"/>
      <c r="E58" s="199"/>
      <c r="F58" s="862"/>
      <c r="G58" s="1178">
        <f t="shared" ref="G58:G88" si="18">Z58</f>
        <v>0</v>
      </c>
      <c r="H58" s="1061">
        <v>0</v>
      </c>
      <c r="I58" s="1174">
        <f t="shared" si="13"/>
        <v>0</v>
      </c>
      <c r="J58" s="201"/>
      <c r="K58" s="199"/>
      <c r="L58" s="199"/>
      <c r="M58" s="199"/>
      <c r="N58" s="297">
        <v>0</v>
      </c>
      <c r="O58" s="301"/>
      <c r="P58" s="1165">
        <f t="shared" si="14"/>
        <v>0</v>
      </c>
      <c r="Q58" s="297">
        <v>0</v>
      </c>
      <c r="R58" s="301"/>
      <c r="S58" s="1165">
        <f t="shared" si="15"/>
        <v>0</v>
      </c>
      <c r="T58" s="297">
        <v>0</v>
      </c>
      <c r="U58" s="301"/>
      <c r="V58" s="1161">
        <f t="shared" si="16"/>
        <v>0</v>
      </c>
      <c r="W58" s="297">
        <v>0</v>
      </c>
      <c r="X58" s="301"/>
      <c r="Y58" s="1165">
        <f t="shared" si="17"/>
        <v>0</v>
      </c>
      <c r="Z58" s="1155">
        <f t="shared" ref="Z58:Z88" si="19">IF(O58="SELECTED",((P58)),0)+IF(R58="SELECTED",((S58)),0)+IF(U58="SELECTED",((V58)),0)+IF(X58="SELECTED",((Y58)))</f>
        <v>0</v>
      </c>
    </row>
    <row r="59" spans="2:26" x14ac:dyDescent="0.2">
      <c r="B59" s="198">
        <v>1</v>
      </c>
      <c r="C59" s="271" t="s">
        <v>2492</v>
      </c>
      <c r="D59" s="1058" t="s">
        <v>2493</v>
      </c>
      <c r="E59" s="199" t="s">
        <v>2494</v>
      </c>
      <c r="F59" s="862" t="s">
        <v>2495</v>
      </c>
      <c r="G59" s="1178">
        <f t="shared" si="18"/>
        <v>1</v>
      </c>
      <c r="H59" s="1061">
        <v>3</v>
      </c>
      <c r="I59" s="1174">
        <f t="shared" si="13"/>
        <v>3</v>
      </c>
      <c r="J59" s="201"/>
      <c r="K59" s="199"/>
      <c r="L59" s="199"/>
      <c r="M59" s="199"/>
      <c r="N59" s="297">
        <v>0</v>
      </c>
      <c r="O59" s="301"/>
      <c r="P59" s="1165">
        <f t="shared" si="14"/>
        <v>0</v>
      </c>
      <c r="Q59" s="297">
        <v>1</v>
      </c>
      <c r="R59" s="301" t="s">
        <v>450</v>
      </c>
      <c r="S59" s="1165">
        <f t="shared" si="15"/>
        <v>1</v>
      </c>
      <c r="T59" s="297">
        <v>371.3</v>
      </c>
      <c r="U59" s="301"/>
      <c r="V59" s="1161">
        <f t="shared" si="16"/>
        <v>371.3</v>
      </c>
      <c r="W59" s="297">
        <v>274.37</v>
      </c>
      <c r="X59" s="301"/>
      <c r="Y59" s="1165">
        <f t="shared" si="17"/>
        <v>274.37</v>
      </c>
      <c r="Z59" s="1155">
        <f t="shared" si="19"/>
        <v>1</v>
      </c>
    </row>
    <row r="60" spans="2:26" x14ac:dyDescent="0.2">
      <c r="B60" s="198">
        <v>0</v>
      </c>
      <c r="C60" s="271" t="s">
        <v>1845</v>
      </c>
      <c r="D60" s="1058"/>
      <c r="E60" s="199"/>
      <c r="F60" s="862"/>
      <c r="G60" s="1178">
        <f t="shared" si="18"/>
        <v>0</v>
      </c>
      <c r="H60" s="1061">
        <v>0</v>
      </c>
      <c r="I60" s="1174">
        <f t="shared" si="13"/>
        <v>0</v>
      </c>
      <c r="J60" s="201"/>
      <c r="K60" s="199"/>
      <c r="L60" s="199"/>
      <c r="M60" s="199"/>
      <c r="N60" s="297">
        <v>0</v>
      </c>
      <c r="O60" s="301"/>
      <c r="P60" s="1165">
        <f t="shared" si="14"/>
        <v>0</v>
      </c>
      <c r="Q60" s="297">
        <v>0</v>
      </c>
      <c r="R60" s="301"/>
      <c r="S60" s="1165">
        <f t="shared" si="15"/>
        <v>0</v>
      </c>
      <c r="T60" s="297">
        <v>0</v>
      </c>
      <c r="U60" s="301"/>
      <c r="V60" s="1161">
        <f t="shared" si="16"/>
        <v>0</v>
      </c>
      <c r="W60" s="297">
        <v>0</v>
      </c>
      <c r="X60" s="301"/>
      <c r="Y60" s="1165">
        <f t="shared" si="17"/>
        <v>0</v>
      </c>
      <c r="Z60" s="1155">
        <f t="shared" si="19"/>
        <v>0</v>
      </c>
    </row>
    <row r="61" spans="2:26" x14ac:dyDescent="0.2">
      <c r="B61" s="198">
        <v>1</v>
      </c>
      <c r="C61" s="271" t="s">
        <v>2498</v>
      </c>
      <c r="D61" s="1058"/>
      <c r="E61" s="199" t="s">
        <v>544</v>
      </c>
      <c r="F61" s="862" t="s">
        <v>2497</v>
      </c>
      <c r="G61" s="1178">
        <f t="shared" si="18"/>
        <v>2900</v>
      </c>
      <c r="H61" s="1061">
        <v>6</v>
      </c>
      <c r="I61" s="1174">
        <f t="shared" si="13"/>
        <v>6</v>
      </c>
      <c r="J61" s="201"/>
      <c r="K61" s="199"/>
      <c r="L61" s="199"/>
      <c r="M61" s="199"/>
      <c r="N61" s="297">
        <v>2900</v>
      </c>
      <c r="O61" s="301" t="s">
        <v>450</v>
      </c>
      <c r="P61" s="1165">
        <f t="shared" si="14"/>
        <v>2900</v>
      </c>
      <c r="Q61" s="297">
        <v>0</v>
      </c>
      <c r="R61" s="301"/>
      <c r="S61" s="1165">
        <f t="shared" si="15"/>
        <v>0</v>
      </c>
      <c r="T61" s="297">
        <v>0</v>
      </c>
      <c r="U61" s="301"/>
      <c r="V61" s="1161">
        <f t="shared" si="16"/>
        <v>0</v>
      </c>
      <c r="W61" s="297">
        <v>0</v>
      </c>
      <c r="X61" s="301"/>
      <c r="Y61" s="1165">
        <f t="shared" si="17"/>
        <v>0</v>
      </c>
      <c r="Z61" s="1155">
        <f t="shared" si="19"/>
        <v>2900</v>
      </c>
    </row>
    <row r="62" spans="2:26" x14ac:dyDescent="0.2">
      <c r="B62" s="198">
        <v>1</v>
      </c>
      <c r="C62" s="271" t="s">
        <v>2498</v>
      </c>
      <c r="D62" s="1058"/>
      <c r="E62" s="199" t="s">
        <v>540</v>
      </c>
      <c r="F62" s="862" t="s">
        <v>2499</v>
      </c>
      <c r="G62" s="1178">
        <f t="shared" si="18"/>
        <v>500</v>
      </c>
      <c r="H62" s="1061">
        <v>3</v>
      </c>
      <c r="I62" s="1174">
        <f t="shared" si="13"/>
        <v>3</v>
      </c>
      <c r="J62" s="201"/>
      <c r="K62" s="199"/>
      <c r="L62" s="199"/>
      <c r="M62" s="199"/>
      <c r="N62" s="297">
        <v>500</v>
      </c>
      <c r="O62" s="301" t="s">
        <v>450</v>
      </c>
      <c r="P62" s="1165">
        <f t="shared" si="14"/>
        <v>500</v>
      </c>
      <c r="Q62" s="297">
        <v>0</v>
      </c>
      <c r="R62" s="301"/>
      <c r="S62" s="1165">
        <f t="shared" si="15"/>
        <v>0</v>
      </c>
      <c r="T62" s="297">
        <v>0</v>
      </c>
      <c r="U62" s="301"/>
      <c r="V62" s="1161">
        <f t="shared" si="16"/>
        <v>0</v>
      </c>
      <c r="W62" s="297">
        <v>0</v>
      </c>
      <c r="X62" s="301"/>
      <c r="Y62" s="1165">
        <f t="shared" si="17"/>
        <v>0</v>
      </c>
      <c r="Z62" s="1155">
        <f t="shared" si="19"/>
        <v>500</v>
      </c>
    </row>
    <row r="63" spans="2:26" x14ac:dyDescent="0.2">
      <c r="B63" s="198">
        <v>1</v>
      </c>
      <c r="C63" s="271" t="s">
        <v>1845</v>
      </c>
      <c r="D63" s="1058"/>
      <c r="E63" s="199"/>
      <c r="F63" s="862" t="s">
        <v>2563</v>
      </c>
      <c r="G63" s="1178">
        <f t="shared" si="18"/>
        <v>150</v>
      </c>
      <c r="H63" s="1061">
        <v>4</v>
      </c>
      <c r="I63" s="1174">
        <f t="shared" si="13"/>
        <v>4</v>
      </c>
      <c r="J63" s="201"/>
      <c r="K63" s="199"/>
      <c r="L63" s="199"/>
      <c r="M63" s="199"/>
      <c r="N63" s="297">
        <v>150</v>
      </c>
      <c r="O63" s="301" t="s">
        <v>450</v>
      </c>
      <c r="P63" s="1165">
        <f t="shared" si="14"/>
        <v>150</v>
      </c>
      <c r="Q63" s="297">
        <v>0</v>
      </c>
      <c r="R63" s="301"/>
      <c r="S63" s="1165">
        <f t="shared" si="15"/>
        <v>0</v>
      </c>
      <c r="T63" s="297">
        <v>0</v>
      </c>
      <c r="U63" s="301"/>
      <c r="V63" s="1161">
        <f t="shared" si="16"/>
        <v>0</v>
      </c>
      <c r="W63" s="297">
        <v>0</v>
      </c>
      <c r="X63" s="301"/>
      <c r="Y63" s="1165">
        <f t="shared" si="17"/>
        <v>0</v>
      </c>
      <c r="Z63" s="1155">
        <f t="shared" si="19"/>
        <v>150</v>
      </c>
    </row>
    <row r="64" spans="2:26" x14ac:dyDescent="0.2">
      <c r="B64" s="198">
        <v>1</v>
      </c>
      <c r="C64" s="271" t="s">
        <v>2500</v>
      </c>
      <c r="D64" s="1058" t="s">
        <v>2504</v>
      </c>
      <c r="E64" s="199" t="s">
        <v>2515</v>
      </c>
      <c r="F64" s="862" t="s">
        <v>2505</v>
      </c>
      <c r="G64" s="1178">
        <f t="shared" si="18"/>
        <v>16004</v>
      </c>
      <c r="H64" s="1061">
        <v>32</v>
      </c>
      <c r="I64" s="1174">
        <f t="shared" si="13"/>
        <v>32</v>
      </c>
      <c r="J64" s="201"/>
      <c r="K64" s="199"/>
      <c r="L64" s="199"/>
      <c r="M64" s="199"/>
      <c r="N64" s="297">
        <v>0</v>
      </c>
      <c r="O64" s="301"/>
      <c r="P64" s="1165">
        <f t="shared" si="14"/>
        <v>0</v>
      </c>
      <c r="Q64" s="297">
        <f>10395+3440+2169</f>
        <v>16004</v>
      </c>
      <c r="R64" s="301" t="s">
        <v>450</v>
      </c>
      <c r="S64" s="1165">
        <f t="shared" si="15"/>
        <v>16004</v>
      </c>
      <c r="T64" s="297">
        <v>11617.7</v>
      </c>
      <c r="U64" s="301"/>
      <c r="V64" s="1161">
        <f t="shared" si="16"/>
        <v>11617.7</v>
      </c>
      <c r="W64" s="297">
        <v>10972.22</v>
      </c>
      <c r="X64" s="301"/>
      <c r="Y64" s="1165">
        <f t="shared" si="17"/>
        <v>10972.22</v>
      </c>
      <c r="Z64" s="1155">
        <f t="shared" si="19"/>
        <v>16004</v>
      </c>
    </row>
    <row r="65" spans="2:26" x14ac:dyDescent="0.2">
      <c r="B65" s="198">
        <v>1</v>
      </c>
      <c r="C65" s="271" t="s">
        <v>1845</v>
      </c>
      <c r="D65" s="1058"/>
      <c r="E65" s="199"/>
      <c r="F65" s="862" t="s">
        <v>2538</v>
      </c>
      <c r="G65" s="1178">
        <f t="shared" si="18"/>
        <v>3651</v>
      </c>
      <c r="H65" s="1061">
        <v>0</v>
      </c>
      <c r="I65" s="1174">
        <f t="shared" si="13"/>
        <v>0</v>
      </c>
      <c r="J65" s="201"/>
      <c r="K65" s="199"/>
      <c r="L65" s="199"/>
      <c r="M65" s="199"/>
      <c r="N65" s="297">
        <v>0</v>
      </c>
      <c r="O65" s="301"/>
      <c r="P65" s="1165">
        <f t="shared" si="14"/>
        <v>0</v>
      </c>
      <c r="Q65" s="297">
        <v>3651</v>
      </c>
      <c r="R65" s="301" t="s">
        <v>450</v>
      </c>
      <c r="S65" s="1165">
        <f t="shared" si="15"/>
        <v>3651</v>
      </c>
      <c r="T65" s="297">
        <v>4058</v>
      </c>
      <c r="U65" s="301"/>
      <c r="V65" s="1161">
        <f t="shared" si="16"/>
        <v>4058</v>
      </c>
      <c r="W65" s="297">
        <v>5333.33</v>
      </c>
      <c r="X65" s="301"/>
      <c r="Y65" s="1165">
        <f t="shared" si="17"/>
        <v>5333.33</v>
      </c>
      <c r="Z65" s="1155">
        <f t="shared" si="19"/>
        <v>3651</v>
      </c>
    </row>
    <row r="66" spans="2:26" x14ac:dyDescent="0.2">
      <c r="B66" s="198">
        <v>1</v>
      </c>
      <c r="C66" s="271" t="s">
        <v>2501</v>
      </c>
      <c r="D66" s="1058" t="s">
        <v>2504</v>
      </c>
      <c r="E66" s="199" t="s">
        <v>2516</v>
      </c>
      <c r="F66" s="862" t="s">
        <v>2506</v>
      </c>
      <c r="G66" s="1178">
        <f t="shared" si="18"/>
        <v>9789</v>
      </c>
      <c r="H66" s="1061">
        <v>32</v>
      </c>
      <c r="I66" s="1174">
        <f t="shared" si="13"/>
        <v>32</v>
      </c>
      <c r="J66" s="201"/>
      <c r="K66" s="199"/>
      <c r="L66" s="199"/>
      <c r="M66" s="199"/>
      <c r="N66" s="297">
        <v>0</v>
      </c>
      <c r="O66" s="301"/>
      <c r="P66" s="1165">
        <f t="shared" si="14"/>
        <v>0</v>
      </c>
      <c r="Q66" s="297">
        <f>6111+2038+1640</f>
        <v>9789</v>
      </c>
      <c r="R66" s="301" t="s">
        <v>450</v>
      </c>
      <c r="S66" s="1165">
        <f t="shared" si="15"/>
        <v>9789</v>
      </c>
      <c r="T66" s="297">
        <v>6794</v>
      </c>
      <c r="U66" s="301"/>
      <c r="V66" s="1161">
        <f t="shared" si="16"/>
        <v>6794</v>
      </c>
      <c r="W66" s="297">
        <v>6416.67</v>
      </c>
      <c r="X66" s="301"/>
      <c r="Y66" s="1165">
        <f t="shared" si="17"/>
        <v>6416.67</v>
      </c>
      <c r="Z66" s="1155">
        <f t="shared" si="19"/>
        <v>9789</v>
      </c>
    </row>
    <row r="67" spans="2:26" x14ac:dyDescent="0.2">
      <c r="B67" s="198">
        <v>1</v>
      </c>
      <c r="C67" s="271" t="s">
        <v>1845</v>
      </c>
      <c r="D67" s="1058"/>
      <c r="E67" s="199"/>
      <c r="F67" s="862" t="s">
        <v>2538</v>
      </c>
      <c r="G67" s="1178">
        <f t="shared" si="18"/>
        <v>2831</v>
      </c>
      <c r="H67" s="1061">
        <v>0</v>
      </c>
      <c r="I67" s="1174">
        <f t="shared" si="13"/>
        <v>0</v>
      </c>
      <c r="J67" s="201"/>
      <c r="K67" s="199"/>
      <c r="L67" s="199"/>
      <c r="M67" s="199"/>
      <c r="N67" s="297">
        <v>0</v>
      </c>
      <c r="O67" s="301"/>
      <c r="P67" s="1165">
        <f t="shared" si="14"/>
        <v>0</v>
      </c>
      <c r="Q67" s="297">
        <v>2831</v>
      </c>
      <c r="R67" s="301" t="s">
        <v>450</v>
      </c>
      <c r="S67" s="1165">
        <f t="shared" si="15"/>
        <v>2831</v>
      </c>
      <c r="T67" s="297">
        <v>3147</v>
      </c>
      <c r="U67" s="301"/>
      <c r="V67" s="1161">
        <f t="shared" si="16"/>
        <v>3147</v>
      </c>
      <c r="W67" s="297">
        <v>4172.22</v>
      </c>
      <c r="X67" s="301"/>
      <c r="Y67" s="1165">
        <f t="shared" si="17"/>
        <v>4172.22</v>
      </c>
      <c r="Z67" s="1155">
        <f t="shared" si="19"/>
        <v>2831</v>
      </c>
    </row>
    <row r="68" spans="2:26" x14ac:dyDescent="0.2">
      <c r="B68" s="198">
        <v>1</v>
      </c>
      <c r="C68" s="271" t="s">
        <v>2502</v>
      </c>
      <c r="D68" s="1058" t="s">
        <v>2504</v>
      </c>
      <c r="E68" s="199" t="s">
        <v>2517</v>
      </c>
      <c r="F68" s="862" t="s">
        <v>2507</v>
      </c>
      <c r="G68" s="1178">
        <f t="shared" si="18"/>
        <v>1614</v>
      </c>
      <c r="H68" s="1061">
        <v>8</v>
      </c>
      <c r="I68" s="1174">
        <f t="shared" si="13"/>
        <v>8</v>
      </c>
      <c r="J68" s="201"/>
      <c r="K68" s="199"/>
      <c r="L68" s="199"/>
      <c r="M68" s="199"/>
      <c r="N68" s="297">
        <v>0</v>
      </c>
      <c r="O68" s="301"/>
      <c r="P68" s="1165">
        <f t="shared" si="14"/>
        <v>0</v>
      </c>
      <c r="Q68" s="297">
        <v>1614</v>
      </c>
      <c r="R68" s="301" t="s">
        <v>450</v>
      </c>
      <c r="S68" s="1165">
        <f t="shared" si="15"/>
        <v>1614</v>
      </c>
      <c r="T68" s="297">
        <v>1794</v>
      </c>
      <c r="U68" s="301"/>
      <c r="V68" s="1161">
        <f t="shared" si="16"/>
        <v>1794</v>
      </c>
      <c r="W68" s="297">
        <v>1694.44</v>
      </c>
      <c r="X68" s="301"/>
      <c r="Y68" s="1165">
        <f t="shared" si="17"/>
        <v>1694.44</v>
      </c>
      <c r="Z68" s="1155">
        <f t="shared" si="19"/>
        <v>1614</v>
      </c>
    </row>
    <row r="69" spans="2:26" x14ac:dyDescent="0.2">
      <c r="B69" s="198">
        <v>1</v>
      </c>
      <c r="C69" s="271" t="s">
        <v>2503</v>
      </c>
      <c r="D69" s="1058" t="s">
        <v>2504</v>
      </c>
      <c r="E69" s="199" t="s">
        <v>2518</v>
      </c>
      <c r="F69" s="862" t="s">
        <v>2507</v>
      </c>
      <c r="G69" s="1178">
        <f t="shared" si="18"/>
        <v>2408</v>
      </c>
      <c r="H69" s="1061">
        <v>8</v>
      </c>
      <c r="I69" s="1174">
        <f t="shared" si="13"/>
        <v>8</v>
      </c>
      <c r="J69" s="201"/>
      <c r="K69" s="199"/>
      <c r="L69" s="199"/>
      <c r="M69" s="199"/>
      <c r="N69" s="297">
        <v>0</v>
      </c>
      <c r="O69" s="301"/>
      <c r="P69" s="1165">
        <f t="shared" si="14"/>
        <v>0</v>
      </c>
      <c r="Q69" s="297">
        <v>2408</v>
      </c>
      <c r="R69" s="301" t="s">
        <v>450</v>
      </c>
      <c r="S69" s="1165">
        <f t="shared" si="15"/>
        <v>2408</v>
      </c>
      <c r="T69" s="297">
        <v>2676</v>
      </c>
      <c r="U69" s="301"/>
      <c r="V69" s="1161">
        <f t="shared" si="16"/>
        <v>2676</v>
      </c>
      <c r="W69" s="297">
        <v>2527.7800000000002</v>
      </c>
      <c r="X69" s="301"/>
      <c r="Y69" s="1165">
        <f t="shared" si="17"/>
        <v>2527.7800000000002</v>
      </c>
      <c r="Z69" s="1155">
        <f t="shared" si="19"/>
        <v>2408</v>
      </c>
    </row>
    <row r="70" spans="2:26" x14ac:dyDescent="0.2">
      <c r="B70" s="198">
        <v>4</v>
      </c>
      <c r="C70" s="271" t="s">
        <v>1845</v>
      </c>
      <c r="D70" s="1058"/>
      <c r="E70" s="199"/>
      <c r="F70" s="862" t="s">
        <v>2539</v>
      </c>
      <c r="G70" s="1178">
        <f t="shared" si="18"/>
        <v>1000</v>
      </c>
      <c r="H70" s="1061">
        <v>0</v>
      </c>
      <c r="I70" s="1174">
        <f t="shared" si="13"/>
        <v>0</v>
      </c>
      <c r="J70" s="201"/>
      <c r="K70" s="199"/>
      <c r="L70" s="199"/>
      <c r="M70" s="199"/>
      <c r="N70" s="297">
        <v>0</v>
      </c>
      <c r="O70" s="301"/>
      <c r="P70" s="1165">
        <f t="shared" si="14"/>
        <v>0</v>
      </c>
      <c r="Q70" s="297">
        <v>250</v>
      </c>
      <c r="R70" s="301" t="s">
        <v>450</v>
      </c>
      <c r="S70" s="1165">
        <f t="shared" si="15"/>
        <v>1000</v>
      </c>
      <c r="T70" s="297">
        <v>250</v>
      </c>
      <c r="U70" s="301"/>
      <c r="V70" s="1161">
        <f t="shared" si="16"/>
        <v>1000</v>
      </c>
      <c r="W70" s="297">
        <v>250</v>
      </c>
      <c r="X70" s="301"/>
      <c r="Y70" s="1165">
        <f t="shared" si="17"/>
        <v>1000</v>
      </c>
      <c r="Z70" s="1155">
        <f t="shared" si="19"/>
        <v>1000</v>
      </c>
    </row>
    <row r="71" spans="2:26" s="117" customFormat="1" x14ac:dyDescent="0.2">
      <c r="B71" s="198">
        <v>0</v>
      </c>
      <c r="C71" s="271" t="s">
        <v>1845</v>
      </c>
      <c r="D71" s="1058"/>
      <c r="E71" s="199"/>
      <c r="F71" s="862"/>
      <c r="G71" s="1178">
        <f t="shared" si="18"/>
        <v>0</v>
      </c>
      <c r="H71" s="1061">
        <v>0</v>
      </c>
      <c r="I71" s="1174">
        <f t="shared" si="13"/>
        <v>0</v>
      </c>
      <c r="J71" s="201"/>
      <c r="K71" s="199"/>
      <c r="L71" s="199"/>
      <c r="M71" s="199"/>
      <c r="N71" s="297">
        <v>0</v>
      </c>
      <c r="O71" s="301"/>
      <c r="P71" s="1165">
        <f t="shared" si="14"/>
        <v>0</v>
      </c>
      <c r="Q71" s="297">
        <v>0</v>
      </c>
      <c r="R71" s="301"/>
      <c r="S71" s="1165">
        <f t="shared" si="15"/>
        <v>0</v>
      </c>
      <c r="T71" s="297">
        <v>0</v>
      </c>
      <c r="U71" s="301"/>
      <c r="V71" s="1161">
        <f t="shared" si="16"/>
        <v>0</v>
      </c>
      <c r="W71" s="297">
        <v>0</v>
      </c>
      <c r="X71" s="301"/>
      <c r="Y71" s="1165">
        <f t="shared" si="17"/>
        <v>0</v>
      </c>
      <c r="Z71" s="1155">
        <f t="shared" si="19"/>
        <v>0</v>
      </c>
    </row>
    <row r="72" spans="2:26" x14ac:dyDescent="0.2">
      <c r="B72" s="198">
        <v>1</v>
      </c>
      <c r="C72" s="271" t="s">
        <v>2553</v>
      </c>
      <c r="D72" s="351" t="s">
        <v>446</v>
      </c>
      <c r="E72" s="199"/>
      <c r="F72" s="862" t="s">
        <v>2315</v>
      </c>
      <c r="G72" s="1178">
        <f t="shared" si="18"/>
        <v>2869</v>
      </c>
      <c r="H72" s="1061">
        <v>16</v>
      </c>
      <c r="I72" s="1174">
        <f t="shared" si="13"/>
        <v>16</v>
      </c>
      <c r="J72" s="201"/>
      <c r="K72" s="199"/>
      <c r="L72" s="199"/>
      <c r="M72" s="199"/>
      <c r="N72" s="297">
        <f>2619+250</f>
        <v>2869</v>
      </c>
      <c r="O72" s="301" t="s">
        <v>450</v>
      </c>
      <c r="P72" s="1165">
        <f t="shared" si="14"/>
        <v>2869</v>
      </c>
      <c r="Q72" s="297">
        <v>0</v>
      </c>
      <c r="R72" s="301"/>
      <c r="S72" s="1165">
        <f t="shared" si="15"/>
        <v>0</v>
      </c>
      <c r="T72" s="297">
        <v>0</v>
      </c>
      <c r="U72" s="301"/>
      <c r="V72" s="1161">
        <f t="shared" si="16"/>
        <v>0</v>
      </c>
      <c r="W72" s="297">
        <v>0</v>
      </c>
      <c r="X72" s="301"/>
      <c r="Y72" s="1165">
        <f t="shared" si="17"/>
        <v>0</v>
      </c>
      <c r="Z72" s="1155">
        <f t="shared" si="19"/>
        <v>2869</v>
      </c>
    </row>
    <row r="73" spans="2:26" x14ac:dyDescent="0.2">
      <c r="B73" s="198">
        <v>0</v>
      </c>
      <c r="C73" s="271" t="s">
        <v>1845</v>
      </c>
      <c r="D73" s="1058"/>
      <c r="E73" s="199"/>
      <c r="F73" s="862"/>
      <c r="G73" s="1178">
        <f t="shared" si="18"/>
        <v>0</v>
      </c>
      <c r="H73" s="1061">
        <v>0</v>
      </c>
      <c r="I73" s="1174">
        <f t="shared" si="13"/>
        <v>0</v>
      </c>
      <c r="J73" s="201"/>
      <c r="K73" s="199"/>
      <c r="L73" s="199"/>
      <c r="M73" s="199"/>
      <c r="N73" s="297">
        <v>0</v>
      </c>
      <c r="O73" s="301"/>
      <c r="P73" s="1165">
        <f t="shared" si="14"/>
        <v>0</v>
      </c>
      <c r="Q73" s="297">
        <v>0</v>
      </c>
      <c r="R73" s="301"/>
      <c r="S73" s="1165">
        <f t="shared" si="15"/>
        <v>0</v>
      </c>
      <c r="T73" s="297">
        <v>0</v>
      </c>
      <c r="U73" s="301"/>
      <c r="V73" s="1161">
        <f t="shared" si="16"/>
        <v>0</v>
      </c>
      <c r="W73" s="297">
        <v>0</v>
      </c>
      <c r="X73" s="301"/>
      <c r="Y73" s="1165">
        <f t="shared" si="17"/>
        <v>0</v>
      </c>
      <c r="Z73" s="1155">
        <f t="shared" si="19"/>
        <v>0</v>
      </c>
    </row>
    <row r="74" spans="2:26" x14ac:dyDescent="0.2">
      <c r="B74" s="198">
        <v>2</v>
      </c>
      <c r="C74" s="271" t="s">
        <v>1845</v>
      </c>
      <c r="D74" s="1058"/>
      <c r="E74" s="199"/>
      <c r="F74" s="862" t="s">
        <v>2562</v>
      </c>
      <c r="G74" s="1178">
        <f t="shared" si="18"/>
        <v>10000</v>
      </c>
      <c r="H74" s="1061">
        <v>16</v>
      </c>
      <c r="I74" s="1174">
        <f t="shared" si="13"/>
        <v>32</v>
      </c>
      <c r="J74" s="201"/>
      <c r="K74" s="199"/>
      <c r="L74" s="199"/>
      <c r="M74" s="199"/>
      <c r="N74" s="297">
        <v>5000</v>
      </c>
      <c r="O74" s="301" t="s">
        <v>450</v>
      </c>
      <c r="P74" s="1165">
        <f t="shared" si="14"/>
        <v>10000</v>
      </c>
      <c r="Q74" s="297">
        <v>0</v>
      </c>
      <c r="R74" s="301"/>
      <c r="S74" s="1165">
        <f t="shared" si="15"/>
        <v>0</v>
      </c>
      <c r="T74" s="297">
        <v>0</v>
      </c>
      <c r="U74" s="301"/>
      <c r="V74" s="1161">
        <f t="shared" si="16"/>
        <v>0</v>
      </c>
      <c r="W74" s="297">
        <v>0</v>
      </c>
      <c r="X74" s="301"/>
      <c r="Y74" s="1165">
        <f t="shared" si="17"/>
        <v>0</v>
      </c>
      <c r="Z74" s="1155">
        <f t="shared" si="19"/>
        <v>10000</v>
      </c>
    </row>
    <row r="75" spans="2:26" x14ac:dyDescent="0.2">
      <c r="B75" s="198">
        <v>0</v>
      </c>
      <c r="C75" s="271" t="s">
        <v>1845</v>
      </c>
      <c r="D75" s="1058"/>
      <c r="E75" s="199"/>
      <c r="F75" s="862"/>
      <c r="G75" s="1178">
        <f t="shared" si="18"/>
        <v>0</v>
      </c>
      <c r="H75" s="1061">
        <v>0</v>
      </c>
      <c r="I75" s="1174">
        <f t="shared" si="13"/>
        <v>0</v>
      </c>
      <c r="J75" s="201"/>
      <c r="K75" s="199"/>
      <c r="L75" s="199"/>
      <c r="M75" s="199"/>
      <c r="N75" s="297">
        <v>0</v>
      </c>
      <c r="O75" s="301"/>
      <c r="P75" s="1165">
        <f t="shared" si="14"/>
        <v>0</v>
      </c>
      <c r="Q75" s="297">
        <v>0</v>
      </c>
      <c r="R75" s="301"/>
      <c r="S75" s="1165">
        <f t="shared" si="15"/>
        <v>0</v>
      </c>
      <c r="T75" s="297">
        <v>0</v>
      </c>
      <c r="U75" s="301"/>
      <c r="V75" s="1161">
        <f t="shared" si="16"/>
        <v>0</v>
      </c>
      <c r="W75" s="297">
        <v>0</v>
      </c>
      <c r="X75" s="301"/>
      <c r="Y75" s="1165">
        <f t="shared" si="17"/>
        <v>0</v>
      </c>
      <c r="Z75" s="1155">
        <f t="shared" si="19"/>
        <v>0</v>
      </c>
    </row>
    <row r="76" spans="2:26" x14ac:dyDescent="0.2">
      <c r="B76" s="198">
        <v>0</v>
      </c>
      <c r="C76" s="271" t="s">
        <v>1845</v>
      </c>
      <c r="D76" s="1058"/>
      <c r="E76" s="199"/>
      <c r="F76" s="862"/>
      <c r="G76" s="1178">
        <f t="shared" si="18"/>
        <v>0</v>
      </c>
      <c r="H76" s="1061">
        <v>0</v>
      </c>
      <c r="I76" s="1174">
        <f t="shared" si="13"/>
        <v>0</v>
      </c>
      <c r="J76" s="201"/>
      <c r="K76" s="199"/>
      <c r="L76" s="199"/>
      <c r="M76" s="199"/>
      <c r="N76" s="297">
        <v>0</v>
      </c>
      <c r="O76" s="301"/>
      <c r="P76" s="1165">
        <f t="shared" si="14"/>
        <v>0</v>
      </c>
      <c r="Q76" s="297">
        <v>0</v>
      </c>
      <c r="R76" s="301"/>
      <c r="S76" s="1165">
        <f t="shared" si="15"/>
        <v>0</v>
      </c>
      <c r="T76" s="297">
        <v>0</v>
      </c>
      <c r="U76" s="301"/>
      <c r="V76" s="1161">
        <f t="shared" si="16"/>
        <v>0</v>
      </c>
      <c r="W76" s="297">
        <v>0</v>
      </c>
      <c r="X76" s="301"/>
      <c r="Y76" s="1165">
        <f t="shared" si="17"/>
        <v>0</v>
      </c>
      <c r="Z76" s="1155">
        <f t="shared" si="19"/>
        <v>0</v>
      </c>
    </row>
    <row r="77" spans="2:26" x14ac:dyDescent="0.2">
      <c r="B77" s="198">
        <v>0</v>
      </c>
      <c r="C77" s="271" t="s">
        <v>1845</v>
      </c>
      <c r="D77" s="1058"/>
      <c r="E77" s="199"/>
      <c r="F77" s="862"/>
      <c r="G77" s="1178">
        <f t="shared" si="18"/>
        <v>0</v>
      </c>
      <c r="H77" s="1061">
        <v>0</v>
      </c>
      <c r="I77" s="1174">
        <f t="shared" si="13"/>
        <v>0</v>
      </c>
      <c r="J77" s="201"/>
      <c r="K77" s="199"/>
      <c r="L77" s="199"/>
      <c r="M77" s="199"/>
      <c r="N77" s="297">
        <v>0</v>
      </c>
      <c r="O77" s="301"/>
      <c r="P77" s="1165">
        <f t="shared" si="14"/>
        <v>0</v>
      </c>
      <c r="Q77" s="297">
        <v>0</v>
      </c>
      <c r="R77" s="301"/>
      <c r="S77" s="1165">
        <f t="shared" si="15"/>
        <v>0</v>
      </c>
      <c r="T77" s="297">
        <v>0</v>
      </c>
      <c r="U77" s="301"/>
      <c r="V77" s="1161">
        <f t="shared" si="16"/>
        <v>0</v>
      </c>
      <c r="W77" s="297">
        <v>0</v>
      </c>
      <c r="X77" s="301"/>
      <c r="Y77" s="1165">
        <f t="shared" si="17"/>
        <v>0</v>
      </c>
      <c r="Z77" s="1155">
        <f t="shared" si="19"/>
        <v>0</v>
      </c>
    </row>
    <row r="78" spans="2:26" x14ac:dyDescent="0.2">
      <c r="B78" s="198">
        <v>0</v>
      </c>
      <c r="C78" s="271" t="s">
        <v>1845</v>
      </c>
      <c r="D78" s="1058"/>
      <c r="E78" s="199"/>
      <c r="F78" s="862"/>
      <c r="G78" s="1178">
        <f t="shared" si="18"/>
        <v>0</v>
      </c>
      <c r="H78" s="1061">
        <v>0</v>
      </c>
      <c r="I78" s="1174">
        <f t="shared" si="13"/>
        <v>0</v>
      </c>
      <c r="J78" s="201"/>
      <c r="K78" s="199"/>
      <c r="L78" s="199"/>
      <c r="M78" s="199"/>
      <c r="N78" s="297">
        <v>0</v>
      </c>
      <c r="O78" s="301"/>
      <c r="P78" s="1165">
        <f t="shared" si="14"/>
        <v>0</v>
      </c>
      <c r="Q78" s="297">
        <v>0</v>
      </c>
      <c r="R78" s="301"/>
      <c r="S78" s="1165">
        <f t="shared" si="15"/>
        <v>0</v>
      </c>
      <c r="T78" s="297">
        <v>0</v>
      </c>
      <c r="U78" s="301"/>
      <c r="V78" s="1161">
        <f t="shared" si="16"/>
        <v>0</v>
      </c>
      <c r="W78" s="297">
        <v>0</v>
      </c>
      <c r="X78" s="301"/>
      <c r="Y78" s="1165">
        <f t="shared" si="17"/>
        <v>0</v>
      </c>
      <c r="Z78" s="1155">
        <f t="shared" si="19"/>
        <v>0</v>
      </c>
    </row>
    <row r="79" spans="2:26" x14ac:dyDescent="0.2">
      <c r="B79" s="198">
        <v>0</v>
      </c>
      <c r="C79" s="271" t="s">
        <v>1845</v>
      </c>
      <c r="D79" s="1058"/>
      <c r="E79" s="199"/>
      <c r="F79" s="862"/>
      <c r="G79" s="1178">
        <f t="shared" si="18"/>
        <v>0</v>
      </c>
      <c r="H79" s="1061">
        <v>0</v>
      </c>
      <c r="I79" s="1174">
        <f t="shared" si="13"/>
        <v>0</v>
      </c>
      <c r="J79" s="201"/>
      <c r="K79" s="199"/>
      <c r="L79" s="199"/>
      <c r="M79" s="199"/>
      <c r="N79" s="297">
        <v>0</v>
      </c>
      <c r="O79" s="301"/>
      <c r="P79" s="1165">
        <f t="shared" si="14"/>
        <v>0</v>
      </c>
      <c r="Q79" s="297">
        <v>0</v>
      </c>
      <c r="R79" s="301"/>
      <c r="S79" s="1165">
        <f t="shared" si="15"/>
        <v>0</v>
      </c>
      <c r="T79" s="297">
        <v>0</v>
      </c>
      <c r="U79" s="301"/>
      <c r="V79" s="1161">
        <f t="shared" si="16"/>
        <v>0</v>
      </c>
      <c r="W79" s="297">
        <v>0</v>
      </c>
      <c r="X79" s="301"/>
      <c r="Y79" s="1165">
        <f t="shared" si="17"/>
        <v>0</v>
      </c>
      <c r="Z79" s="1155">
        <f t="shared" si="19"/>
        <v>0</v>
      </c>
    </row>
    <row r="80" spans="2:26" x14ac:dyDescent="0.2">
      <c r="B80" s="198">
        <v>0</v>
      </c>
      <c r="C80" s="271" t="s">
        <v>1845</v>
      </c>
      <c r="D80" s="1058"/>
      <c r="E80" s="199"/>
      <c r="F80" s="862"/>
      <c r="G80" s="1178">
        <f t="shared" si="18"/>
        <v>0</v>
      </c>
      <c r="H80" s="1061">
        <v>0</v>
      </c>
      <c r="I80" s="1174">
        <f t="shared" si="13"/>
        <v>0</v>
      </c>
      <c r="J80" s="201"/>
      <c r="K80" s="199"/>
      <c r="L80" s="199"/>
      <c r="M80" s="199"/>
      <c r="N80" s="297">
        <v>0</v>
      </c>
      <c r="O80" s="301"/>
      <c r="P80" s="1165">
        <f t="shared" si="14"/>
        <v>0</v>
      </c>
      <c r="Q80" s="297">
        <v>0</v>
      </c>
      <c r="R80" s="301"/>
      <c r="S80" s="1165">
        <f t="shared" si="15"/>
        <v>0</v>
      </c>
      <c r="T80" s="297">
        <v>0</v>
      </c>
      <c r="U80" s="301"/>
      <c r="V80" s="1161">
        <f t="shared" si="16"/>
        <v>0</v>
      </c>
      <c r="W80" s="297">
        <v>0</v>
      </c>
      <c r="X80" s="301"/>
      <c r="Y80" s="1165">
        <f t="shared" si="17"/>
        <v>0</v>
      </c>
      <c r="Z80" s="1155">
        <f t="shared" si="19"/>
        <v>0</v>
      </c>
    </row>
    <row r="81" spans="2:26" x14ac:dyDescent="0.2">
      <c r="B81" s="198">
        <v>0</v>
      </c>
      <c r="C81" s="271" t="s">
        <v>1845</v>
      </c>
      <c r="D81" s="1058"/>
      <c r="E81" s="199"/>
      <c r="F81" s="862"/>
      <c r="G81" s="1178">
        <f t="shared" si="18"/>
        <v>0</v>
      </c>
      <c r="H81" s="1061">
        <v>0</v>
      </c>
      <c r="I81" s="1174">
        <f t="shared" si="13"/>
        <v>0</v>
      </c>
      <c r="J81" s="201"/>
      <c r="K81" s="199"/>
      <c r="L81" s="199"/>
      <c r="M81" s="199"/>
      <c r="N81" s="297">
        <v>0</v>
      </c>
      <c r="O81" s="301"/>
      <c r="P81" s="1165">
        <f t="shared" si="14"/>
        <v>0</v>
      </c>
      <c r="Q81" s="297">
        <v>0</v>
      </c>
      <c r="R81" s="301"/>
      <c r="S81" s="1165">
        <f t="shared" si="15"/>
        <v>0</v>
      </c>
      <c r="T81" s="297">
        <v>0</v>
      </c>
      <c r="U81" s="301"/>
      <c r="V81" s="1161">
        <f t="shared" si="16"/>
        <v>0</v>
      </c>
      <c r="W81" s="297">
        <v>0</v>
      </c>
      <c r="X81" s="301"/>
      <c r="Y81" s="1165">
        <f t="shared" si="17"/>
        <v>0</v>
      </c>
      <c r="Z81" s="1155">
        <f t="shared" si="19"/>
        <v>0</v>
      </c>
    </row>
    <row r="82" spans="2:26" x14ac:dyDescent="0.2">
      <c r="B82" s="198">
        <v>0</v>
      </c>
      <c r="C82" s="271" t="s">
        <v>1845</v>
      </c>
      <c r="D82" s="1058"/>
      <c r="E82" s="199"/>
      <c r="F82" s="862"/>
      <c r="G82" s="1178">
        <f t="shared" si="18"/>
        <v>0</v>
      </c>
      <c r="H82" s="1061">
        <v>0</v>
      </c>
      <c r="I82" s="1174">
        <f t="shared" si="13"/>
        <v>0</v>
      </c>
      <c r="J82" s="201"/>
      <c r="K82" s="199"/>
      <c r="L82" s="199"/>
      <c r="M82" s="199"/>
      <c r="N82" s="297">
        <v>0</v>
      </c>
      <c r="O82" s="301"/>
      <c r="P82" s="1165">
        <f t="shared" si="14"/>
        <v>0</v>
      </c>
      <c r="Q82" s="297">
        <v>0</v>
      </c>
      <c r="R82" s="301"/>
      <c r="S82" s="1165">
        <f t="shared" si="15"/>
        <v>0</v>
      </c>
      <c r="T82" s="297">
        <v>0</v>
      </c>
      <c r="U82" s="301"/>
      <c r="V82" s="1161">
        <f t="shared" si="16"/>
        <v>0</v>
      </c>
      <c r="W82" s="297">
        <v>0</v>
      </c>
      <c r="X82" s="301"/>
      <c r="Y82" s="1165">
        <f t="shared" si="17"/>
        <v>0</v>
      </c>
      <c r="Z82" s="1155">
        <f t="shared" si="19"/>
        <v>0</v>
      </c>
    </row>
    <row r="83" spans="2:26" x14ac:dyDescent="0.2">
      <c r="B83" s="198">
        <v>0</v>
      </c>
      <c r="C83" s="271" t="s">
        <v>1845</v>
      </c>
      <c r="D83" s="1058"/>
      <c r="E83" s="199"/>
      <c r="F83" s="862"/>
      <c r="G83" s="1178">
        <f t="shared" si="18"/>
        <v>0</v>
      </c>
      <c r="H83" s="1061">
        <v>0</v>
      </c>
      <c r="I83" s="1174">
        <f t="shared" si="13"/>
        <v>0</v>
      </c>
      <c r="J83" s="201"/>
      <c r="K83" s="199"/>
      <c r="L83" s="199"/>
      <c r="M83" s="199"/>
      <c r="N83" s="297">
        <v>0</v>
      </c>
      <c r="O83" s="301"/>
      <c r="P83" s="1165">
        <f t="shared" si="14"/>
        <v>0</v>
      </c>
      <c r="Q83" s="297">
        <v>0</v>
      </c>
      <c r="R83" s="301"/>
      <c r="S83" s="1165">
        <f t="shared" si="15"/>
        <v>0</v>
      </c>
      <c r="T83" s="297">
        <v>0</v>
      </c>
      <c r="U83" s="301"/>
      <c r="V83" s="1161">
        <f t="shared" si="16"/>
        <v>0</v>
      </c>
      <c r="W83" s="297">
        <v>0</v>
      </c>
      <c r="X83" s="301"/>
      <c r="Y83" s="1165">
        <f t="shared" si="17"/>
        <v>0</v>
      </c>
      <c r="Z83" s="1155">
        <f t="shared" si="19"/>
        <v>0</v>
      </c>
    </row>
    <row r="84" spans="2:26" x14ac:dyDescent="0.2">
      <c r="B84" s="198">
        <v>0</v>
      </c>
      <c r="C84" s="271" t="s">
        <v>1845</v>
      </c>
      <c r="D84" s="1058"/>
      <c r="E84" s="199"/>
      <c r="F84" s="862"/>
      <c r="G84" s="1178">
        <f t="shared" si="18"/>
        <v>0</v>
      </c>
      <c r="H84" s="1061">
        <v>0</v>
      </c>
      <c r="I84" s="1174">
        <f t="shared" si="13"/>
        <v>0</v>
      </c>
      <c r="J84" s="201"/>
      <c r="K84" s="199"/>
      <c r="L84" s="199"/>
      <c r="M84" s="199"/>
      <c r="N84" s="297">
        <v>0</v>
      </c>
      <c r="O84" s="301"/>
      <c r="P84" s="1165">
        <f t="shared" si="14"/>
        <v>0</v>
      </c>
      <c r="Q84" s="297">
        <v>0</v>
      </c>
      <c r="R84" s="301"/>
      <c r="S84" s="1165">
        <f t="shared" si="15"/>
        <v>0</v>
      </c>
      <c r="T84" s="297">
        <v>0</v>
      </c>
      <c r="U84" s="301"/>
      <c r="V84" s="1161">
        <f t="shared" si="16"/>
        <v>0</v>
      </c>
      <c r="W84" s="297">
        <v>0</v>
      </c>
      <c r="X84" s="301"/>
      <c r="Y84" s="1165">
        <f t="shared" si="17"/>
        <v>0</v>
      </c>
      <c r="Z84" s="1155">
        <f t="shared" si="19"/>
        <v>0</v>
      </c>
    </row>
    <row r="85" spans="2:26" x14ac:dyDescent="0.2">
      <c r="B85" s="198">
        <v>0</v>
      </c>
      <c r="C85" s="271" t="s">
        <v>1845</v>
      </c>
      <c r="D85" s="1058"/>
      <c r="E85" s="199"/>
      <c r="F85" s="862"/>
      <c r="G85" s="1178">
        <f t="shared" si="18"/>
        <v>0</v>
      </c>
      <c r="H85" s="1061">
        <v>0</v>
      </c>
      <c r="I85" s="1174">
        <f t="shared" si="13"/>
        <v>0</v>
      </c>
      <c r="J85" s="201"/>
      <c r="K85" s="199"/>
      <c r="L85" s="199"/>
      <c r="M85" s="199"/>
      <c r="N85" s="297">
        <v>0</v>
      </c>
      <c r="O85" s="301"/>
      <c r="P85" s="1165">
        <f t="shared" si="14"/>
        <v>0</v>
      </c>
      <c r="Q85" s="297">
        <v>0</v>
      </c>
      <c r="R85" s="301"/>
      <c r="S85" s="1165">
        <f t="shared" si="15"/>
        <v>0</v>
      </c>
      <c r="T85" s="297">
        <v>0</v>
      </c>
      <c r="U85" s="301"/>
      <c r="V85" s="1161">
        <f t="shared" si="16"/>
        <v>0</v>
      </c>
      <c r="W85" s="297">
        <v>0</v>
      </c>
      <c r="X85" s="301"/>
      <c r="Y85" s="1165">
        <f t="shared" si="17"/>
        <v>0</v>
      </c>
      <c r="Z85" s="1155">
        <f t="shared" si="19"/>
        <v>0</v>
      </c>
    </row>
    <row r="86" spans="2:26" x14ac:dyDescent="0.2">
      <c r="B86" s="198">
        <v>0</v>
      </c>
      <c r="C86" s="271" t="s">
        <v>1845</v>
      </c>
      <c r="D86" s="1058"/>
      <c r="E86" s="199"/>
      <c r="F86" s="862"/>
      <c r="G86" s="1178">
        <f t="shared" si="18"/>
        <v>0</v>
      </c>
      <c r="H86" s="1061">
        <v>0</v>
      </c>
      <c r="I86" s="1174">
        <f t="shared" si="13"/>
        <v>0</v>
      </c>
      <c r="J86" s="201"/>
      <c r="K86" s="199"/>
      <c r="L86" s="199"/>
      <c r="M86" s="199"/>
      <c r="N86" s="297">
        <v>0</v>
      </c>
      <c r="O86" s="301"/>
      <c r="P86" s="1165">
        <f t="shared" si="14"/>
        <v>0</v>
      </c>
      <c r="Q86" s="297">
        <v>0</v>
      </c>
      <c r="R86" s="301"/>
      <c r="S86" s="1165">
        <f t="shared" si="15"/>
        <v>0</v>
      </c>
      <c r="T86" s="297">
        <v>0</v>
      </c>
      <c r="U86" s="301"/>
      <c r="V86" s="1161">
        <f t="shared" si="16"/>
        <v>0</v>
      </c>
      <c r="W86" s="297">
        <v>0</v>
      </c>
      <c r="X86" s="301"/>
      <c r="Y86" s="1165">
        <f t="shared" si="17"/>
        <v>0</v>
      </c>
      <c r="Z86" s="1155">
        <f t="shared" si="19"/>
        <v>0</v>
      </c>
    </row>
    <row r="87" spans="2:26" x14ac:dyDescent="0.2">
      <c r="B87" s="198">
        <v>0</v>
      </c>
      <c r="C87" s="271" t="s">
        <v>1845</v>
      </c>
      <c r="D87" s="1058"/>
      <c r="E87" s="199"/>
      <c r="F87" s="862"/>
      <c r="G87" s="1178">
        <f t="shared" si="18"/>
        <v>0</v>
      </c>
      <c r="H87" s="1061">
        <v>0</v>
      </c>
      <c r="I87" s="1174">
        <f t="shared" si="13"/>
        <v>0</v>
      </c>
      <c r="J87" s="201"/>
      <c r="K87" s="199"/>
      <c r="L87" s="199"/>
      <c r="M87" s="199"/>
      <c r="N87" s="297">
        <v>0</v>
      </c>
      <c r="O87" s="301"/>
      <c r="P87" s="1165">
        <f t="shared" si="14"/>
        <v>0</v>
      </c>
      <c r="Q87" s="297">
        <v>0</v>
      </c>
      <c r="R87" s="301"/>
      <c r="S87" s="1165">
        <f t="shared" si="15"/>
        <v>0</v>
      </c>
      <c r="T87" s="297">
        <v>0</v>
      </c>
      <c r="U87" s="301"/>
      <c r="V87" s="1161">
        <f t="shared" si="16"/>
        <v>0</v>
      </c>
      <c r="W87" s="297">
        <v>0</v>
      </c>
      <c r="X87" s="301"/>
      <c r="Y87" s="1165">
        <f t="shared" si="17"/>
        <v>0</v>
      </c>
      <c r="Z87" s="1155">
        <f t="shared" si="19"/>
        <v>0</v>
      </c>
    </row>
    <row r="88" spans="2:26" x14ac:dyDescent="0.2">
      <c r="B88" s="198">
        <v>0</v>
      </c>
      <c r="C88" s="271" t="s">
        <v>1845</v>
      </c>
      <c r="D88" s="1058"/>
      <c r="E88" s="199"/>
      <c r="F88" s="862"/>
      <c r="G88" s="1178">
        <f t="shared" si="18"/>
        <v>0</v>
      </c>
      <c r="H88" s="1061">
        <v>0</v>
      </c>
      <c r="I88" s="1174">
        <f t="shared" ref="I88:I119" si="20">H88*B88</f>
        <v>0</v>
      </c>
      <c r="J88" s="201"/>
      <c r="K88" s="199"/>
      <c r="L88" s="199"/>
      <c r="M88" s="199"/>
      <c r="N88" s="297">
        <v>0</v>
      </c>
      <c r="O88" s="301"/>
      <c r="P88" s="1165">
        <f t="shared" ref="P88:P119" si="21">N88*B88</f>
        <v>0</v>
      </c>
      <c r="Q88" s="297">
        <v>0</v>
      </c>
      <c r="R88" s="301"/>
      <c r="S88" s="1165">
        <f t="shared" ref="S88:S119" si="22">Q88*B88</f>
        <v>0</v>
      </c>
      <c r="T88" s="297">
        <v>0</v>
      </c>
      <c r="U88" s="301"/>
      <c r="V88" s="1161">
        <f t="shared" ref="V88:V119" si="23">T88*B88</f>
        <v>0</v>
      </c>
      <c r="W88" s="297">
        <v>0</v>
      </c>
      <c r="X88" s="301"/>
      <c r="Y88" s="1165">
        <f t="shared" ref="Y88:Y119" si="24">W88*B88</f>
        <v>0</v>
      </c>
      <c r="Z88" s="1155">
        <f t="shared" si="19"/>
        <v>0</v>
      </c>
    </row>
    <row r="89" spans="2:26" x14ac:dyDescent="0.2">
      <c r="B89" s="198">
        <v>0</v>
      </c>
      <c r="C89" s="271" t="s">
        <v>1845</v>
      </c>
      <c r="D89" s="1058"/>
      <c r="E89" s="199"/>
      <c r="F89" s="862"/>
      <c r="G89" s="1178">
        <f t="shared" si="0"/>
        <v>0</v>
      </c>
      <c r="H89" s="1061">
        <v>0</v>
      </c>
      <c r="I89" s="1174">
        <f t="shared" si="20"/>
        <v>0</v>
      </c>
      <c r="J89" s="201"/>
      <c r="K89" s="199"/>
      <c r="L89" s="199"/>
      <c r="M89" s="199"/>
      <c r="N89" s="297">
        <v>0</v>
      </c>
      <c r="O89" s="301"/>
      <c r="P89" s="1165">
        <f t="shared" si="21"/>
        <v>0</v>
      </c>
      <c r="Q89" s="297">
        <v>0</v>
      </c>
      <c r="R89" s="301"/>
      <c r="S89" s="1165">
        <f t="shared" si="22"/>
        <v>0</v>
      </c>
      <c r="T89" s="297">
        <v>0</v>
      </c>
      <c r="U89" s="301"/>
      <c r="V89" s="1161">
        <f t="shared" si="23"/>
        <v>0</v>
      </c>
      <c r="W89" s="297">
        <v>0</v>
      </c>
      <c r="X89" s="301"/>
      <c r="Y89" s="1165">
        <f t="shared" si="24"/>
        <v>0</v>
      </c>
      <c r="Z89" s="1155">
        <f t="shared" si="12"/>
        <v>0</v>
      </c>
    </row>
    <row r="90" spans="2:26" x14ac:dyDescent="0.2">
      <c r="B90" s="198">
        <v>0</v>
      </c>
      <c r="C90" s="271" t="s">
        <v>1845</v>
      </c>
      <c r="D90" s="1058"/>
      <c r="E90" s="199"/>
      <c r="F90" s="862"/>
      <c r="G90" s="1178">
        <f t="shared" si="0"/>
        <v>0</v>
      </c>
      <c r="H90" s="1061">
        <v>0</v>
      </c>
      <c r="I90" s="1174">
        <f t="shared" si="20"/>
        <v>0</v>
      </c>
      <c r="J90" s="201"/>
      <c r="K90" s="199"/>
      <c r="L90" s="199"/>
      <c r="M90" s="199"/>
      <c r="N90" s="297">
        <v>0</v>
      </c>
      <c r="O90" s="301"/>
      <c r="P90" s="1165">
        <f t="shared" si="21"/>
        <v>0</v>
      </c>
      <c r="Q90" s="297">
        <v>0</v>
      </c>
      <c r="R90" s="301"/>
      <c r="S90" s="1165">
        <f t="shared" si="22"/>
        <v>0</v>
      </c>
      <c r="T90" s="297">
        <v>0</v>
      </c>
      <c r="U90" s="301"/>
      <c r="V90" s="1161">
        <f t="shared" si="23"/>
        <v>0</v>
      </c>
      <c r="W90" s="297">
        <v>0</v>
      </c>
      <c r="X90" s="301"/>
      <c r="Y90" s="1165">
        <f t="shared" si="24"/>
        <v>0</v>
      </c>
      <c r="Z90" s="1155">
        <f t="shared" si="12"/>
        <v>0</v>
      </c>
    </row>
    <row r="91" spans="2:26" x14ac:dyDescent="0.2">
      <c r="B91" s="198">
        <v>0</v>
      </c>
      <c r="C91" s="271" t="s">
        <v>1845</v>
      </c>
      <c r="D91" s="1058"/>
      <c r="E91" s="199"/>
      <c r="F91" s="862"/>
      <c r="G91" s="1178">
        <f t="shared" si="0"/>
        <v>0</v>
      </c>
      <c r="H91" s="1061">
        <v>0</v>
      </c>
      <c r="I91" s="1174">
        <f t="shared" si="20"/>
        <v>0</v>
      </c>
      <c r="J91" s="201"/>
      <c r="K91" s="199"/>
      <c r="L91" s="199"/>
      <c r="M91" s="199"/>
      <c r="N91" s="297">
        <v>0</v>
      </c>
      <c r="O91" s="301"/>
      <c r="P91" s="1165">
        <f t="shared" si="21"/>
        <v>0</v>
      </c>
      <c r="Q91" s="297">
        <v>0</v>
      </c>
      <c r="R91" s="301"/>
      <c r="S91" s="1165">
        <f t="shared" si="22"/>
        <v>0</v>
      </c>
      <c r="T91" s="297">
        <v>0</v>
      </c>
      <c r="U91" s="301"/>
      <c r="V91" s="1161">
        <f t="shared" si="23"/>
        <v>0</v>
      </c>
      <c r="W91" s="297">
        <v>0</v>
      </c>
      <c r="X91" s="301"/>
      <c r="Y91" s="1165">
        <f t="shared" si="24"/>
        <v>0</v>
      </c>
      <c r="Z91" s="1155">
        <f t="shared" si="12"/>
        <v>0</v>
      </c>
    </row>
    <row r="92" spans="2:26" x14ac:dyDescent="0.2">
      <c r="B92" s="198">
        <v>0</v>
      </c>
      <c r="C92" s="271" t="s">
        <v>1845</v>
      </c>
      <c r="D92" s="1058"/>
      <c r="E92" s="199"/>
      <c r="F92" s="862"/>
      <c r="G92" s="1178">
        <f t="shared" si="0"/>
        <v>0</v>
      </c>
      <c r="H92" s="1061">
        <v>0</v>
      </c>
      <c r="I92" s="1174">
        <f t="shared" si="20"/>
        <v>0</v>
      </c>
      <c r="J92" s="201"/>
      <c r="K92" s="199"/>
      <c r="L92" s="199"/>
      <c r="M92" s="199"/>
      <c r="N92" s="297">
        <v>0</v>
      </c>
      <c r="O92" s="301"/>
      <c r="P92" s="1165">
        <f t="shared" si="21"/>
        <v>0</v>
      </c>
      <c r="Q92" s="297">
        <v>0</v>
      </c>
      <c r="R92" s="301"/>
      <c r="S92" s="1165">
        <f t="shared" si="22"/>
        <v>0</v>
      </c>
      <c r="T92" s="297">
        <v>0</v>
      </c>
      <c r="U92" s="301"/>
      <c r="V92" s="1161">
        <f t="shared" si="23"/>
        <v>0</v>
      </c>
      <c r="W92" s="297">
        <v>0</v>
      </c>
      <c r="X92" s="301"/>
      <c r="Y92" s="1165">
        <f t="shared" si="24"/>
        <v>0</v>
      </c>
      <c r="Z92" s="1155">
        <f t="shared" si="12"/>
        <v>0</v>
      </c>
    </row>
    <row r="93" spans="2:26" x14ac:dyDescent="0.2">
      <c r="B93" s="198">
        <v>0</v>
      </c>
      <c r="C93" s="271" t="s">
        <v>1845</v>
      </c>
      <c r="D93" s="1058"/>
      <c r="E93" s="199"/>
      <c r="F93" s="862"/>
      <c r="G93" s="1178">
        <f t="shared" si="0"/>
        <v>0</v>
      </c>
      <c r="H93" s="1061">
        <v>0</v>
      </c>
      <c r="I93" s="1174">
        <f t="shared" si="20"/>
        <v>0</v>
      </c>
      <c r="J93" s="201"/>
      <c r="K93" s="199"/>
      <c r="L93" s="199"/>
      <c r="M93" s="199"/>
      <c r="N93" s="297">
        <v>0</v>
      </c>
      <c r="O93" s="301"/>
      <c r="P93" s="1165">
        <f t="shared" si="21"/>
        <v>0</v>
      </c>
      <c r="Q93" s="297">
        <v>0</v>
      </c>
      <c r="R93" s="301"/>
      <c r="S93" s="1165">
        <f t="shared" si="22"/>
        <v>0</v>
      </c>
      <c r="T93" s="297">
        <v>0</v>
      </c>
      <c r="U93" s="301"/>
      <c r="V93" s="1161">
        <f t="shared" si="23"/>
        <v>0</v>
      </c>
      <c r="W93" s="297">
        <v>0</v>
      </c>
      <c r="X93" s="301"/>
      <c r="Y93" s="1165">
        <f t="shared" si="24"/>
        <v>0</v>
      </c>
      <c r="Z93" s="1155">
        <f t="shared" si="12"/>
        <v>0</v>
      </c>
    </row>
    <row r="94" spans="2:26" x14ac:dyDescent="0.2">
      <c r="B94" s="198">
        <v>0</v>
      </c>
      <c r="C94" s="271" t="s">
        <v>1845</v>
      </c>
      <c r="D94" s="1058"/>
      <c r="E94" s="199"/>
      <c r="F94" s="862"/>
      <c r="G94" s="1178">
        <f t="shared" si="0"/>
        <v>0</v>
      </c>
      <c r="H94" s="1061">
        <v>0</v>
      </c>
      <c r="I94" s="1174">
        <f t="shared" si="20"/>
        <v>0</v>
      </c>
      <c r="J94" s="201"/>
      <c r="K94" s="199"/>
      <c r="L94" s="199"/>
      <c r="M94" s="199"/>
      <c r="N94" s="297">
        <v>0</v>
      </c>
      <c r="O94" s="301"/>
      <c r="P94" s="1165">
        <f t="shared" si="21"/>
        <v>0</v>
      </c>
      <c r="Q94" s="297">
        <v>0</v>
      </c>
      <c r="R94" s="301"/>
      <c r="S94" s="1165">
        <f t="shared" si="22"/>
        <v>0</v>
      </c>
      <c r="T94" s="297">
        <v>0</v>
      </c>
      <c r="U94" s="301"/>
      <c r="V94" s="1161">
        <f t="shared" si="23"/>
        <v>0</v>
      </c>
      <c r="W94" s="297">
        <v>0</v>
      </c>
      <c r="X94" s="301"/>
      <c r="Y94" s="1165">
        <f t="shared" si="24"/>
        <v>0</v>
      </c>
      <c r="Z94" s="1155">
        <f t="shared" si="12"/>
        <v>0</v>
      </c>
    </row>
    <row r="95" spans="2:26" x14ac:dyDescent="0.2">
      <c r="B95" s="198">
        <v>0</v>
      </c>
      <c r="C95" s="271" t="s">
        <v>1845</v>
      </c>
      <c r="D95" s="1058"/>
      <c r="E95" s="199"/>
      <c r="F95" s="862"/>
      <c r="G95" s="1178">
        <f t="shared" si="0"/>
        <v>0</v>
      </c>
      <c r="H95" s="1061">
        <v>0</v>
      </c>
      <c r="I95" s="1174">
        <f t="shared" si="20"/>
        <v>0</v>
      </c>
      <c r="J95" s="201"/>
      <c r="K95" s="199"/>
      <c r="L95" s="199"/>
      <c r="M95" s="199"/>
      <c r="N95" s="297">
        <v>0</v>
      </c>
      <c r="O95" s="301"/>
      <c r="P95" s="1165">
        <f t="shared" si="21"/>
        <v>0</v>
      </c>
      <c r="Q95" s="297">
        <v>0</v>
      </c>
      <c r="R95" s="301"/>
      <c r="S95" s="1165">
        <f t="shared" si="22"/>
        <v>0</v>
      </c>
      <c r="T95" s="297">
        <v>0</v>
      </c>
      <c r="U95" s="301"/>
      <c r="V95" s="1161">
        <f t="shared" si="23"/>
        <v>0</v>
      </c>
      <c r="W95" s="297">
        <v>0</v>
      </c>
      <c r="X95" s="301"/>
      <c r="Y95" s="1165">
        <f t="shared" si="24"/>
        <v>0</v>
      </c>
      <c r="Z95" s="1155">
        <f t="shared" si="12"/>
        <v>0</v>
      </c>
    </row>
    <row r="96" spans="2:26" x14ac:dyDescent="0.2">
      <c r="B96" s="198">
        <v>0</v>
      </c>
      <c r="C96" s="271" t="s">
        <v>1845</v>
      </c>
      <c r="D96" s="1058"/>
      <c r="E96" s="199"/>
      <c r="F96" s="862"/>
      <c r="G96" s="1178">
        <f t="shared" si="0"/>
        <v>0</v>
      </c>
      <c r="H96" s="1061">
        <v>0</v>
      </c>
      <c r="I96" s="1174">
        <f t="shared" si="20"/>
        <v>0</v>
      </c>
      <c r="J96" s="201"/>
      <c r="K96" s="199"/>
      <c r="L96" s="199"/>
      <c r="M96" s="199"/>
      <c r="N96" s="297">
        <v>0</v>
      </c>
      <c r="O96" s="301"/>
      <c r="P96" s="1165">
        <f t="shared" si="21"/>
        <v>0</v>
      </c>
      <c r="Q96" s="297">
        <v>0</v>
      </c>
      <c r="R96" s="301"/>
      <c r="S96" s="1165">
        <f t="shared" si="22"/>
        <v>0</v>
      </c>
      <c r="T96" s="297">
        <v>0</v>
      </c>
      <c r="U96" s="301"/>
      <c r="V96" s="1161">
        <f t="shared" si="23"/>
        <v>0</v>
      </c>
      <c r="W96" s="297">
        <v>0</v>
      </c>
      <c r="X96" s="301"/>
      <c r="Y96" s="1165">
        <f t="shared" si="24"/>
        <v>0</v>
      </c>
      <c r="Z96" s="1155">
        <f t="shared" si="12"/>
        <v>0</v>
      </c>
    </row>
    <row r="97" spans="2:26" x14ac:dyDescent="0.2">
      <c r="B97" s="198">
        <v>0</v>
      </c>
      <c r="C97" s="271" t="s">
        <v>1845</v>
      </c>
      <c r="D97" s="1058"/>
      <c r="E97" s="199"/>
      <c r="F97" s="862"/>
      <c r="G97" s="1178">
        <f t="shared" si="0"/>
        <v>0</v>
      </c>
      <c r="H97" s="1061">
        <v>0</v>
      </c>
      <c r="I97" s="1174">
        <f t="shared" si="20"/>
        <v>0</v>
      </c>
      <c r="J97" s="201"/>
      <c r="K97" s="199"/>
      <c r="L97" s="199"/>
      <c r="M97" s="199"/>
      <c r="N97" s="297">
        <v>0</v>
      </c>
      <c r="O97" s="301"/>
      <c r="P97" s="1165">
        <f t="shared" si="21"/>
        <v>0</v>
      </c>
      <c r="Q97" s="297">
        <v>0</v>
      </c>
      <c r="R97" s="301"/>
      <c r="S97" s="1165">
        <f t="shared" si="22"/>
        <v>0</v>
      </c>
      <c r="T97" s="297">
        <v>0</v>
      </c>
      <c r="U97" s="301"/>
      <c r="V97" s="1161">
        <f t="shared" si="23"/>
        <v>0</v>
      </c>
      <c r="W97" s="297">
        <v>0</v>
      </c>
      <c r="X97" s="301"/>
      <c r="Y97" s="1165">
        <f t="shared" si="24"/>
        <v>0</v>
      </c>
      <c r="Z97" s="1155">
        <f t="shared" si="12"/>
        <v>0</v>
      </c>
    </row>
    <row r="98" spans="2:26" x14ac:dyDescent="0.2">
      <c r="B98" s="198">
        <v>0</v>
      </c>
      <c r="C98" s="271" t="s">
        <v>1845</v>
      </c>
      <c r="D98" s="1058"/>
      <c r="E98" s="199"/>
      <c r="F98" s="862"/>
      <c r="G98" s="1178">
        <f t="shared" si="0"/>
        <v>0</v>
      </c>
      <c r="H98" s="1061">
        <v>0</v>
      </c>
      <c r="I98" s="1174">
        <f t="shared" si="20"/>
        <v>0</v>
      </c>
      <c r="J98" s="201"/>
      <c r="K98" s="199"/>
      <c r="L98" s="199"/>
      <c r="M98" s="199"/>
      <c r="N98" s="297">
        <v>0</v>
      </c>
      <c r="O98" s="301"/>
      <c r="P98" s="1165">
        <f t="shared" si="21"/>
        <v>0</v>
      </c>
      <c r="Q98" s="297">
        <v>0</v>
      </c>
      <c r="R98" s="301"/>
      <c r="S98" s="1165">
        <f t="shared" si="22"/>
        <v>0</v>
      </c>
      <c r="T98" s="297">
        <v>0</v>
      </c>
      <c r="U98" s="301"/>
      <c r="V98" s="1161">
        <f t="shared" si="23"/>
        <v>0</v>
      </c>
      <c r="W98" s="297">
        <v>0</v>
      </c>
      <c r="X98" s="301"/>
      <c r="Y98" s="1165">
        <f t="shared" si="24"/>
        <v>0</v>
      </c>
      <c r="Z98" s="1155">
        <f t="shared" si="12"/>
        <v>0</v>
      </c>
    </row>
    <row r="99" spans="2:26" x14ac:dyDescent="0.2">
      <c r="B99" s="198">
        <v>0</v>
      </c>
      <c r="C99" s="271" t="s">
        <v>1845</v>
      </c>
      <c r="D99" s="1058"/>
      <c r="E99" s="199"/>
      <c r="F99" s="862"/>
      <c r="G99" s="1178">
        <f t="shared" si="0"/>
        <v>0</v>
      </c>
      <c r="H99" s="1061">
        <v>0</v>
      </c>
      <c r="I99" s="1174">
        <f t="shared" si="20"/>
        <v>0</v>
      </c>
      <c r="J99" s="201"/>
      <c r="K99" s="199"/>
      <c r="L99" s="199"/>
      <c r="M99" s="199"/>
      <c r="N99" s="297">
        <v>0</v>
      </c>
      <c r="O99" s="301"/>
      <c r="P99" s="1165">
        <f t="shared" si="21"/>
        <v>0</v>
      </c>
      <c r="Q99" s="297">
        <v>0</v>
      </c>
      <c r="R99" s="301"/>
      <c r="S99" s="1165">
        <f t="shared" si="22"/>
        <v>0</v>
      </c>
      <c r="T99" s="297">
        <v>0</v>
      </c>
      <c r="U99" s="301"/>
      <c r="V99" s="1161">
        <f t="shared" si="23"/>
        <v>0</v>
      </c>
      <c r="W99" s="297">
        <v>0</v>
      </c>
      <c r="X99" s="301"/>
      <c r="Y99" s="1165">
        <f t="shared" si="24"/>
        <v>0</v>
      </c>
      <c r="Z99" s="1155">
        <f t="shared" si="12"/>
        <v>0</v>
      </c>
    </row>
    <row r="100" spans="2:26" x14ac:dyDescent="0.2">
      <c r="B100" s="198">
        <v>0</v>
      </c>
      <c r="C100" s="271" t="s">
        <v>1845</v>
      </c>
      <c r="D100" s="1058"/>
      <c r="E100" s="199"/>
      <c r="F100" s="862"/>
      <c r="G100" s="1178">
        <f t="shared" si="0"/>
        <v>0</v>
      </c>
      <c r="H100" s="1061">
        <v>0</v>
      </c>
      <c r="I100" s="1174">
        <f t="shared" si="20"/>
        <v>0</v>
      </c>
      <c r="J100" s="201"/>
      <c r="K100" s="199"/>
      <c r="L100" s="199"/>
      <c r="M100" s="199"/>
      <c r="N100" s="297">
        <v>0</v>
      </c>
      <c r="O100" s="301"/>
      <c r="P100" s="1165">
        <f t="shared" si="21"/>
        <v>0</v>
      </c>
      <c r="Q100" s="297">
        <v>0</v>
      </c>
      <c r="R100" s="301"/>
      <c r="S100" s="1165">
        <f t="shared" si="22"/>
        <v>0</v>
      </c>
      <c r="T100" s="297">
        <v>0</v>
      </c>
      <c r="U100" s="301"/>
      <c r="V100" s="1161">
        <f t="shared" si="23"/>
        <v>0</v>
      </c>
      <c r="W100" s="297">
        <v>0</v>
      </c>
      <c r="X100" s="301"/>
      <c r="Y100" s="1165">
        <f t="shared" si="24"/>
        <v>0</v>
      </c>
      <c r="Z100" s="1155">
        <f t="shared" si="12"/>
        <v>0</v>
      </c>
    </row>
    <row r="101" spans="2:26" x14ac:dyDescent="0.2">
      <c r="B101" s="198">
        <v>0</v>
      </c>
      <c r="C101" s="271" t="s">
        <v>1845</v>
      </c>
      <c r="D101" s="1058"/>
      <c r="E101" s="199"/>
      <c r="F101" s="862"/>
      <c r="G101" s="1178">
        <f t="shared" si="0"/>
        <v>0</v>
      </c>
      <c r="H101" s="1061">
        <v>0</v>
      </c>
      <c r="I101" s="1174">
        <f t="shared" si="20"/>
        <v>0</v>
      </c>
      <c r="J101" s="201"/>
      <c r="K101" s="199"/>
      <c r="L101" s="199"/>
      <c r="M101" s="199"/>
      <c r="N101" s="297">
        <v>0</v>
      </c>
      <c r="O101" s="301"/>
      <c r="P101" s="1165">
        <f t="shared" si="21"/>
        <v>0</v>
      </c>
      <c r="Q101" s="297">
        <v>0</v>
      </c>
      <c r="R101" s="301"/>
      <c r="S101" s="1165">
        <f t="shared" si="22"/>
        <v>0</v>
      </c>
      <c r="T101" s="297">
        <v>0</v>
      </c>
      <c r="U101" s="301"/>
      <c r="V101" s="1161">
        <f t="shared" si="23"/>
        <v>0</v>
      </c>
      <c r="W101" s="297">
        <v>0</v>
      </c>
      <c r="X101" s="301"/>
      <c r="Y101" s="1165">
        <f t="shared" si="24"/>
        <v>0</v>
      </c>
      <c r="Z101" s="1155">
        <f t="shared" si="12"/>
        <v>0</v>
      </c>
    </row>
    <row r="102" spans="2:26" s="117" customFormat="1" x14ac:dyDescent="0.2">
      <c r="B102" s="198">
        <v>0</v>
      </c>
      <c r="C102" s="271" t="s">
        <v>1845</v>
      </c>
      <c r="D102" s="1058"/>
      <c r="E102" s="199"/>
      <c r="F102" s="862"/>
      <c r="G102" s="1178">
        <f t="shared" si="0"/>
        <v>0</v>
      </c>
      <c r="H102" s="1061">
        <v>0</v>
      </c>
      <c r="I102" s="1174">
        <f t="shared" si="20"/>
        <v>0</v>
      </c>
      <c r="J102" s="201"/>
      <c r="K102" s="199"/>
      <c r="L102" s="199"/>
      <c r="M102" s="199"/>
      <c r="N102" s="297">
        <v>0</v>
      </c>
      <c r="O102" s="301"/>
      <c r="P102" s="1165">
        <f t="shared" si="21"/>
        <v>0</v>
      </c>
      <c r="Q102" s="297">
        <v>0</v>
      </c>
      <c r="R102" s="301"/>
      <c r="S102" s="1165">
        <f t="shared" si="22"/>
        <v>0</v>
      </c>
      <c r="T102" s="297">
        <v>0</v>
      </c>
      <c r="U102" s="301"/>
      <c r="V102" s="1161">
        <f t="shared" si="23"/>
        <v>0</v>
      </c>
      <c r="W102" s="297">
        <v>0</v>
      </c>
      <c r="X102" s="301"/>
      <c r="Y102" s="1165">
        <f t="shared" si="24"/>
        <v>0</v>
      </c>
      <c r="Z102" s="1155">
        <f t="shared" si="12"/>
        <v>0</v>
      </c>
    </row>
    <row r="103" spans="2:26" x14ac:dyDescent="0.2">
      <c r="B103" s="198">
        <v>0</v>
      </c>
      <c r="C103" s="271" t="s">
        <v>1845</v>
      </c>
      <c r="D103" s="1058"/>
      <c r="E103" s="199"/>
      <c r="F103" s="862"/>
      <c r="G103" s="1178">
        <f t="shared" si="0"/>
        <v>0</v>
      </c>
      <c r="H103" s="1061">
        <v>0</v>
      </c>
      <c r="I103" s="1174">
        <f t="shared" si="20"/>
        <v>0</v>
      </c>
      <c r="J103" s="201"/>
      <c r="K103" s="199"/>
      <c r="L103" s="199"/>
      <c r="M103" s="199"/>
      <c r="N103" s="297">
        <v>0</v>
      </c>
      <c r="O103" s="301"/>
      <c r="P103" s="1165">
        <f t="shared" si="21"/>
        <v>0</v>
      </c>
      <c r="Q103" s="297">
        <v>0</v>
      </c>
      <c r="R103" s="301"/>
      <c r="S103" s="1165">
        <f t="shared" si="22"/>
        <v>0</v>
      </c>
      <c r="T103" s="297">
        <v>0</v>
      </c>
      <c r="U103" s="301"/>
      <c r="V103" s="1161">
        <f t="shared" si="23"/>
        <v>0</v>
      </c>
      <c r="W103" s="297">
        <v>0</v>
      </c>
      <c r="X103" s="301"/>
      <c r="Y103" s="1165">
        <f t="shared" si="24"/>
        <v>0</v>
      </c>
      <c r="Z103" s="1155">
        <f t="shared" si="12"/>
        <v>0</v>
      </c>
    </row>
    <row r="104" spans="2:26" x14ac:dyDescent="0.2">
      <c r="B104" s="198">
        <v>0</v>
      </c>
      <c r="C104" s="271" t="s">
        <v>1845</v>
      </c>
      <c r="D104" s="1058"/>
      <c r="E104" s="199"/>
      <c r="F104" s="862"/>
      <c r="G104" s="1178">
        <f t="shared" si="0"/>
        <v>0</v>
      </c>
      <c r="H104" s="1061">
        <v>0</v>
      </c>
      <c r="I104" s="1174">
        <f t="shared" si="20"/>
        <v>0</v>
      </c>
      <c r="J104" s="201"/>
      <c r="K104" s="199"/>
      <c r="L104" s="199"/>
      <c r="M104" s="199"/>
      <c r="N104" s="297">
        <v>0</v>
      </c>
      <c r="O104" s="301"/>
      <c r="P104" s="1165">
        <f t="shared" si="21"/>
        <v>0</v>
      </c>
      <c r="Q104" s="297">
        <v>0</v>
      </c>
      <c r="R104" s="301"/>
      <c r="S104" s="1165">
        <f t="shared" si="22"/>
        <v>0</v>
      </c>
      <c r="T104" s="297">
        <v>0</v>
      </c>
      <c r="U104" s="301"/>
      <c r="V104" s="1161">
        <f t="shared" si="23"/>
        <v>0</v>
      </c>
      <c r="W104" s="297">
        <v>0</v>
      </c>
      <c r="X104" s="301"/>
      <c r="Y104" s="1165">
        <f t="shared" si="24"/>
        <v>0</v>
      </c>
      <c r="Z104" s="1155">
        <f t="shared" si="12"/>
        <v>0</v>
      </c>
    </row>
    <row r="105" spans="2:26" x14ac:dyDescent="0.2">
      <c r="B105" s="198">
        <v>0</v>
      </c>
      <c r="C105" s="271" t="s">
        <v>1845</v>
      </c>
      <c r="D105" s="1058"/>
      <c r="E105" s="199"/>
      <c r="F105" s="862"/>
      <c r="G105" s="1178">
        <f t="shared" si="0"/>
        <v>0</v>
      </c>
      <c r="H105" s="1061">
        <v>0</v>
      </c>
      <c r="I105" s="1174">
        <f t="shared" si="20"/>
        <v>0</v>
      </c>
      <c r="J105" s="201"/>
      <c r="K105" s="199"/>
      <c r="L105" s="199"/>
      <c r="M105" s="199"/>
      <c r="N105" s="297">
        <v>0</v>
      </c>
      <c r="O105" s="301"/>
      <c r="P105" s="1165">
        <f t="shared" si="21"/>
        <v>0</v>
      </c>
      <c r="Q105" s="297">
        <v>0</v>
      </c>
      <c r="R105" s="301"/>
      <c r="S105" s="1165">
        <f t="shared" si="22"/>
        <v>0</v>
      </c>
      <c r="T105" s="297">
        <v>0</v>
      </c>
      <c r="U105" s="301"/>
      <c r="V105" s="1161">
        <f t="shared" si="23"/>
        <v>0</v>
      </c>
      <c r="W105" s="297">
        <v>0</v>
      </c>
      <c r="X105" s="301"/>
      <c r="Y105" s="1165">
        <f t="shared" si="24"/>
        <v>0</v>
      </c>
      <c r="Z105" s="1155">
        <f t="shared" si="12"/>
        <v>0</v>
      </c>
    </row>
    <row r="106" spans="2:26" x14ac:dyDescent="0.2">
      <c r="B106" s="198">
        <v>0</v>
      </c>
      <c r="C106" s="271" t="s">
        <v>1845</v>
      </c>
      <c r="D106" s="1058"/>
      <c r="E106" s="199"/>
      <c r="F106" s="862"/>
      <c r="G106" s="1178">
        <f t="shared" si="0"/>
        <v>0</v>
      </c>
      <c r="H106" s="1061">
        <v>0</v>
      </c>
      <c r="I106" s="1174">
        <f t="shared" si="20"/>
        <v>0</v>
      </c>
      <c r="J106" s="201"/>
      <c r="K106" s="199"/>
      <c r="L106" s="199"/>
      <c r="M106" s="199"/>
      <c r="N106" s="297">
        <v>0</v>
      </c>
      <c r="O106" s="301"/>
      <c r="P106" s="1165">
        <f t="shared" si="21"/>
        <v>0</v>
      </c>
      <c r="Q106" s="297">
        <v>0</v>
      </c>
      <c r="R106" s="301"/>
      <c r="S106" s="1165">
        <f t="shared" si="22"/>
        <v>0</v>
      </c>
      <c r="T106" s="297">
        <v>0</v>
      </c>
      <c r="U106" s="301"/>
      <c r="V106" s="1161">
        <f t="shared" si="23"/>
        <v>0</v>
      </c>
      <c r="W106" s="297">
        <v>0</v>
      </c>
      <c r="X106" s="301"/>
      <c r="Y106" s="1165">
        <f t="shared" si="24"/>
        <v>0</v>
      </c>
      <c r="Z106" s="1155">
        <f t="shared" si="12"/>
        <v>0</v>
      </c>
    </row>
    <row r="107" spans="2:26" x14ac:dyDescent="0.2">
      <c r="B107" s="198">
        <v>0</v>
      </c>
      <c r="C107" s="271" t="s">
        <v>1845</v>
      </c>
      <c r="D107" s="1058"/>
      <c r="E107" s="199"/>
      <c r="F107" s="862"/>
      <c r="G107" s="1178">
        <f t="shared" si="0"/>
        <v>0</v>
      </c>
      <c r="H107" s="1061">
        <v>0</v>
      </c>
      <c r="I107" s="1174">
        <f t="shared" si="20"/>
        <v>0</v>
      </c>
      <c r="J107" s="201"/>
      <c r="K107" s="199"/>
      <c r="L107" s="199"/>
      <c r="M107" s="199"/>
      <c r="N107" s="297">
        <v>0</v>
      </c>
      <c r="O107" s="301"/>
      <c r="P107" s="1165">
        <f t="shared" si="21"/>
        <v>0</v>
      </c>
      <c r="Q107" s="297">
        <v>0</v>
      </c>
      <c r="R107" s="301"/>
      <c r="S107" s="1165">
        <f t="shared" si="22"/>
        <v>0</v>
      </c>
      <c r="T107" s="297">
        <v>0</v>
      </c>
      <c r="U107" s="301"/>
      <c r="V107" s="1161">
        <f t="shared" si="23"/>
        <v>0</v>
      </c>
      <c r="W107" s="297">
        <v>0</v>
      </c>
      <c r="X107" s="301"/>
      <c r="Y107" s="1165">
        <f t="shared" si="24"/>
        <v>0</v>
      </c>
      <c r="Z107" s="1155">
        <f t="shared" si="12"/>
        <v>0</v>
      </c>
    </row>
    <row r="108" spans="2:26" x14ac:dyDescent="0.2">
      <c r="B108" s="198">
        <v>0</v>
      </c>
      <c r="C108" s="271" t="s">
        <v>1845</v>
      </c>
      <c r="D108" s="1058"/>
      <c r="E108" s="199"/>
      <c r="F108" s="862"/>
      <c r="G108" s="1178">
        <f t="shared" si="0"/>
        <v>0</v>
      </c>
      <c r="H108" s="1061">
        <v>0</v>
      </c>
      <c r="I108" s="1174">
        <f t="shared" si="20"/>
        <v>0</v>
      </c>
      <c r="J108" s="201"/>
      <c r="K108" s="199"/>
      <c r="L108" s="199"/>
      <c r="M108" s="199"/>
      <c r="N108" s="297">
        <v>0</v>
      </c>
      <c r="O108" s="301"/>
      <c r="P108" s="1165">
        <f t="shared" si="21"/>
        <v>0</v>
      </c>
      <c r="Q108" s="297">
        <v>0</v>
      </c>
      <c r="R108" s="301"/>
      <c r="S108" s="1165">
        <f t="shared" si="22"/>
        <v>0</v>
      </c>
      <c r="T108" s="297">
        <v>0</v>
      </c>
      <c r="U108" s="301"/>
      <c r="V108" s="1161">
        <f t="shared" si="23"/>
        <v>0</v>
      </c>
      <c r="W108" s="297">
        <v>0</v>
      </c>
      <c r="X108" s="301"/>
      <c r="Y108" s="1165">
        <f t="shared" si="24"/>
        <v>0</v>
      </c>
      <c r="Z108" s="1155">
        <f t="shared" si="12"/>
        <v>0</v>
      </c>
    </row>
    <row r="109" spans="2:26" x14ac:dyDescent="0.2">
      <c r="B109" s="198">
        <v>0</v>
      </c>
      <c r="C109" s="271" t="s">
        <v>1845</v>
      </c>
      <c r="D109" s="1058"/>
      <c r="E109" s="199"/>
      <c r="F109" s="862"/>
      <c r="G109" s="1178">
        <f t="shared" si="0"/>
        <v>0</v>
      </c>
      <c r="H109" s="1061">
        <v>0</v>
      </c>
      <c r="I109" s="1174">
        <f t="shared" si="20"/>
        <v>0</v>
      </c>
      <c r="J109" s="201"/>
      <c r="K109" s="199"/>
      <c r="L109" s="199"/>
      <c r="M109" s="199"/>
      <c r="N109" s="297">
        <v>0</v>
      </c>
      <c r="O109" s="301"/>
      <c r="P109" s="1165">
        <f t="shared" si="21"/>
        <v>0</v>
      </c>
      <c r="Q109" s="297">
        <v>0</v>
      </c>
      <c r="R109" s="301"/>
      <c r="S109" s="1165">
        <f t="shared" si="22"/>
        <v>0</v>
      </c>
      <c r="T109" s="297">
        <v>0</v>
      </c>
      <c r="U109" s="301"/>
      <c r="V109" s="1161">
        <f t="shared" si="23"/>
        <v>0</v>
      </c>
      <c r="W109" s="297">
        <v>0</v>
      </c>
      <c r="X109" s="301"/>
      <c r="Y109" s="1165">
        <f t="shared" si="24"/>
        <v>0</v>
      </c>
      <c r="Z109" s="1155">
        <f t="shared" si="12"/>
        <v>0</v>
      </c>
    </row>
    <row r="110" spans="2:26" x14ac:dyDescent="0.2">
      <c r="B110" s="198">
        <v>0</v>
      </c>
      <c r="C110" s="271" t="s">
        <v>1845</v>
      </c>
      <c r="D110" s="1058"/>
      <c r="E110" s="199"/>
      <c r="F110" s="862"/>
      <c r="G110" s="1178">
        <f t="shared" si="0"/>
        <v>0</v>
      </c>
      <c r="H110" s="1061">
        <v>0</v>
      </c>
      <c r="I110" s="1174">
        <f t="shared" si="20"/>
        <v>0</v>
      </c>
      <c r="J110" s="201"/>
      <c r="K110" s="199"/>
      <c r="L110" s="199"/>
      <c r="M110" s="199"/>
      <c r="N110" s="297">
        <v>0</v>
      </c>
      <c r="O110" s="301"/>
      <c r="P110" s="1165">
        <f t="shared" si="21"/>
        <v>0</v>
      </c>
      <c r="Q110" s="297">
        <v>0</v>
      </c>
      <c r="R110" s="301"/>
      <c r="S110" s="1165">
        <f t="shared" si="22"/>
        <v>0</v>
      </c>
      <c r="T110" s="297">
        <v>0</v>
      </c>
      <c r="U110" s="301"/>
      <c r="V110" s="1161">
        <f t="shared" si="23"/>
        <v>0</v>
      </c>
      <c r="W110" s="297">
        <v>0</v>
      </c>
      <c r="X110" s="301"/>
      <c r="Y110" s="1165">
        <f t="shared" si="24"/>
        <v>0</v>
      </c>
      <c r="Z110" s="1155">
        <f t="shared" si="12"/>
        <v>0</v>
      </c>
    </row>
    <row r="111" spans="2:26" x14ac:dyDescent="0.2">
      <c r="B111" s="198">
        <v>0</v>
      </c>
      <c r="C111" s="271" t="s">
        <v>1845</v>
      </c>
      <c r="D111" s="1058"/>
      <c r="E111" s="199"/>
      <c r="F111" s="862"/>
      <c r="G111" s="1178">
        <f t="shared" si="0"/>
        <v>0</v>
      </c>
      <c r="H111" s="1061">
        <v>0</v>
      </c>
      <c r="I111" s="1174">
        <f t="shared" si="20"/>
        <v>0</v>
      </c>
      <c r="J111" s="201"/>
      <c r="K111" s="199"/>
      <c r="L111" s="199"/>
      <c r="M111" s="199"/>
      <c r="N111" s="297">
        <v>0</v>
      </c>
      <c r="O111" s="301"/>
      <c r="P111" s="1165">
        <f t="shared" si="21"/>
        <v>0</v>
      </c>
      <c r="Q111" s="297">
        <v>0</v>
      </c>
      <c r="R111" s="301"/>
      <c r="S111" s="1165">
        <f t="shared" si="22"/>
        <v>0</v>
      </c>
      <c r="T111" s="297">
        <v>0</v>
      </c>
      <c r="U111" s="301"/>
      <c r="V111" s="1161">
        <f t="shared" si="23"/>
        <v>0</v>
      </c>
      <c r="W111" s="297">
        <v>0</v>
      </c>
      <c r="X111" s="301"/>
      <c r="Y111" s="1165">
        <f t="shared" si="24"/>
        <v>0</v>
      </c>
      <c r="Z111" s="1155">
        <f t="shared" si="12"/>
        <v>0</v>
      </c>
    </row>
    <row r="112" spans="2:26" x14ac:dyDescent="0.2">
      <c r="B112" s="198">
        <v>0</v>
      </c>
      <c r="C112" s="271" t="s">
        <v>1845</v>
      </c>
      <c r="D112" s="1058"/>
      <c r="E112" s="199"/>
      <c r="F112" s="862"/>
      <c r="G112" s="1178">
        <f t="shared" si="0"/>
        <v>0</v>
      </c>
      <c r="H112" s="1061">
        <v>0</v>
      </c>
      <c r="I112" s="1174">
        <f t="shared" si="20"/>
        <v>0</v>
      </c>
      <c r="J112" s="201"/>
      <c r="K112" s="199"/>
      <c r="L112" s="199"/>
      <c r="M112" s="199"/>
      <c r="N112" s="297">
        <v>0</v>
      </c>
      <c r="O112" s="301"/>
      <c r="P112" s="1165">
        <f t="shared" si="21"/>
        <v>0</v>
      </c>
      <c r="Q112" s="297">
        <v>0</v>
      </c>
      <c r="R112" s="301"/>
      <c r="S112" s="1165">
        <f t="shared" si="22"/>
        <v>0</v>
      </c>
      <c r="T112" s="297">
        <v>0</v>
      </c>
      <c r="U112" s="301"/>
      <c r="V112" s="1161">
        <f t="shared" si="23"/>
        <v>0</v>
      </c>
      <c r="W112" s="297">
        <v>0</v>
      </c>
      <c r="X112" s="301"/>
      <c r="Y112" s="1165">
        <f t="shared" si="24"/>
        <v>0</v>
      </c>
      <c r="Z112" s="1155">
        <f t="shared" si="12"/>
        <v>0</v>
      </c>
    </row>
    <row r="113" spans="2:26" x14ac:dyDescent="0.2">
      <c r="B113" s="198">
        <v>0</v>
      </c>
      <c r="C113" s="271" t="s">
        <v>1845</v>
      </c>
      <c r="D113" s="1058"/>
      <c r="E113" s="199"/>
      <c r="F113" s="862"/>
      <c r="G113" s="1178">
        <f t="shared" si="0"/>
        <v>0</v>
      </c>
      <c r="H113" s="1061">
        <v>0</v>
      </c>
      <c r="I113" s="1174">
        <f t="shared" si="20"/>
        <v>0</v>
      </c>
      <c r="J113" s="201"/>
      <c r="K113" s="199"/>
      <c r="L113" s="199"/>
      <c r="M113" s="199"/>
      <c r="N113" s="297">
        <v>0</v>
      </c>
      <c r="O113" s="301"/>
      <c r="P113" s="1165">
        <f t="shared" si="21"/>
        <v>0</v>
      </c>
      <c r="Q113" s="297">
        <v>0</v>
      </c>
      <c r="R113" s="301"/>
      <c r="S113" s="1165">
        <f t="shared" si="22"/>
        <v>0</v>
      </c>
      <c r="T113" s="297">
        <v>0</v>
      </c>
      <c r="U113" s="301"/>
      <c r="V113" s="1161">
        <f t="shared" si="23"/>
        <v>0</v>
      </c>
      <c r="W113" s="297">
        <v>0</v>
      </c>
      <c r="X113" s="301"/>
      <c r="Y113" s="1165">
        <f t="shared" si="24"/>
        <v>0</v>
      </c>
      <c r="Z113" s="1155">
        <f t="shared" si="12"/>
        <v>0</v>
      </c>
    </row>
    <row r="114" spans="2:26" x14ac:dyDescent="0.2">
      <c r="B114" s="198">
        <v>0</v>
      </c>
      <c r="C114" s="271" t="s">
        <v>1845</v>
      </c>
      <c r="D114" s="1058"/>
      <c r="E114" s="199"/>
      <c r="F114" s="862"/>
      <c r="G114" s="1178">
        <f t="shared" si="0"/>
        <v>0</v>
      </c>
      <c r="H114" s="1061">
        <v>0</v>
      </c>
      <c r="I114" s="1174">
        <f t="shared" si="20"/>
        <v>0</v>
      </c>
      <c r="J114" s="201"/>
      <c r="K114" s="199"/>
      <c r="L114" s="199"/>
      <c r="M114" s="199"/>
      <c r="N114" s="297">
        <v>0</v>
      </c>
      <c r="O114" s="301"/>
      <c r="P114" s="1165">
        <f t="shared" si="21"/>
        <v>0</v>
      </c>
      <c r="Q114" s="297">
        <v>0</v>
      </c>
      <c r="R114" s="301"/>
      <c r="S114" s="1165">
        <f t="shared" si="22"/>
        <v>0</v>
      </c>
      <c r="T114" s="297">
        <v>0</v>
      </c>
      <c r="U114" s="301"/>
      <c r="V114" s="1161">
        <f t="shared" si="23"/>
        <v>0</v>
      </c>
      <c r="W114" s="297">
        <v>0</v>
      </c>
      <c r="X114" s="301"/>
      <c r="Y114" s="1165">
        <f t="shared" si="24"/>
        <v>0</v>
      </c>
      <c r="Z114" s="1155">
        <f t="shared" si="12"/>
        <v>0</v>
      </c>
    </row>
    <row r="115" spans="2:26" x14ac:dyDescent="0.2">
      <c r="B115" s="198">
        <v>0</v>
      </c>
      <c r="C115" s="271" t="s">
        <v>1845</v>
      </c>
      <c r="D115" s="1058"/>
      <c r="E115" s="199"/>
      <c r="F115" s="862"/>
      <c r="G115" s="1178">
        <f t="shared" si="0"/>
        <v>0</v>
      </c>
      <c r="H115" s="1061">
        <v>0</v>
      </c>
      <c r="I115" s="1174">
        <f t="shared" si="20"/>
        <v>0</v>
      </c>
      <c r="J115" s="201"/>
      <c r="K115" s="199"/>
      <c r="L115" s="199"/>
      <c r="M115" s="199"/>
      <c r="N115" s="297">
        <v>0</v>
      </c>
      <c r="O115" s="301"/>
      <c r="P115" s="1165">
        <f t="shared" si="21"/>
        <v>0</v>
      </c>
      <c r="Q115" s="297">
        <v>0</v>
      </c>
      <c r="R115" s="301"/>
      <c r="S115" s="1165">
        <f t="shared" si="22"/>
        <v>0</v>
      </c>
      <c r="T115" s="297">
        <v>0</v>
      </c>
      <c r="U115" s="301"/>
      <c r="V115" s="1161">
        <f t="shared" si="23"/>
        <v>0</v>
      </c>
      <c r="W115" s="297">
        <v>0</v>
      </c>
      <c r="X115" s="301"/>
      <c r="Y115" s="1165">
        <f t="shared" si="24"/>
        <v>0</v>
      </c>
      <c r="Z115" s="1155">
        <f t="shared" si="12"/>
        <v>0</v>
      </c>
    </row>
    <row r="116" spans="2:26" x14ac:dyDescent="0.2">
      <c r="B116" s="198">
        <v>0</v>
      </c>
      <c r="C116" s="271" t="s">
        <v>1845</v>
      </c>
      <c r="D116" s="1058"/>
      <c r="E116" s="199"/>
      <c r="F116" s="862"/>
      <c r="G116" s="1178">
        <f t="shared" ref="G116:G123" si="25">Z116</f>
        <v>0</v>
      </c>
      <c r="H116" s="1061">
        <v>0</v>
      </c>
      <c r="I116" s="1174">
        <f t="shared" si="20"/>
        <v>0</v>
      </c>
      <c r="J116" s="201"/>
      <c r="K116" s="199"/>
      <c r="L116" s="199"/>
      <c r="M116" s="199"/>
      <c r="N116" s="297">
        <v>0</v>
      </c>
      <c r="O116" s="301"/>
      <c r="P116" s="1165">
        <f t="shared" si="21"/>
        <v>0</v>
      </c>
      <c r="Q116" s="297">
        <v>0</v>
      </c>
      <c r="R116" s="301"/>
      <c r="S116" s="1165">
        <f t="shared" si="22"/>
        <v>0</v>
      </c>
      <c r="T116" s="297">
        <v>0</v>
      </c>
      <c r="U116" s="301"/>
      <c r="V116" s="1161">
        <f t="shared" si="23"/>
        <v>0</v>
      </c>
      <c r="W116" s="297">
        <v>0</v>
      </c>
      <c r="X116" s="301"/>
      <c r="Y116" s="1165">
        <f t="shared" si="24"/>
        <v>0</v>
      </c>
      <c r="Z116" s="1155">
        <f t="shared" si="12"/>
        <v>0</v>
      </c>
    </row>
    <row r="117" spans="2:26" x14ac:dyDescent="0.2">
      <c r="B117" s="198">
        <v>0</v>
      </c>
      <c r="C117" s="271" t="s">
        <v>1845</v>
      </c>
      <c r="D117" s="1058"/>
      <c r="E117" s="199"/>
      <c r="F117" s="862"/>
      <c r="G117" s="1178">
        <f t="shared" si="25"/>
        <v>0</v>
      </c>
      <c r="H117" s="1061">
        <v>0</v>
      </c>
      <c r="I117" s="1174">
        <f t="shared" si="20"/>
        <v>0</v>
      </c>
      <c r="J117" s="201"/>
      <c r="K117" s="199"/>
      <c r="L117" s="199"/>
      <c r="M117" s="199"/>
      <c r="N117" s="297">
        <v>0</v>
      </c>
      <c r="O117" s="301"/>
      <c r="P117" s="1165">
        <f t="shared" si="21"/>
        <v>0</v>
      </c>
      <c r="Q117" s="297">
        <v>0</v>
      </c>
      <c r="R117" s="301"/>
      <c r="S117" s="1165">
        <f t="shared" si="22"/>
        <v>0</v>
      </c>
      <c r="T117" s="297">
        <v>0</v>
      </c>
      <c r="U117" s="301"/>
      <c r="V117" s="1161">
        <f t="shared" si="23"/>
        <v>0</v>
      </c>
      <c r="W117" s="297">
        <v>0</v>
      </c>
      <c r="X117" s="301"/>
      <c r="Y117" s="1165">
        <f t="shared" si="24"/>
        <v>0</v>
      </c>
      <c r="Z117" s="1155">
        <f t="shared" si="12"/>
        <v>0</v>
      </c>
    </row>
    <row r="118" spans="2:26" x14ac:dyDescent="0.2">
      <c r="B118" s="198">
        <v>0</v>
      </c>
      <c r="C118" s="271" t="s">
        <v>1845</v>
      </c>
      <c r="D118" s="1058"/>
      <c r="E118" s="199"/>
      <c r="F118" s="862"/>
      <c r="G118" s="1178">
        <f t="shared" si="25"/>
        <v>0</v>
      </c>
      <c r="H118" s="1061">
        <v>0</v>
      </c>
      <c r="I118" s="1174">
        <f t="shared" si="20"/>
        <v>0</v>
      </c>
      <c r="J118" s="201"/>
      <c r="K118" s="199"/>
      <c r="L118" s="199"/>
      <c r="M118" s="199"/>
      <c r="N118" s="297">
        <v>0</v>
      </c>
      <c r="O118" s="301"/>
      <c r="P118" s="1165">
        <f t="shared" si="21"/>
        <v>0</v>
      </c>
      <c r="Q118" s="297">
        <v>0</v>
      </c>
      <c r="R118" s="301"/>
      <c r="S118" s="1165">
        <f t="shared" si="22"/>
        <v>0</v>
      </c>
      <c r="T118" s="297">
        <v>0</v>
      </c>
      <c r="U118" s="301"/>
      <c r="V118" s="1161">
        <f t="shared" si="23"/>
        <v>0</v>
      </c>
      <c r="W118" s="297">
        <v>0</v>
      </c>
      <c r="X118" s="301"/>
      <c r="Y118" s="1165">
        <f t="shared" si="24"/>
        <v>0</v>
      </c>
      <c r="Z118" s="1155">
        <f t="shared" si="12"/>
        <v>0</v>
      </c>
    </row>
    <row r="119" spans="2:26" x14ac:dyDescent="0.2">
      <c r="B119" s="198">
        <v>0</v>
      </c>
      <c r="C119" s="271" t="s">
        <v>1845</v>
      </c>
      <c r="D119" s="1058"/>
      <c r="E119" s="199"/>
      <c r="F119" s="862"/>
      <c r="G119" s="1178">
        <f t="shared" si="25"/>
        <v>0</v>
      </c>
      <c r="H119" s="1061">
        <v>0</v>
      </c>
      <c r="I119" s="1174">
        <f t="shared" si="20"/>
        <v>0</v>
      </c>
      <c r="J119" s="201"/>
      <c r="K119" s="199"/>
      <c r="L119" s="199"/>
      <c r="M119" s="199"/>
      <c r="N119" s="297">
        <v>0</v>
      </c>
      <c r="O119" s="301"/>
      <c r="P119" s="1165">
        <f t="shared" si="21"/>
        <v>0</v>
      </c>
      <c r="Q119" s="297">
        <v>0</v>
      </c>
      <c r="R119" s="301"/>
      <c r="S119" s="1165">
        <f t="shared" si="22"/>
        <v>0</v>
      </c>
      <c r="T119" s="297">
        <v>0</v>
      </c>
      <c r="U119" s="301"/>
      <c r="V119" s="1161">
        <f t="shared" si="23"/>
        <v>0</v>
      </c>
      <c r="W119" s="297">
        <v>0</v>
      </c>
      <c r="X119" s="301"/>
      <c r="Y119" s="1165">
        <f t="shared" si="24"/>
        <v>0</v>
      </c>
      <c r="Z119" s="1155">
        <f t="shared" si="12"/>
        <v>0</v>
      </c>
    </row>
    <row r="120" spans="2:26" x14ac:dyDescent="0.2">
      <c r="B120" s="198">
        <v>0</v>
      </c>
      <c r="C120" s="271" t="s">
        <v>1845</v>
      </c>
      <c r="D120" s="1058"/>
      <c r="E120" s="199"/>
      <c r="F120" s="862"/>
      <c r="G120" s="1178">
        <f t="shared" si="25"/>
        <v>0</v>
      </c>
      <c r="H120" s="1061">
        <v>0</v>
      </c>
      <c r="I120" s="1174">
        <f t="shared" ref="I120:I142" si="26">H120*B120</f>
        <v>0</v>
      </c>
      <c r="J120" s="201"/>
      <c r="K120" s="199"/>
      <c r="L120" s="199"/>
      <c r="M120" s="199"/>
      <c r="N120" s="297">
        <v>0</v>
      </c>
      <c r="O120" s="301"/>
      <c r="P120" s="1165">
        <f t="shared" ref="P120:P142" si="27">N120*B120</f>
        <v>0</v>
      </c>
      <c r="Q120" s="297">
        <v>0</v>
      </c>
      <c r="R120" s="301"/>
      <c r="S120" s="1165">
        <f t="shared" ref="S120:S142" si="28">Q120*B120</f>
        <v>0</v>
      </c>
      <c r="T120" s="297">
        <v>0</v>
      </c>
      <c r="U120" s="301"/>
      <c r="V120" s="1161">
        <f t="shared" ref="V120:V142" si="29">T120*B120</f>
        <v>0</v>
      </c>
      <c r="W120" s="297">
        <v>0</v>
      </c>
      <c r="X120" s="301"/>
      <c r="Y120" s="1165">
        <f t="shared" ref="Y120:Y142" si="30">W120*B120</f>
        <v>0</v>
      </c>
      <c r="Z120" s="1155">
        <f t="shared" si="12"/>
        <v>0</v>
      </c>
    </row>
    <row r="121" spans="2:26" x14ac:dyDescent="0.2">
      <c r="B121" s="198">
        <v>0</v>
      </c>
      <c r="C121" s="271" t="s">
        <v>1845</v>
      </c>
      <c r="D121" s="1058"/>
      <c r="E121" s="199"/>
      <c r="F121" s="862"/>
      <c r="G121" s="1178">
        <f t="shared" si="25"/>
        <v>0</v>
      </c>
      <c r="H121" s="1061">
        <v>0</v>
      </c>
      <c r="I121" s="1174">
        <f t="shared" si="26"/>
        <v>0</v>
      </c>
      <c r="J121" s="201"/>
      <c r="K121" s="199"/>
      <c r="L121" s="199"/>
      <c r="M121" s="199"/>
      <c r="N121" s="297">
        <v>0</v>
      </c>
      <c r="O121" s="301"/>
      <c r="P121" s="1165">
        <f t="shared" si="27"/>
        <v>0</v>
      </c>
      <c r="Q121" s="297">
        <v>0</v>
      </c>
      <c r="R121" s="301"/>
      <c r="S121" s="1165">
        <f t="shared" si="28"/>
        <v>0</v>
      </c>
      <c r="T121" s="297">
        <v>0</v>
      </c>
      <c r="U121" s="301"/>
      <c r="V121" s="1161">
        <f t="shared" si="29"/>
        <v>0</v>
      </c>
      <c r="W121" s="297">
        <v>0</v>
      </c>
      <c r="X121" s="301"/>
      <c r="Y121" s="1165">
        <f t="shared" si="30"/>
        <v>0</v>
      </c>
      <c r="Z121" s="1155">
        <f>IF(O121="SELECTED",((P121)),0)+IF(R121="SELECTED",((S121)),0)+IF(U121="SELECTED",((V121)),0)+IF(X121="SELECTED",((Y121)))</f>
        <v>0</v>
      </c>
    </row>
    <row r="122" spans="2:26" x14ac:dyDescent="0.2">
      <c r="B122" s="198">
        <v>0</v>
      </c>
      <c r="C122" s="271" t="s">
        <v>1845</v>
      </c>
      <c r="D122" s="1058"/>
      <c r="E122" s="199"/>
      <c r="F122" s="862"/>
      <c r="G122" s="1178">
        <f t="shared" si="25"/>
        <v>0</v>
      </c>
      <c r="H122" s="1061">
        <v>0</v>
      </c>
      <c r="I122" s="1174">
        <f t="shared" si="26"/>
        <v>0</v>
      </c>
      <c r="J122" s="201"/>
      <c r="K122" s="199"/>
      <c r="L122" s="199"/>
      <c r="M122" s="199"/>
      <c r="N122" s="297">
        <v>0</v>
      </c>
      <c r="O122" s="301"/>
      <c r="P122" s="1165">
        <f t="shared" si="27"/>
        <v>0</v>
      </c>
      <c r="Q122" s="297">
        <v>0</v>
      </c>
      <c r="R122" s="301"/>
      <c r="S122" s="1165">
        <f t="shared" si="28"/>
        <v>0</v>
      </c>
      <c r="T122" s="297">
        <v>0</v>
      </c>
      <c r="U122" s="301"/>
      <c r="V122" s="1161">
        <f t="shared" si="29"/>
        <v>0</v>
      </c>
      <c r="W122" s="297">
        <v>0</v>
      </c>
      <c r="X122" s="301"/>
      <c r="Y122" s="1165">
        <f t="shared" si="30"/>
        <v>0</v>
      </c>
      <c r="Z122" s="1155">
        <f>IF(O122="SELECTED",((P122)),0)+IF(R122="SELECTED",((S122)),0)+IF(U122="SELECTED",((V122)),0)+IF(X122="SELECTED",((Y122)))</f>
        <v>0</v>
      </c>
    </row>
    <row r="123" spans="2:26" x14ac:dyDescent="0.2">
      <c r="B123" s="198">
        <v>0</v>
      </c>
      <c r="C123" s="271" t="s">
        <v>1845</v>
      </c>
      <c r="D123" s="1058"/>
      <c r="E123" s="199"/>
      <c r="F123" s="862"/>
      <c r="G123" s="1178">
        <f t="shared" si="25"/>
        <v>0</v>
      </c>
      <c r="H123" s="1061">
        <v>0</v>
      </c>
      <c r="I123" s="1174">
        <f t="shared" si="26"/>
        <v>0</v>
      </c>
      <c r="J123" s="201"/>
      <c r="K123" s="199"/>
      <c r="L123" s="199"/>
      <c r="M123" s="199"/>
      <c r="N123" s="297">
        <v>0</v>
      </c>
      <c r="O123" s="301"/>
      <c r="P123" s="1165">
        <f t="shared" si="27"/>
        <v>0</v>
      </c>
      <c r="Q123" s="297">
        <v>0</v>
      </c>
      <c r="R123" s="301"/>
      <c r="S123" s="1165">
        <f t="shared" si="28"/>
        <v>0</v>
      </c>
      <c r="T123" s="297">
        <v>0</v>
      </c>
      <c r="U123" s="301"/>
      <c r="V123" s="1161">
        <f t="shared" si="29"/>
        <v>0</v>
      </c>
      <c r="W123" s="297">
        <v>0</v>
      </c>
      <c r="X123" s="301"/>
      <c r="Y123" s="1165">
        <f t="shared" si="30"/>
        <v>0</v>
      </c>
      <c r="Z123" s="1155">
        <f>IF(O123="SELECTED",((P123)),0)+IF(R123="SELECTED",((S123)),0)+IF(U123="SELECTED",((V123)),0)+IF(X123="SELECTED",((Y123)))</f>
        <v>0</v>
      </c>
    </row>
    <row r="124" spans="2:26" x14ac:dyDescent="0.2">
      <c r="B124" s="198">
        <v>0</v>
      </c>
      <c r="C124" s="271" t="s">
        <v>1845</v>
      </c>
      <c r="D124" s="1058"/>
      <c r="E124" s="199"/>
      <c r="F124" s="862"/>
      <c r="G124" s="1178">
        <f t="shared" ref="G124:G138" si="31">Z124</f>
        <v>0</v>
      </c>
      <c r="H124" s="1061">
        <v>0</v>
      </c>
      <c r="I124" s="1174">
        <f t="shared" si="26"/>
        <v>0</v>
      </c>
      <c r="J124" s="201"/>
      <c r="K124" s="199"/>
      <c r="L124" s="199"/>
      <c r="M124" s="199"/>
      <c r="N124" s="297">
        <v>0</v>
      </c>
      <c r="O124" s="301"/>
      <c r="P124" s="1165">
        <f t="shared" si="27"/>
        <v>0</v>
      </c>
      <c r="Q124" s="297">
        <v>0</v>
      </c>
      <c r="R124" s="301"/>
      <c r="S124" s="1165">
        <f t="shared" si="28"/>
        <v>0</v>
      </c>
      <c r="T124" s="297">
        <v>0</v>
      </c>
      <c r="U124" s="301"/>
      <c r="V124" s="1161">
        <f t="shared" si="29"/>
        <v>0</v>
      </c>
      <c r="W124" s="297">
        <v>0</v>
      </c>
      <c r="X124" s="301"/>
      <c r="Y124" s="1165">
        <f t="shared" si="30"/>
        <v>0</v>
      </c>
      <c r="Z124" s="1155">
        <f t="shared" ref="Z124:Z138" si="32">IF(O124="SELECTED",((P124)),0)+IF(R124="SELECTED",((S124)),0)+IF(U124="SELECTED",((V124)),0)+IF(X124="SELECTED",((Y124)))</f>
        <v>0</v>
      </c>
    </row>
    <row r="125" spans="2:26" x14ac:dyDescent="0.2">
      <c r="B125" s="198">
        <v>0</v>
      </c>
      <c r="C125" s="271" t="s">
        <v>1845</v>
      </c>
      <c r="D125" s="1058"/>
      <c r="E125" s="199"/>
      <c r="F125" s="862"/>
      <c r="G125" s="1178">
        <f t="shared" si="31"/>
        <v>0</v>
      </c>
      <c r="H125" s="1061">
        <v>0</v>
      </c>
      <c r="I125" s="1174">
        <f t="shared" si="26"/>
        <v>0</v>
      </c>
      <c r="J125" s="201"/>
      <c r="K125" s="199"/>
      <c r="L125" s="199"/>
      <c r="M125" s="199"/>
      <c r="N125" s="297">
        <v>0</v>
      </c>
      <c r="O125" s="301"/>
      <c r="P125" s="1165">
        <f t="shared" si="27"/>
        <v>0</v>
      </c>
      <c r="Q125" s="297">
        <v>0</v>
      </c>
      <c r="R125" s="301"/>
      <c r="S125" s="1165">
        <f t="shared" si="28"/>
        <v>0</v>
      </c>
      <c r="T125" s="297">
        <v>0</v>
      </c>
      <c r="U125" s="301"/>
      <c r="V125" s="1161">
        <f t="shared" si="29"/>
        <v>0</v>
      </c>
      <c r="W125" s="297">
        <v>0</v>
      </c>
      <c r="X125" s="301"/>
      <c r="Y125" s="1165">
        <f t="shared" si="30"/>
        <v>0</v>
      </c>
      <c r="Z125" s="1155">
        <f t="shared" si="32"/>
        <v>0</v>
      </c>
    </row>
    <row r="126" spans="2:26" x14ac:dyDescent="0.2">
      <c r="B126" s="198">
        <v>0</v>
      </c>
      <c r="C126" s="271" t="s">
        <v>1845</v>
      </c>
      <c r="D126" s="1058"/>
      <c r="E126" s="199"/>
      <c r="F126" s="862"/>
      <c r="G126" s="1178">
        <f t="shared" si="31"/>
        <v>0</v>
      </c>
      <c r="H126" s="1061">
        <v>0</v>
      </c>
      <c r="I126" s="1174">
        <f t="shared" si="26"/>
        <v>0</v>
      </c>
      <c r="J126" s="201"/>
      <c r="K126" s="199"/>
      <c r="L126" s="199"/>
      <c r="M126" s="199"/>
      <c r="N126" s="297">
        <v>0</v>
      </c>
      <c r="O126" s="301"/>
      <c r="P126" s="1165">
        <f t="shared" si="27"/>
        <v>0</v>
      </c>
      <c r="Q126" s="297">
        <v>0</v>
      </c>
      <c r="R126" s="301"/>
      <c r="S126" s="1165">
        <f t="shared" si="28"/>
        <v>0</v>
      </c>
      <c r="T126" s="297">
        <v>0</v>
      </c>
      <c r="U126" s="301"/>
      <c r="V126" s="1161">
        <f t="shared" si="29"/>
        <v>0</v>
      </c>
      <c r="W126" s="297">
        <v>0</v>
      </c>
      <c r="X126" s="301"/>
      <c r="Y126" s="1165">
        <f t="shared" si="30"/>
        <v>0</v>
      </c>
      <c r="Z126" s="1155">
        <f t="shared" si="32"/>
        <v>0</v>
      </c>
    </row>
    <row r="127" spans="2:26" x14ac:dyDescent="0.2">
      <c r="B127" s="198">
        <v>0</v>
      </c>
      <c r="C127" s="271" t="s">
        <v>1845</v>
      </c>
      <c r="D127" s="1058"/>
      <c r="E127" s="199"/>
      <c r="F127" s="862"/>
      <c r="G127" s="1178">
        <f t="shared" si="31"/>
        <v>0</v>
      </c>
      <c r="H127" s="1061">
        <v>0</v>
      </c>
      <c r="I127" s="1174">
        <f t="shared" si="26"/>
        <v>0</v>
      </c>
      <c r="J127" s="201"/>
      <c r="K127" s="199"/>
      <c r="L127" s="199"/>
      <c r="M127" s="199"/>
      <c r="N127" s="297">
        <v>0</v>
      </c>
      <c r="O127" s="301"/>
      <c r="P127" s="1165">
        <f t="shared" si="27"/>
        <v>0</v>
      </c>
      <c r="Q127" s="297">
        <v>0</v>
      </c>
      <c r="R127" s="301"/>
      <c r="S127" s="1165">
        <f t="shared" si="28"/>
        <v>0</v>
      </c>
      <c r="T127" s="297">
        <v>0</v>
      </c>
      <c r="U127" s="301"/>
      <c r="V127" s="1161">
        <f t="shared" si="29"/>
        <v>0</v>
      </c>
      <c r="W127" s="297">
        <v>0</v>
      </c>
      <c r="X127" s="301"/>
      <c r="Y127" s="1165">
        <f t="shared" si="30"/>
        <v>0</v>
      </c>
      <c r="Z127" s="1155">
        <f t="shared" si="32"/>
        <v>0</v>
      </c>
    </row>
    <row r="128" spans="2:26" x14ac:dyDescent="0.2">
      <c r="B128" s="198">
        <v>0</v>
      </c>
      <c r="C128" s="271" t="s">
        <v>1845</v>
      </c>
      <c r="D128" s="1058"/>
      <c r="E128" s="199"/>
      <c r="F128" s="862"/>
      <c r="G128" s="1178">
        <f t="shared" si="31"/>
        <v>0</v>
      </c>
      <c r="H128" s="1061">
        <v>0</v>
      </c>
      <c r="I128" s="1174">
        <f t="shared" si="26"/>
        <v>0</v>
      </c>
      <c r="J128" s="201"/>
      <c r="K128" s="199"/>
      <c r="L128" s="199"/>
      <c r="M128" s="199"/>
      <c r="N128" s="297">
        <v>0</v>
      </c>
      <c r="O128" s="301"/>
      <c r="P128" s="1165">
        <f t="shared" si="27"/>
        <v>0</v>
      </c>
      <c r="Q128" s="297">
        <v>0</v>
      </c>
      <c r="R128" s="301"/>
      <c r="S128" s="1165">
        <f t="shared" si="28"/>
        <v>0</v>
      </c>
      <c r="T128" s="297">
        <v>0</v>
      </c>
      <c r="U128" s="301"/>
      <c r="V128" s="1161">
        <f t="shared" si="29"/>
        <v>0</v>
      </c>
      <c r="W128" s="297">
        <v>0</v>
      </c>
      <c r="X128" s="301"/>
      <c r="Y128" s="1165">
        <f t="shared" si="30"/>
        <v>0</v>
      </c>
      <c r="Z128" s="1155">
        <f t="shared" si="32"/>
        <v>0</v>
      </c>
    </row>
    <row r="129" spans="2:26" x14ac:dyDescent="0.2">
      <c r="B129" s="198">
        <v>0</v>
      </c>
      <c r="C129" s="271" t="s">
        <v>1845</v>
      </c>
      <c r="D129" s="1058"/>
      <c r="E129" s="199"/>
      <c r="F129" s="862"/>
      <c r="G129" s="1178">
        <f t="shared" si="31"/>
        <v>0</v>
      </c>
      <c r="H129" s="1061">
        <v>0</v>
      </c>
      <c r="I129" s="1174">
        <f t="shared" si="26"/>
        <v>0</v>
      </c>
      <c r="J129" s="201"/>
      <c r="K129" s="199"/>
      <c r="L129" s="199"/>
      <c r="M129" s="199"/>
      <c r="N129" s="297">
        <v>0</v>
      </c>
      <c r="O129" s="301"/>
      <c r="P129" s="1165">
        <f t="shared" si="27"/>
        <v>0</v>
      </c>
      <c r="Q129" s="297">
        <v>0</v>
      </c>
      <c r="R129" s="301"/>
      <c r="S129" s="1165">
        <f t="shared" si="28"/>
        <v>0</v>
      </c>
      <c r="T129" s="297">
        <v>0</v>
      </c>
      <c r="U129" s="301"/>
      <c r="V129" s="1161">
        <f t="shared" si="29"/>
        <v>0</v>
      </c>
      <c r="W129" s="297">
        <v>0</v>
      </c>
      <c r="X129" s="301"/>
      <c r="Y129" s="1165">
        <f t="shared" si="30"/>
        <v>0</v>
      </c>
      <c r="Z129" s="1155">
        <f t="shared" si="32"/>
        <v>0</v>
      </c>
    </row>
    <row r="130" spans="2:26" x14ac:dyDescent="0.2">
      <c r="B130" s="198">
        <v>0</v>
      </c>
      <c r="C130" s="271" t="s">
        <v>1845</v>
      </c>
      <c r="D130" s="1058"/>
      <c r="E130" s="199"/>
      <c r="F130" s="862"/>
      <c r="G130" s="1178">
        <f t="shared" si="31"/>
        <v>0</v>
      </c>
      <c r="H130" s="1061">
        <v>0</v>
      </c>
      <c r="I130" s="1174">
        <f t="shared" si="26"/>
        <v>0</v>
      </c>
      <c r="J130" s="201"/>
      <c r="K130" s="199"/>
      <c r="L130" s="199"/>
      <c r="M130" s="199"/>
      <c r="N130" s="297">
        <v>0</v>
      </c>
      <c r="O130" s="301"/>
      <c r="P130" s="1165">
        <f t="shared" si="27"/>
        <v>0</v>
      </c>
      <c r="Q130" s="297">
        <v>0</v>
      </c>
      <c r="R130" s="301"/>
      <c r="S130" s="1165">
        <f t="shared" si="28"/>
        <v>0</v>
      </c>
      <c r="T130" s="297">
        <v>0</v>
      </c>
      <c r="U130" s="301"/>
      <c r="V130" s="1161">
        <f t="shared" si="29"/>
        <v>0</v>
      </c>
      <c r="W130" s="297">
        <v>0</v>
      </c>
      <c r="X130" s="301"/>
      <c r="Y130" s="1165">
        <f t="shared" si="30"/>
        <v>0</v>
      </c>
      <c r="Z130" s="1155">
        <f t="shared" si="32"/>
        <v>0</v>
      </c>
    </row>
    <row r="131" spans="2:26" x14ac:dyDescent="0.2">
      <c r="B131" s="198">
        <v>0</v>
      </c>
      <c r="C131" s="271" t="s">
        <v>1845</v>
      </c>
      <c r="D131" s="1058"/>
      <c r="E131" s="199"/>
      <c r="F131" s="862"/>
      <c r="G131" s="1178">
        <f t="shared" si="31"/>
        <v>0</v>
      </c>
      <c r="H131" s="1061">
        <v>0</v>
      </c>
      <c r="I131" s="1174">
        <f t="shared" si="26"/>
        <v>0</v>
      </c>
      <c r="J131" s="201"/>
      <c r="K131" s="199"/>
      <c r="L131" s="199"/>
      <c r="M131" s="199"/>
      <c r="N131" s="297">
        <v>0</v>
      </c>
      <c r="O131" s="301"/>
      <c r="P131" s="1165">
        <f t="shared" si="27"/>
        <v>0</v>
      </c>
      <c r="Q131" s="297">
        <v>0</v>
      </c>
      <c r="R131" s="301"/>
      <c r="S131" s="1165">
        <f t="shared" si="28"/>
        <v>0</v>
      </c>
      <c r="T131" s="297">
        <v>0</v>
      </c>
      <c r="U131" s="301"/>
      <c r="V131" s="1161">
        <f t="shared" si="29"/>
        <v>0</v>
      </c>
      <c r="W131" s="297">
        <v>0</v>
      </c>
      <c r="X131" s="301"/>
      <c r="Y131" s="1165">
        <f t="shared" si="30"/>
        <v>0</v>
      </c>
      <c r="Z131" s="1155">
        <f t="shared" si="32"/>
        <v>0</v>
      </c>
    </row>
    <row r="132" spans="2:26" x14ac:dyDescent="0.2">
      <c r="B132" s="198">
        <v>0</v>
      </c>
      <c r="C132" s="271" t="s">
        <v>1845</v>
      </c>
      <c r="D132" s="1058"/>
      <c r="E132" s="199"/>
      <c r="F132" s="862"/>
      <c r="G132" s="1178">
        <f t="shared" si="31"/>
        <v>0</v>
      </c>
      <c r="H132" s="1061">
        <v>0</v>
      </c>
      <c r="I132" s="1174">
        <f t="shared" si="26"/>
        <v>0</v>
      </c>
      <c r="J132" s="201"/>
      <c r="K132" s="199"/>
      <c r="L132" s="199"/>
      <c r="M132" s="199"/>
      <c r="N132" s="297">
        <v>0</v>
      </c>
      <c r="O132" s="301"/>
      <c r="P132" s="1165">
        <f t="shared" si="27"/>
        <v>0</v>
      </c>
      <c r="Q132" s="297">
        <v>0</v>
      </c>
      <c r="R132" s="301"/>
      <c r="S132" s="1165">
        <f t="shared" si="28"/>
        <v>0</v>
      </c>
      <c r="T132" s="297">
        <v>0</v>
      </c>
      <c r="U132" s="301"/>
      <c r="V132" s="1161">
        <f t="shared" si="29"/>
        <v>0</v>
      </c>
      <c r="W132" s="297">
        <v>0</v>
      </c>
      <c r="X132" s="301"/>
      <c r="Y132" s="1165">
        <f t="shared" si="30"/>
        <v>0</v>
      </c>
      <c r="Z132" s="1155">
        <f t="shared" si="32"/>
        <v>0</v>
      </c>
    </row>
    <row r="133" spans="2:26" x14ac:dyDescent="0.2">
      <c r="B133" s="198">
        <v>0</v>
      </c>
      <c r="C133" s="271" t="s">
        <v>1845</v>
      </c>
      <c r="D133" s="1058"/>
      <c r="E133" s="199"/>
      <c r="F133" s="862"/>
      <c r="G133" s="1178">
        <f t="shared" si="31"/>
        <v>0</v>
      </c>
      <c r="H133" s="1061">
        <v>0</v>
      </c>
      <c r="I133" s="1174">
        <f t="shared" si="26"/>
        <v>0</v>
      </c>
      <c r="J133" s="201"/>
      <c r="K133" s="199"/>
      <c r="L133" s="199"/>
      <c r="M133" s="199"/>
      <c r="N133" s="297">
        <v>0</v>
      </c>
      <c r="O133" s="301"/>
      <c r="P133" s="1165">
        <f t="shared" si="27"/>
        <v>0</v>
      </c>
      <c r="Q133" s="297">
        <v>0</v>
      </c>
      <c r="R133" s="301"/>
      <c r="S133" s="1165">
        <f t="shared" si="28"/>
        <v>0</v>
      </c>
      <c r="T133" s="297">
        <v>0</v>
      </c>
      <c r="U133" s="301"/>
      <c r="V133" s="1161">
        <f t="shared" si="29"/>
        <v>0</v>
      </c>
      <c r="W133" s="297">
        <v>0</v>
      </c>
      <c r="X133" s="301"/>
      <c r="Y133" s="1165">
        <f t="shared" si="30"/>
        <v>0</v>
      </c>
      <c r="Z133" s="1155">
        <f t="shared" si="32"/>
        <v>0</v>
      </c>
    </row>
    <row r="134" spans="2:26" x14ac:dyDescent="0.2">
      <c r="B134" s="198">
        <v>0</v>
      </c>
      <c r="C134" s="271" t="s">
        <v>1845</v>
      </c>
      <c r="D134" s="1058"/>
      <c r="E134" s="199"/>
      <c r="F134" s="862"/>
      <c r="G134" s="1178">
        <f t="shared" si="31"/>
        <v>0</v>
      </c>
      <c r="H134" s="1061">
        <v>0</v>
      </c>
      <c r="I134" s="1174">
        <f t="shared" si="26"/>
        <v>0</v>
      </c>
      <c r="J134" s="201"/>
      <c r="K134" s="199"/>
      <c r="L134" s="199"/>
      <c r="M134" s="199"/>
      <c r="N134" s="297">
        <v>0</v>
      </c>
      <c r="O134" s="301"/>
      <c r="P134" s="1165">
        <f t="shared" si="27"/>
        <v>0</v>
      </c>
      <c r="Q134" s="297">
        <v>0</v>
      </c>
      <c r="R134" s="301"/>
      <c r="S134" s="1165">
        <f t="shared" si="28"/>
        <v>0</v>
      </c>
      <c r="T134" s="297">
        <v>0</v>
      </c>
      <c r="U134" s="301"/>
      <c r="V134" s="1161">
        <f t="shared" si="29"/>
        <v>0</v>
      </c>
      <c r="W134" s="297">
        <v>0</v>
      </c>
      <c r="X134" s="301"/>
      <c r="Y134" s="1165">
        <f t="shared" si="30"/>
        <v>0</v>
      </c>
      <c r="Z134" s="1155">
        <f t="shared" si="32"/>
        <v>0</v>
      </c>
    </row>
    <row r="135" spans="2:26" x14ac:dyDescent="0.2">
      <c r="B135" s="198">
        <v>0</v>
      </c>
      <c r="C135" s="271" t="s">
        <v>1845</v>
      </c>
      <c r="D135" s="1058"/>
      <c r="E135" s="199"/>
      <c r="F135" s="862"/>
      <c r="G135" s="1178">
        <f t="shared" si="31"/>
        <v>0</v>
      </c>
      <c r="H135" s="1061">
        <v>0</v>
      </c>
      <c r="I135" s="1174">
        <f t="shared" si="26"/>
        <v>0</v>
      </c>
      <c r="J135" s="201"/>
      <c r="K135" s="199"/>
      <c r="L135" s="199"/>
      <c r="M135" s="199"/>
      <c r="N135" s="297">
        <v>0</v>
      </c>
      <c r="O135" s="301"/>
      <c r="P135" s="1165">
        <f t="shared" si="27"/>
        <v>0</v>
      </c>
      <c r="Q135" s="297">
        <v>0</v>
      </c>
      <c r="R135" s="301"/>
      <c r="S135" s="1165">
        <f t="shared" si="28"/>
        <v>0</v>
      </c>
      <c r="T135" s="297">
        <v>0</v>
      </c>
      <c r="U135" s="301"/>
      <c r="V135" s="1161">
        <f t="shared" si="29"/>
        <v>0</v>
      </c>
      <c r="W135" s="297">
        <v>0</v>
      </c>
      <c r="X135" s="301"/>
      <c r="Y135" s="1165">
        <f t="shared" si="30"/>
        <v>0</v>
      </c>
      <c r="Z135" s="1155">
        <f t="shared" si="32"/>
        <v>0</v>
      </c>
    </row>
    <row r="136" spans="2:26" x14ac:dyDescent="0.2">
      <c r="B136" s="198">
        <v>0</v>
      </c>
      <c r="C136" s="271" t="s">
        <v>1845</v>
      </c>
      <c r="D136" s="1058"/>
      <c r="E136" s="199"/>
      <c r="F136" s="862"/>
      <c r="G136" s="1178">
        <f t="shared" si="31"/>
        <v>0</v>
      </c>
      <c r="H136" s="1061">
        <v>0</v>
      </c>
      <c r="I136" s="1174">
        <f t="shared" si="26"/>
        <v>0</v>
      </c>
      <c r="J136" s="201"/>
      <c r="K136" s="199"/>
      <c r="L136" s="199"/>
      <c r="M136" s="199"/>
      <c r="N136" s="297">
        <v>0</v>
      </c>
      <c r="O136" s="301"/>
      <c r="P136" s="1165">
        <f t="shared" si="27"/>
        <v>0</v>
      </c>
      <c r="Q136" s="297">
        <v>0</v>
      </c>
      <c r="R136" s="301"/>
      <c r="S136" s="1165">
        <f t="shared" si="28"/>
        <v>0</v>
      </c>
      <c r="T136" s="297">
        <v>0</v>
      </c>
      <c r="U136" s="301"/>
      <c r="V136" s="1161">
        <f t="shared" si="29"/>
        <v>0</v>
      </c>
      <c r="W136" s="297">
        <v>0</v>
      </c>
      <c r="X136" s="301"/>
      <c r="Y136" s="1165">
        <f t="shared" si="30"/>
        <v>0</v>
      </c>
      <c r="Z136" s="1155">
        <f t="shared" si="32"/>
        <v>0</v>
      </c>
    </row>
    <row r="137" spans="2:26" x14ac:dyDescent="0.2">
      <c r="B137" s="198">
        <v>0</v>
      </c>
      <c r="C137" s="271" t="s">
        <v>1845</v>
      </c>
      <c r="D137" s="1058"/>
      <c r="E137" s="199"/>
      <c r="F137" s="862"/>
      <c r="G137" s="1178">
        <f t="shared" si="31"/>
        <v>0</v>
      </c>
      <c r="H137" s="1061">
        <v>0</v>
      </c>
      <c r="I137" s="1174">
        <f t="shared" si="26"/>
        <v>0</v>
      </c>
      <c r="J137" s="201"/>
      <c r="K137" s="199"/>
      <c r="L137" s="199"/>
      <c r="M137" s="199"/>
      <c r="N137" s="297">
        <v>0</v>
      </c>
      <c r="O137" s="301"/>
      <c r="P137" s="1165">
        <f t="shared" si="27"/>
        <v>0</v>
      </c>
      <c r="Q137" s="297">
        <v>0</v>
      </c>
      <c r="R137" s="301"/>
      <c r="S137" s="1165">
        <f t="shared" si="28"/>
        <v>0</v>
      </c>
      <c r="T137" s="297">
        <v>0</v>
      </c>
      <c r="U137" s="301"/>
      <c r="V137" s="1161">
        <f t="shared" si="29"/>
        <v>0</v>
      </c>
      <c r="W137" s="297">
        <v>0</v>
      </c>
      <c r="X137" s="301"/>
      <c r="Y137" s="1165">
        <f t="shared" si="30"/>
        <v>0</v>
      </c>
      <c r="Z137" s="1155">
        <f t="shared" si="32"/>
        <v>0</v>
      </c>
    </row>
    <row r="138" spans="2:26" x14ac:dyDescent="0.2">
      <c r="B138" s="198">
        <v>0</v>
      </c>
      <c r="C138" s="271" t="s">
        <v>1845</v>
      </c>
      <c r="D138" s="1058"/>
      <c r="E138" s="199"/>
      <c r="F138" s="862"/>
      <c r="G138" s="1178">
        <f t="shared" si="31"/>
        <v>0</v>
      </c>
      <c r="H138" s="1061">
        <v>0</v>
      </c>
      <c r="I138" s="1174">
        <f t="shared" si="26"/>
        <v>0</v>
      </c>
      <c r="J138" s="201"/>
      <c r="K138" s="199"/>
      <c r="L138" s="199"/>
      <c r="M138" s="199"/>
      <c r="N138" s="297">
        <v>0</v>
      </c>
      <c r="O138" s="301"/>
      <c r="P138" s="1165">
        <f t="shared" si="27"/>
        <v>0</v>
      </c>
      <c r="Q138" s="297">
        <v>0</v>
      </c>
      <c r="R138" s="301"/>
      <c r="S138" s="1165">
        <f t="shared" si="28"/>
        <v>0</v>
      </c>
      <c r="T138" s="297">
        <v>0</v>
      </c>
      <c r="U138" s="301"/>
      <c r="V138" s="1161">
        <f t="shared" si="29"/>
        <v>0</v>
      </c>
      <c r="W138" s="297">
        <v>0</v>
      </c>
      <c r="X138" s="301"/>
      <c r="Y138" s="1165">
        <f t="shared" si="30"/>
        <v>0</v>
      </c>
      <c r="Z138" s="1155">
        <f t="shared" si="32"/>
        <v>0</v>
      </c>
    </row>
    <row r="139" spans="2:26" x14ac:dyDescent="0.2">
      <c r="B139" s="198">
        <v>0</v>
      </c>
      <c r="C139" s="271" t="s">
        <v>1845</v>
      </c>
      <c r="D139" s="1058"/>
      <c r="E139" s="199"/>
      <c r="F139" s="862"/>
      <c r="G139" s="1178">
        <f>Z139</f>
        <v>0</v>
      </c>
      <c r="H139" s="1061">
        <v>0</v>
      </c>
      <c r="I139" s="1174">
        <f t="shared" si="26"/>
        <v>0</v>
      </c>
      <c r="J139" s="201"/>
      <c r="K139" s="199"/>
      <c r="L139" s="199"/>
      <c r="M139" s="199"/>
      <c r="N139" s="297">
        <v>0</v>
      </c>
      <c r="O139" s="301"/>
      <c r="P139" s="1165">
        <f t="shared" si="27"/>
        <v>0</v>
      </c>
      <c r="Q139" s="297">
        <v>0</v>
      </c>
      <c r="R139" s="301"/>
      <c r="S139" s="1165">
        <f t="shared" si="28"/>
        <v>0</v>
      </c>
      <c r="T139" s="297">
        <v>0</v>
      </c>
      <c r="U139" s="301"/>
      <c r="V139" s="1161">
        <f t="shared" si="29"/>
        <v>0</v>
      </c>
      <c r="W139" s="297">
        <v>0</v>
      </c>
      <c r="X139" s="301"/>
      <c r="Y139" s="1165">
        <f t="shared" si="30"/>
        <v>0</v>
      </c>
      <c r="Z139" s="1155">
        <f>IF(O139="SELECTED",((P139)),0)+IF(R139="SELECTED",((S139)),0)+IF(U139="SELECTED",((V139)),0)+IF(X139="SELECTED",((Y139)))</f>
        <v>0</v>
      </c>
    </row>
    <row r="140" spans="2:26" x14ac:dyDescent="0.2">
      <c r="B140" s="198">
        <v>0</v>
      </c>
      <c r="C140" s="271" t="s">
        <v>1845</v>
      </c>
      <c r="D140" s="1058"/>
      <c r="E140" s="199"/>
      <c r="F140" s="862"/>
      <c r="G140" s="1178">
        <f>Z140</f>
        <v>0</v>
      </c>
      <c r="H140" s="1061">
        <v>0</v>
      </c>
      <c r="I140" s="1174">
        <f t="shared" si="26"/>
        <v>0</v>
      </c>
      <c r="J140" s="201"/>
      <c r="K140" s="199"/>
      <c r="L140" s="199"/>
      <c r="M140" s="199"/>
      <c r="N140" s="297">
        <v>0</v>
      </c>
      <c r="O140" s="301"/>
      <c r="P140" s="1165">
        <f t="shared" si="27"/>
        <v>0</v>
      </c>
      <c r="Q140" s="297">
        <v>0</v>
      </c>
      <c r="R140" s="301"/>
      <c r="S140" s="1165">
        <f t="shared" si="28"/>
        <v>0</v>
      </c>
      <c r="T140" s="297">
        <v>0</v>
      </c>
      <c r="U140" s="301"/>
      <c r="V140" s="1161">
        <f t="shared" si="29"/>
        <v>0</v>
      </c>
      <c r="W140" s="297">
        <v>0</v>
      </c>
      <c r="X140" s="301"/>
      <c r="Y140" s="1165">
        <f t="shared" si="30"/>
        <v>0</v>
      </c>
      <c r="Z140" s="1155">
        <f>IF(O140="SELECTED",((P140)),0)+IF(R140="SELECTED",((S140)),0)+IF(U140="SELECTED",((V140)),0)+IF(X140="SELECTED",((Y140)))</f>
        <v>0</v>
      </c>
    </row>
    <row r="141" spans="2:26" x14ac:dyDescent="0.2">
      <c r="B141" s="198">
        <v>0</v>
      </c>
      <c r="C141" s="271" t="s">
        <v>1845</v>
      </c>
      <c r="D141" s="1058"/>
      <c r="E141" s="199"/>
      <c r="F141" s="862"/>
      <c r="G141" s="1178">
        <f>Z141</f>
        <v>0</v>
      </c>
      <c r="H141" s="1061">
        <v>0</v>
      </c>
      <c r="I141" s="1174">
        <f t="shared" si="26"/>
        <v>0</v>
      </c>
      <c r="J141" s="201"/>
      <c r="K141" s="199"/>
      <c r="L141" s="199"/>
      <c r="M141" s="199"/>
      <c r="N141" s="297">
        <v>0</v>
      </c>
      <c r="O141" s="301"/>
      <c r="P141" s="1165">
        <f t="shared" si="27"/>
        <v>0</v>
      </c>
      <c r="Q141" s="297">
        <v>0</v>
      </c>
      <c r="R141" s="301"/>
      <c r="S141" s="1165">
        <f t="shared" si="28"/>
        <v>0</v>
      </c>
      <c r="T141" s="297">
        <v>0</v>
      </c>
      <c r="U141" s="301"/>
      <c r="V141" s="1161">
        <f t="shared" si="29"/>
        <v>0</v>
      </c>
      <c r="W141" s="297">
        <v>0</v>
      </c>
      <c r="X141" s="301"/>
      <c r="Y141" s="1165">
        <f t="shared" si="30"/>
        <v>0</v>
      </c>
      <c r="Z141" s="1155">
        <f>IF(O141="SELECTED",((P141)),0)+IF(R141="SELECTED",((S141)),0)+IF(U141="SELECTED",((V141)),0)+IF(X141="SELECTED",((Y141)))</f>
        <v>0</v>
      </c>
    </row>
    <row r="142" spans="2:26" ht="13.5" thickBot="1" x14ac:dyDescent="0.25">
      <c r="B142" s="202">
        <v>0</v>
      </c>
      <c r="C142" s="487" t="s">
        <v>1845</v>
      </c>
      <c r="D142" s="1059"/>
      <c r="E142" s="203"/>
      <c r="F142" s="1201"/>
      <c r="G142" s="1179">
        <f>Z142</f>
        <v>0</v>
      </c>
      <c r="H142" s="1061">
        <v>0</v>
      </c>
      <c r="I142" s="1180">
        <f t="shared" si="26"/>
        <v>0</v>
      </c>
      <c r="J142" s="204"/>
      <c r="K142" s="203"/>
      <c r="L142" s="203"/>
      <c r="M142" s="203"/>
      <c r="N142" s="299">
        <v>0</v>
      </c>
      <c r="O142" s="295"/>
      <c r="P142" s="1170">
        <f t="shared" si="27"/>
        <v>0</v>
      </c>
      <c r="Q142" s="299">
        <v>0</v>
      </c>
      <c r="R142" s="295"/>
      <c r="S142" s="1170">
        <f t="shared" si="28"/>
        <v>0</v>
      </c>
      <c r="T142" s="299">
        <v>0</v>
      </c>
      <c r="U142" s="295"/>
      <c r="V142" s="1170">
        <f t="shared" si="29"/>
        <v>0</v>
      </c>
      <c r="W142" s="299">
        <v>0</v>
      </c>
      <c r="X142" s="295"/>
      <c r="Y142" s="1170">
        <f t="shared" si="30"/>
        <v>0</v>
      </c>
      <c r="Z142" s="1156">
        <f>IF(O142="SELECTED",((P142)),0)+IF(R142="SELECTED",((S142)),0)+IF(U142="SELECTED",((V142)),0)+IF(X142="SELECTED",((Y142)))</f>
        <v>0</v>
      </c>
    </row>
    <row r="143" spans="2:26" x14ac:dyDescent="0.2">
      <c r="H143" s="165"/>
    </row>
    <row r="144" spans="2:26" x14ac:dyDescent="0.2">
      <c r="H144" s="165"/>
    </row>
    <row r="145" spans="8:8" x14ac:dyDescent="0.2">
      <c r="H145" s="165"/>
    </row>
    <row r="146" spans="8:8" x14ac:dyDescent="0.2">
      <c r="H146" s="165"/>
    </row>
    <row r="147" spans="8:8" x14ac:dyDescent="0.2">
      <c r="H147" s="165"/>
    </row>
    <row r="148" spans="8:8" x14ac:dyDescent="0.2">
      <c r="H148" s="165"/>
    </row>
    <row r="149" spans="8:8" x14ac:dyDescent="0.2">
      <c r="H149" s="165"/>
    </row>
    <row r="150" spans="8:8" x14ac:dyDescent="0.2">
      <c r="H150" s="165"/>
    </row>
    <row r="151" spans="8:8" x14ac:dyDescent="0.2">
      <c r="H151" s="165"/>
    </row>
    <row r="152" spans="8:8" x14ac:dyDescent="0.2">
      <c r="H152" s="165"/>
    </row>
    <row r="153" spans="8:8" x14ac:dyDescent="0.2">
      <c r="H153" s="165"/>
    </row>
    <row r="154" spans="8:8" x14ac:dyDescent="0.2">
      <c r="H154" s="165"/>
    </row>
    <row r="155" spans="8:8" x14ac:dyDescent="0.2">
      <c r="H155" s="165"/>
    </row>
    <row r="156" spans="8:8" x14ac:dyDescent="0.2">
      <c r="H156" s="165"/>
    </row>
    <row r="157" spans="8:8" x14ac:dyDescent="0.2">
      <c r="H157" s="165"/>
    </row>
    <row r="158" spans="8:8" x14ac:dyDescent="0.2">
      <c r="H158" s="165"/>
    </row>
    <row r="159" spans="8:8" x14ac:dyDescent="0.2">
      <c r="H159" s="165"/>
    </row>
    <row r="160" spans="8:8" x14ac:dyDescent="0.2">
      <c r="H160" s="165"/>
    </row>
    <row r="161" spans="8:8" x14ac:dyDescent="0.2">
      <c r="H161" s="165"/>
    </row>
    <row r="162" spans="8:8" x14ac:dyDescent="0.2">
      <c r="H162" s="165"/>
    </row>
    <row r="163" spans="8:8" x14ac:dyDescent="0.2">
      <c r="H163" s="165"/>
    </row>
    <row r="164" spans="8:8" x14ac:dyDescent="0.2">
      <c r="H164" s="165"/>
    </row>
    <row r="165" spans="8:8" x14ac:dyDescent="0.2">
      <c r="H165" s="165"/>
    </row>
    <row r="166" spans="8:8" x14ac:dyDescent="0.2">
      <c r="H166" s="165"/>
    </row>
    <row r="167" spans="8:8" x14ac:dyDescent="0.2">
      <c r="H167" s="165"/>
    </row>
    <row r="168" spans="8:8" x14ac:dyDescent="0.2">
      <c r="H168" s="165"/>
    </row>
    <row r="169" spans="8:8" x14ac:dyDescent="0.2">
      <c r="H169" s="165"/>
    </row>
    <row r="170" spans="8:8" x14ac:dyDescent="0.2">
      <c r="H170" s="165"/>
    </row>
    <row r="171" spans="8:8" x14ac:dyDescent="0.2">
      <c r="H171" s="165"/>
    </row>
    <row r="172" spans="8:8" x14ac:dyDescent="0.2">
      <c r="H172" s="165"/>
    </row>
    <row r="173" spans="8:8" x14ac:dyDescent="0.2">
      <c r="H173" s="165"/>
    </row>
    <row r="174" spans="8:8" x14ac:dyDescent="0.2">
      <c r="H174" s="165"/>
    </row>
    <row r="175" spans="8:8" x14ac:dyDescent="0.2">
      <c r="H175" s="165"/>
    </row>
    <row r="176" spans="8:8" x14ac:dyDescent="0.2">
      <c r="H176" s="165"/>
    </row>
    <row r="177" spans="8:8" x14ac:dyDescent="0.2">
      <c r="H177" s="165"/>
    </row>
    <row r="178" spans="8:8" x14ac:dyDescent="0.2">
      <c r="H178" s="165"/>
    </row>
    <row r="179" spans="8:8" x14ac:dyDescent="0.2">
      <c r="H179" s="165"/>
    </row>
    <row r="180" spans="8:8" x14ac:dyDescent="0.2">
      <c r="H180" s="165"/>
    </row>
    <row r="181" spans="8:8" x14ac:dyDescent="0.2">
      <c r="H181" s="165"/>
    </row>
    <row r="182" spans="8:8" x14ac:dyDescent="0.2">
      <c r="H182" s="165"/>
    </row>
    <row r="183" spans="8:8" x14ac:dyDescent="0.2">
      <c r="H183" s="165"/>
    </row>
    <row r="184" spans="8:8" x14ac:dyDescent="0.2">
      <c r="H184" s="165"/>
    </row>
    <row r="185" spans="8:8" x14ac:dyDescent="0.2">
      <c r="H185" s="165"/>
    </row>
    <row r="186" spans="8:8" x14ac:dyDescent="0.2">
      <c r="H186" s="165"/>
    </row>
    <row r="187" spans="8:8" x14ac:dyDescent="0.2">
      <c r="H187" s="165"/>
    </row>
    <row r="188" spans="8:8" x14ac:dyDescent="0.2">
      <c r="H188" s="165"/>
    </row>
    <row r="189" spans="8:8" x14ac:dyDescent="0.2">
      <c r="H189" s="165"/>
    </row>
    <row r="190" spans="8:8" x14ac:dyDescent="0.2">
      <c r="H190" s="165"/>
    </row>
    <row r="191" spans="8:8" x14ac:dyDescent="0.2">
      <c r="H191" s="165"/>
    </row>
    <row r="192" spans="8:8" x14ac:dyDescent="0.2">
      <c r="H192" s="165"/>
    </row>
    <row r="193" spans="8:8" x14ac:dyDescent="0.2">
      <c r="H193" s="165"/>
    </row>
    <row r="194" spans="8:8" x14ac:dyDescent="0.2">
      <c r="H194" s="165"/>
    </row>
    <row r="195" spans="8:8" x14ac:dyDescent="0.2">
      <c r="H195" s="165"/>
    </row>
    <row r="196" spans="8:8" x14ac:dyDescent="0.2">
      <c r="H196" s="165"/>
    </row>
    <row r="197" spans="8:8" x14ac:dyDescent="0.2">
      <c r="H197" s="165"/>
    </row>
    <row r="198" spans="8:8" x14ac:dyDescent="0.2">
      <c r="H198" s="165"/>
    </row>
    <row r="199" spans="8:8" x14ac:dyDescent="0.2">
      <c r="H199" s="165"/>
    </row>
    <row r="200" spans="8:8" x14ac:dyDescent="0.2">
      <c r="H200" s="165"/>
    </row>
    <row r="201" spans="8:8" x14ac:dyDescent="0.2">
      <c r="H201" s="165"/>
    </row>
    <row r="202" spans="8:8" x14ac:dyDescent="0.2">
      <c r="H202" s="165"/>
    </row>
    <row r="203" spans="8:8" x14ac:dyDescent="0.2">
      <c r="H203" s="165"/>
    </row>
    <row r="204" spans="8:8" x14ac:dyDescent="0.2">
      <c r="H204" s="165"/>
    </row>
    <row r="205" spans="8:8" x14ac:dyDescent="0.2">
      <c r="H205" s="165"/>
    </row>
    <row r="206" spans="8:8" x14ac:dyDescent="0.2">
      <c r="H206" s="165"/>
    </row>
    <row r="207" spans="8:8" x14ac:dyDescent="0.2">
      <c r="H207" s="165"/>
    </row>
    <row r="208" spans="8:8" x14ac:dyDescent="0.2">
      <c r="H208" s="165"/>
    </row>
    <row r="209" spans="8:8" x14ac:dyDescent="0.2">
      <c r="H209" s="165"/>
    </row>
    <row r="210" spans="8:8" x14ac:dyDescent="0.2">
      <c r="H210" s="165"/>
    </row>
    <row r="211" spans="8:8" x14ac:dyDescent="0.2">
      <c r="H211" s="165"/>
    </row>
    <row r="212" spans="8:8" x14ac:dyDescent="0.2">
      <c r="H212" s="165"/>
    </row>
    <row r="213" spans="8:8" x14ac:dyDescent="0.2">
      <c r="H213" s="165"/>
    </row>
    <row r="214" spans="8:8" x14ac:dyDescent="0.2">
      <c r="H214" s="165"/>
    </row>
    <row r="215" spans="8:8" x14ac:dyDescent="0.2">
      <c r="H215" s="165"/>
    </row>
    <row r="216" spans="8:8" x14ac:dyDescent="0.2">
      <c r="H216" s="165"/>
    </row>
    <row r="217" spans="8:8" x14ac:dyDescent="0.2">
      <c r="H217" s="165"/>
    </row>
    <row r="218" spans="8:8" x14ac:dyDescent="0.2">
      <c r="H218" s="165"/>
    </row>
    <row r="219" spans="8:8" x14ac:dyDescent="0.2">
      <c r="H219" s="165"/>
    </row>
    <row r="220" spans="8:8" x14ac:dyDescent="0.2">
      <c r="H220" s="165"/>
    </row>
    <row r="221" spans="8:8" x14ac:dyDescent="0.2">
      <c r="H221" s="165"/>
    </row>
    <row r="222" spans="8:8" x14ac:dyDescent="0.2">
      <c r="H222" s="165"/>
    </row>
    <row r="223" spans="8:8" x14ac:dyDescent="0.2">
      <c r="H223" s="165"/>
    </row>
    <row r="224" spans="8:8" x14ac:dyDescent="0.2">
      <c r="H224" s="165"/>
    </row>
    <row r="225" spans="8:8" x14ac:dyDescent="0.2">
      <c r="H225" s="165"/>
    </row>
    <row r="226" spans="8:8" x14ac:dyDescent="0.2">
      <c r="H226" s="165"/>
    </row>
    <row r="227" spans="8:8" x14ac:dyDescent="0.2">
      <c r="H227" s="165"/>
    </row>
    <row r="228" spans="8:8" x14ac:dyDescent="0.2">
      <c r="H228" s="165"/>
    </row>
    <row r="229" spans="8:8" x14ac:dyDescent="0.2">
      <c r="H229" s="165"/>
    </row>
    <row r="230" spans="8:8" x14ac:dyDescent="0.2">
      <c r="H230" s="165"/>
    </row>
    <row r="231" spans="8:8" x14ac:dyDescent="0.2">
      <c r="H231" s="165"/>
    </row>
    <row r="232" spans="8:8" x14ac:dyDescent="0.2">
      <c r="H232" s="165"/>
    </row>
    <row r="233" spans="8:8" x14ac:dyDescent="0.2">
      <c r="H233" s="165"/>
    </row>
    <row r="234" spans="8:8" x14ac:dyDescent="0.2">
      <c r="H234" s="165"/>
    </row>
    <row r="235" spans="8:8" x14ac:dyDescent="0.2">
      <c r="H235" s="165"/>
    </row>
    <row r="236" spans="8:8" x14ac:dyDescent="0.2">
      <c r="H236" s="165"/>
    </row>
    <row r="237" spans="8:8" x14ac:dyDescent="0.2">
      <c r="H237" s="165"/>
    </row>
    <row r="238" spans="8:8" x14ac:dyDescent="0.2">
      <c r="H238" s="165"/>
    </row>
    <row r="239" spans="8:8" x14ac:dyDescent="0.2">
      <c r="H239" s="165"/>
    </row>
    <row r="240" spans="8:8" x14ac:dyDescent="0.2">
      <c r="H240" s="165"/>
    </row>
    <row r="241" spans="8:8" x14ac:dyDescent="0.2">
      <c r="H241" s="165"/>
    </row>
    <row r="242" spans="8:8" x14ac:dyDescent="0.2">
      <c r="H242" s="165"/>
    </row>
    <row r="243" spans="8:8" x14ac:dyDescent="0.2">
      <c r="H243" s="165"/>
    </row>
    <row r="244" spans="8:8" x14ac:dyDescent="0.2">
      <c r="H244" s="165"/>
    </row>
    <row r="245" spans="8:8" x14ac:dyDescent="0.2">
      <c r="H245" s="165"/>
    </row>
    <row r="246" spans="8:8" x14ac:dyDescent="0.2">
      <c r="H246" s="165"/>
    </row>
    <row r="247" spans="8:8" x14ac:dyDescent="0.2">
      <c r="H247" s="165"/>
    </row>
    <row r="248" spans="8:8" x14ac:dyDescent="0.2">
      <c r="H248" s="165"/>
    </row>
    <row r="249" spans="8:8" x14ac:dyDescent="0.2">
      <c r="H249" s="165"/>
    </row>
    <row r="250" spans="8:8" x14ac:dyDescent="0.2">
      <c r="H250" s="165"/>
    </row>
    <row r="251" spans="8:8" x14ac:dyDescent="0.2">
      <c r="H251" s="165"/>
    </row>
    <row r="252" spans="8:8" x14ac:dyDescent="0.2">
      <c r="H252" s="165"/>
    </row>
    <row r="253" spans="8:8" x14ac:dyDescent="0.2">
      <c r="H253" s="165"/>
    </row>
    <row r="254" spans="8:8" x14ac:dyDescent="0.2">
      <c r="H254" s="165"/>
    </row>
    <row r="255" spans="8:8" x14ac:dyDescent="0.2">
      <c r="H255" s="165"/>
    </row>
    <row r="256" spans="8:8" x14ac:dyDescent="0.2">
      <c r="H256" s="165"/>
    </row>
    <row r="257" spans="8:8" x14ac:dyDescent="0.2">
      <c r="H257" s="165"/>
    </row>
    <row r="258" spans="8:8" x14ac:dyDescent="0.2">
      <c r="H258" s="165"/>
    </row>
    <row r="259" spans="8:8" x14ac:dyDescent="0.2">
      <c r="H259" s="165"/>
    </row>
    <row r="260" spans="8:8" x14ac:dyDescent="0.2">
      <c r="H260" s="165"/>
    </row>
    <row r="261" spans="8:8" x14ac:dyDescent="0.2">
      <c r="H261" s="165"/>
    </row>
    <row r="262" spans="8:8" x14ac:dyDescent="0.2">
      <c r="H262" s="165"/>
    </row>
    <row r="263" spans="8:8" x14ac:dyDescent="0.2">
      <c r="H263" s="165"/>
    </row>
    <row r="264" spans="8:8" x14ac:dyDescent="0.2">
      <c r="H264" s="165"/>
    </row>
    <row r="265" spans="8:8" x14ac:dyDescent="0.2">
      <c r="H265" s="165"/>
    </row>
    <row r="266" spans="8:8" x14ac:dyDescent="0.2">
      <c r="H266" s="165"/>
    </row>
    <row r="267" spans="8:8" x14ac:dyDescent="0.2">
      <c r="H267" s="165"/>
    </row>
    <row r="268" spans="8:8" x14ac:dyDescent="0.2">
      <c r="H268" s="165"/>
    </row>
    <row r="269" spans="8:8" x14ac:dyDescent="0.2">
      <c r="H269" s="165"/>
    </row>
    <row r="270" spans="8:8" x14ac:dyDescent="0.2">
      <c r="H270" s="165"/>
    </row>
    <row r="271" spans="8:8" x14ac:dyDescent="0.2">
      <c r="H271" s="165"/>
    </row>
    <row r="272" spans="8:8" x14ac:dyDescent="0.2">
      <c r="H272" s="165"/>
    </row>
    <row r="273" spans="8:8" x14ac:dyDescent="0.2">
      <c r="H273" s="165"/>
    </row>
    <row r="274" spans="8:8" x14ac:dyDescent="0.2">
      <c r="H274" s="165"/>
    </row>
    <row r="275" spans="8:8" x14ac:dyDescent="0.2">
      <c r="H275" s="165"/>
    </row>
    <row r="276" spans="8:8" x14ac:dyDescent="0.2">
      <c r="H276" s="165"/>
    </row>
    <row r="277" spans="8:8" x14ac:dyDescent="0.2">
      <c r="H277" s="165"/>
    </row>
    <row r="278" spans="8:8" x14ac:dyDescent="0.2">
      <c r="H278" s="165"/>
    </row>
    <row r="279" spans="8:8" x14ac:dyDescent="0.2">
      <c r="H279" s="165"/>
    </row>
    <row r="280" spans="8:8" x14ac:dyDescent="0.2">
      <c r="H280" s="165"/>
    </row>
    <row r="281" spans="8:8" x14ac:dyDescent="0.2">
      <c r="H281" s="165"/>
    </row>
    <row r="282" spans="8:8" x14ac:dyDescent="0.2">
      <c r="H282" s="165"/>
    </row>
    <row r="283" spans="8:8" x14ac:dyDescent="0.2">
      <c r="H283" s="165"/>
    </row>
    <row r="284" spans="8:8" x14ac:dyDescent="0.2">
      <c r="H284" s="165"/>
    </row>
    <row r="285" spans="8:8" x14ac:dyDescent="0.2">
      <c r="H285" s="165"/>
    </row>
    <row r="286" spans="8:8" x14ac:dyDescent="0.2">
      <c r="H286" s="165"/>
    </row>
    <row r="287" spans="8:8" x14ac:dyDescent="0.2">
      <c r="H287" s="165"/>
    </row>
    <row r="288" spans="8:8" x14ac:dyDescent="0.2">
      <c r="H288" s="165"/>
    </row>
    <row r="289" spans="8:8" x14ac:dyDescent="0.2">
      <c r="H289" s="165"/>
    </row>
    <row r="290" spans="8:8" x14ac:dyDescent="0.2">
      <c r="H290" s="165"/>
    </row>
    <row r="291" spans="8:8" x14ac:dyDescent="0.2">
      <c r="H291" s="165"/>
    </row>
    <row r="292" spans="8:8" x14ac:dyDescent="0.2">
      <c r="H292" s="165"/>
    </row>
    <row r="293" spans="8:8" x14ac:dyDescent="0.2">
      <c r="H293" s="165"/>
    </row>
    <row r="294" spans="8:8" x14ac:dyDescent="0.2">
      <c r="H294" s="165"/>
    </row>
  </sheetData>
  <sheetProtection formatCells="0" formatColumns="0" formatRows="0" insertColumns="0" insertRows="0" deleteColumns="0" deleteRows="0" selectLockedCells="1" sort="0" autoFilter="0" pivotTables="0"/>
  <customSheetViews>
    <customSheetView guid="{C88CD669-B349-4A86-8041-5686C62E698E}" fitToPage="1">
      <pane ySplit="8" topLeftCell="A9" activePane="bottomLeft" state="frozen"/>
      <selection pane="bottomLeft" activeCell="A9" sqref="A9"/>
      <pageMargins left="0.75" right="0.25" top="1" bottom="1" header="0.5" footer="0.5"/>
      <printOptions horizontalCentered="1" verticalCentered="1" gridLines="1"/>
      <pageSetup scale="63"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8" sqref="E8"/>
      <pageMargins left="0.75" right="0.25" top="1" bottom="1" header="0.5" footer="0.5"/>
      <printOptions horizontalCentered="1" verticalCentered="1" gridLines="1"/>
      <pageSetup scale="70" fitToHeight="0" orientation="portrait" horizontalDpi="300" verticalDpi="300" r:id="rId2"/>
      <headerFooter alignWithMargins="0"/>
    </customSheetView>
    <customSheetView guid="{198460B7-6D23-4AED-A971-BF824A975991}" fitToPage="1">
      <pane ySplit="7" topLeftCell="A8" activePane="bottomLeft" state="frozen"/>
      <selection pane="bottomLeft" activeCell="B19" sqref="B19"/>
      <pageMargins left="0.75" right="0.25" top="1" bottom="1" header="0.5" footer="0.5"/>
      <printOptions horizontalCentered="1" verticalCentered="1" gridLines="1"/>
      <pageSetup scale="68" fitToHeight="0" orientation="portrait" horizontalDpi="300" verticalDpi="300" r:id="rId3"/>
      <headerFooter alignWithMargins="0"/>
    </customSheetView>
  </customSheetViews>
  <mergeCells count="19">
    <mergeCell ref="F17:I17"/>
    <mergeCell ref="K17:Z17"/>
    <mergeCell ref="B1:Z1"/>
    <mergeCell ref="K2:M2"/>
    <mergeCell ref="W3:Y3"/>
    <mergeCell ref="W6:Y6"/>
    <mergeCell ref="N3:P3"/>
    <mergeCell ref="N6:P6"/>
    <mergeCell ref="Q3:S3"/>
    <mergeCell ref="Q6:S6"/>
    <mergeCell ref="N5:P5"/>
    <mergeCell ref="Q5:S5"/>
    <mergeCell ref="W5:Y5"/>
    <mergeCell ref="B6:C6"/>
    <mergeCell ref="T3:V3"/>
    <mergeCell ref="T5:V5"/>
    <mergeCell ref="T6:V6"/>
    <mergeCell ref="F8:I8"/>
    <mergeCell ref="K8:Z8"/>
  </mergeCells>
  <phoneticPr fontId="0" type="noConversion"/>
  <conditionalFormatting sqref="G18">
    <cfRule type="cellIs" dxfId="106" priority="181" operator="equal">
      <formula>0</formula>
    </cfRule>
    <cfRule type="cellIs" dxfId="105" priority="182" operator="equal">
      <formula>0</formula>
    </cfRule>
    <cfRule type="expression" dxfId="104" priority="190">
      <formula>$G$18=0</formula>
    </cfRule>
    <cfRule type="cellIs" priority="191" operator="equal">
      <formula>0</formula>
    </cfRule>
  </conditionalFormatting>
  <conditionalFormatting sqref="G19">
    <cfRule type="expression" dxfId="103" priority="189">
      <formula>$G$19=0</formula>
    </cfRule>
  </conditionalFormatting>
  <conditionalFormatting sqref="G20">
    <cfRule type="expression" dxfId="102" priority="188">
      <formula>$G$20=0</formula>
    </cfRule>
  </conditionalFormatting>
  <conditionalFormatting sqref="G139:G142 G100:G123 G89:G97 G18:G55 G57">
    <cfRule type="cellIs" dxfId="101" priority="185" operator="equal">
      <formula>0</formula>
    </cfRule>
    <cfRule type="cellIs" dxfId="100" priority="186" operator="equal">
      <formula>0</formula>
    </cfRule>
    <cfRule type="cellIs" dxfId="99" priority="187" operator="equal">
      <formula>0</formula>
    </cfRule>
  </conditionalFormatting>
  <conditionalFormatting sqref="G9">
    <cfRule type="cellIs" dxfId="98" priority="184" operator="equal">
      <formula>0</formula>
    </cfRule>
  </conditionalFormatting>
  <conditionalFormatting sqref="G10:G16">
    <cfRule type="cellIs" dxfId="97" priority="183" operator="equal">
      <formula>0</formula>
    </cfRule>
  </conditionalFormatting>
  <conditionalFormatting sqref="I9:I16">
    <cfRule type="cellIs" dxfId="96" priority="180" operator="equal">
      <formula>0</formula>
    </cfRule>
  </conditionalFormatting>
  <conditionalFormatting sqref="I139:I142 I100:I123 I89:I97 I18:I55 I57">
    <cfRule type="cellIs" dxfId="95" priority="179" operator="equal">
      <formula>0</formula>
    </cfRule>
  </conditionalFormatting>
  <conditionalFormatting sqref="G6">
    <cfRule type="cellIs" dxfId="94" priority="177" operator="equal">
      <formula>0</formula>
    </cfRule>
  </conditionalFormatting>
  <conditionalFormatting sqref="F6">
    <cfRule type="cellIs" dxfId="93" priority="176" operator="equal">
      <formula>0</formula>
    </cfRule>
  </conditionalFormatting>
  <conditionalFormatting sqref="O9">
    <cfRule type="containsText" dxfId="92" priority="49" operator="containsText" text="SELECTED">
      <formula>NOT(ISERROR(SEARCH("SELECTED",O9)))</formula>
    </cfRule>
  </conditionalFormatting>
  <conditionalFormatting sqref="X9 U9 R9">
    <cfRule type="containsText" dxfId="91" priority="48" operator="containsText" text="SELECTED">
      <formula>NOT(ISERROR(SEARCH("SELECTED",R9)))</formula>
    </cfRule>
  </conditionalFormatting>
  <conditionalFormatting sqref="X18 U18 R18 O18">
    <cfRule type="containsText" dxfId="90" priority="47" operator="containsText" text="SELECTED">
      <formula>NOT(ISERROR(SEARCH("SELECTED",O18)))</formula>
    </cfRule>
  </conditionalFormatting>
  <conditionalFormatting sqref="O10:O16">
    <cfRule type="containsText" dxfId="89" priority="46" operator="containsText" text="SELECTED">
      <formula>NOT(ISERROR(SEARCH("SELECTED",O10)))</formula>
    </cfRule>
  </conditionalFormatting>
  <conditionalFormatting sqref="X10:X16 U10:U16 R10:R16">
    <cfRule type="containsText" dxfId="88" priority="45" operator="containsText" text="SELECTED">
      <formula>NOT(ISERROR(SEARCH("SELECTED",R10)))</formula>
    </cfRule>
  </conditionalFormatting>
  <conditionalFormatting sqref="O139:O142 O100:O123 O89:O97 O19:O55 O57">
    <cfRule type="containsText" dxfId="87" priority="44" operator="containsText" text="SELECTED">
      <formula>NOT(ISERROR(SEARCH("SELECTED",O19)))</formula>
    </cfRule>
  </conditionalFormatting>
  <conditionalFormatting sqref="R139:R142 R100:R123 R89:R97 R57 R19:R55">
    <cfRule type="containsText" dxfId="86" priority="43" operator="containsText" text="SELECTED">
      <formula>NOT(ISERROR(SEARCH("SELECTED",R19)))</formula>
    </cfRule>
  </conditionalFormatting>
  <conditionalFormatting sqref="U139:U142 U100:U123 U89:U97 U19:U55 U57">
    <cfRule type="containsText" dxfId="85" priority="42" operator="containsText" text="SELECTED">
      <formula>NOT(ISERROR(SEARCH("SELECTED",U19)))</formula>
    </cfRule>
  </conditionalFormatting>
  <conditionalFormatting sqref="X139:X142 X100:X123 X89:X97 X19:X55 X57">
    <cfRule type="containsText" dxfId="84" priority="41" operator="containsText" text="SELECTED">
      <formula>NOT(ISERROR(SEARCH("SELECTED",X19)))</formula>
    </cfRule>
  </conditionalFormatting>
  <conditionalFormatting sqref="G124:G138">
    <cfRule type="cellIs" dxfId="83" priority="38" operator="equal">
      <formula>0</formula>
    </cfRule>
    <cfRule type="cellIs" dxfId="82" priority="39" operator="equal">
      <formula>0</formula>
    </cfRule>
    <cfRule type="cellIs" dxfId="81" priority="40" operator="equal">
      <formula>0</formula>
    </cfRule>
  </conditionalFormatting>
  <conditionalFormatting sqref="I124:I138">
    <cfRule type="cellIs" dxfId="80" priority="37" operator="equal">
      <formula>0</formula>
    </cfRule>
  </conditionalFormatting>
  <conditionalFormatting sqref="O124:O138">
    <cfRule type="containsText" dxfId="79" priority="36" operator="containsText" text="SELECTED">
      <formula>NOT(ISERROR(SEARCH("SELECTED",O124)))</formula>
    </cfRule>
  </conditionalFormatting>
  <conditionalFormatting sqref="R124:R138">
    <cfRule type="containsText" dxfId="78" priority="35" operator="containsText" text="SELECTED">
      <formula>NOT(ISERROR(SEARCH("SELECTED",R124)))</formula>
    </cfRule>
  </conditionalFormatting>
  <conditionalFormatting sqref="U124:U138">
    <cfRule type="containsText" dxfId="77" priority="34" operator="containsText" text="SELECTED">
      <formula>NOT(ISERROR(SEARCH("SELECTED",U124)))</formula>
    </cfRule>
  </conditionalFormatting>
  <conditionalFormatting sqref="X124:X138">
    <cfRule type="containsText" dxfId="76" priority="33" operator="containsText" text="SELECTED">
      <formula>NOT(ISERROR(SEARCH("SELECTED",X124)))</formula>
    </cfRule>
  </conditionalFormatting>
  <conditionalFormatting sqref="G98:G99">
    <cfRule type="cellIs" dxfId="75" priority="30" operator="equal">
      <formula>0</formula>
    </cfRule>
    <cfRule type="cellIs" dxfId="74" priority="31" operator="equal">
      <formula>0</formula>
    </cfRule>
    <cfRule type="cellIs" dxfId="73" priority="32" operator="equal">
      <formula>0</formula>
    </cfRule>
  </conditionalFormatting>
  <conditionalFormatting sqref="I98:I99">
    <cfRule type="cellIs" dxfId="72" priority="29" operator="equal">
      <formula>0</formula>
    </cfRule>
  </conditionalFormatting>
  <conditionalFormatting sqref="O98:O99">
    <cfRule type="containsText" dxfId="71" priority="28" operator="containsText" text="SELECTED">
      <formula>NOT(ISERROR(SEARCH("SELECTED",O98)))</formula>
    </cfRule>
  </conditionalFormatting>
  <conditionalFormatting sqref="R98:R99">
    <cfRule type="containsText" dxfId="70" priority="27" operator="containsText" text="SELECTED">
      <formula>NOT(ISERROR(SEARCH("SELECTED",R98)))</formula>
    </cfRule>
  </conditionalFormatting>
  <conditionalFormatting sqref="U98:U99">
    <cfRule type="containsText" dxfId="69" priority="26" operator="containsText" text="SELECTED">
      <formula>NOT(ISERROR(SEARCH("SELECTED",U98)))</formula>
    </cfRule>
  </conditionalFormatting>
  <conditionalFormatting sqref="X98:X99">
    <cfRule type="containsText" dxfId="68" priority="25" operator="containsText" text="SELECTED">
      <formula>NOT(ISERROR(SEARCH("SELECTED",X98)))</formula>
    </cfRule>
  </conditionalFormatting>
  <conditionalFormatting sqref="G69:G88 G58:G66">
    <cfRule type="cellIs" dxfId="67" priority="22" operator="equal">
      <formula>0</formula>
    </cfRule>
    <cfRule type="cellIs" dxfId="66" priority="23" operator="equal">
      <formula>0</formula>
    </cfRule>
    <cfRule type="cellIs" dxfId="65" priority="24" operator="equal">
      <formula>0</formula>
    </cfRule>
  </conditionalFormatting>
  <conditionalFormatting sqref="I69:I88 I58:I66">
    <cfRule type="cellIs" dxfId="64" priority="21" operator="equal">
      <formula>0</formula>
    </cfRule>
  </conditionalFormatting>
  <conditionalFormatting sqref="O69:O88 O58:O66">
    <cfRule type="containsText" dxfId="63" priority="20" operator="containsText" text="SELECTED">
      <formula>NOT(ISERROR(SEARCH("SELECTED",O58)))</formula>
    </cfRule>
  </conditionalFormatting>
  <conditionalFormatting sqref="R58:R88">
    <cfRule type="containsText" dxfId="62" priority="19" operator="containsText" text="SELECTED">
      <formula>NOT(ISERROR(SEARCH("SELECTED",R58)))</formula>
    </cfRule>
  </conditionalFormatting>
  <conditionalFormatting sqref="U69:U88 U58:U66">
    <cfRule type="containsText" dxfId="61" priority="18" operator="containsText" text="SELECTED">
      <formula>NOT(ISERROR(SEARCH("SELECTED",U58)))</formula>
    </cfRule>
  </conditionalFormatting>
  <conditionalFormatting sqref="X69:X88 X58:X66">
    <cfRule type="containsText" dxfId="60" priority="17" operator="containsText" text="SELECTED">
      <formula>NOT(ISERROR(SEARCH("SELECTED",X58)))</formula>
    </cfRule>
  </conditionalFormatting>
  <conditionalFormatting sqref="G67:G68">
    <cfRule type="cellIs" dxfId="59" priority="14" operator="equal">
      <formula>0</formula>
    </cfRule>
    <cfRule type="cellIs" dxfId="58" priority="15" operator="equal">
      <formula>0</formula>
    </cfRule>
    <cfRule type="cellIs" dxfId="57" priority="16" operator="equal">
      <formula>0</formula>
    </cfRule>
  </conditionalFormatting>
  <conditionalFormatting sqref="I67:I68">
    <cfRule type="cellIs" dxfId="56" priority="13" operator="equal">
      <formula>0</formula>
    </cfRule>
  </conditionalFormatting>
  <conditionalFormatting sqref="O67:O68">
    <cfRule type="containsText" dxfId="55" priority="12" operator="containsText" text="SELECTED">
      <formula>NOT(ISERROR(SEARCH("SELECTED",O67)))</formula>
    </cfRule>
  </conditionalFormatting>
  <conditionalFormatting sqref="U67:U68">
    <cfRule type="containsText" dxfId="54" priority="10" operator="containsText" text="SELECTED">
      <formula>NOT(ISERROR(SEARCH("SELECTED",U67)))</formula>
    </cfRule>
  </conditionalFormatting>
  <conditionalFormatting sqref="X67:X68">
    <cfRule type="containsText" dxfId="53" priority="9" operator="containsText" text="SELECTED">
      <formula>NOT(ISERROR(SEARCH("SELECTED",X67)))</formula>
    </cfRule>
  </conditionalFormatting>
  <conditionalFormatting sqref="G56">
    <cfRule type="cellIs" dxfId="52" priority="6" operator="equal">
      <formula>0</formula>
    </cfRule>
    <cfRule type="cellIs" dxfId="51" priority="7" operator="equal">
      <formula>0</formula>
    </cfRule>
    <cfRule type="cellIs" dxfId="50" priority="8" operator="equal">
      <formula>0</formula>
    </cfRule>
  </conditionalFormatting>
  <conditionalFormatting sqref="I56">
    <cfRule type="cellIs" dxfId="49" priority="5" operator="equal">
      <formula>0</formula>
    </cfRule>
  </conditionalFormatting>
  <conditionalFormatting sqref="O56">
    <cfRule type="containsText" dxfId="48" priority="4" operator="containsText" text="SELECTED">
      <formula>NOT(ISERROR(SEARCH("SELECTED",O56)))</formula>
    </cfRule>
  </conditionalFormatting>
  <conditionalFormatting sqref="R56">
    <cfRule type="containsText" dxfId="47" priority="3" operator="containsText" text="SELECTED">
      <formula>NOT(ISERROR(SEARCH("SELECTED",R56)))</formula>
    </cfRule>
  </conditionalFormatting>
  <conditionalFormatting sqref="U56">
    <cfRule type="containsText" dxfId="46" priority="2" operator="containsText" text="SELECTED">
      <formula>NOT(ISERROR(SEARCH("SELECTED",U56)))</formula>
    </cfRule>
  </conditionalFormatting>
  <conditionalFormatting sqref="X56">
    <cfRule type="containsText" dxfId="45" priority="1" operator="containsText" text="SELECTED">
      <formula>NOT(ISERROR(SEARCH("SELECTED",X56)))</formula>
    </cfRule>
  </conditionalFormatting>
  <printOptions horizontalCentered="1" verticalCentered="1" gridLines="1"/>
  <pageMargins left="0.75" right="0.25" top="1" bottom="1" header="0.5" footer="0.5"/>
  <pageSetup scale="38" fitToHeight="0" orientation="landscape" verticalDpi="300" r:id="rId4"/>
  <headerFooter alignWithMargins="0"/>
  <extLst>
    <ext xmlns:x14="http://schemas.microsoft.com/office/spreadsheetml/2009/9/main" uri="{CCE6A557-97BC-4b89-ADB6-D9C93CAAB3DF}">
      <x14:dataValidations xmlns:xm="http://schemas.microsoft.com/office/excel/2006/main" count="3">
        <x14:dataValidation type="list" allowBlank="1" showInputMessage="1" xr:uid="{00000000-0002-0000-0800-000002000000}">
          <x14:formula1>
            <xm:f>DATA!$N$71:$N$92</xm:f>
          </x14:formula1>
          <xm:sqref>F6</xm:sqref>
        </x14:dataValidation>
        <x14:dataValidation type="list" allowBlank="1" showInputMessage="1" xr:uid="{00000000-0002-0000-0800-000003000000}">
          <x14:formula1>
            <xm:f>DATA!$J$26:$J$48</xm:f>
          </x14:formula1>
          <xm:sqref>N6:Y6</xm:sqref>
        </x14:dataValidation>
        <x14:dataValidation type="list" allowBlank="1" showInputMessage="1" xr:uid="{00000000-0002-0000-0800-000004000000}">
          <x14:formula1>
            <xm:f>DATA!$J$26:$J$46</xm:f>
          </x14:formula1>
          <xm:sqref>O9:O16 R9:R16 U9:U16 X9:X16 X18:X142 O18:O142 U18:U142 R18:R142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58"/>
  <sheetViews>
    <sheetView zoomScale="80" zoomScaleNormal="80" zoomScaleSheetLayoutView="100" workbookViewId="0">
      <pane ySplit="5" topLeftCell="A24" activePane="bottomLeft" state="frozen"/>
      <selection pane="bottomLeft" activeCell="F42" sqref="F42"/>
    </sheetView>
  </sheetViews>
  <sheetFormatPr defaultColWidth="9.140625" defaultRowHeight="12.75" x14ac:dyDescent="0.2"/>
  <cols>
    <col min="1" max="1" width="25" style="167" customWidth="1"/>
    <col min="2" max="2" width="23.140625" style="167" customWidth="1"/>
    <col min="3" max="3" width="7" style="167" customWidth="1"/>
    <col min="4" max="4" width="10" style="167" customWidth="1"/>
    <col min="5" max="6" width="13.85546875" style="167" customWidth="1"/>
    <col min="7" max="7" width="1.140625" style="167" customWidth="1"/>
    <col min="8" max="8" width="9.28515625" style="167" customWidth="1"/>
    <col min="9" max="9" width="10.28515625" style="167" customWidth="1"/>
    <col min="10" max="10" width="11.42578125" style="169" customWidth="1"/>
    <col min="11" max="13" width="12.28515625" style="167" customWidth="1"/>
    <col min="14" max="19" width="9.140625" style="167"/>
    <col min="20" max="20" width="9.140625" style="617"/>
    <col min="21" max="16384" width="9.140625" style="167"/>
  </cols>
  <sheetData>
    <row r="1" spans="1:20" ht="18.75" customHeight="1" x14ac:dyDescent="0.2">
      <c r="A1" s="172" t="s">
        <v>168</v>
      </c>
      <c r="E1" s="1667"/>
      <c r="F1" s="1667"/>
      <c r="G1" s="1666"/>
      <c r="H1" s="1666"/>
      <c r="I1" s="1666"/>
      <c r="J1" s="1666"/>
      <c r="K1" s="1666"/>
      <c r="L1" s="1666"/>
      <c r="M1" s="1666"/>
      <c r="N1" s="1666"/>
      <c r="O1" s="1666"/>
      <c r="P1" s="1666"/>
    </row>
    <row r="2" spans="1:20" ht="18" customHeight="1" x14ac:dyDescent="0.2">
      <c r="A2" s="524"/>
      <c r="B2" s="171"/>
      <c r="C2" s="171"/>
      <c r="D2" s="171"/>
      <c r="E2" s="1667"/>
      <c r="F2" s="1667"/>
      <c r="G2" s="1666"/>
      <c r="H2" s="1666"/>
      <c r="I2" s="1666"/>
      <c r="J2" s="1666"/>
      <c r="K2" s="1666"/>
      <c r="L2" s="1666"/>
      <c r="M2" s="1666"/>
      <c r="N2" s="1666"/>
      <c r="O2" s="1666"/>
      <c r="P2" s="1666"/>
    </row>
    <row r="3" spans="1:20" ht="13.5" customHeight="1" thickBot="1" x14ac:dyDescent="0.25">
      <c r="A3" s="524"/>
      <c r="B3" s="171"/>
      <c r="C3" s="171"/>
      <c r="D3" s="171"/>
      <c r="E3" s="171"/>
      <c r="F3" s="171"/>
      <c r="G3" s="171"/>
      <c r="H3" s="171"/>
      <c r="I3" s="171"/>
      <c r="J3" s="173"/>
      <c r="K3" s="171"/>
      <c r="L3" s="171"/>
      <c r="M3" s="171"/>
      <c r="N3" s="171"/>
      <c r="O3" s="171"/>
      <c r="P3" s="171"/>
      <c r="Q3" s="171"/>
    </row>
    <row r="4" spans="1:20" ht="31.5" customHeight="1" thickTop="1" thickBot="1" x14ac:dyDescent="0.25">
      <c r="A4" s="1669" t="s">
        <v>1708</v>
      </c>
      <c r="B4" s="1670"/>
      <c r="C4" s="1670"/>
      <c r="D4" s="1670"/>
      <c r="E4" s="1670"/>
      <c r="F4" s="1670"/>
      <c r="G4" s="1670"/>
      <c r="H4" s="1670"/>
      <c r="I4" s="1670"/>
      <c r="J4" s="1670"/>
      <c r="K4" s="1670"/>
      <c r="L4" s="1670"/>
      <c r="M4" s="1670"/>
      <c r="N4" s="1670"/>
      <c r="O4" s="1670"/>
      <c r="P4" s="1670"/>
      <c r="Q4" s="1670"/>
      <c r="R4" s="1670"/>
      <c r="S4" s="1670"/>
      <c r="T4" s="1671"/>
    </row>
    <row r="5" spans="1:20" s="263" customFormat="1" ht="14.25" customHeight="1" thickTop="1" thickBot="1" x14ac:dyDescent="0.25">
      <c r="A5" s="1668" t="s">
        <v>1631</v>
      </c>
      <c r="B5" s="1668"/>
      <c r="C5" s="1668"/>
      <c r="D5" s="1668"/>
      <c r="E5" s="1668"/>
      <c r="F5" s="1668"/>
      <c r="G5" s="1668"/>
      <c r="H5" s="1668"/>
      <c r="I5" s="1668"/>
      <c r="J5" s="1668"/>
      <c r="K5" s="1668"/>
      <c r="L5" s="1668"/>
      <c r="M5" s="1668"/>
      <c r="N5" s="1668"/>
      <c r="O5" s="1668"/>
      <c r="P5" s="1668"/>
      <c r="R5" s="1672" t="s">
        <v>1705</v>
      </c>
      <c r="S5" s="1673"/>
      <c r="T5" s="1674"/>
    </row>
    <row r="6" spans="1:20" s="500" customFormat="1" ht="27.75" customHeight="1" thickBot="1" x14ac:dyDescent="0.25">
      <c r="A6" s="543" t="s">
        <v>471</v>
      </c>
      <c r="B6" s="544" t="s">
        <v>506</v>
      </c>
      <c r="C6" s="544" t="s">
        <v>1633</v>
      </c>
      <c r="D6" s="544" t="s">
        <v>2467</v>
      </c>
      <c r="E6" s="544" t="s">
        <v>509</v>
      </c>
      <c r="F6" s="544" t="s">
        <v>1632</v>
      </c>
      <c r="G6" s="544"/>
      <c r="H6" s="544" t="s">
        <v>1634</v>
      </c>
      <c r="I6" s="544" t="s">
        <v>121</v>
      </c>
      <c r="J6" s="545" t="s">
        <v>628</v>
      </c>
      <c r="K6" s="544" t="s">
        <v>630</v>
      </c>
      <c r="L6" s="544" t="s">
        <v>629</v>
      </c>
      <c r="M6" s="544" t="s">
        <v>2468</v>
      </c>
      <c r="N6" s="544" t="s">
        <v>1205</v>
      </c>
      <c r="O6" s="544" t="s">
        <v>100</v>
      </c>
      <c r="P6" s="618" t="s">
        <v>233</v>
      </c>
      <c r="Q6" s="546" t="s">
        <v>1704</v>
      </c>
      <c r="R6" s="543" t="s">
        <v>232</v>
      </c>
      <c r="S6" s="544" t="s">
        <v>100</v>
      </c>
      <c r="T6" s="546" t="s">
        <v>233</v>
      </c>
    </row>
    <row r="7" spans="1:20" s="263" customFormat="1" ht="12.75" customHeight="1" x14ac:dyDescent="0.2">
      <c r="A7" s="620" t="s">
        <v>472</v>
      </c>
      <c r="B7" s="541"/>
      <c r="C7" s="541">
        <v>0</v>
      </c>
      <c r="D7" s="541">
        <v>0</v>
      </c>
      <c r="E7" s="352"/>
      <c r="F7" s="547">
        <v>0</v>
      </c>
      <c r="G7" s="352"/>
      <c r="H7" s="351">
        <v>0</v>
      </c>
      <c r="I7" s="353">
        <v>1</v>
      </c>
      <c r="J7" s="621">
        <f>I7*H7</f>
        <v>0</v>
      </c>
      <c r="K7" s="622">
        <f t="shared" ref="K7:K23" si="0">IF(C7=0,0,SUM(J7/C7))</f>
        <v>0</v>
      </c>
      <c r="L7" s="623">
        <f>IF(K7=0,0,SUM(8/K7))</f>
        <v>0</v>
      </c>
      <c r="M7" s="623"/>
      <c r="N7" s="777">
        <f>J7*Q7*R7</f>
        <v>0</v>
      </c>
      <c r="O7" s="777">
        <f>J7*Q7*S7</f>
        <v>0</v>
      </c>
      <c r="P7" s="778">
        <f>J7*Q7*T7</f>
        <v>0</v>
      </c>
      <c r="Q7" s="624">
        <v>0</v>
      </c>
      <c r="R7" s="771">
        <v>0</v>
      </c>
      <c r="S7" s="772">
        <v>0</v>
      </c>
      <c r="T7" s="773">
        <v>0</v>
      </c>
    </row>
    <row r="8" spans="1:20" s="263" customFormat="1" ht="12.75" customHeight="1" x14ac:dyDescent="0.2">
      <c r="A8" s="549" t="s">
        <v>473</v>
      </c>
      <c r="B8" s="340" t="s">
        <v>500</v>
      </c>
      <c r="C8" s="340">
        <v>416</v>
      </c>
      <c r="D8" s="340">
        <v>0</v>
      </c>
      <c r="E8" s="344">
        <f>C8</f>
        <v>416</v>
      </c>
      <c r="F8" s="482">
        <v>8633</v>
      </c>
      <c r="G8" s="344"/>
      <c r="H8" s="340">
        <v>85</v>
      </c>
      <c r="I8" s="345">
        <v>1.2</v>
      </c>
      <c r="J8" s="558">
        <f>I8*H8</f>
        <v>102</v>
      </c>
      <c r="K8" s="604">
        <f t="shared" si="0"/>
        <v>0.24519230769230768</v>
      </c>
      <c r="L8" s="556">
        <f t="shared" ref="L8:L23" si="1">IF(K8=0,0,SUM(8/K8))</f>
        <v>32.627450980392162</v>
      </c>
      <c r="M8" s="556"/>
      <c r="N8" s="777">
        <f t="shared" ref="N8:N23" si="2">J8*Q8*R8</f>
        <v>0</v>
      </c>
      <c r="O8" s="777">
        <f t="shared" ref="O8:O24" si="3">J8*Q8*S8</f>
        <v>0</v>
      </c>
      <c r="P8" s="778">
        <f t="shared" ref="P8:P24" si="4">J8*Q8*T8</f>
        <v>0</v>
      </c>
      <c r="Q8" s="774">
        <f>Q7</f>
        <v>0</v>
      </c>
      <c r="R8" s="625">
        <f>R7</f>
        <v>0</v>
      </c>
      <c r="S8" s="626">
        <f>S7</f>
        <v>0</v>
      </c>
      <c r="T8" s="627">
        <f>T7</f>
        <v>0</v>
      </c>
    </row>
    <row r="9" spans="1:20" s="263" customFormat="1" ht="12.75" customHeight="1" x14ac:dyDescent="0.2">
      <c r="A9" s="549" t="s">
        <v>474</v>
      </c>
      <c r="B9" s="340" t="s">
        <v>488</v>
      </c>
      <c r="C9" s="340">
        <v>1972</v>
      </c>
      <c r="D9" s="340">
        <v>264</v>
      </c>
      <c r="E9" s="344"/>
      <c r="F9" s="482">
        <f>57260-10324</f>
        <v>46936</v>
      </c>
      <c r="G9" s="344"/>
      <c r="H9" s="351">
        <f>1050-16</f>
        <v>1034</v>
      </c>
      <c r="I9" s="345">
        <v>1</v>
      </c>
      <c r="J9" s="558">
        <f t="shared" ref="J9:J24" si="5">I9*H9</f>
        <v>1034</v>
      </c>
      <c r="K9" s="604">
        <f t="shared" si="0"/>
        <v>0.52434077079107511</v>
      </c>
      <c r="L9" s="556">
        <f t="shared" si="1"/>
        <v>15.257253384912957</v>
      </c>
      <c r="M9" s="556">
        <f>C9/D9</f>
        <v>7.4696969696969697</v>
      </c>
      <c r="N9" s="777">
        <f t="shared" si="2"/>
        <v>0</v>
      </c>
      <c r="O9" s="777">
        <f t="shared" si="3"/>
        <v>0</v>
      </c>
      <c r="P9" s="778">
        <f t="shared" si="4"/>
        <v>0</v>
      </c>
      <c r="Q9" s="774">
        <f t="shared" ref="Q9:Q24" si="6">Q8</f>
        <v>0</v>
      </c>
      <c r="R9" s="625">
        <f t="shared" ref="R9:R24" si="7">R8</f>
        <v>0</v>
      </c>
      <c r="S9" s="626">
        <f t="shared" ref="S9:S24" si="8">S8</f>
        <v>0</v>
      </c>
      <c r="T9" s="627">
        <f t="shared" ref="T9:T24" si="9">T8</f>
        <v>0</v>
      </c>
    </row>
    <row r="10" spans="1:20" s="263" customFormat="1" ht="12.75" customHeight="1" x14ac:dyDescent="0.2">
      <c r="A10" s="549" t="s">
        <v>475</v>
      </c>
      <c r="B10" s="340" t="s">
        <v>500</v>
      </c>
      <c r="C10" s="340">
        <v>508</v>
      </c>
      <c r="D10" s="340">
        <v>0</v>
      </c>
      <c r="E10" s="344">
        <f>C10</f>
        <v>508</v>
      </c>
      <c r="F10" s="482">
        <v>6024</v>
      </c>
      <c r="G10" s="344"/>
      <c r="H10" s="340">
        <v>104</v>
      </c>
      <c r="I10" s="345">
        <v>1.2</v>
      </c>
      <c r="J10" s="558">
        <f t="shared" si="5"/>
        <v>124.8</v>
      </c>
      <c r="K10" s="604">
        <f t="shared" si="0"/>
        <v>0.24566929133858267</v>
      </c>
      <c r="L10" s="556">
        <f t="shared" si="1"/>
        <v>32.564102564102562</v>
      </c>
      <c r="M10" s="556"/>
      <c r="N10" s="777">
        <f t="shared" si="2"/>
        <v>0</v>
      </c>
      <c r="O10" s="777">
        <f t="shared" si="3"/>
        <v>0</v>
      </c>
      <c r="P10" s="778">
        <f t="shared" si="4"/>
        <v>0</v>
      </c>
      <c r="Q10" s="774">
        <f t="shared" si="6"/>
        <v>0</v>
      </c>
      <c r="R10" s="625">
        <f t="shared" si="7"/>
        <v>0</v>
      </c>
      <c r="S10" s="626">
        <f t="shared" si="8"/>
        <v>0</v>
      </c>
      <c r="T10" s="627">
        <f t="shared" si="9"/>
        <v>0</v>
      </c>
    </row>
    <row r="11" spans="1:20" s="263" customFormat="1" ht="12.75" customHeight="1" x14ac:dyDescent="0.2">
      <c r="A11" s="549" t="s">
        <v>476</v>
      </c>
      <c r="B11" s="340" t="s">
        <v>488</v>
      </c>
      <c r="C11" s="340">
        <v>1841</v>
      </c>
      <c r="D11" s="340">
        <v>185</v>
      </c>
      <c r="E11" s="344"/>
      <c r="F11" s="482">
        <f>89045-12155</f>
        <v>76890</v>
      </c>
      <c r="G11" s="344"/>
      <c r="H11" s="351">
        <f>1057-42</f>
        <v>1015</v>
      </c>
      <c r="I11" s="345">
        <v>1</v>
      </c>
      <c r="J11" s="558">
        <f t="shared" si="5"/>
        <v>1015</v>
      </c>
      <c r="K11" s="604">
        <f t="shared" si="0"/>
        <v>0.5513307984790875</v>
      </c>
      <c r="L11" s="556">
        <f t="shared" si="1"/>
        <v>14.510344827586206</v>
      </c>
      <c r="M11" s="556">
        <f t="shared" ref="M11:M23" si="10">C11/D11</f>
        <v>9.9513513513513505</v>
      </c>
      <c r="N11" s="777">
        <f t="shared" si="2"/>
        <v>0</v>
      </c>
      <c r="O11" s="777">
        <f t="shared" si="3"/>
        <v>0</v>
      </c>
      <c r="P11" s="778">
        <f t="shared" si="4"/>
        <v>0</v>
      </c>
      <c r="Q11" s="774">
        <f t="shared" si="6"/>
        <v>0</v>
      </c>
      <c r="R11" s="625">
        <f t="shared" si="7"/>
        <v>0</v>
      </c>
      <c r="S11" s="626">
        <f t="shared" si="8"/>
        <v>0</v>
      </c>
      <c r="T11" s="627">
        <f t="shared" si="9"/>
        <v>0</v>
      </c>
    </row>
    <row r="12" spans="1:20" s="263" customFormat="1" ht="12.75" customHeight="1" x14ac:dyDescent="0.2">
      <c r="A12" s="549" t="s">
        <v>477</v>
      </c>
      <c r="B12" s="340"/>
      <c r="C12" s="340">
        <v>0</v>
      </c>
      <c r="D12" s="340">
        <v>0</v>
      </c>
      <c r="E12" s="344">
        <f>C12</f>
        <v>0</v>
      </c>
      <c r="F12" s="482">
        <v>0</v>
      </c>
      <c r="G12" s="344"/>
      <c r="H12" s="340">
        <v>0</v>
      </c>
      <c r="I12" s="345">
        <v>1</v>
      </c>
      <c r="J12" s="558">
        <f t="shared" si="5"/>
        <v>0</v>
      </c>
      <c r="K12" s="604">
        <f t="shared" si="0"/>
        <v>0</v>
      </c>
      <c r="L12" s="556">
        <f t="shared" si="1"/>
        <v>0</v>
      </c>
      <c r="M12" s="556"/>
      <c r="N12" s="777">
        <f t="shared" si="2"/>
        <v>0</v>
      </c>
      <c r="O12" s="777">
        <f t="shared" si="3"/>
        <v>0</v>
      </c>
      <c r="P12" s="778">
        <f t="shared" si="4"/>
        <v>0</v>
      </c>
      <c r="Q12" s="774">
        <f t="shared" si="6"/>
        <v>0</v>
      </c>
      <c r="R12" s="625">
        <f t="shared" si="7"/>
        <v>0</v>
      </c>
      <c r="S12" s="626">
        <f t="shared" si="8"/>
        <v>0</v>
      </c>
      <c r="T12" s="627">
        <f t="shared" si="9"/>
        <v>0</v>
      </c>
    </row>
    <row r="13" spans="1:20" s="263" customFormat="1" ht="12.75" customHeight="1" x14ac:dyDescent="0.2">
      <c r="A13" s="549" t="s">
        <v>478</v>
      </c>
      <c r="B13" s="340"/>
      <c r="C13" s="340">
        <v>1336</v>
      </c>
      <c r="D13" s="340">
        <v>274</v>
      </c>
      <c r="E13" s="344"/>
      <c r="F13" s="482">
        <v>30590</v>
      </c>
      <c r="G13" s="344"/>
      <c r="H13" s="351">
        <v>795</v>
      </c>
      <c r="I13" s="345">
        <v>1</v>
      </c>
      <c r="J13" s="558">
        <f t="shared" si="5"/>
        <v>795</v>
      </c>
      <c r="K13" s="604">
        <f t="shared" si="0"/>
        <v>0.59505988023952094</v>
      </c>
      <c r="L13" s="556">
        <f t="shared" si="1"/>
        <v>13.444025157232705</v>
      </c>
      <c r="M13" s="556">
        <f t="shared" si="10"/>
        <v>4.8759124087591239</v>
      </c>
      <c r="N13" s="777">
        <f t="shared" si="2"/>
        <v>0</v>
      </c>
      <c r="O13" s="777">
        <f t="shared" si="3"/>
        <v>0</v>
      </c>
      <c r="P13" s="778">
        <f t="shared" si="4"/>
        <v>0</v>
      </c>
      <c r="Q13" s="774">
        <f t="shared" si="6"/>
        <v>0</v>
      </c>
      <c r="R13" s="625">
        <f t="shared" si="7"/>
        <v>0</v>
      </c>
      <c r="S13" s="626">
        <f t="shared" si="8"/>
        <v>0</v>
      </c>
      <c r="T13" s="627">
        <f t="shared" si="9"/>
        <v>0</v>
      </c>
    </row>
    <row r="14" spans="1:20" s="263" customFormat="1" ht="12.75" customHeight="1" x14ac:dyDescent="0.2">
      <c r="A14" s="549" t="s">
        <v>479</v>
      </c>
      <c r="B14" s="340"/>
      <c r="C14" s="340">
        <v>0</v>
      </c>
      <c r="D14" s="340">
        <v>0</v>
      </c>
      <c r="E14" s="344"/>
      <c r="F14" s="482">
        <v>0</v>
      </c>
      <c r="G14" s="344"/>
      <c r="H14" s="340">
        <v>0</v>
      </c>
      <c r="I14" s="345">
        <v>1</v>
      </c>
      <c r="J14" s="558">
        <f t="shared" si="5"/>
        <v>0</v>
      </c>
      <c r="K14" s="604">
        <f t="shared" si="0"/>
        <v>0</v>
      </c>
      <c r="L14" s="556">
        <f t="shared" si="1"/>
        <v>0</v>
      </c>
      <c r="M14" s="556" t="e">
        <f t="shared" si="10"/>
        <v>#DIV/0!</v>
      </c>
      <c r="N14" s="777">
        <f t="shared" si="2"/>
        <v>0</v>
      </c>
      <c r="O14" s="777">
        <f t="shared" si="3"/>
        <v>0</v>
      </c>
      <c r="P14" s="778">
        <f t="shared" si="4"/>
        <v>0</v>
      </c>
      <c r="Q14" s="774">
        <f t="shared" si="6"/>
        <v>0</v>
      </c>
      <c r="R14" s="625">
        <f t="shared" si="7"/>
        <v>0</v>
      </c>
      <c r="S14" s="626">
        <f t="shared" si="8"/>
        <v>0</v>
      </c>
      <c r="T14" s="627">
        <f t="shared" si="9"/>
        <v>0</v>
      </c>
    </row>
    <row r="15" spans="1:20" s="263" customFormat="1" ht="12.75" customHeight="1" x14ac:dyDescent="0.2">
      <c r="A15" s="549" t="s">
        <v>481</v>
      </c>
      <c r="B15" s="340" t="s">
        <v>493</v>
      </c>
      <c r="C15" s="340">
        <v>359</v>
      </c>
      <c r="D15" s="340">
        <v>39</v>
      </c>
      <c r="E15" s="344"/>
      <c r="F15" s="482">
        <v>18669</v>
      </c>
      <c r="G15" s="344"/>
      <c r="H15" s="351">
        <v>189</v>
      </c>
      <c r="I15" s="345">
        <v>1</v>
      </c>
      <c r="J15" s="558">
        <f t="shared" si="5"/>
        <v>189</v>
      </c>
      <c r="K15" s="604">
        <f t="shared" si="0"/>
        <v>0.52646239554317553</v>
      </c>
      <c r="L15" s="556">
        <f t="shared" si="1"/>
        <v>15.195767195767194</v>
      </c>
      <c r="M15" s="556">
        <f t="shared" si="10"/>
        <v>9.2051282051282044</v>
      </c>
      <c r="N15" s="777">
        <f t="shared" si="2"/>
        <v>0</v>
      </c>
      <c r="O15" s="777">
        <f t="shared" si="3"/>
        <v>0</v>
      </c>
      <c r="P15" s="778">
        <f t="shared" si="4"/>
        <v>0</v>
      </c>
      <c r="Q15" s="774">
        <f t="shared" si="6"/>
        <v>0</v>
      </c>
      <c r="R15" s="625">
        <f t="shared" si="7"/>
        <v>0</v>
      </c>
      <c r="S15" s="626">
        <f t="shared" si="8"/>
        <v>0</v>
      </c>
      <c r="T15" s="627">
        <f t="shared" si="9"/>
        <v>0</v>
      </c>
    </row>
    <row r="16" spans="1:20" s="263" customFormat="1" ht="12.75" customHeight="1" x14ac:dyDescent="0.2">
      <c r="A16" s="549" t="s">
        <v>754</v>
      </c>
      <c r="B16" s="340"/>
      <c r="C16" s="340">
        <v>0</v>
      </c>
      <c r="D16" s="340">
        <v>0</v>
      </c>
      <c r="E16" s="344"/>
      <c r="F16" s="482">
        <v>0</v>
      </c>
      <c r="G16" s="344"/>
      <c r="H16" s="340">
        <v>0</v>
      </c>
      <c r="I16" s="345">
        <v>1</v>
      </c>
      <c r="J16" s="558">
        <f t="shared" si="5"/>
        <v>0</v>
      </c>
      <c r="K16" s="604">
        <f t="shared" si="0"/>
        <v>0</v>
      </c>
      <c r="L16" s="556">
        <f t="shared" si="1"/>
        <v>0</v>
      </c>
      <c r="M16" s="556" t="e">
        <f t="shared" si="10"/>
        <v>#DIV/0!</v>
      </c>
      <c r="N16" s="777">
        <f t="shared" si="2"/>
        <v>0</v>
      </c>
      <c r="O16" s="777">
        <f t="shared" si="3"/>
        <v>0</v>
      </c>
      <c r="P16" s="778">
        <f t="shared" si="4"/>
        <v>0</v>
      </c>
      <c r="Q16" s="774">
        <f t="shared" si="6"/>
        <v>0</v>
      </c>
      <c r="R16" s="625">
        <f t="shared" si="7"/>
        <v>0</v>
      </c>
      <c r="S16" s="626">
        <f t="shared" si="8"/>
        <v>0</v>
      </c>
      <c r="T16" s="627">
        <f t="shared" si="9"/>
        <v>0</v>
      </c>
    </row>
    <row r="17" spans="1:20" s="263" customFormat="1" ht="12.75" customHeight="1" x14ac:dyDescent="0.2">
      <c r="A17" s="549" t="s">
        <v>1692</v>
      </c>
      <c r="B17" s="340" t="s">
        <v>486</v>
      </c>
      <c r="C17" s="340">
        <v>145</v>
      </c>
      <c r="D17" s="340">
        <v>22</v>
      </c>
      <c r="E17" s="344"/>
      <c r="F17" s="482">
        <v>1298</v>
      </c>
      <c r="G17" s="344"/>
      <c r="H17" s="351">
        <v>60</v>
      </c>
      <c r="I17" s="345">
        <v>1</v>
      </c>
      <c r="J17" s="558">
        <f t="shared" si="5"/>
        <v>60</v>
      </c>
      <c r="K17" s="604">
        <f t="shared" si="0"/>
        <v>0.41379310344827586</v>
      </c>
      <c r="L17" s="556">
        <f t="shared" si="1"/>
        <v>19.333333333333332</v>
      </c>
      <c r="M17" s="556">
        <f t="shared" si="10"/>
        <v>6.5909090909090908</v>
      </c>
      <c r="N17" s="777">
        <f t="shared" si="2"/>
        <v>0</v>
      </c>
      <c r="O17" s="777">
        <f t="shared" si="3"/>
        <v>0</v>
      </c>
      <c r="P17" s="778">
        <f t="shared" si="4"/>
        <v>0</v>
      </c>
      <c r="Q17" s="774">
        <f t="shared" si="6"/>
        <v>0</v>
      </c>
      <c r="R17" s="625">
        <f t="shared" si="7"/>
        <v>0</v>
      </c>
      <c r="S17" s="626">
        <f t="shared" si="8"/>
        <v>0</v>
      </c>
      <c r="T17" s="627">
        <f t="shared" si="9"/>
        <v>0</v>
      </c>
    </row>
    <row r="18" spans="1:20" s="263" customFormat="1" ht="12.75" customHeight="1" x14ac:dyDescent="0.2">
      <c r="A18" s="549" t="s">
        <v>1111</v>
      </c>
      <c r="B18" s="340"/>
      <c r="C18" s="340">
        <v>0</v>
      </c>
      <c r="D18" s="340">
        <v>0</v>
      </c>
      <c r="E18" s="344"/>
      <c r="F18" s="482">
        <v>0</v>
      </c>
      <c r="G18" s="344"/>
      <c r="H18" s="340">
        <v>0</v>
      </c>
      <c r="I18" s="345">
        <v>1</v>
      </c>
      <c r="J18" s="558">
        <f t="shared" si="5"/>
        <v>0</v>
      </c>
      <c r="K18" s="604">
        <f t="shared" si="0"/>
        <v>0</v>
      </c>
      <c r="L18" s="556">
        <f t="shared" si="1"/>
        <v>0</v>
      </c>
      <c r="M18" s="556" t="e">
        <f t="shared" si="10"/>
        <v>#DIV/0!</v>
      </c>
      <c r="N18" s="777">
        <f t="shared" si="2"/>
        <v>0</v>
      </c>
      <c r="O18" s="777">
        <f t="shared" si="3"/>
        <v>0</v>
      </c>
      <c r="P18" s="778">
        <f t="shared" si="4"/>
        <v>0</v>
      </c>
      <c r="Q18" s="774">
        <f t="shared" si="6"/>
        <v>0</v>
      </c>
      <c r="R18" s="625">
        <f t="shared" si="7"/>
        <v>0</v>
      </c>
      <c r="S18" s="626">
        <f t="shared" si="8"/>
        <v>0</v>
      </c>
      <c r="T18" s="627">
        <f t="shared" si="9"/>
        <v>0</v>
      </c>
    </row>
    <row r="19" spans="1:20" s="263" customFormat="1" ht="12.75" customHeight="1" x14ac:dyDescent="0.2">
      <c r="A19" s="549" t="s">
        <v>2163</v>
      </c>
      <c r="B19" s="340"/>
      <c r="C19" s="340">
        <v>0</v>
      </c>
      <c r="D19" s="340">
        <v>0</v>
      </c>
      <c r="E19" s="344"/>
      <c r="F19" s="482">
        <v>0</v>
      </c>
      <c r="G19" s="344"/>
      <c r="H19" s="351">
        <v>0</v>
      </c>
      <c r="I19" s="345">
        <v>1</v>
      </c>
      <c r="J19" s="558">
        <f t="shared" si="5"/>
        <v>0</v>
      </c>
      <c r="K19" s="604">
        <f t="shared" si="0"/>
        <v>0</v>
      </c>
      <c r="L19" s="556">
        <f t="shared" si="1"/>
        <v>0</v>
      </c>
      <c r="M19" s="556" t="e">
        <f t="shared" si="10"/>
        <v>#DIV/0!</v>
      </c>
      <c r="N19" s="777">
        <f t="shared" si="2"/>
        <v>0</v>
      </c>
      <c r="O19" s="777">
        <f t="shared" si="3"/>
        <v>0</v>
      </c>
      <c r="P19" s="778">
        <f t="shared" si="4"/>
        <v>0</v>
      </c>
      <c r="Q19" s="774">
        <f t="shared" si="6"/>
        <v>0</v>
      </c>
      <c r="R19" s="625">
        <f t="shared" si="7"/>
        <v>0</v>
      </c>
      <c r="S19" s="626">
        <f t="shared" si="8"/>
        <v>0</v>
      </c>
      <c r="T19" s="627">
        <f t="shared" si="9"/>
        <v>0</v>
      </c>
    </row>
    <row r="20" spans="1:20" s="263" customFormat="1" ht="12.75" customHeight="1" x14ac:dyDescent="0.2">
      <c r="A20" s="869" t="s">
        <v>1908</v>
      </c>
      <c r="B20" s="340"/>
      <c r="C20" s="340">
        <v>0</v>
      </c>
      <c r="D20" s="340">
        <v>0</v>
      </c>
      <c r="E20" s="344"/>
      <c r="F20" s="870">
        <v>0</v>
      </c>
      <c r="G20" s="344"/>
      <c r="H20" s="340">
        <v>0</v>
      </c>
      <c r="I20" s="345">
        <v>1</v>
      </c>
      <c r="J20" s="558">
        <f t="shared" si="5"/>
        <v>0</v>
      </c>
      <c r="K20" s="604">
        <f t="shared" si="0"/>
        <v>0</v>
      </c>
      <c r="L20" s="556">
        <f t="shared" si="1"/>
        <v>0</v>
      </c>
      <c r="M20" s="556" t="e">
        <f t="shared" si="10"/>
        <v>#DIV/0!</v>
      </c>
      <c r="N20" s="777">
        <f t="shared" si="2"/>
        <v>0</v>
      </c>
      <c r="O20" s="777">
        <f t="shared" si="3"/>
        <v>0</v>
      </c>
      <c r="P20" s="778">
        <f t="shared" si="4"/>
        <v>0</v>
      </c>
      <c r="Q20" s="774">
        <f>Q19</f>
        <v>0</v>
      </c>
      <c r="R20" s="625">
        <f>R19</f>
        <v>0</v>
      </c>
      <c r="S20" s="626">
        <f>S19</f>
        <v>0</v>
      </c>
      <c r="T20" s="627">
        <f>T19</f>
        <v>0</v>
      </c>
    </row>
    <row r="21" spans="1:20" s="263" customFormat="1" ht="12.75" customHeight="1" x14ac:dyDescent="0.2">
      <c r="A21" s="550" t="s">
        <v>239</v>
      </c>
      <c r="B21" s="340"/>
      <c r="C21" s="340">
        <v>0</v>
      </c>
      <c r="D21" s="340">
        <v>0</v>
      </c>
      <c r="E21" s="344"/>
      <c r="F21" s="482">
        <v>0</v>
      </c>
      <c r="G21" s="344"/>
      <c r="H21" s="351">
        <v>0</v>
      </c>
      <c r="I21" s="345">
        <v>1</v>
      </c>
      <c r="J21" s="558">
        <f t="shared" si="5"/>
        <v>0</v>
      </c>
      <c r="K21" s="604">
        <f t="shared" si="0"/>
        <v>0</v>
      </c>
      <c r="L21" s="556">
        <f t="shared" si="1"/>
        <v>0</v>
      </c>
      <c r="M21" s="556" t="e">
        <f t="shared" si="10"/>
        <v>#DIV/0!</v>
      </c>
      <c r="N21" s="777">
        <f t="shared" si="2"/>
        <v>0</v>
      </c>
      <c r="O21" s="777">
        <f t="shared" si="3"/>
        <v>0</v>
      </c>
      <c r="P21" s="778">
        <f t="shared" si="4"/>
        <v>0</v>
      </c>
      <c r="Q21" s="774">
        <f t="shared" si="6"/>
        <v>0</v>
      </c>
      <c r="R21" s="625">
        <f t="shared" si="7"/>
        <v>0</v>
      </c>
      <c r="S21" s="626">
        <f t="shared" si="8"/>
        <v>0</v>
      </c>
      <c r="T21" s="627">
        <f t="shared" si="9"/>
        <v>0</v>
      </c>
    </row>
    <row r="22" spans="1:20" s="263" customFormat="1" ht="12.75" customHeight="1" x14ac:dyDescent="0.2">
      <c r="A22" s="549"/>
      <c r="B22" s="340"/>
      <c r="C22" s="340">
        <v>0</v>
      </c>
      <c r="D22" s="340">
        <v>0</v>
      </c>
      <c r="E22" s="344"/>
      <c r="F22" s="482">
        <v>0</v>
      </c>
      <c r="G22" s="344"/>
      <c r="H22" s="340">
        <v>0</v>
      </c>
      <c r="I22" s="345">
        <v>1</v>
      </c>
      <c r="J22" s="558">
        <f t="shared" si="5"/>
        <v>0</v>
      </c>
      <c r="K22" s="604">
        <f t="shared" si="0"/>
        <v>0</v>
      </c>
      <c r="L22" s="556">
        <f t="shared" si="1"/>
        <v>0</v>
      </c>
      <c r="M22" s="556" t="e">
        <f t="shared" si="10"/>
        <v>#DIV/0!</v>
      </c>
      <c r="N22" s="777">
        <f t="shared" si="2"/>
        <v>0</v>
      </c>
      <c r="O22" s="777">
        <f t="shared" si="3"/>
        <v>0</v>
      </c>
      <c r="P22" s="778">
        <f t="shared" si="4"/>
        <v>0</v>
      </c>
      <c r="Q22" s="774">
        <f t="shared" si="6"/>
        <v>0</v>
      </c>
      <c r="R22" s="625">
        <f t="shared" si="7"/>
        <v>0</v>
      </c>
      <c r="S22" s="626">
        <f t="shared" si="8"/>
        <v>0</v>
      </c>
      <c r="T22" s="627">
        <f t="shared" si="9"/>
        <v>0</v>
      </c>
    </row>
    <row r="23" spans="1:20" s="263" customFormat="1" ht="12.75" customHeight="1" x14ac:dyDescent="0.2">
      <c r="A23" s="551"/>
      <c r="B23" s="491" t="s">
        <v>2466</v>
      </c>
      <c r="C23" s="786"/>
      <c r="D23" s="786"/>
      <c r="E23" s="344"/>
      <c r="F23" s="779"/>
      <c r="G23" s="196"/>
      <c r="H23" s="196"/>
      <c r="I23" s="783"/>
      <c r="J23" s="558">
        <f t="shared" si="5"/>
        <v>0</v>
      </c>
      <c r="K23" s="604">
        <f t="shared" si="0"/>
        <v>0</v>
      </c>
      <c r="L23" s="556">
        <f t="shared" si="1"/>
        <v>0</v>
      </c>
      <c r="M23" s="556" t="e">
        <f t="shared" si="10"/>
        <v>#DIV/0!</v>
      </c>
      <c r="N23" s="777">
        <f t="shared" si="2"/>
        <v>0</v>
      </c>
      <c r="O23" s="777">
        <f t="shared" si="3"/>
        <v>0</v>
      </c>
      <c r="P23" s="778">
        <f t="shared" si="4"/>
        <v>0</v>
      </c>
      <c r="Q23" s="774">
        <f t="shared" si="6"/>
        <v>0</v>
      </c>
      <c r="R23" s="625">
        <f t="shared" si="7"/>
        <v>0</v>
      </c>
      <c r="S23" s="626">
        <f t="shared" si="8"/>
        <v>0</v>
      </c>
      <c r="T23" s="627">
        <f t="shared" si="9"/>
        <v>0</v>
      </c>
    </row>
    <row r="24" spans="1:20" s="263" customFormat="1" x14ac:dyDescent="0.2">
      <c r="A24" s="551" t="s">
        <v>1593</v>
      </c>
      <c r="B24" s="492">
        <f>E27*B25</f>
        <v>0</v>
      </c>
      <c r="C24" s="492"/>
      <c r="D24" s="492"/>
      <c r="E24" s="344"/>
      <c r="F24" s="609">
        <f>B24*10</f>
        <v>0</v>
      </c>
      <c r="G24" s="344"/>
      <c r="H24" s="785">
        <f>B24*1.3</f>
        <v>0</v>
      </c>
      <c r="I24" s="345">
        <v>1</v>
      </c>
      <c r="J24" s="558">
        <f t="shared" si="5"/>
        <v>0</v>
      </c>
      <c r="K24" s="556"/>
      <c r="L24" s="556"/>
      <c r="M24" s="556"/>
      <c r="N24" s="779">
        <f>J24*Q24</f>
        <v>0</v>
      </c>
      <c r="O24" s="777">
        <f t="shared" si="3"/>
        <v>0</v>
      </c>
      <c r="P24" s="778">
        <f t="shared" si="4"/>
        <v>0</v>
      </c>
      <c r="Q24" s="774">
        <f t="shared" si="6"/>
        <v>0</v>
      </c>
      <c r="R24" s="625">
        <f t="shared" si="7"/>
        <v>0</v>
      </c>
      <c r="S24" s="626">
        <f t="shared" si="8"/>
        <v>0</v>
      </c>
      <c r="T24" s="627">
        <f t="shared" si="9"/>
        <v>0</v>
      </c>
    </row>
    <row r="25" spans="1:20" s="263" customFormat="1" x14ac:dyDescent="0.2">
      <c r="A25" s="549" t="s">
        <v>1594</v>
      </c>
      <c r="B25" s="610">
        <v>0</v>
      </c>
      <c r="C25" s="783"/>
      <c r="D25" s="783"/>
      <c r="E25" s="344"/>
      <c r="F25" s="779"/>
      <c r="G25" s="344"/>
      <c r="H25" s="785"/>
      <c r="I25" s="783"/>
      <c r="J25" s="346"/>
      <c r="K25" s="556"/>
      <c r="L25" s="556"/>
      <c r="M25" s="556"/>
      <c r="N25" s="779"/>
      <c r="O25" s="779"/>
      <c r="P25" s="781"/>
      <c r="Q25" s="775"/>
      <c r="R25" s="625"/>
      <c r="S25" s="344"/>
      <c r="T25" s="627"/>
    </row>
    <row r="26" spans="1:20" s="263" customFormat="1" ht="13.5" thickBot="1" x14ac:dyDescent="0.25">
      <c r="A26" s="552" t="s">
        <v>1595</v>
      </c>
      <c r="B26" s="498">
        <v>0</v>
      </c>
      <c r="C26" s="542"/>
      <c r="D26" s="542"/>
      <c r="E26" s="347"/>
      <c r="F26" s="608">
        <f>(SUM(F7:F24))*B26</f>
        <v>0</v>
      </c>
      <c r="G26" s="347"/>
      <c r="H26" s="347"/>
      <c r="I26" s="784"/>
      <c r="J26" s="348"/>
      <c r="K26" s="557"/>
      <c r="L26" s="557"/>
      <c r="M26" s="557"/>
      <c r="N26" s="780"/>
      <c r="O26" s="780"/>
      <c r="P26" s="782"/>
      <c r="Q26" s="776"/>
      <c r="R26" s="628"/>
      <c r="S26" s="629"/>
      <c r="T26" s="630"/>
    </row>
    <row r="27" spans="1:20" s="263" customFormat="1" ht="13.5" thickBot="1" x14ac:dyDescent="0.25">
      <c r="A27" s="543" t="s">
        <v>170</v>
      </c>
      <c r="B27" s="193"/>
      <c r="C27" s="193"/>
      <c r="D27" s="193"/>
      <c r="E27" s="559">
        <f>SUM(E7:E26)</f>
        <v>924</v>
      </c>
      <c r="F27" s="607">
        <f>SUM(F7:F26)</f>
        <v>189040</v>
      </c>
      <c r="G27" s="193"/>
      <c r="H27" s="193">
        <f>SUM(H7:H26)</f>
        <v>3282</v>
      </c>
      <c r="I27" s="193"/>
      <c r="J27" s="561">
        <f>SUM(J7:J26)</f>
        <v>3319.8</v>
      </c>
      <c r="K27" s="194"/>
      <c r="L27" s="194"/>
      <c r="M27" s="194"/>
      <c r="N27" s="561">
        <f>SUM(N7:N26)</f>
        <v>0</v>
      </c>
      <c r="O27" s="561">
        <f>SUM(O7:O26)</f>
        <v>0</v>
      </c>
      <c r="P27" s="619">
        <f>SUM(P7:P26)</f>
        <v>0</v>
      </c>
      <c r="Q27" s="562"/>
      <c r="R27" s="631"/>
      <c r="S27" s="632"/>
      <c r="T27" s="633"/>
    </row>
    <row r="28" spans="1:20" s="263" customFormat="1" ht="13.5" thickBot="1" x14ac:dyDescent="0.25">
      <c r="J28" s="349"/>
      <c r="K28" s="350"/>
      <c r="L28" s="350"/>
      <c r="M28" s="350"/>
      <c r="N28" s="350"/>
      <c r="O28" s="350"/>
      <c r="P28" s="350"/>
      <c r="Q28" s="350"/>
      <c r="T28" s="591"/>
    </row>
    <row r="29" spans="1:20" s="263" customFormat="1" ht="13.5" customHeight="1" thickTop="1" thickBot="1" x14ac:dyDescent="0.25">
      <c r="A29" s="1662" t="s">
        <v>173</v>
      </c>
      <c r="B29" s="1663"/>
      <c r="C29" s="1663"/>
      <c r="D29" s="1663"/>
      <c r="E29" s="1663"/>
      <c r="F29" s="1663"/>
      <c r="G29" s="1663"/>
      <c r="H29" s="1663"/>
      <c r="I29" s="1663"/>
      <c r="J29" s="1663"/>
      <c r="K29" s="1663"/>
      <c r="L29" s="1663"/>
      <c r="M29" s="1663"/>
      <c r="N29" s="1663"/>
      <c r="O29" s="1663"/>
      <c r="P29" s="1663"/>
      <c r="Q29" s="1675"/>
      <c r="R29" s="1673" t="s">
        <v>1705</v>
      </c>
      <c r="S29" s="1673"/>
      <c r="T29" s="1674"/>
    </row>
    <row r="30" spans="1:20" s="263" customFormat="1" ht="39" thickBot="1" x14ac:dyDescent="0.25">
      <c r="A30" s="189" t="s">
        <v>120</v>
      </c>
      <c r="B30" s="190" t="s">
        <v>506</v>
      </c>
      <c r="C30" s="544" t="s">
        <v>1633</v>
      </c>
      <c r="D30" s="544" t="s">
        <v>2467</v>
      </c>
      <c r="E30" s="190" t="s">
        <v>509</v>
      </c>
      <c r="F30" s="544" t="s">
        <v>1632</v>
      </c>
      <c r="G30" s="190"/>
      <c r="H30" s="544" t="s">
        <v>1634</v>
      </c>
      <c r="I30" s="190" t="s">
        <v>121</v>
      </c>
      <c r="J30" s="191" t="s">
        <v>628</v>
      </c>
      <c r="K30" s="190" t="s">
        <v>630</v>
      </c>
      <c r="L30" s="190" t="s">
        <v>629</v>
      </c>
      <c r="M30" s="190" t="s">
        <v>2468</v>
      </c>
      <c r="N30" s="190" t="s">
        <v>1205</v>
      </c>
      <c r="O30" s="190" t="s">
        <v>100</v>
      </c>
      <c r="P30" s="192" t="s">
        <v>233</v>
      </c>
      <c r="Q30" s="546" t="s">
        <v>1704</v>
      </c>
      <c r="R30" s="543" t="s">
        <v>232</v>
      </c>
      <c r="S30" s="544" t="s">
        <v>100</v>
      </c>
      <c r="T30" s="546" t="s">
        <v>233</v>
      </c>
    </row>
    <row r="31" spans="1:20" s="263" customFormat="1" x14ac:dyDescent="0.2">
      <c r="A31" s="548" t="s">
        <v>472</v>
      </c>
      <c r="B31" s="339"/>
      <c r="C31" s="541">
        <v>0</v>
      </c>
      <c r="D31" s="541">
        <v>0</v>
      </c>
      <c r="E31" s="341"/>
      <c r="F31" s="547">
        <v>0</v>
      </c>
      <c r="G31" s="352"/>
      <c r="H31" s="351">
        <v>0</v>
      </c>
      <c r="I31" s="342">
        <v>1</v>
      </c>
      <c r="J31" s="343">
        <f>I31*H31</f>
        <v>0</v>
      </c>
      <c r="K31" s="604">
        <f t="shared" ref="K31:K47" si="11">IF(C31=0,0,SUM(J31/C31))</f>
        <v>0</v>
      </c>
      <c r="L31" s="555">
        <f t="shared" ref="L31:L47" si="12">IF(K31=0,0,SUM(8/K31))</f>
        <v>0</v>
      </c>
      <c r="M31" s="555"/>
      <c r="N31" s="777">
        <f>J31*Q31*R31</f>
        <v>0</v>
      </c>
      <c r="O31" s="777">
        <f t="shared" ref="O31:O48" si="13">J31*Q31*S31</f>
        <v>0</v>
      </c>
      <c r="P31" s="778">
        <f t="shared" ref="P31:P48" si="14">J31*Q31*T31</f>
        <v>0</v>
      </c>
      <c r="Q31" s="624">
        <v>0</v>
      </c>
      <c r="R31" s="771">
        <v>0</v>
      </c>
      <c r="S31" s="772">
        <v>0</v>
      </c>
      <c r="T31" s="773">
        <v>0</v>
      </c>
    </row>
    <row r="32" spans="1:20" s="263" customFormat="1" ht="12.75" customHeight="1" x14ac:dyDescent="0.2">
      <c r="A32" s="553" t="s">
        <v>507</v>
      </c>
      <c r="B32" s="340"/>
      <c r="C32" s="340">
        <v>0</v>
      </c>
      <c r="D32" s="340">
        <v>0</v>
      </c>
      <c r="E32" s="352"/>
      <c r="F32" s="482">
        <v>0</v>
      </c>
      <c r="G32" s="197"/>
      <c r="H32" s="340">
        <v>0</v>
      </c>
      <c r="I32" s="353">
        <v>1</v>
      </c>
      <c r="J32" s="346">
        <f t="shared" ref="J32:J48" si="15">I32*H32</f>
        <v>0</v>
      </c>
      <c r="K32" s="604">
        <f t="shared" si="11"/>
        <v>0</v>
      </c>
      <c r="L32" s="556">
        <f t="shared" si="12"/>
        <v>0</v>
      </c>
      <c r="M32" s="556" t="e">
        <f>C32/D32</f>
        <v>#DIV/0!</v>
      </c>
      <c r="N32" s="777">
        <f t="shared" ref="N32:N48" si="16">J32*Q32*R32</f>
        <v>0</v>
      </c>
      <c r="O32" s="777">
        <f t="shared" si="13"/>
        <v>0</v>
      </c>
      <c r="P32" s="778">
        <f t="shared" si="14"/>
        <v>0</v>
      </c>
      <c r="Q32" s="774">
        <f>Q31</f>
        <v>0</v>
      </c>
      <c r="R32" s="625">
        <f>R31</f>
        <v>0</v>
      </c>
      <c r="S32" s="626">
        <f>S31</f>
        <v>0</v>
      </c>
      <c r="T32" s="627">
        <f>T31</f>
        <v>0</v>
      </c>
    </row>
    <row r="33" spans="1:20" s="263" customFormat="1" ht="12.75" customHeight="1" x14ac:dyDescent="0.2">
      <c r="A33" s="553" t="s">
        <v>638</v>
      </c>
      <c r="B33" s="340"/>
      <c r="C33" s="340">
        <v>0</v>
      </c>
      <c r="D33" s="340">
        <v>0</v>
      </c>
      <c r="E33" s="344">
        <f>C33</f>
        <v>0</v>
      </c>
      <c r="F33" s="482">
        <v>0</v>
      </c>
      <c r="G33" s="197"/>
      <c r="H33" s="351">
        <v>0</v>
      </c>
      <c r="I33" s="353">
        <v>1</v>
      </c>
      <c r="J33" s="346">
        <f t="shared" si="15"/>
        <v>0</v>
      </c>
      <c r="K33" s="604">
        <f t="shared" si="11"/>
        <v>0</v>
      </c>
      <c r="L33" s="556">
        <f t="shared" si="12"/>
        <v>0</v>
      </c>
      <c r="M33" s="556"/>
      <c r="N33" s="777">
        <f t="shared" si="16"/>
        <v>0</v>
      </c>
      <c r="O33" s="777">
        <f t="shared" si="13"/>
        <v>0</v>
      </c>
      <c r="P33" s="778">
        <f t="shared" si="14"/>
        <v>0</v>
      </c>
      <c r="Q33" s="774">
        <f t="shared" ref="Q33:Q48" si="17">Q32</f>
        <v>0</v>
      </c>
      <c r="R33" s="625">
        <f t="shared" ref="R33:R48" si="18">R32</f>
        <v>0</v>
      </c>
      <c r="S33" s="626">
        <f t="shared" ref="S33:S48" si="19">S32</f>
        <v>0</v>
      </c>
      <c r="T33" s="627">
        <f t="shared" ref="T33:T48" si="20">T32</f>
        <v>0</v>
      </c>
    </row>
    <row r="34" spans="1:20" s="263" customFormat="1" ht="12.75" customHeight="1" x14ac:dyDescent="0.2">
      <c r="A34" s="553" t="s">
        <v>1112</v>
      </c>
      <c r="B34" s="340"/>
      <c r="C34" s="340">
        <v>0</v>
      </c>
      <c r="D34" s="340">
        <v>0</v>
      </c>
      <c r="E34" s="344"/>
      <c r="F34" s="482">
        <v>0</v>
      </c>
      <c r="G34" s="197"/>
      <c r="H34" s="351">
        <v>0</v>
      </c>
      <c r="I34" s="353">
        <v>1</v>
      </c>
      <c r="J34" s="346">
        <f>I34*H34</f>
        <v>0</v>
      </c>
      <c r="K34" s="604">
        <f>IF(C34=0,0,SUM(J34/C34))</f>
        <v>0</v>
      </c>
      <c r="L34" s="556">
        <f>IF(K34=0,0,SUM(8/K34))</f>
        <v>0</v>
      </c>
      <c r="M34" s="556" t="e">
        <f t="shared" ref="M34:M47" si="21">C34/D34</f>
        <v>#DIV/0!</v>
      </c>
      <c r="N34" s="777">
        <f>J34*Q34*R34</f>
        <v>0</v>
      </c>
      <c r="O34" s="777">
        <f>J34*Q34*S34</f>
        <v>0</v>
      </c>
      <c r="P34" s="778">
        <f>J34*Q34*T34</f>
        <v>0</v>
      </c>
      <c r="Q34" s="774">
        <f t="shared" si="17"/>
        <v>0</v>
      </c>
      <c r="R34" s="625">
        <f t="shared" si="18"/>
        <v>0</v>
      </c>
      <c r="S34" s="626">
        <f t="shared" si="19"/>
        <v>0</v>
      </c>
      <c r="T34" s="627">
        <f t="shared" si="20"/>
        <v>0</v>
      </c>
    </row>
    <row r="35" spans="1:20" s="263" customFormat="1" ht="12.75" customHeight="1" x14ac:dyDescent="0.2">
      <c r="A35" s="553" t="s">
        <v>508</v>
      </c>
      <c r="B35" s="340"/>
      <c r="C35" s="340">
        <v>0</v>
      </c>
      <c r="D35" s="340">
        <v>0</v>
      </c>
      <c r="E35" s="352"/>
      <c r="F35" s="482">
        <v>0</v>
      </c>
      <c r="G35" s="197"/>
      <c r="H35" s="340">
        <v>0</v>
      </c>
      <c r="I35" s="353">
        <v>1</v>
      </c>
      <c r="J35" s="346">
        <f t="shared" si="15"/>
        <v>0</v>
      </c>
      <c r="K35" s="604">
        <f t="shared" si="11"/>
        <v>0</v>
      </c>
      <c r="L35" s="556">
        <f t="shared" si="12"/>
        <v>0</v>
      </c>
      <c r="M35" s="556" t="e">
        <f t="shared" si="21"/>
        <v>#DIV/0!</v>
      </c>
      <c r="N35" s="777">
        <f t="shared" si="16"/>
        <v>0</v>
      </c>
      <c r="O35" s="777">
        <f t="shared" si="13"/>
        <v>0</v>
      </c>
      <c r="P35" s="778">
        <f t="shared" si="14"/>
        <v>0</v>
      </c>
      <c r="Q35" s="774">
        <f>Q33</f>
        <v>0</v>
      </c>
      <c r="R35" s="625">
        <f>R33</f>
        <v>0</v>
      </c>
      <c r="S35" s="626">
        <f>S33</f>
        <v>0</v>
      </c>
      <c r="T35" s="627">
        <f>T33</f>
        <v>0</v>
      </c>
    </row>
    <row r="36" spans="1:20" s="263" customFormat="1" ht="12.75" customHeight="1" x14ac:dyDescent="0.2">
      <c r="A36" s="551" t="s">
        <v>639</v>
      </c>
      <c r="B36" s="340"/>
      <c r="C36" s="340">
        <v>0</v>
      </c>
      <c r="D36" s="340">
        <v>0</v>
      </c>
      <c r="E36" s="344">
        <f>C36</f>
        <v>0</v>
      </c>
      <c r="F36" s="482">
        <v>0</v>
      </c>
      <c r="G36" s="197"/>
      <c r="H36" s="351">
        <v>0</v>
      </c>
      <c r="I36" s="353">
        <v>1</v>
      </c>
      <c r="J36" s="346">
        <f t="shared" si="15"/>
        <v>0</v>
      </c>
      <c r="K36" s="604">
        <f t="shared" si="11"/>
        <v>0</v>
      </c>
      <c r="L36" s="556">
        <f t="shared" si="12"/>
        <v>0</v>
      </c>
      <c r="M36" s="556"/>
      <c r="N36" s="777">
        <f t="shared" si="16"/>
        <v>0</v>
      </c>
      <c r="O36" s="777">
        <f t="shared" si="13"/>
        <v>0</v>
      </c>
      <c r="P36" s="778">
        <f t="shared" si="14"/>
        <v>0</v>
      </c>
      <c r="Q36" s="774">
        <f t="shared" si="17"/>
        <v>0</v>
      </c>
      <c r="R36" s="625">
        <f t="shared" si="18"/>
        <v>0</v>
      </c>
      <c r="S36" s="626">
        <f t="shared" si="19"/>
        <v>0</v>
      </c>
      <c r="T36" s="627">
        <f t="shared" si="20"/>
        <v>0</v>
      </c>
    </row>
    <row r="37" spans="1:20" s="263" customFormat="1" ht="12.75" customHeight="1" x14ac:dyDescent="0.2">
      <c r="A37" s="551" t="s">
        <v>479</v>
      </c>
      <c r="B37" s="340" t="s">
        <v>493</v>
      </c>
      <c r="C37" s="340">
        <v>563</v>
      </c>
      <c r="D37" s="340">
        <v>123</v>
      </c>
      <c r="E37" s="344"/>
      <c r="F37" s="482">
        <v>5067</v>
      </c>
      <c r="G37" s="197"/>
      <c r="H37" s="340">
        <v>226</v>
      </c>
      <c r="I37" s="353">
        <v>1</v>
      </c>
      <c r="J37" s="346">
        <f t="shared" si="15"/>
        <v>226</v>
      </c>
      <c r="K37" s="604">
        <f t="shared" si="11"/>
        <v>0.40142095914742454</v>
      </c>
      <c r="L37" s="556">
        <f t="shared" si="12"/>
        <v>19.929203539823007</v>
      </c>
      <c r="M37" s="556">
        <f t="shared" si="21"/>
        <v>4.5772357723577235</v>
      </c>
      <c r="N37" s="777">
        <f t="shared" si="16"/>
        <v>0</v>
      </c>
      <c r="O37" s="777">
        <f t="shared" si="13"/>
        <v>0</v>
      </c>
      <c r="P37" s="778">
        <f t="shared" si="14"/>
        <v>0</v>
      </c>
      <c r="Q37" s="774">
        <f t="shared" si="17"/>
        <v>0</v>
      </c>
      <c r="R37" s="625">
        <f t="shared" si="18"/>
        <v>0</v>
      </c>
      <c r="S37" s="626">
        <f t="shared" si="19"/>
        <v>0</v>
      </c>
      <c r="T37" s="627">
        <f t="shared" si="20"/>
        <v>0</v>
      </c>
    </row>
    <row r="38" spans="1:20" s="263" customFormat="1" ht="12.75" customHeight="1" x14ac:dyDescent="0.2">
      <c r="A38" s="551" t="s">
        <v>480</v>
      </c>
      <c r="B38" s="340"/>
      <c r="C38" s="340">
        <v>0</v>
      </c>
      <c r="D38" s="340">
        <v>0</v>
      </c>
      <c r="E38" s="344">
        <f>C38</f>
        <v>0</v>
      </c>
      <c r="F38" s="482">
        <v>0</v>
      </c>
      <c r="G38" s="197"/>
      <c r="H38" s="351">
        <v>0</v>
      </c>
      <c r="I38" s="353">
        <v>1</v>
      </c>
      <c r="J38" s="346">
        <f t="shared" si="15"/>
        <v>0</v>
      </c>
      <c r="K38" s="604">
        <f t="shared" si="11"/>
        <v>0</v>
      </c>
      <c r="L38" s="556">
        <f t="shared" si="12"/>
        <v>0</v>
      </c>
      <c r="M38" s="556" t="e">
        <f t="shared" si="21"/>
        <v>#DIV/0!</v>
      </c>
      <c r="N38" s="777">
        <f t="shared" si="16"/>
        <v>0</v>
      </c>
      <c r="O38" s="777">
        <f t="shared" si="13"/>
        <v>0</v>
      </c>
      <c r="P38" s="778">
        <f t="shared" si="14"/>
        <v>0</v>
      </c>
      <c r="Q38" s="774">
        <f t="shared" si="17"/>
        <v>0</v>
      </c>
      <c r="R38" s="625">
        <f t="shared" si="18"/>
        <v>0</v>
      </c>
      <c r="S38" s="626">
        <f t="shared" si="19"/>
        <v>0</v>
      </c>
      <c r="T38" s="627">
        <f t="shared" si="20"/>
        <v>0</v>
      </c>
    </row>
    <row r="39" spans="1:20" s="263" customFormat="1" ht="12.75" customHeight="1" x14ac:dyDescent="0.2">
      <c r="A39" s="551" t="s">
        <v>1692</v>
      </c>
      <c r="B39" s="340"/>
      <c r="C39" s="340">
        <v>0</v>
      </c>
      <c r="D39" s="340">
        <v>0</v>
      </c>
      <c r="E39" s="344"/>
      <c r="F39" s="482">
        <v>0</v>
      </c>
      <c r="G39" s="197"/>
      <c r="H39" s="340">
        <v>0</v>
      </c>
      <c r="I39" s="353">
        <v>1</v>
      </c>
      <c r="J39" s="346">
        <f t="shared" si="15"/>
        <v>0</v>
      </c>
      <c r="K39" s="604">
        <f t="shared" si="11"/>
        <v>0</v>
      </c>
      <c r="L39" s="556">
        <f t="shared" si="12"/>
        <v>0</v>
      </c>
      <c r="M39" s="556" t="e">
        <f t="shared" si="21"/>
        <v>#DIV/0!</v>
      </c>
      <c r="N39" s="777">
        <f t="shared" si="16"/>
        <v>0</v>
      </c>
      <c r="O39" s="777">
        <f t="shared" si="13"/>
        <v>0</v>
      </c>
      <c r="P39" s="778">
        <f t="shared" si="14"/>
        <v>0</v>
      </c>
      <c r="Q39" s="774">
        <f t="shared" si="17"/>
        <v>0</v>
      </c>
      <c r="R39" s="625">
        <f t="shared" si="18"/>
        <v>0</v>
      </c>
      <c r="S39" s="626">
        <f t="shared" si="19"/>
        <v>0</v>
      </c>
      <c r="T39" s="627">
        <f t="shared" si="20"/>
        <v>0</v>
      </c>
    </row>
    <row r="40" spans="1:20" s="263" customFormat="1" ht="12.75" customHeight="1" x14ac:dyDescent="0.2">
      <c r="A40" s="554" t="s">
        <v>768</v>
      </c>
      <c r="B40" s="340" t="s">
        <v>493</v>
      </c>
      <c r="C40" s="340">
        <v>830</v>
      </c>
      <c r="D40" s="340">
        <v>171</v>
      </c>
      <c r="E40" s="344"/>
      <c r="F40" s="482">
        <v>10665</v>
      </c>
      <c r="G40" s="197"/>
      <c r="H40" s="351">
        <v>413</v>
      </c>
      <c r="I40" s="353">
        <v>1</v>
      </c>
      <c r="J40" s="346">
        <f t="shared" si="15"/>
        <v>413</v>
      </c>
      <c r="K40" s="604">
        <f t="shared" si="11"/>
        <v>0.49759036144578311</v>
      </c>
      <c r="L40" s="556">
        <f t="shared" si="12"/>
        <v>16.077481840193705</v>
      </c>
      <c r="M40" s="556">
        <f t="shared" si="21"/>
        <v>4.8538011695906436</v>
      </c>
      <c r="N40" s="777">
        <f t="shared" si="16"/>
        <v>0</v>
      </c>
      <c r="O40" s="777">
        <f t="shared" si="13"/>
        <v>0</v>
      </c>
      <c r="P40" s="778">
        <f t="shared" si="14"/>
        <v>0</v>
      </c>
      <c r="Q40" s="774">
        <f t="shared" si="17"/>
        <v>0</v>
      </c>
      <c r="R40" s="625">
        <f t="shared" si="18"/>
        <v>0</v>
      </c>
      <c r="S40" s="626">
        <f t="shared" si="19"/>
        <v>0</v>
      </c>
      <c r="T40" s="627">
        <f t="shared" si="20"/>
        <v>0</v>
      </c>
    </row>
    <row r="41" spans="1:20" s="263" customFormat="1" ht="12.75" customHeight="1" x14ac:dyDescent="0.2">
      <c r="A41" s="551" t="s">
        <v>2596</v>
      </c>
      <c r="B41" s="340"/>
      <c r="C41" s="340">
        <v>2140</v>
      </c>
      <c r="D41" s="340">
        <v>0</v>
      </c>
      <c r="E41" s="344"/>
      <c r="F41" s="482">
        <f>22336*1.3</f>
        <v>29036.799999999999</v>
      </c>
      <c r="G41" s="197"/>
      <c r="H41" s="340">
        <f>800*1.3</f>
        <v>1040</v>
      </c>
      <c r="I41" s="353">
        <v>1</v>
      </c>
      <c r="J41" s="346">
        <f t="shared" si="15"/>
        <v>1040</v>
      </c>
      <c r="K41" s="604">
        <f t="shared" si="11"/>
        <v>0.48598130841121495</v>
      </c>
      <c r="L41" s="556">
        <f t="shared" si="12"/>
        <v>16.46153846153846</v>
      </c>
      <c r="M41" s="556" t="e">
        <f t="shared" si="21"/>
        <v>#DIV/0!</v>
      </c>
      <c r="N41" s="777">
        <f t="shared" si="16"/>
        <v>0</v>
      </c>
      <c r="O41" s="777">
        <f t="shared" si="13"/>
        <v>0</v>
      </c>
      <c r="P41" s="778">
        <f t="shared" si="14"/>
        <v>0</v>
      </c>
      <c r="Q41" s="774">
        <f t="shared" si="17"/>
        <v>0</v>
      </c>
      <c r="R41" s="625">
        <f t="shared" si="18"/>
        <v>0</v>
      </c>
      <c r="S41" s="626">
        <f t="shared" si="19"/>
        <v>0</v>
      </c>
      <c r="T41" s="627">
        <f t="shared" si="20"/>
        <v>0</v>
      </c>
    </row>
    <row r="42" spans="1:20" s="263" customFormat="1" ht="12.75" customHeight="1" x14ac:dyDescent="0.2">
      <c r="A42" s="551" t="s">
        <v>758</v>
      </c>
      <c r="B42" s="340"/>
      <c r="C42" s="340">
        <v>0</v>
      </c>
      <c r="D42" s="340">
        <v>0</v>
      </c>
      <c r="E42" s="344"/>
      <c r="F42" s="482">
        <v>0</v>
      </c>
      <c r="G42" s="197"/>
      <c r="H42" s="351">
        <v>0</v>
      </c>
      <c r="I42" s="345">
        <v>1</v>
      </c>
      <c r="J42" s="346">
        <f t="shared" si="15"/>
        <v>0</v>
      </c>
      <c r="K42" s="604">
        <f t="shared" si="11"/>
        <v>0</v>
      </c>
      <c r="L42" s="556">
        <f t="shared" si="12"/>
        <v>0</v>
      </c>
      <c r="M42" s="556" t="e">
        <f t="shared" si="21"/>
        <v>#DIV/0!</v>
      </c>
      <c r="N42" s="777">
        <f t="shared" si="16"/>
        <v>0</v>
      </c>
      <c r="O42" s="777">
        <f t="shared" si="13"/>
        <v>0</v>
      </c>
      <c r="P42" s="778">
        <f t="shared" si="14"/>
        <v>0</v>
      </c>
      <c r="Q42" s="774">
        <f t="shared" si="17"/>
        <v>0</v>
      </c>
      <c r="R42" s="625">
        <f t="shared" si="18"/>
        <v>0</v>
      </c>
      <c r="S42" s="626">
        <f t="shared" si="19"/>
        <v>0</v>
      </c>
      <c r="T42" s="627">
        <f t="shared" si="20"/>
        <v>0</v>
      </c>
    </row>
    <row r="43" spans="1:20" s="263" customFormat="1" ht="12.75" customHeight="1" x14ac:dyDescent="0.2">
      <c r="A43" s="551" t="s">
        <v>759</v>
      </c>
      <c r="B43" s="340"/>
      <c r="C43" s="340">
        <v>0</v>
      </c>
      <c r="D43" s="340">
        <v>0</v>
      </c>
      <c r="E43" s="344"/>
      <c r="F43" s="482">
        <v>0</v>
      </c>
      <c r="G43" s="197"/>
      <c r="H43" s="340">
        <v>0</v>
      </c>
      <c r="I43" s="345">
        <v>1</v>
      </c>
      <c r="J43" s="346">
        <f t="shared" si="15"/>
        <v>0</v>
      </c>
      <c r="K43" s="604">
        <f t="shared" si="11"/>
        <v>0</v>
      </c>
      <c r="L43" s="556">
        <f t="shared" si="12"/>
        <v>0</v>
      </c>
      <c r="M43" s="556" t="e">
        <f t="shared" si="21"/>
        <v>#DIV/0!</v>
      </c>
      <c r="N43" s="777">
        <f t="shared" si="16"/>
        <v>0</v>
      </c>
      <c r="O43" s="777">
        <f t="shared" si="13"/>
        <v>0</v>
      </c>
      <c r="P43" s="778">
        <f t="shared" si="14"/>
        <v>0</v>
      </c>
      <c r="Q43" s="774">
        <f t="shared" si="17"/>
        <v>0</v>
      </c>
      <c r="R43" s="625">
        <f t="shared" si="18"/>
        <v>0</v>
      </c>
      <c r="S43" s="626">
        <f t="shared" si="19"/>
        <v>0</v>
      </c>
      <c r="T43" s="627">
        <f t="shared" si="20"/>
        <v>0</v>
      </c>
    </row>
    <row r="44" spans="1:20" s="263" customFormat="1" ht="12.75" customHeight="1" x14ac:dyDescent="0.2">
      <c r="A44" s="869" t="s">
        <v>1908</v>
      </c>
      <c r="B44" s="340"/>
      <c r="C44" s="340">
        <v>0</v>
      </c>
      <c r="D44" s="340">
        <v>0</v>
      </c>
      <c r="E44" s="344"/>
      <c r="F44" s="870">
        <v>0</v>
      </c>
      <c r="G44" s="196"/>
      <c r="H44" s="351">
        <v>0</v>
      </c>
      <c r="I44" s="345">
        <v>1</v>
      </c>
      <c r="J44" s="346">
        <f t="shared" si="15"/>
        <v>0</v>
      </c>
      <c r="K44" s="604">
        <f t="shared" si="11"/>
        <v>0</v>
      </c>
      <c r="L44" s="556">
        <f t="shared" si="12"/>
        <v>0</v>
      </c>
      <c r="M44" s="556" t="e">
        <f t="shared" si="21"/>
        <v>#DIV/0!</v>
      </c>
      <c r="N44" s="777">
        <f t="shared" si="16"/>
        <v>0</v>
      </c>
      <c r="O44" s="777">
        <f t="shared" si="13"/>
        <v>0</v>
      </c>
      <c r="P44" s="778">
        <f t="shared" si="14"/>
        <v>0</v>
      </c>
      <c r="Q44" s="774">
        <f t="shared" si="17"/>
        <v>0</v>
      </c>
      <c r="R44" s="625">
        <f t="shared" si="18"/>
        <v>0</v>
      </c>
      <c r="S44" s="626">
        <f t="shared" si="19"/>
        <v>0</v>
      </c>
      <c r="T44" s="627">
        <f t="shared" si="20"/>
        <v>0</v>
      </c>
    </row>
    <row r="45" spans="1:20" s="263" customFormat="1" x14ac:dyDescent="0.2">
      <c r="A45" s="550" t="s">
        <v>239</v>
      </c>
      <c r="B45" s="340"/>
      <c r="C45" s="340">
        <v>0</v>
      </c>
      <c r="D45" s="340">
        <v>0</v>
      </c>
      <c r="E45" s="344"/>
      <c r="F45" s="482">
        <v>0</v>
      </c>
      <c r="G45" s="344"/>
      <c r="H45" s="340">
        <v>0</v>
      </c>
      <c r="I45" s="345">
        <v>1</v>
      </c>
      <c r="J45" s="346">
        <f t="shared" si="15"/>
        <v>0</v>
      </c>
      <c r="K45" s="604">
        <f t="shared" si="11"/>
        <v>0</v>
      </c>
      <c r="L45" s="556">
        <f t="shared" si="12"/>
        <v>0</v>
      </c>
      <c r="M45" s="556" t="e">
        <f t="shared" si="21"/>
        <v>#DIV/0!</v>
      </c>
      <c r="N45" s="777">
        <f t="shared" si="16"/>
        <v>0</v>
      </c>
      <c r="O45" s="777">
        <f t="shared" si="13"/>
        <v>0</v>
      </c>
      <c r="P45" s="778">
        <f t="shared" si="14"/>
        <v>0</v>
      </c>
      <c r="Q45" s="774">
        <f t="shared" si="17"/>
        <v>0</v>
      </c>
      <c r="R45" s="625">
        <f t="shared" si="18"/>
        <v>0</v>
      </c>
      <c r="S45" s="626">
        <f t="shared" si="19"/>
        <v>0</v>
      </c>
      <c r="T45" s="627">
        <f t="shared" si="20"/>
        <v>0</v>
      </c>
    </row>
    <row r="46" spans="1:20" s="263" customFormat="1" ht="12.75" customHeight="1" x14ac:dyDescent="0.2">
      <c r="A46" s="551"/>
      <c r="B46" s="340"/>
      <c r="C46" s="340">
        <v>0</v>
      </c>
      <c r="D46" s="340">
        <v>0</v>
      </c>
      <c r="E46" s="344"/>
      <c r="F46" s="482">
        <v>0</v>
      </c>
      <c r="G46" s="196"/>
      <c r="H46" s="351">
        <v>0</v>
      </c>
      <c r="I46" s="345">
        <v>1</v>
      </c>
      <c r="J46" s="346">
        <f t="shared" si="15"/>
        <v>0</v>
      </c>
      <c r="K46" s="604">
        <f t="shared" si="11"/>
        <v>0</v>
      </c>
      <c r="L46" s="556">
        <f t="shared" si="12"/>
        <v>0</v>
      </c>
      <c r="M46" s="556" t="e">
        <f t="shared" si="21"/>
        <v>#DIV/0!</v>
      </c>
      <c r="N46" s="777">
        <f t="shared" si="16"/>
        <v>0</v>
      </c>
      <c r="O46" s="777">
        <f t="shared" si="13"/>
        <v>0</v>
      </c>
      <c r="P46" s="778">
        <f t="shared" si="14"/>
        <v>0</v>
      </c>
      <c r="Q46" s="774">
        <f t="shared" si="17"/>
        <v>0</v>
      </c>
      <c r="R46" s="625">
        <f t="shared" si="18"/>
        <v>0</v>
      </c>
      <c r="S46" s="626">
        <f t="shared" si="19"/>
        <v>0</v>
      </c>
      <c r="T46" s="627">
        <f t="shared" si="20"/>
        <v>0</v>
      </c>
    </row>
    <row r="47" spans="1:20" s="263" customFormat="1" ht="12.75" customHeight="1" x14ac:dyDescent="0.2">
      <c r="A47" s="551"/>
      <c r="B47" s="491" t="s">
        <v>1592</v>
      </c>
      <c r="C47" s="786"/>
      <c r="D47" s="786"/>
      <c r="E47" s="344"/>
      <c r="F47" s="787"/>
      <c r="G47" s="196"/>
      <c r="H47" s="196"/>
      <c r="I47" s="783"/>
      <c r="J47" s="346">
        <f t="shared" si="15"/>
        <v>0</v>
      </c>
      <c r="K47" s="604">
        <f t="shared" si="11"/>
        <v>0</v>
      </c>
      <c r="L47" s="556">
        <f t="shared" si="12"/>
        <v>0</v>
      </c>
      <c r="M47" s="556" t="e">
        <f t="shared" si="21"/>
        <v>#DIV/0!</v>
      </c>
      <c r="N47" s="777">
        <f t="shared" si="16"/>
        <v>0</v>
      </c>
      <c r="O47" s="777">
        <f t="shared" si="13"/>
        <v>0</v>
      </c>
      <c r="P47" s="778">
        <f t="shared" si="14"/>
        <v>0</v>
      </c>
      <c r="Q47" s="774">
        <f t="shared" si="17"/>
        <v>0</v>
      </c>
      <c r="R47" s="625">
        <f t="shared" si="18"/>
        <v>0</v>
      </c>
      <c r="S47" s="626">
        <f t="shared" si="19"/>
        <v>0</v>
      </c>
      <c r="T47" s="627">
        <f t="shared" si="20"/>
        <v>0</v>
      </c>
    </row>
    <row r="48" spans="1:20" s="263" customFormat="1" ht="12.75" customHeight="1" x14ac:dyDescent="0.2">
      <c r="A48" s="551" t="s">
        <v>1593</v>
      </c>
      <c r="B48" s="492">
        <f>E51*B49</f>
        <v>0</v>
      </c>
      <c r="C48" s="492"/>
      <c r="D48" s="492"/>
      <c r="E48" s="344"/>
      <c r="F48" s="609">
        <f>B48*10</f>
        <v>0</v>
      </c>
      <c r="G48" s="344"/>
      <c r="H48" s="493">
        <f>B48*1.3</f>
        <v>0</v>
      </c>
      <c r="I48" s="345">
        <v>1</v>
      </c>
      <c r="J48" s="346">
        <f t="shared" si="15"/>
        <v>0</v>
      </c>
      <c r="K48" s="556"/>
      <c r="L48" s="556"/>
      <c r="M48" s="556"/>
      <c r="N48" s="777">
        <f t="shared" si="16"/>
        <v>0</v>
      </c>
      <c r="O48" s="777">
        <f t="shared" si="13"/>
        <v>0</v>
      </c>
      <c r="P48" s="778">
        <f t="shared" si="14"/>
        <v>0</v>
      </c>
      <c r="Q48" s="774">
        <f t="shared" si="17"/>
        <v>0</v>
      </c>
      <c r="R48" s="625">
        <f t="shared" si="18"/>
        <v>0</v>
      </c>
      <c r="S48" s="626">
        <f t="shared" si="19"/>
        <v>0</v>
      </c>
      <c r="T48" s="627">
        <f t="shared" si="20"/>
        <v>0</v>
      </c>
    </row>
    <row r="49" spans="1:20" s="263" customFormat="1" ht="12.75" customHeight="1" x14ac:dyDescent="0.2">
      <c r="A49" s="549" t="s">
        <v>1594</v>
      </c>
      <c r="B49" s="610">
        <v>0</v>
      </c>
      <c r="C49" s="783"/>
      <c r="D49" s="783"/>
      <c r="E49" s="344"/>
      <c r="F49" s="344"/>
      <c r="G49" s="344"/>
      <c r="H49" s="344"/>
      <c r="I49" s="783"/>
      <c r="J49" s="346"/>
      <c r="K49" s="556"/>
      <c r="L49" s="556"/>
      <c r="M49" s="556"/>
      <c r="N49" s="779"/>
      <c r="O49" s="779"/>
      <c r="P49" s="775"/>
      <c r="Q49" s="775"/>
      <c r="R49" s="625"/>
      <c r="S49" s="626"/>
      <c r="T49" s="627"/>
    </row>
    <row r="50" spans="1:20" s="263" customFormat="1" ht="12.75" customHeight="1" thickBot="1" x14ac:dyDescent="0.25">
      <c r="A50" s="552" t="s">
        <v>1595</v>
      </c>
      <c r="B50" s="498">
        <v>0</v>
      </c>
      <c r="C50" s="542"/>
      <c r="D50" s="542"/>
      <c r="E50" s="347"/>
      <c r="F50" s="540">
        <f>(SUM(F30:F48))*B50</f>
        <v>0</v>
      </c>
      <c r="G50" s="347"/>
      <c r="H50" s="347"/>
      <c r="I50" s="784"/>
      <c r="J50" s="348"/>
      <c r="K50" s="557"/>
      <c r="L50" s="557"/>
      <c r="M50" s="557"/>
      <c r="N50" s="780"/>
      <c r="O50" s="780"/>
      <c r="P50" s="776"/>
      <c r="Q50" s="776"/>
      <c r="R50" s="628"/>
      <c r="S50" s="629"/>
      <c r="T50" s="630"/>
    </row>
    <row r="51" spans="1:20" s="263" customFormat="1" ht="13.5" thickBot="1" x14ac:dyDescent="0.25">
      <c r="A51" s="543" t="s">
        <v>171</v>
      </c>
      <c r="B51" s="193"/>
      <c r="C51" s="193"/>
      <c r="D51" s="193"/>
      <c r="E51" s="559">
        <f>SUM(E31:E50)</f>
        <v>0</v>
      </c>
      <c r="F51" s="607">
        <f>SUM(F31:F50)</f>
        <v>44768.800000000003</v>
      </c>
      <c r="G51" s="193"/>
      <c r="H51" s="606">
        <f>SUM(H31:H50)</f>
        <v>1679</v>
      </c>
      <c r="I51" s="193"/>
      <c r="J51" s="560">
        <f>SUM(J31:J50)</f>
        <v>1679</v>
      </c>
      <c r="K51" s="195"/>
      <c r="L51" s="195"/>
      <c r="M51" s="195"/>
      <c r="N51" s="560">
        <f>SUM(N31:N50)</f>
        <v>0</v>
      </c>
      <c r="O51" s="560">
        <f>SUM(O31:O50)</f>
        <v>0</v>
      </c>
      <c r="P51" s="563">
        <f>SUM(P31:P50)</f>
        <v>0</v>
      </c>
      <c r="Q51" s="563"/>
      <c r="R51" s="634"/>
      <c r="S51" s="635"/>
      <c r="T51" s="636"/>
    </row>
    <row r="52" spans="1:20" s="263" customFormat="1" x14ac:dyDescent="0.2">
      <c r="J52" s="349"/>
      <c r="K52" s="350"/>
      <c r="L52" s="350"/>
      <c r="M52" s="350"/>
      <c r="N52" s="350"/>
      <c r="O52" s="350"/>
      <c r="P52" s="350"/>
      <c r="Q52" s="350"/>
      <c r="T52" s="591"/>
    </row>
    <row r="53" spans="1:20" s="263" customFormat="1" x14ac:dyDescent="0.2">
      <c r="J53" s="349"/>
      <c r="K53" s="350"/>
      <c r="L53" s="350"/>
      <c r="M53" s="350"/>
      <c r="N53" s="350"/>
      <c r="O53" s="350"/>
      <c r="P53" s="350"/>
      <c r="Q53" s="350"/>
      <c r="T53" s="591"/>
    </row>
    <row r="54" spans="1:20" s="263" customFormat="1" ht="15.75" customHeight="1" thickBot="1" x14ac:dyDescent="0.25">
      <c r="A54" s="171" t="s">
        <v>172</v>
      </c>
      <c r="E54" s="354">
        <f>E51+E27</f>
        <v>924</v>
      </c>
      <c r="F54" s="354">
        <f>F51+F27</f>
        <v>233808.8</v>
      </c>
      <c r="H54" s="354">
        <f>H51+H27</f>
        <v>4961</v>
      </c>
      <c r="J54" s="564">
        <f>J27+J51</f>
        <v>4998.8</v>
      </c>
      <c r="K54" s="349"/>
      <c r="L54" s="349"/>
      <c r="M54" s="349"/>
      <c r="N54" s="564">
        <f>N27+N51</f>
        <v>0</v>
      </c>
      <c r="O54" s="564">
        <f>O27+O51</f>
        <v>0</v>
      </c>
      <c r="P54" s="564">
        <f>P27+P51</f>
        <v>0</v>
      </c>
      <c r="Q54" s="564">
        <f>Q27+Q51</f>
        <v>0</v>
      </c>
      <c r="T54" s="591"/>
    </row>
    <row r="55" spans="1:20" ht="39" customHeight="1" thickBot="1" x14ac:dyDescent="0.25">
      <c r="F55" s="190" t="s">
        <v>169</v>
      </c>
      <c r="G55" s="611"/>
      <c r="H55" s="468" t="s">
        <v>627</v>
      </c>
      <c r="I55" s="470" t="s">
        <v>1333</v>
      </c>
      <c r="J55" s="472"/>
    </row>
    <row r="56" spans="1:20" ht="17.25" customHeight="1" thickBot="1" x14ac:dyDescent="0.25">
      <c r="A56" s="355" t="s">
        <v>1113</v>
      </c>
      <c r="B56" s="1665" t="s">
        <v>1114</v>
      </c>
      <c r="C56" s="1665"/>
      <c r="D56" s="1665"/>
      <c r="E56" s="1665"/>
      <c r="F56" s="366">
        <v>227251</v>
      </c>
      <c r="G56" s="612"/>
      <c r="H56" s="367">
        <v>3980</v>
      </c>
      <c r="I56" s="605">
        <f>J54/H54</f>
        <v>1.0076194315662166</v>
      </c>
      <c r="J56" s="471"/>
    </row>
    <row r="57" spans="1:20" ht="17.25" customHeight="1" thickBot="1" x14ac:dyDescent="0.25">
      <c r="A57" s="1662" t="s">
        <v>1115</v>
      </c>
      <c r="B57" s="1663"/>
      <c r="C57" s="1663"/>
      <c r="D57" s="1663"/>
      <c r="E57" s="1664"/>
      <c r="F57" s="494">
        <f>F56-F54+F50+F26+F48+F24+F20+F44</f>
        <v>-6557.7999999999884</v>
      </c>
      <c r="G57" s="612"/>
      <c r="H57" s="495">
        <f>H56-H54+H48+H24</f>
        <v>-981</v>
      </c>
      <c r="I57" s="170"/>
    </row>
    <row r="58" spans="1:20" ht="13.5" thickBot="1" x14ac:dyDescent="0.25">
      <c r="A58" s="1662" t="s">
        <v>1728</v>
      </c>
      <c r="B58" s="1663"/>
      <c r="C58" s="1663"/>
      <c r="D58" s="1663"/>
      <c r="E58" s="1664"/>
      <c r="F58" s="494"/>
      <c r="G58" s="612"/>
      <c r="H58" s="495"/>
    </row>
  </sheetData>
  <sheetProtection formatCells="0" formatColumns="0" formatRows="0" insertHyperlinks="0" sort="0" autoFilter="0" pivotTables="0"/>
  <customSheetViews>
    <customSheetView guid="{C88CD669-B349-4A86-8041-5686C62E698E}" fitToPage="1">
      <pane ySplit="5" topLeftCell="A6" activePane="bottomLeft" state="frozen"/>
      <selection pane="bottomLeft" activeCell="E7" sqref="E7"/>
      <pageMargins left="0.45" right="0.45" top="0.75" bottom="0.75" header="0.3" footer="0.3"/>
      <pageSetup scale="48" orientation="portrait" r:id="rId1"/>
    </customSheetView>
    <customSheetView guid="{14A9C729-6567-47B0-B521-30EFFF4E950A}" fitToPage="1">
      <pane ySplit="5" topLeftCell="A6" activePane="bottomLeft" state="frozen"/>
      <selection pane="bottomLeft" activeCell="W33" sqref="W33"/>
      <pageMargins left="0.45" right="0.45" top="0.75" bottom="0.75" header="0.3" footer="0.3"/>
      <pageSetup scale="48" orientation="portrait" r:id="rId2"/>
    </customSheetView>
    <customSheetView guid="{198460B7-6D23-4AED-A971-BF824A975991}" fitToPage="1">
      <pane ySplit="5" topLeftCell="A6" activePane="bottomLeft" state="frozen"/>
      <selection pane="bottomLeft" activeCell="U23" sqref="U23"/>
      <pageMargins left="0.45" right="0.45" top="0.75" bottom="0.75" header="0.3" footer="0.3"/>
      <pageSetup scale="48" orientation="portrait" r:id="rId3"/>
    </customSheetView>
  </customSheetViews>
  <mergeCells count="12">
    <mergeCell ref="A58:E58"/>
    <mergeCell ref="B56:E56"/>
    <mergeCell ref="A57:E57"/>
    <mergeCell ref="G1:P1"/>
    <mergeCell ref="E1:F1"/>
    <mergeCell ref="E2:F2"/>
    <mergeCell ref="G2:P2"/>
    <mergeCell ref="A5:P5"/>
    <mergeCell ref="A4:T4"/>
    <mergeCell ref="R5:T5"/>
    <mergeCell ref="R29:T29"/>
    <mergeCell ref="A29:Q29"/>
  </mergeCells>
  <conditionalFormatting sqref="B24:C24">
    <cfRule type="cellIs" dxfId="44" priority="69" operator="equal">
      <formula>0</formula>
    </cfRule>
  </conditionalFormatting>
  <conditionalFormatting sqref="B48:C48">
    <cfRule type="cellIs" dxfId="43" priority="65" operator="equal">
      <formula>0</formula>
    </cfRule>
  </conditionalFormatting>
  <conditionalFormatting sqref="B50:C50">
    <cfRule type="cellIs" dxfId="42" priority="56" operator="equal">
      <formula>0</formula>
    </cfRule>
  </conditionalFormatting>
  <conditionalFormatting sqref="B26:C26">
    <cfRule type="cellIs" dxfId="41" priority="57" operator="equal">
      <formula>0</formula>
    </cfRule>
  </conditionalFormatting>
  <conditionalFormatting sqref="H57">
    <cfRule type="cellIs" dxfId="40" priority="29" operator="equal">
      <formula>0</formula>
    </cfRule>
  </conditionalFormatting>
  <conditionalFormatting sqref="H57">
    <cfRule type="cellIs" dxfId="39" priority="28" operator="equal">
      <formula>0</formula>
    </cfRule>
  </conditionalFormatting>
  <conditionalFormatting sqref="F57">
    <cfRule type="cellIs" dxfId="38" priority="24" operator="equal">
      <formula>0</formula>
    </cfRule>
    <cfRule type="cellIs" dxfId="37" priority="25" operator="equal">
      <formula>0</formula>
    </cfRule>
    <cfRule type="cellIs" dxfId="36" priority="26" operator="equal">
      <formula>0</formula>
    </cfRule>
  </conditionalFormatting>
  <conditionalFormatting sqref="I57">
    <cfRule type="cellIs" dxfId="35" priority="23" operator="equal">
      <formula>0</formula>
    </cfRule>
  </conditionalFormatting>
  <conditionalFormatting sqref="I57">
    <cfRule type="cellIs" dxfId="34" priority="22" operator="equal">
      <formula>0</formula>
    </cfRule>
  </conditionalFormatting>
  <conditionalFormatting sqref="H57">
    <cfRule type="cellIs" dxfId="33" priority="21" operator="equal">
      <formula>0</formula>
    </cfRule>
  </conditionalFormatting>
  <conditionalFormatting sqref="H25">
    <cfRule type="cellIs" dxfId="32" priority="19" operator="equal">
      <formula>0</formula>
    </cfRule>
    <cfRule type="cellIs" dxfId="31" priority="20" operator="equal">
      <formula>0</formula>
    </cfRule>
  </conditionalFormatting>
  <conditionalFormatting sqref="H24">
    <cfRule type="cellIs" dxfId="30" priority="17" operator="equal">
      <formula>0</formula>
    </cfRule>
    <cfRule type="cellIs" dxfId="29" priority="18" operator="equal">
      <formula>0</formula>
    </cfRule>
  </conditionalFormatting>
  <conditionalFormatting sqref="H48">
    <cfRule type="cellIs" dxfId="28" priority="15" operator="equal">
      <formula>0</formula>
    </cfRule>
    <cfRule type="cellIs" dxfId="27" priority="16" operator="equal">
      <formula>0</formula>
    </cfRule>
  </conditionalFormatting>
  <conditionalFormatting sqref="F48">
    <cfRule type="cellIs" dxfId="26" priority="14" operator="equal">
      <formula>0</formula>
    </cfRule>
  </conditionalFormatting>
  <conditionalFormatting sqref="F24">
    <cfRule type="cellIs" dxfId="25" priority="13" operator="equal">
      <formula>0</formula>
    </cfRule>
  </conditionalFormatting>
  <conditionalFormatting sqref="B49">
    <cfRule type="cellIs" dxfId="24" priority="12" operator="equal">
      <formula>0</formula>
    </cfRule>
  </conditionalFormatting>
  <conditionalFormatting sqref="B25">
    <cfRule type="cellIs" dxfId="23" priority="11" operator="equal">
      <formula>0</formula>
    </cfRule>
  </conditionalFormatting>
  <conditionalFormatting sqref="H58">
    <cfRule type="cellIs" dxfId="22" priority="10" operator="equal">
      <formula>0</formula>
    </cfRule>
  </conditionalFormatting>
  <conditionalFormatting sqref="H58">
    <cfRule type="cellIs" dxfId="21" priority="9" operator="equal">
      <formula>0</formula>
    </cfRule>
  </conditionalFormatting>
  <conditionalFormatting sqref="F58">
    <cfRule type="cellIs" dxfId="20" priority="6" operator="equal">
      <formula>0</formula>
    </cfRule>
    <cfRule type="cellIs" dxfId="19" priority="7" operator="equal">
      <formula>0</formula>
    </cfRule>
    <cfRule type="cellIs" dxfId="18" priority="8" operator="equal">
      <formula>0</formula>
    </cfRule>
  </conditionalFormatting>
  <conditionalFormatting sqref="H58">
    <cfRule type="cellIs" dxfId="17" priority="5" operator="equal">
      <formula>0</formula>
    </cfRule>
  </conditionalFormatting>
  <conditionalFormatting sqref="D24">
    <cfRule type="cellIs" dxfId="16" priority="4" operator="equal">
      <formula>0</formula>
    </cfRule>
  </conditionalFormatting>
  <conditionalFormatting sqref="D48">
    <cfRule type="cellIs" dxfId="15" priority="3" operator="equal">
      <formula>0</formula>
    </cfRule>
  </conditionalFormatting>
  <conditionalFormatting sqref="D50">
    <cfRule type="cellIs" dxfId="14" priority="1" operator="equal">
      <formula>0</formula>
    </cfRule>
  </conditionalFormatting>
  <conditionalFormatting sqref="D26">
    <cfRule type="cellIs" dxfId="13" priority="2" operator="equal">
      <formula>0</formula>
    </cfRule>
  </conditionalFormatting>
  <pageMargins left="0.45" right="0.45" top="0.75" bottom="0.75" header="0.3" footer="0.3"/>
  <pageSetup scale="48" orientation="portrait" r:id="rId4"/>
  <legacyDrawing r:id="rId5"/>
  <extLst>
    <ext xmlns:x14="http://schemas.microsoft.com/office/spreadsheetml/2009/9/main" uri="{CCE6A557-97BC-4b89-ADB6-D9C93CAAB3DF}">
      <x14:dataValidations xmlns:xm="http://schemas.microsoft.com/office/excel/2006/main" count="2">
        <x14:dataValidation type="list" allowBlank="1" showInputMessage="1" xr:uid="{00000000-0002-0000-0900-000000000000}">
          <x14:formula1>
            <xm:f>DATA!$E$34:$E$62</xm:f>
          </x14:formula1>
          <xm:sqref>B7:B22 B31:B46</xm:sqref>
        </x14:dataValidation>
        <x14:dataValidation type="list" allowBlank="1" showInputMessage="1" xr:uid="{00000000-0002-0000-0900-000001000000}">
          <x14:formula1>
            <xm:f>DATA!$N$71:$N$92</xm:f>
          </x14:formula1>
          <xm:sqref>B50:D50 B26:D26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C1:Q105"/>
  <sheetViews>
    <sheetView zoomScaleNormal="100" workbookViewId="0">
      <pane ySplit="5" topLeftCell="A21" activePane="bottomLeft" state="frozen"/>
      <selection pane="bottomLeft" activeCell="E53" sqref="E53"/>
    </sheetView>
  </sheetViews>
  <sheetFormatPr defaultColWidth="9.140625" defaultRowHeight="12.75" x14ac:dyDescent="0.2"/>
  <cols>
    <col min="1" max="2" width="2.85546875" style="209" customWidth="1"/>
    <col min="3" max="3" width="53" style="209" customWidth="1"/>
    <col min="4" max="4" width="19.85546875" style="209" customWidth="1"/>
    <col min="5" max="5" width="9.28515625" style="209" bestFit="1" customWidth="1"/>
    <col min="6" max="6" width="11" style="209" bestFit="1" customWidth="1"/>
    <col min="7" max="7" width="11.42578125" style="209" customWidth="1"/>
    <col min="8" max="8" width="12.85546875" style="209" customWidth="1"/>
    <col min="9" max="9" width="12.28515625" style="209" customWidth="1"/>
    <col min="10" max="10" width="16.42578125" style="209" bestFit="1" customWidth="1"/>
    <col min="11" max="11" width="17.28515625" style="209" hidden="1" customWidth="1"/>
    <col min="12" max="12" width="13" style="209" hidden="1" customWidth="1"/>
    <col min="13" max="15" width="9.140625" style="209" hidden="1" customWidth="1"/>
    <col min="16" max="16384" width="9.140625" style="209"/>
  </cols>
  <sheetData>
    <row r="1" spans="3:17" x14ac:dyDescent="0.2">
      <c r="C1" s="207" t="s">
        <v>95</v>
      </c>
      <c r="D1" s="258" t="str">
        <f>'PROJECT INFO'!E3</f>
        <v>300 University Boulevard</v>
      </c>
      <c r="E1" s="208"/>
      <c r="G1" s="210" t="s">
        <v>633</v>
      </c>
      <c r="H1" s="259" t="str">
        <f>'PROJECT INFO'!E4</f>
        <v>5888</v>
      </c>
      <c r="J1" s="211"/>
      <c r="Q1" s="210" t="s">
        <v>467</v>
      </c>
    </row>
    <row r="2" spans="3:17" x14ac:dyDescent="0.2">
      <c r="C2" s="207" t="s">
        <v>94</v>
      </c>
      <c r="D2" s="259" t="str">
        <f>'PROJECT INFO'!E6</f>
        <v>Denver, CO 80206</v>
      </c>
    </row>
    <row r="3" spans="3:17" x14ac:dyDescent="0.2">
      <c r="C3" s="207" t="s">
        <v>93</v>
      </c>
      <c r="D3" s="259" t="str">
        <f>'PROJECT INFO'!E38</f>
        <v>M-E Engineers, Inc.</v>
      </c>
    </row>
    <row r="4" spans="3:17" ht="13.5" thickBot="1" x14ac:dyDescent="0.25">
      <c r="C4" s="207" t="s">
        <v>92</v>
      </c>
      <c r="D4" s="259" t="str">
        <f>'PROJECT INFO'!H7</f>
        <v>Ryan O'Connor</v>
      </c>
    </row>
    <row r="5" spans="3:17" ht="13.5" thickBot="1" x14ac:dyDescent="0.25">
      <c r="C5" s="212" t="s">
        <v>632</v>
      </c>
      <c r="D5" s="213" t="s">
        <v>749</v>
      </c>
      <c r="E5" s="214" t="s">
        <v>90</v>
      </c>
      <c r="F5" s="214" t="s">
        <v>89</v>
      </c>
      <c r="G5" s="214" t="s">
        <v>88</v>
      </c>
      <c r="H5" s="214" t="s">
        <v>87</v>
      </c>
      <c r="I5" s="214" t="s">
        <v>86</v>
      </c>
      <c r="J5" s="215" t="s">
        <v>85</v>
      </c>
      <c r="K5" s="216" t="e">
        <f>#REF!</f>
        <v>#REF!</v>
      </c>
      <c r="L5" s="217" t="e">
        <f>#REF!</f>
        <v>#REF!</v>
      </c>
      <c r="M5" s="217" t="e">
        <f>#REF!</f>
        <v>#REF!</v>
      </c>
      <c r="N5" s="217" t="e">
        <f>#REF!</f>
        <v>#REF!</v>
      </c>
      <c r="O5" s="217" t="s">
        <v>84</v>
      </c>
    </row>
    <row r="6" spans="3:17" x14ac:dyDescent="0.2">
      <c r="C6" s="1181">
        <f>Plbg!F9</f>
        <v>0</v>
      </c>
      <c r="D6" s="1181">
        <f>Plbg!C9</f>
        <v>0</v>
      </c>
      <c r="E6" s="218">
        <f>Plbg!B9</f>
        <v>0</v>
      </c>
      <c r="F6" s="218">
        <v>0</v>
      </c>
      <c r="G6" s="305">
        <f t="shared" ref="G6:G21" si="0">E6*F6</f>
        <v>0</v>
      </c>
      <c r="H6" s="305" t="s">
        <v>2338</v>
      </c>
      <c r="I6" s="1256">
        <f>VLOOKUP(H6,Rentals!A$13:B$32,2,FALSE)</f>
        <v>0</v>
      </c>
      <c r="J6" s="223">
        <f t="shared" ref="J6:J13" si="1">G6*I6</f>
        <v>0</v>
      </c>
      <c r="K6" s="220"/>
      <c r="L6" s="220"/>
      <c r="N6" s="220"/>
      <c r="O6" s="221"/>
    </row>
    <row r="7" spans="3:17" x14ac:dyDescent="0.2">
      <c r="C7" s="1181">
        <f>Plbg!F10</f>
        <v>0</v>
      </c>
      <c r="D7" s="1181">
        <f>Plbg!C10</f>
        <v>0</v>
      </c>
      <c r="E7" s="218">
        <f>Plbg!B10</f>
        <v>0</v>
      </c>
      <c r="F7" s="222">
        <v>0</v>
      </c>
      <c r="G7" s="305">
        <f t="shared" si="0"/>
        <v>0</v>
      </c>
      <c r="H7" s="305" t="s">
        <v>2338</v>
      </c>
      <c r="I7" s="1256">
        <f>VLOOKUP(H7,Rentals!A$13:B$32,2,FALSE)</f>
        <v>0</v>
      </c>
      <c r="J7" s="223">
        <f t="shared" si="1"/>
        <v>0</v>
      </c>
      <c r="K7" s="220"/>
      <c r="L7" s="220"/>
      <c r="M7" s="220"/>
      <c r="N7" s="220"/>
      <c r="O7" s="221"/>
    </row>
    <row r="8" spans="3:17" x14ac:dyDescent="0.2">
      <c r="C8" s="1181" t="str">
        <f>Plbg!F11</f>
        <v xml:space="preserve"> </v>
      </c>
      <c r="D8" s="1181">
        <f>Plbg!C11</f>
        <v>0</v>
      </c>
      <c r="E8" s="218">
        <f>Plbg!B11</f>
        <v>0</v>
      </c>
      <c r="F8" s="222">
        <v>0</v>
      </c>
      <c r="G8" s="305">
        <f t="shared" ref="G8:G13" si="2">E8*F8</f>
        <v>0</v>
      </c>
      <c r="H8" s="305" t="s">
        <v>2338</v>
      </c>
      <c r="I8" s="1256">
        <f>VLOOKUP(H8,Rentals!A$13:B$32,2,FALSE)</f>
        <v>0</v>
      </c>
      <c r="J8" s="223">
        <f t="shared" si="1"/>
        <v>0</v>
      </c>
      <c r="K8" s="220"/>
      <c r="L8" s="220"/>
      <c r="M8" s="220"/>
      <c r="N8" s="220"/>
      <c r="O8" s="221"/>
    </row>
    <row r="9" spans="3:17" x14ac:dyDescent="0.2">
      <c r="C9" s="1181" t="str">
        <f>Plbg!F12</f>
        <v xml:space="preserve"> </v>
      </c>
      <c r="D9" s="1181">
        <f>Plbg!C12</f>
        <v>0</v>
      </c>
      <c r="E9" s="218">
        <f>Plbg!B12</f>
        <v>0</v>
      </c>
      <c r="F9" s="222">
        <v>0</v>
      </c>
      <c r="G9" s="305">
        <f t="shared" si="2"/>
        <v>0</v>
      </c>
      <c r="H9" s="305" t="s">
        <v>2338</v>
      </c>
      <c r="I9" s="1256">
        <f>VLOOKUP(H9,Rentals!A$13:B$32,2,FALSE)</f>
        <v>0</v>
      </c>
      <c r="J9" s="223">
        <f t="shared" si="1"/>
        <v>0</v>
      </c>
      <c r="K9" s="220"/>
      <c r="L9" s="220"/>
      <c r="M9" s="220"/>
      <c r="N9" s="220"/>
      <c r="O9" s="221"/>
    </row>
    <row r="10" spans="3:17" x14ac:dyDescent="0.2">
      <c r="C10" s="1181" t="str">
        <f>Plbg!F13</f>
        <v xml:space="preserve"> </v>
      </c>
      <c r="D10" s="1181">
        <f>Plbg!C13</f>
        <v>0</v>
      </c>
      <c r="E10" s="218">
        <f>Plbg!B13</f>
        <v>0</v>
      </c>
      <c r="F10" s="222">
        <v>0</v>
      </c>
      <c r="G10" s="305">
        <f t="shared" si="2"/>
        <v>0</v>
      </c>
      <c r="H10" s="305" t="s">
        <v>2338</v>
      </c>
      <c r="I10" s="1256">
        <f>VLOOKUP(H10,Rentals!A$13:B$32,2,FALSE)</f>
        <v>0</v>
      </c>
      <c r="J10" s="223">
        <f t="shared" si="1"/>
        <v>0</v>
      </c>
      <c r="K10" s="220"/>
      <c r="L10" s="220"/>
      <c r="M10" s="220"/>
      <c r="N10" s="220"/>
      <c r="O10" s="221"/>
    </row>
    <row r="11" spans="3:17" x14ac:dyDescent="0.2">
      <c r="C11" s="1181" t="str">
        <f>Plbg!F14</f>
        <v xml:space="preserve"> </v>
      </c>
      <c r="D11" s="1181">
        <f>Plbg!C14</f>
        <v>0</v>
      </c>
      <c r="E11" s="218">
        <f>Plbg!B14</f>
        <v>0</v>
      </c>
      <c r="F11" s="222">
        <v>0</v>
      </c>
      <c r="G11" s="305">
        <f t="shared" si="2"/>
        <v>0</v>
      </c>
      <c r="H11" s="305" t="s">
        <v>2338</v>
      </c>
      <c r="I11" s="1256">
        <f>VLOOKUP(H11,Rentals!A$13:B$32,2,FALSE)</f>
        <v>0</v>
      </c>
      <c r="J11" s="223">
        <f t="shared" si="1"/>
        <v>0</v>
      </c>
      <c r="K11" s="220"/>
      <c r="L11" s="220"/>
      <c r="M11" s="220"/>
      <c r="N11" s="220"/>
      <c r="O11" s="221"/>
    </row>
    <row r="12" spans="3:17" x14ac:dyDescent="0.2">
      <c r="C12" s="1181" t="str">
        <f>Plbg!F15</f>
        <v xml:space="preserve"> </v>
      </c>
      <c r="D12" s="1181">
        <f>Plbg!C15</f>
        <v>0</v>
      </c>
      <c r="E12" s="218">
        <f>Plbg!B15</f>
        <v>0</v>
      </c>
      <c r="F12" s="222">
        <v>0</v>
      </c>
      <c r="G12" s="305">
        <f t="shared" si="2"/>
        <v>0</v>
      </c>
      <c r="H12" s="305" t="s">
        <v>2338</v>
      </c>
      <c r="I12" s="1256">
        <f>VLOOKUP(H12,Rentals!A$13:B$32,2,FALSE)</f>
        <v>0</v>
      </c>
      <c r="J12" s="223">
        <f t="shared" si="1"/>
        <v>0</v>
      </c>
      <c r="K12" s="220"/>
      <c r="L12" s="220"/>
      <c r="M12" s="220"/>
      <c r="N12" s="220"/>
      <c r="O12" s="221"/>
    </row>
    <row r="13" spans="3:17" x14ac:dyDescent="0.2">
      <c r="C13" s="1181" t="str">
        <f>Plbg!F16</f>
        <v xml:space="preserve"> </v>
      </c>
      <c r="D13" s="1181">
        <f>Plbg!C16</f>
        <v>0</v>
      </c>
      <c r="E13" s="218">
        <f>Plbg!B16</f>
        <v>0</v>
      </c>
      <c r="F13" s="222">
        <v>0</v>
      </c>
      <c r="G13" s="305">
        <f t="shared" si="2"/>
        <v>0</v>
      </c>
      <c r="H13" s="305" t="s">
        <v>2338</v>
      </c>
      <c r="I13" s="1256">
        <f>VLOOKUP(H13,Rentals!A$13:B$32,2,FALSE)</f>
        <v>0</v>
      </c>
      <c r="J13" s="223">
        <f t="shared" si="1"/>
        <v>0</v>
      </c>
      <c r="K13" s="220"/>
      <c r="L13" s="220"/>
      <c r="M13" s="220"/>
      <c r="N13" s="220"/>
      <c r="O13" s="221"/>
    </row>
    <row r="14" spans="3:17" x14ac:dyDescent="0.2">
      <c r="C14" s="453" t="s">
        <v>2339</v>
      </c>
      <c r="D14" s="454"/>
      <c r="E14" s="455">
        <v>1</v>
      </c>
      <c r="F14" s="455">
        <v>0</v>
      </c>
      <c r="G14" s="305">
        <v>0</v>
      </c>
      <c r="H14" s="1246" t="str">
        <f>$H$6</f>
        <v>…............</v>
      </c>
      <c r="I14" s="1257">
        <f>VLOOKUP(H14,Rentals!A$13:C$35,3,FALSE)</f>
        <v>0</v>
      </c>
      <c r="J14" s="223">
        <f>I14*E14</f>
        <v>0</v>
      </c>
      <c r="K14" s="220"/>
      <c r="L14" s="220"/>
      <c r="M14" s="220"/>
      <c r="N14" s="220"/>
      <c r="O14" s="221"/>
    </row>
    <row r="15" spans="3:17" x14ac:dyDescent="0.2">
      <c r="C15" s="453" t="s">
        <v>2362</v>
      </c>
      <c r="D15" s="454"/>
      <c r="E15" s="455">
        <v>1</v>
      </c>
      <c r="F15" s="455">
        <v>0</v>
      </c>
      <c r="G15" s="305">
        <v>0</v>
      </c>
      <c r="H15" s="1246" t="str">
        <f>$H$6</f>
        <v>…............</v>
      </c>
      <c r="I15" s="1257">
        <f>VLOOKUP(H15,Rentals!A13:D32,4,FALSE)</f>
        <v>0</v>
      </c>
      <c r="J15" s="223">
        <f>I15*E15</f>
        <v>0</v>
      </c>
      <c r="K15" s="220"/>
      <c r="L15" s="220"/>
      <c r="M15" s="220"/>
      <c r="N15" s="220"/>
      <c r="O15" s="221"/>
    </row>
    <row r="16" spans="3:17" x14ac:dyDescent="0.2">
      <c r="C16" s="260" t="s">
        <v>2403</v>
      </c>
      <c r="D16" s="261" t="s">
        <v>2402</v>
      </c>
      <c r="E16" s="262">
        <v>1</v>
      </c>
      <c r="F16" s="262">
        <v>0</v>
      </c>
      <c r="G16" s="305">
        <f t="shared" si="0"/>
        <v>0</v>
      </c>
      <c r="H16" s="305"/>
      <c r="I16" s="1258">
        <f>Rentals!B$33</f>
        <v>200</v>
      </c>
      <c r="J16" s="223">
        <f>G16*I16</f>
        <v>0</v>
      </c>
      <c r="K16" s="220"/>
      <c r="L16" s="220"/>
      <c r="M16" s="220"/>
      <c r="N16" s="220"/>
      <c r="O16" s="220"/>
    </row>
    <row r="17" spans="3:16" x14ac:dyDescent="0.2">
      <c r="C17" s="260" t="s">
        <v>2165</v>
      </c>
      <c r="D17" s="261"/>
      <c r="E17" s="262">
        <v>1</v>
      </c>
      <c r="F17" s="262">
        <v>0</v>
      </c>
      <c r="G17" s="305">
        <f t="shared" si="0"/>
        <v>0</v>
      </c>
      <c r="H17" s="305"/>
      <c r="I17" s="1258">
        <f>Rentals!$B$34</f>
        <v>110</v>
      </c>
      <c r="J17" s="223">
        <f>G17*I17</f>
        <v>0</v>
      </c>
      <c r="K17" s="220"/>
      <c r="L17" s="220"/>
      <c r="M17" s="220"/>
      <c r="N17" s="220"/>
      <c r="O17" s="220"/>
    </row>
    <row r="18" spans="3:16" x14ac:dyDescent="0.2">
      <c r="C18" s="260" t="s">
        <v>636</v>
      </c>
      <c r="D18" s="261"/>
      <c r="E18" s="262"/>
      <c r="F18" s="262"/>
      <c r="G18" s="305">
        <f t="shared" si="0"/>
        <v>0</v>
      </c>
      <c r="H18" s="305"/>
      <c r="I18" s="1256">
        <f>IF((H18=0),0)+IF((H18=120),280)+IF((H18=150),310)+IF((H18=170),350)+IF((H18=220),375)+IF((H18=300),450)+IF((H18=400),565)</f>
        <v>0</v>
      </c>
      <c r="J18" s="223">
        <f>G18*I18</f>
        <v>0</v>
      </c>
      <c r="K18" s="220"/>
      <c r="L18" s="220"/>
      <c r="M18" s="220"/>
      <c r="N18" s="220"/>
      <c r="O18" s="220"/>
    </row>
    <row r="19" spans="3:16" x14ac:dyDescent="0.2">
      <c r="C19" s="260" t="s">
        <v>636</v>
      </c>
      <c r="D19" s="261"/>
      <c r="E19" s="262"/>
      <c r="F19" s="262"/>
      <c r="G19" s="305">
        <f t="shared" si="0"/>
        <v>0</v>
      </c>
      <c r="H19" s="305"/>
      <c r="I19" s="1256">
        <f>IF((H19=0),0)+IF((H19=120),280)+IF((H19=150),310)+IF((H19=170),350)+IF((H19=220),375)+IF((H19=300),450)+IF((H19=400),565)</f>
        <v>0</v>
      </c>
      <c r="J19" s="223">
        <f>G19*I19</f>
        <v>0</v>
      </c>
      <c r="K19" s="220"/>
      <c r="L19" s="220"/>
      <c r="M19" s="220"/>
      <c r="N19" s="220"/>
      <c r="O19" s="220"/>
    </row>
    <row r="20" spans="3:16" x14ac:dyDescent="0.2">
      <c r="C20" s="260" t="s">
        <v>636</v>
      </c>
      <c r="D20" s="261"/>
      <c r="E20" s="262"/>
      <c r="F20" s="262"/>
      <c r="G20" s="305">
        <f t="shared" si="0"/>
        <v>0</v>
      </c>
      <c r="H20" s="305"/>
      <c r="I20" s="1256">
        <f>IF((H20=0),0)+IF((H20=120),280)+IF((H20=150),310)+IF((H20=170),350)+IF((H20=220),375)+IF((H20=300),450)+IF((H20=400),565)</f>
        <v>0</v>
      </c>
      <c r="J20" s="223">
        <f>G20*I20</f>
        <v>0</v>
      </c>
      <c r="K20" s="220"/>
      <c r="L20" s="220"/>
      <c r="M20" s="220"/>
      <c r="N20" s="220"/>
      <c r="O20" s="220"/>
    </row>
    <row r="21" spans="3:16" x14ac:dyDescent="0.2">
      <c r="C21" s="224" t="s">
        <v>82</v>
      </c>
      <c r="D21" s="224" t="s">
        <v>82</v>
      </c>
      <c r="E21" s="225">
        <v>0.03</v>
      </c>
      <c r="F21" s="226"/>
      <c r="G21" s="227">
        <f t="shared" si="0"/>
        <v>0</v>
      </c>
      <c r="H21" s="227"/>
      <c r="I21" s="228"/>
      <c r="J21" s="229">
        <f>SUM(J6:J20)*E21</f>
        <v>0</v>
      </c>
      <c r="K21" s="220"/>
      <c r="L21" s="220"/>
      <c r="M21" s="220"/>
      <c r="N21" s="220"/>
      <c r="O21" s="220"/>
    </row>
    <row r="22" spans="3:16" x14ac:dyDescent="0.2">
      <c r="C22" s="230" t="s">
        <v>77</v>
      </c>
      <c r="D22" s="230" t="s">
        <v>77</v>
      </c>
      <c r="E22" s="231"/>
      <c r="F22" s="220"/>
      <c r="G22" s="220"/>
      <c r="H22" s="232" t="s">
        <v>83</v>
      </c>
      <c r="I22" s="230" t="s">
        <v>80</v>
      </c>
      <c r="J22" s="1182">
        <f>SUM(J6:J21)</f>
        <v>0</v>
      </c>
      <c r="K22" s="220"/>
      <c r="L22" s="220"/>
      <c r="M22" s="220"/>
      <c r="N22" s="220"/>
      <c r="O22" s="220"/>
    </row>
    <row r="23" spans="3:16" ht="13.5" thickBot="1" x14ac:dyDescent="0.25">
      <c r="C23" s="233"/>
      <c r="D23" s="233"/>
      <c r="E23" s="234"/>
      <c r="F23" s="235"/>
      <c r="G23" s="235"/>
      <c r="H23" s="235"/>
      <c r="I23" s="236"/>
      <c r="J23" s="237"/>
      <c r="K23" s="220"/>
      <c r="L23" s="220"/>
      <c r="M23" s="220"/>
      <c r="N23" s="220"/>
      <c r="O23" s="220"/>
    </row>
    <row r="24" spans="3:16" ht="13.5" thickBot="1" x14ac:dyDescent="0.25">
      <c r="C24" s="212" t="s">
        <v>634</v>
      </c>
      <c r="D24" s="213" t="s">
        <v>749</v>
      </c>
      <c r="E24" s="214" t="s">
        <v>90</v>
      </c>
      <c r="F24" s="214" t="s">
        <v>89</v>
      </c>
      <c r="G24" s="214" t="s">
        <v>88</v>
      </c>
      <c r="H24" s="214" t="s">
        <v>87</v>
      </c>
      <c r="I24" s="214" t="s">
        <v>86</v>
      </c>
      <c r="J24" s="215" t="s">
        <v>85</v>
      </c>
      <c r="K24" s="220"/>
      <c r="L24" s="220"/>
      <c r="M24" s="220"/>
      <c r="N24" s="220"/>
      <c r="O24" s="220"/>
    </row>
    <row r="25" spans="3:16" x14ac:dyDescent="0.2">
      <c r="C25" s="1181" t="str">
        <f>Htg!F9</f>
        <v>VRF Condensing Unit</v>
      </c>
      <c r="D25" s="1181" t="str">
        <f>Htg!C9</f>
        <v>CU 1-01</v>
      </c>
      <c r="E25" s="218">
        <f>Htg!B9</f>
        <v>1</v>
      </c>
      <c r="F25" s="218">
        <v>0</v>
      </c>
      <c r="G25" s="305">
        <f>E25*F25</f>
        <v>0</v>
      </c>
      <c r="H25" s="305" t="s">
        <v>2338</v>
      </c>
      <c r="I25" s="1256">
        <f>VLOOKUP(H25,Rentals!A$13:B$32,2,FALSE)</f>
        <v>0</v>
      </c>
      <c r="J25" s="219">
        <f>G25*I25</f>
        <v>0</v>
      </c>
      <c r="K25" s="220"/>
      <c r="L25" s="220"/>
      <c r="M25" s="220"/>
      <c r="N25" s="220"/>
      <c r="O25" s="220"/>
      <c r="P25" s="210"/>
    </row>
    <row r="26" spans="3:16" x14ac:dyDescent="0.2">
      <c r="C26" s="1181" t="str">
        <f>Htg!F10</f>
        <v>Rooftop Energy Recovery</v>
      </c>
      <c r="D26" s="1181" t="str">
        <f>Htg!C10</f>
        <v>ERV 1-01</v>
      </c>
      <c r="E26" s="218">
        <f>Htg!B10</f>
        <v>1</v>
      </c>
      <c r="F26" s="222">
        <v>0</v>
      </c>
      <c r="G26" s="305">
        <f>E26*F26</f>
        <v>0</v>
      </c>
      <c r="H26" s="305" t="s">
        <v>2338</v>
      </c>
      <c r="I26" s="1256">
        <f>VLOOKUP(H26,Rentals!A$13:B$32,2,FALSE)</f>
        <v>0</v>
      </c>
      <c r="J26" s="223">
        <f>G26*I26</f>
        <v>0</v>
      </c>
      <c r="K26" s="220"/>
      <c r="L26" s="220"/>
      <c r="M26" s="220"/>
      <c r="N26" s="220"/>
      <c r="O26" s="220"/>
      <c r="P26" s="210"/>
    </row>
    <row r="27" spans="3:16" x14ac:dyDescent="0.2">
      <c r="C27" s="1181" t="str">
        <f>Htg!F11</f>
        <v>VRF Condensing unit</v>
      </c>
      <c r="D27" s="1181" t="str">
        <f>Htg!C11</f>
        <v>……….</v>
      </c>
      <c r="E27" s="218">
        <f>Htg!B11</f>
        <v>9</v>
      </c>
      <c r="F27" s="222">
        <v>0</v>
      </c>
      <c r="G27" s="305">
        <f>E27*F27</f>
        <v>0</v>
      </c>
      <c r="H27" s="305" t="s">
        <v>2338</v>
      </c>
      <c r="I27" s="1256">
        <f>VLOOKUP(H27,Rentals!A$13:B$32,2,FALSE)</f>
        <v>0</v>
      </c>
      <c r="J27" s="223">
        <f>G27*I27</f>
        <v>0</v>
      </c>
      <c r="K27" s="220"/>
      <c r="L27" s="220"/>
      <c r="M27" s="220"/>
      <c r="N27" s="220"/>
      <c r="O27" s="220"/>
      <c r="P27" s="210"/>
    </row>
    <row r="28" spans="3:16" x14ac:dyDescent="0.2">
      <c r="C28" s="1181">
        <f>Htg!F12</f>
        <v>0</v>
      </c>
      <c r="D28" s="1181" t="str">
        <f>Htg!C12</f>
        <v>……….</v>
      </c>
      <c r="E28" s="218">
        <f>Htg!B12</f>
        <v>0</v>
      </c>
      <c r="F28" s="222">
        <v>0</v>
      </c>
      <c r="G28" s="305">
        <f t="shared" ref="G28:G44" si="3">E28*F28</f>
        <v>0</v>
      </c>
      <c r="H28" s="305" t="s">
        <v>2338</v>
      </c>
      <c r="I28" s="1256">
        <f>VLOOKUP(H28,Rentals!A$13:B$32,2,FALSE)</f>
        <v>0</v>
      </c>
      <c r="J28" s="223">
        <f t="shared" ref="J28:J44" si="4">G28*I28</f>
        <v>0</v>
      </c>
      <c r="K28" s="220"/>
      <c r="L28" s="220"/>
      <c r="M28" s="220"/>
      <c r="N28" s="220"/>
      <c r="O28" s="220"/>
      <c r="P28" s="210"/>
    </row>
    <row r="29" spans="3:16" x14ac:dyDescent="0.2">
      <c r="C29" s="1181">
        <f>Htg!F13</f>
        <v>0</v>
      </c>
      <c r="D29" s="1181" t="str">
        <f>Htg!C13</f>
        <v>……….</v>
      </c>
      <c r="E29" s="218">
        <f>Htg!B13</f>
        <v>0</v>
      </c>
      <c r="F29" s="222">
        <v>0</v>
      </c>
      <c r="G29" s="305">
        <f t="shared" si="3"/>
        <v>0</v>
      </c>
      <c r="H29" s="305" t="s">
        <v>2338</v>
      </c>
      <c r="I29" s="1256">
        <f>VLOOKUP(H29,Rentals!A$13:B$32,2,FALSE)</f>
        <v>0</v>
      </c>
      <c r="J29" s="223">
        <f t="shared" si="4"/>
        <v>0</v>
      </c>
      <c r="K29" s="220"/>
      <c r="L29" s="220"/>
      <c r="M29" s="220"/>
      <c r="N29" s="220"/>
      <c r="O29" s="220"/>
      <c r="P29" s="210"/>
    </row>
    <row r="30" spans="3:16" x14ac:dyDescent="0.2">
      <c r="C30" s="1181">
        <f>Htg!F14</f>
        <v>0</v>
      </c>
      <c r="D30" s="1181" t="str">
        <f>Htg!C14</f>
        <v>……….</v>
      </c>
      <c r="E30" s="218">
        <f>Htg!B14</f>
        <v>0</v>
      </c>
      <c r="F30" s="222">
        <v>0</v>
      </c>
      <c r="G30" s="305">
        <f t="shared" si="3"/>
        <v>0</v>
      </c>
      <c r="H30" s="305" t="s">
        <v>2338</v>
      </c>
      <c r="I30" s="1256">
        <f>VLOOKUP(H30,Rentals!A$13:B$32,2,FALSE)</f>
        <v>0</v>
      </c>
      <c r="J30" s="223">
        <f t="shared" si="4"/>
        <v>0</v>
      </c>
      <c r="K30" s="220"/>
      <c r="L30" s="220"/>
      <c r="M30" s="220"/>
      <c r="N30" s="220"/>
      <c r="O30" s="220"/>
      <c r="P30" s="210"/>
    </row>
    <row r="31" spans="3:16" x14ac:dyDescent="0.2">
      <c r="C31" s="1181">
        <f>Htg!F15</f>
        <v>0</v>
      </c>
      <c r="D31" s="1181" t="str">
        <f>Htg!C15</f>
        <v>……….</v>
      </c>
      <c r="E31" s="218">
        <f>Htg!B15</f>
        <v>0</v>
      </c>
      <c r="F31" s="222">
        <v>0</v>
      </c>
      <c r="G31" s="305">
        <f t="shared" si="3"/>
        <v>0</v>
      </c>
      <c r="H31" s="305" t="s">
        <v>2338</v>
      </c>
      <c r="I31" s="1256">
        <f>VLOOKUP(H31,Rentals!A$13:B$32,2,FALSE)</f>
        <v>0</v>
      </c>
      <c r="J31" s="223">
        <f t="shared" si="4"/>
        <v>0</v>
      </c>
      <c r="K31" s="220"/>
      <c r="L31" s="220"/>
      <c r="M31" s="220"/>
      <c r="N31" s="220"/>
      <c r="O31" s="220"/>
      <c r="P31" s="210"/>
    </row>
    <row r="32" spans="3:16" x14ac:dyDescent="0.2">
      <c r="C32" s="1181">
        <f>Htg!F16</f>
        <v>0</v>
      </c>
      <c r="D32" s="1181" t="str">
        <f>Htg!C16</f>
        <v>……….</v>
      </c>
      <c r="E32" s="218">
        <f>Htg!B16</f>
        <v>0</v>
      </c>
      <c r="F32" s="222">
        <v>0</v>
      </c>
      <c r="G32" s="305">
        <f t="shared" si="3"/>
        <v>0</v>
      </c>
      <c r="H32" s="305" t="s">
        <v>2338</v>
      </c>
      <c r="I32" s="1256">
        <f>VLOOKUP(H32,Rentals!A$13:B$32,2,FALSE)</f>
        <v>0</v>
      </c>
      <c r="J32" s="223">
        <f t="shared" si="4"/>
        <v>0</v>
      </c>
      <c r="K32" s="220"/>
      <c r="L32" s="220"/>
      <c r="M32" s="220"/>
      <c r="N32" s="220"/>
      <c r="O32" s="220"/>
      <c r="P32" s="210"/>
    </row>
    <row r="33" spans="3:16" x14ac:dyDescent="0.2">
      <c r="C33" s="1181">
        <f>Htg!F17</f>
        <v>0</v>
      </c>
      <c r="D33" s="1181" t="str">
        <f>Htg!C17</f>
        <v>……….</v>
      </c>
      <c r="E33" s="218">
        <f>Htg!B17</f>
        <v>0</v>
      </c>
      <c r="F33" s="222">
        <v>0</v>
      </c>
      <c r="G33" s="305">
        <f t="shared" si="3"/>
        <v>0</v>
      </c>
      <c r="H33" s="305" t="s">
        <v>2338</v>
      </c>
      <c r="I33" s="1256">
        <f>VLOOKUP(H33,Rentals!A$13:B$32,2,FALSE)</f>
        <v>0</v>
      </c>
      <c r="J33" s="223">
        <f t="shared" si="4"/>
        <v>0</v>
      </c>
      <c r="K33" s="220"/>
      <c r="L33" s="220"/>
      <c r="M33" s="220"/>
      <c r="N33" s="220"/>
      <c r="O33" s="220"/>
      <c r="P33" s="210"/>
    </row>
    <row r="34" spans="3:16" x14ac:dyDescent="0.2">
      <c r="C34" s="1181">
        <f>Htg!F18</f>
        <v>0</v>
      </c>
      <c r="D34" s="1181" t="str">
        <f>Htg!C18</f>
        <v>……….</v>
      </c>
      <c r="E34" s="218">
        <f>Htg!B18</f>
        <v>0</v>
      </c>
      <c r="F34" s="222">
        <v>0</v>
      </c>
      <c r="G34" s="305">
        <f t="shared" si="3"/>
        <v>0</v>
      </c>
      <c r="H34" s="305" t="s">
        <v>2338</v>
      </c>
      <c r="I34" s="1256">
        <f>VLOOKUP(H34,Rentals!A$13:B$32,2,FALSE)</f>
        <v>0</v>
      </c>
      <c r="J34" s="223">
        <f t="shared" si="4"/>
        <v>0</v>
      </c>
      <c r="K34" s="220"/>
      <c r="L34" s="220"/>
      <c r="M34" s="220"/>
      <c r="N34" s="220"/>
      <c r="O34" s="220"/>
      <c r="P34" s="210"/>
    </row>
    <row r="35" spans="3:16" x14ac:dyDescent="0.2">
      <c r="C35" s="1181">
        <f>Htg!F19</f>
        <v>0</v>
      </c>
      <c r="D35" s="1181" t="str">
        <f>Htg!C19</f>
        <v>……….</v>
      </c>
      <c r="E35" s="218">
        <f>Htg!B19</f>
        <v>0</v>
      </c>
      <c r="F35" s="222">
        <v>0</v>
      </c>
      <c r="G35" s="305">
        <f t="shared" si="3"/>
        <v>0</v>
      </c>
      <c r="H35" s="305" t="s">
        <v>2338</v>
      </c>
      <c r="I35" s="1256">
        <f>VLOOKUP(H35,Rentals!A$13:B$32,2,FALSE)</f>
        <v>0</v>
      </c>
      <c r="J35" s="223">
        <f t="shared" si="4"/>
        <v>0</v>
      </c>
      <c r="K35" s="220"/>
      <c r="L35" s="220"/>
      <c r="M35" s="220"/>
      <c r="N35" s="220"/>
      <c r="O35" s="220"/>
      <c r="P35" s="210"/>
    </row>
    <row r="36" spans="3:16" x14ac:dyDescent="0.2">
      <c r="C36" s="1181">
        <f>Htg!F20</f>
        <v>0</v>
      </c>
      <c r="D36" s="1181" t="str">
        <f>Htg!C20</f>
        <v>……….</v>
      </c>
      <c r="E36" s="218">
        <f>Htg!B20</f>
        <v>0</v>
      </c>
      <c r="F36" s="222">
        <v>0</v>
      </c>
      <c r="G36" s="305">
        <f t="shared" si="3"/>
        <v>0</v>
      </c>
      <c r="H36" s="305" t="s">
        <v>2338</v>
      </c>
      <c r="I36" s="1256">
        <f>VLOOKUP(H36,Rentals!A$13:B$32,2,FALSE)</f>
        <v>0</v>
      </c>
      <c r="J36" s="223">
        <f t="shared" si="4"/>
        <v>0</v>
      </c>
      <c r="K36" s="220"/>
      <c r="L36" s="220"/>
      <c r="M36" s="220"/>
      <c r="N36" s="220"/>
      <c r="O36" s="220"/>
      <c r="P36" s="210"/>
    </row>
    <row r="37" spans="3:16" x14ac:dyDescent="0.2">
      <c r="C37" s="1181">
        <f>Htg!F21</f>
        <v>0</v>
      </c>
      <c r="D37" s="1181" t="str">
        <f>Htg!C21</f>
        <v>……….</v>
      </c>
      <c r="E37" s="218">
        <f>Htg!B21</f>
        <v>0</v>
      </c>
      <c r="F37" s="222">
        <v>0</v>
      </c>
      <c r="G37" s="305">
        <f t="shared" si="3"/>
        <v>0</v>
      </c>
      <c r="H37" s="305" t="s">
        <v>2338</v>
      </c>
      <c r="I37" s="1256">
        <f>VLOOKUP(H37,Rentals!A$13:B$32,2,FALSE)</f>
        <v>0</v>
      </c>
      <c r="J37" s="223">
        <f t="shared" si="4"/>
        <v>0</v>
      </c>
      <c r="K37" s="220"/>
      <c r="L37" s="220"/>
      <c r="M37" s="220"/>
      <c r="N37" s="220"/>
      <c r="O37" s="220"/>
      <c r="P37" s="210"/>
    </row>
    <row r="38" spans="3:16" x14ac:dyDescent="0.2">
      <c r="C38" s="1181">
        <f>Htg!F22</f>
        <v>0</v>
      </c>
      <c r="D38" s="1181" t="str">
        <f>Htg!C22</f>
        <v>……….</v>
      </c>
      <c r="E38" s="218">
        <f>Htg!B22</f>
        <v>0</v>
      </c>
      <c r="F38" s="222">
        <v>0</v>
      </c>
      <c r="G38" s="305">
        <f t="shared" si="3"/>
        <v>0</v>
      </c>
      <c r="H38" s="305" t="s">
        <v>2338</v>
      </c>
      <c r="I38" s="1256">
        <f>VLOOKUP(H38,Rentals!A$13:B$32,2,FALSE)</f>
        <v>0</v>
      </c>
      <c r="J38" s="223">
        <f t="shared" si="4"/>
        <v>0</v>
      </c>
      <c r="K38" s="220"/>
      <c r="L38" s="220"/>
      <c r="M38" s="220"/>
      <c r="N38" s="220"/>
      <c r="O38" s="220"/>
      <c r="P38" s="210"/>
    </row>
    <row r="39" spans="3:16" x14ac:dyDescent="0.2">
      <c r="C39" s="1181">
        <f>Htg!F23</f>
        <v>0</v>
      </c>
      <c r="D39" s="1181" t="str">
        <f>Htg!C23</f>
        <v>……….</v>
      </c>
      <c r="E39" s="218">
        <f>Htg!B23</f>
        <v>0</v>
      </c>
      <c r="F39" s="222">
        <v>0</v>
      </c>
      <c r="G39" s="305">
        <f t="shared" si="3"/>
        <v>0</v>
      </c>
      <c r="H39" s="305" t="s">
        <v>2338</v>
      </c>
      <c r="I39" s="1256">
        <f>VLOOKUP(H39,Rentals!A$13:B$32,2,FALSE)</f>
        <v>0</v>
      </c>
      <c r="J39" s="223">
        <f t="shared" si="4"/>
        <v>0</v>
      </c>
      <c r="K39" s="220"/>
      <c r="L39" s="220"/>
      <c r="M39" s="220"/>
      <c r="N39" s="220"/>
      <c r="O39" s="220"/>
      <c r="P39" s="210"/>
    </row>
    <row r="40" spans="3:16" x14ac:dyDescent="0.2">
      <c r="C40" s="1181">
        <f>Htg!F24</f>
        <v>0</v>
      </c>
      <c r="D40" s="1181" t="str">
        <f>Htg!C24</f>
        <v>……….</v>
      </c>
      <c r="E40" s="218">
        <f>Htg!B24</f>
        <v>0</v>
      </c>
      <c r="F40" s="222">
        <v>0</v>
      </c>
      <c r="G40" s="305">
        <f t="shared" si="3"/>
        <v>0</v>
      </c>
      <c r="H40" s="305" t="s">
        <v>2338</v>
      </c>
      <c r="I40" s="1256">
        <f>VLOOKUP(H40,Rentals!A$13:B$32,2,FALSE)</f>
        <v>0</v>
      </c>
      <c r="J40" s="223">
        <f t="shared" si="4"/>
        <v>0</v>
      </c>
      <c r="K40" s="220"/>
      <c r="L40" s="220"/>
      <c r="M40" s="220"/>
      <c r="N40" s="220"/>
      <c r="O40" s="220"/>
      <c r="P40" s="210"/>
    </row>
    <row r="41" spans="3:16" x14ac:dyDescent="0.2">
      <c r="C41" s="1181">
        <f>Htg!F25</f>
        <v>0</v>
      </c>
      <c r="D41" s="1181" t="str">
        <f>Htg!C25</f>
        <v>……….</v>
      </c>
      <c r="E41" s="218">
        <f>Htg!B25</f>
        <v>0</v>
      </c>
      <c r="F41" s="222">
        <v>0</v>
      </c>
      <c r="G41" s="305">
        <f t="shared" si="3"/>
        <v>0</v>
      </c>
      <c r="H41" s="305" t="s">
        <v>2338</v>
      </c>
      <c r="I41" s="1256">
        <f>VLOOKUP(H41,Rentals!A$13:B$32,2,FALSE)</f>
        <v>0</v>
      </c>
      <c r="J41" s="223">
        <f t="shared" si="4"/>
        <v>0</v>
      </c>
      <c r="K41" s="220"/>
      <c r="L41" s="220"/>
      <c r="M41" s="220"/>
      <c r="N41" s="220"/>
      <c r="O41" s="220"/>
      <c r="P41" s="210"/>
    </row>
    <row r="42" spans="3:16" x14ac:dyDescent="0.2">
      <c r="C42" s="1181">
        <f>Htg!F26</f>
        <v>0</v>
      </c>
      <c r="D42" s="1181" t="str">
        <f>Htg!C26</f>
        <v>……….</v>
      </c>
      <c r="E42" s="218">
        <f>Htg!B26</f>
        <v>0</v>
      </c>
      <c r="F42" s="222">
        <v>0</v>
      </c>
      <c r="G42" s="305">
        <f t="shared" si="3"/>
        <v>0</v>
      </c>
      <c r="H42" s="305" t="s">
        <v>2338</v>
      </c>
      <c r="I42" s="1256">
        <f>VLOOKUP(H42,Rentals!A$13:B$32,2,FALSE)</f>
        <v>0</v>
      </c>
      <c r="J42" s="223">
        <f t="shared" si="4"/>
        <v>0</v>
      </c>
      <c r="K42" s="220"/>
      <c r="L42" s="220"/>
      <c r="M42" s="220"/>
      <c r="N42" s="220"/>
      <c r="O42" s="220"/>
      <c r="P42" s="210"/>
    </row>
    <row r="43" spans="3:16" x14ac:dyDescent="0.2">
      <c r="C43" s="1181">
        <f>Htg!F27</f>
        <v>0</v>
      </c>
      <c r="D43" s="1181" t="str">
        <f>Htg!C27</f>
        <v>……….</v>
      </c>
      <c r="E43" s="218">
        <f>Htg!B27</f>
        <v>0</v>
      </c>
      <c r="F43" s="222">
        <v>0</v>
      </c>
      <c r="G43" s="305">
        <f t="shared" si="3"/>
        <v>0</v>
      </c>
      <c r="H43" s="305" t="s">
        <v>2338</v>
      </c>
      <c r="I43" s="1256">
        <f>VLOOKUP(H43,Rentals!A$13:B$32,2,FALSE)</f>
        <v>0</v>
      </c>
      <c r="J43" s="223">
        <f t="shared" si="4"/>
        <v>0</v>
      </c>
      <c r="K43" s="220"/>
      <c r="L43" s="220"/>
      <c r="M43" s="220"/>
      <c r="N43" s="220"/>
      <c r="O43" s="220"/>
      <c r="P43" s="210"/>
    </row>
    <row r="44" spans="3:16" x14ac:dyDescent="0.2">
      <c r="C44" s="1181">
        <f>Htg!F28</f>
        <v>0</v>
      </c>
      <c r="D44" s="1181" t="str">
        <f>Htg!C28</f>
        <v>……….</v>
      </c>
      <c r="E44" s="218">
        <f>Htg!B28</f>
        <v>0</v>
      </c>
      <c r="F44" s="222">
        <v>0</v>
      </c>
      <c r="G44" s="305">
        <f t="shared" si="3"/>
        <v>0</v>
      </c>
      <c r="H44" s="305" t="s">
        <v>2338</v>
      </c>
      <c r="I44" s="1256">
        <f>VLOOKUP(H44,Rentals!A$13:B$32,2,FALSE)</f>
        <v>0</v>
      </c>
      <c r="J44" s="223">
        <f t="shared" si="4"/>
        <v>0</v>
      </c>
      <c r="K44" s="220"/>
      <c r="L44" s="220"/>
      <c r="M44" s="220"/>
      <c r="N44" s="220"/>
      <c r="O44" s="220"/>
      <c r="P44" s="210"/>
    </row>
    <row r="45" spans="3:16" x14ac:dyDescent="0.2">
      <c r="C45" s="453" t="s">
        <v>2339</v>
      </c>
      <c r="D45" s="454"/>
      <c r="E45" s="455">
        <v>1</v>
      </c>
      <c r="F45" s="455">
        <v>1</v>
      </c>
      <c r="G45" s="305">
        <f>E45*F45</f>
        <v>1</v>
      </c>
      <c r="H45" s="1246" t="str">
        <f>$H$25</f>
        <v>…............</v>
      </c>
      <c r="I45" s="1257">
        <f>VLOOKUP(H45,Rentals!A$13:C$35,3,FALSE)</f>
        <v>0</v>
      </c>
      <c r="J45" s="223">
        <f>G45*I45</f>
        <v>0</v>
      </c>
      <c r="K45" s="220"/>
      <c r="L45" s="220"/>
      <c r="M45" s="220"/>
      <c r="N45" s="220"/>
      <c r="O45" s="220"/>
    </row>
    <row r="46" spans="3:16" x14ac:dyDescent="0.2">
      <c r="C46" s="453" t="s">
        <v>2362</v>
      </c>
      <c r="D46" s="454"/>
      <c r="E46" s="455">
        <v>1</v>
      </c>
      <c r="F46" s="455">
        <v>0</v>
      </c>
      <c r="G46" s="305">
        <v>0</v>
      </c>
      <c r="H46" s="1246" t="str">
        <f>$H$25</f>
        <v>…............</v>
      </c>
      <c r="I46" s="1257">
        <f>VLOOKUP(H46,Rentals!A13:D32,4,FALSE)</f>
        <v>0</v>
      </c>
      <c r="J46" s="223">
        <f>I46*E46</f>
        <v>0</v>
      </c>
      <c r="K46" s="220"/>
      <c r="L46" s="220"/>
      <c r="M46" s="220"/>
      <c r="N46" s="220"/>
      <c r="O46" s="221"/>
    </row>
    <row r="47" spans="3:16" x14ac:dyDescent="0.2">
      <c r="C47" s="260" t="s">
        <v>2403</v>
      </c>
      <c r="D47" s="261" t="s">
        <v>2402</v>
      </c>
      <c r="E47" s="262">
        <v>1</v>
      </c>
      <c r="F47" s="262">
        <v>0</v>
      </c>
      <c r="G47" s="305">
        <f t="shared" ref="G47:G52" si="5">E47*F47</f>
        <v>0</v>
      </c>
      <c r="H47" s="305"/>
      <c r="I47" s="1258">
        <f>Rentals!B$33</f>
        <v>200</v>
      </c>
      <c r="J47" s="223">
        <f>G47*I47</f>
        <v>0</v>
      </c>
      <c r="K47" s="220"/>
      <c r="L47" s="220"/>
      <c r="M47" s="220"/>
      <c r="N47" s="220"/>
      <c r="O47" s="220"/>
    </row>
    <row r="48" spans="3:16" x14ac:dyDescent="0.2">
      <c r="C48" s="260" t="s">
        <v>2165</v>
      </c>
      <c r="D48" s="261"/>
      <c r="E48" s="262">
        <v>1</v>
      </c>
      <c r="F48" s="262">
        <v>0</v>
      </c>
      <c r="G48" s="305">
        <f t="shared" si="5"/>
        <v>0</v>
      </c>
      <c r="H48" s="305"/>
      <c r="I48" s="1258">
        <f>Rentals!$B$34</f>
        <v>110</v>
      </c>
      <c r="J48" s="223">
        <f>G48*I48</f>
        <v>0</v>
      </c>
      <c r="K48" s="220"/>
      <c r="L48" s="220"/>
      <c r="M48" s="220"/>
      <c r="N48" s="220"/>
      <c r="O48" s="220"/>
    </row>
    <row r="49" spans="3:15" x14ac:dyDescent="0.2">
      <c r="C49" s="260" t="s">
        <v>2416</v>
      </c>
      <c r="D49" s="261"/>
      <c r="E49" s="262">
        <v>0</v>
      </c>
      <c r="F49" s="1413">
        <v>0</v>
      </c>
      <c r="G49" s="305">
        <f t="shared" si="5"/>
        <v>0</v>
      </c>
      <c r="H49" s="305"/>
      <c r="I49" s="1258">
        <f>$J$104</f>
        <v>52.5</v>
      </c>
      <c r="J49" s="223">
        <f>I49*E49*F49</f>
        <v>0</v>
      </c>
      <c r="K49" s="220"/>
      <c r="L49" s="220"/>
      <c r="M49" s="220"/>
      <c r="N49" s="220"/>
      <c r="O49" s="220"/>
    </row>
    <row r="50" spans="3:15" x14ac:dyDescent="0.2">
      <c r="C50" s="260" t="s">
        <v>636</v>
      </c>
      <c r="D50" s="261"/>
      <c r="E50" s="262"/>
      <c r="F50" s="262"/>
      <c r="G50" s="305">
        <f t="shared" si="5"/>
        <v>0</v>
      </c>
      <c r="H50" s="305"/>
      <c r="I50" s="1256">
        <f>IF((H50=0),0)+IF((H50=120),280)+IF((H50=150),310)+IF((H50=170),350)+IF((H50=220),375)+IF((H50=300),450)+IF((H50=400),565)</f>
        <v>0</v>
      </c>
      <c r="J50" s="223">
        <f>G50*I50</f>
        <v>0</v>
      </c>
      <c r="K50" s="220"/>
      <c r="L50" s="220"/>
      <c r="M50" s="220"/>
      <c r="N50" s="220"/>
      <c r="O50" s="220"/>
    </row>
    <row r="51" spans="3:15" x14ac:dyDescent="0.2">
      <c r="C51" s="260" t="s">
        <v>636</v>
      </c>
      <c r="D51" s="261"/>
      <c r="E51" s="262"/>
      <c r="F51" s="262"/>
      <c r="G51" s="305">
        <f t="shared" si="5"/>
        <v>0</v>
      </c>
      <c r="H51" s="305"/>
      <c r="I51" s="1256">
        <f>IF((H51=0),0)+IF((H51=120),280)+IF((H51=150),310)+IF((H51=170),350)+IF((H51=220),375)+IF((H51=300),450)+IF((H51=400),565)</f>
        <v>0</v>
      </c>
      <c r="J51" s="223">
        <f>G51*I51</f>
        <v>0</v>
      </c>
      <c r="K51" s="220"/>
      <c r="L51" s="220"/>
      <c r="M51" s="220"/>
      <c r="N51" s="220"/>
      <c r="O51" s="220"/>
    </row>
    <row r="52" spans="3:15" x14ac:dyDescent="0.2">
      <c r="C52" s="224" t="s">
        <v>82</v>
      </c>
      <c r="D52" s="224" t="s">
        <v>82</v>
      </c>
      <c r="E52" s="225">
        <v>0.03</v>
      </c>
      <c r="F52" s="226"/>
      <c r="G52" s="227">
        <f t="shared" si="5"/>
        <v>0</v>
      </c>
      <c r="H52" s="227"/>
      <c r="I52" s="228"/>
      <c r="J52" s="229">
        <f>SUM(J25:J51)*E52</f>
        <v>0</v>
      </c>
      <c r="K52" s="220"/>
      <c r="L52" s="220"/>
      <c r="M52" s="220"/>
      <c r="N52" s="220"/>
      <c r="O52" s="220"/>
    </row>
    <row r="53" spans="3:15" x14ac:dyDescent="0.2">
      <c r="C53" s="230"/>
      <c r="D53" s="230"/>
      <c r="E53" s="231"/>
      <c r="F53" s="220"/>
      <c r="G53" s="220"/>
      <c r="H53" s="232" t="s">
        <v>81</v>
      </c>
      <c r="I53" s="230" t="s">
        <v>80</v>
      </c>
      <c r="J53" s="1182">
        <f>SUM(J25:J52)</f>
        <v>0</v>
      </c>
      <c r="K53" s="220"/>
      <c r="L53" s="220"/>
      <c r="M53" s="220"/>
      <c r="N53" s="220"/>
      <c r="O53" s="220"/>
    </row>
    <row r="54" spans="3:15" x14ac:dyDescent="0.2">
      <c r="C54" s="238"/>
      <c r="D54" s="238"/>
      <c r="E54" s="238"/>
      <c r="F54" s="239"/>
      <c r="G54" s="239">
        <f>E54*F54</f>
        <v>0</v>
      </c>
      <c r="H54" s="239"/>
      <c r="I54" s="240"/>
      <c r="J54" s="241">
        <f>G54*I54</f>
        <v>0</v>
      </c>
      <c r="K54" s="220"/>
      <c r="L54" s="220"/>
      <c r="M54" s="220"/>
      <c r="N54" s="220"/>
      <c r="O54" s="220"/>
    </row>
    <row r="55" spans="3:15" x14ac:dyDescent="0.2">
      <c r="C55" s="242"/>
      <c r="D55" s="242"/>
      <c r="E55" s="242"/>
      <c r="F55" s="243"/>
      <c r="G55" s="244"/>
      <c r="H55" s="244"/>
      <c r="I55" s="245"/>
      <c r="J55" s="246"/>
      <c r="K55" s="220"/>
      <c r="L55" s="220"/>
      <c r="M55" s="220"/>
      <c r="N55" s="220"/>
      <c r="O55" s="220"/>
    </row>
    <row r="56" spans="3:15" ht="18" x14ac:dyDescent="0.25">
      <c r="C56" s="247" t="s">
        <v>79</v>
      </c>
      <c r="D56" s="247"/>
      <c r="E56" s="247"/>
      <c r="F56" s="248"/>
      <c r="G56" s="249"/>
      <c r="H56" s="250" t="s">
        <v>78</v>
      </c>
      <c r="I56" s="251" t="s">
        <v>77</v>
      </c>
      <c r="J56" s="1183">
        <f>J22+J53</f>
        <v>0</v>
      </c>
      <c r="K56" s="220"/>
      <c r="L56" s="220"/>
      <c r="M56" s="220"/>
      <c r="N56" s="220"/>
      <c r="O56" s="220"/>
    </row>
    <row r="57" spans="3:15" x14ac:dyDescent="0.2">
      <c r="C57" s="242"/>
      <c r="D57" s="242"/>
      <c r="E57" s="242"/>
      <c r="F57" s="243"/>
      <c r="G57" s="244"/>
      <c r="H57" s="244"/>
      <c r="I57" s="245"/>
      <c r="J57" s="246"/>
      <c r="K57" s="220"/>
      <c r="L57" s="220"/>
      <c r="M57" s="220"/>
      <c r="N57" s="220"/>
      <c r="O57" s="220"/>
    </row>
    <row r="58" spans="3:15" x14ac:dyDescent="0.2">
      <c r="C58" s="238"/>
      <c r="D58" s="238"/>
      <c r="E58" s="238"/>
      <c r="F58" s="239"/>
      <c r="G58" s="252"/>
      <c r="H58" s="252"/>
      <c r="I58" s="240"/>
      <c r="J58" s="241"/>
      <c r="K58" s="220"/>
      <c r="L58" s="221"/>
      <c r="M58" s="221"/>
      <c r="N58" s="221"/>
      <c r="O58" s="220"/>
    </row>
    <row r="59" spans="3:15" hidden="1" x14ac:dyDescent="0.2">
      <c r="C59" s="224" t="s">
        <v>226</v>
      </c>
      <c r="D59" s="224" t="s">
        <v>226</v>
      </c>
      <c r="E59" s="220"/>
      <c r="F59" s="226"/>
      <c r="G59" s="227"/>
      <c r="H59" s="227"/>
      <c r="I59" s="228"/>
      <c r="J59" s="253"/>
      <c r="K59" s="220"/>
      <c r="L59" s="220"/>
      <c r="M59" s="220"/>
      <c r="N59" s="220"/>
      <c r="O59" s="220"/>
    </row>
    <row r="60" spans="3:15" hidden="1" x14ac:dyDescent="0.2">
      <c r="C60" s="254" t="s">
        <v>76</v>
      </c>
      <c r="D60" s="254" t="s">
        <v>76</v>
      </c>
      <c r="E60" s="220"/>
      <c r="F60" s="226"/>
      <c r="G60" s="227"/>
      <c r="H60" s="227"/>
      <c r="I60" s="228"/>
      <c r="J60" s="253"/>
      <c r="K60" s="220"/>
      <c r="L60" s="220"/>
      <c r="M60" s="220"/>
      <c r="N60" s="220"/>
      <c r="O60" s="220"/>
    </row>
    <row r="61" spans="3:15" hidden="1" x14ac:dyDescent="0.2">
      <c r="C61" s="231" t="s">
        <v>207</v>
      </c>
      <c r="D61" s="231" t="s">
        <v>207</v>
      </c>
      <c r="E61" s="220"/>
      <c r="F61" s="226"/>
      <c r="G61" s="227">
        <f t="shared" ref="G61:G67" si="6">E61*F61</f>
        <v>0</v>
      </c>
      <c r="H61" s="227">
        <v>120</v>
      </c>
      <c r="I61" s="228">
        <v>280</v>
      </c>
      <c r="J61" s="253">
        <f t="shared" ref="J61:J67" si="7">G61*I61</f>
        <v>0</v>
      </c>
      <c r="K61" s="220"/>
      <c r="L61" s="220"/>
      <c r="M61" s="220"/>
      <c r="N61" s="220"/>
      <c r="O61" s="220"/>
    </row>
    <row r="62" spans="3:15" hidden="1" x14ac:dyDescent="0.2">
      <c r="C62" s="231" t="s">
        <v>73</v>
      </c>
      <c r="D62" s="231" t="s">
        <v>73</v>
      </c>
      <c r="E62" s="220"/>
      <c r="F62" s="226"/>
      <c r="G62" s="227">
        <f t="shared" si="6"/>
        <v>0</v>
      </c>
      <c r="H62" s="227">
        <v>150</v>
      </c>
      <c r="I62" s="228">
        <v>310</v>
      </c>
      <c r="J62" s="253">
        <f t="shared" si="7"/>
        <v>0</v>
      </c>
      <c r="K62" s="220"/>
      <c r="L62" s="220"/>
      <c r="M62" s="220"/>
      <c r="N62" s="220"/>
      <c r="O62" s="220"/>
    </row>
    <row r="63" spans="3:15" hidden="1" x14ac:dyDescent="0.2">
      <c r="C63" s="231" t="s">
        <v>222</v>
      </c>
      <c r="D63" s="231" t="s">
        <v>222</v>
      </c>
      <c r="E63" s="220"/>
      <c r="F63" s="226"/>
      <c r="G63" s="227">
        <f t="shared" si="6"/>
        <v>0</v>
      </c>
      <c r="H63" s="227">
        <v>170</v>
      </c>
      <c r="I63" s="228">
        <v>350</v>
      </c>
      <c r="J63" s="253">
        <f t="shared" si="7"/>
        <v>0</v>
      </c>
      <c r="K63" s="220"/>
      <c r="L63" s="220"/>
      <c r="M63" s="220"/>
      <c r="N63" s="220"/>
      <c r="O63" s="220"/>
    </row>
    <row r="64" spans="3:15" hidden="1" x14ac:dyDescent="0.2">
      <c r="C64" s="231" t="s">
        <v>223</v>
      </c>
      <c r="D64" s="231" t="s">
        <v>223</v>
      </c>
      <c r="E64" s="220"/>
      <c r="F64" s="226"/>
      <c r="G64" s="227">
        <f t="shared" si="6"/>
        <v>0</v>
      </c>
      <c r="H64" s="227">
        <v>220</v>
      </c>
      <c r="I64" s="228">
        <v>375</v>
      </c>
      <c r="J64" s="253">
        <f t="shared" si="7"/>
        <v>0</v>
      </c>
      <c r="K64" s="220"/>
      <c r="L64" s="220"/>
      <c r="M64" s="220"/>
      <c r="N64" s="220"/>
      <c r="O64" s="220"/>
    </row>
    <row r="65" spans="3:15" hidden="1" x14ac:dyDescent="0.2">
      <c r="C65" s="231" t="s">
        <v>224</v>
      </c>
      <c r="D65" s="231" t="s">
        <v>224</v>
      </c>
      <c r="E65" s="220"/>
      <c r="F65" s="226"/>
      <c r="G65" s="227">
        <f t="shared" si="6"/>
        <v>0</v>
      </c>
      <c r="H65" s="227">
        <v>300</v>
      </c>
      <c r="I65" s="228">
        <v>450</v>
      </c>
      <c r="J65" s="253">
        <f t="shared" si="7"/>
        <v>0</v>
      </c>
      <c r="K65" s="220"/>
      <c r="L65" s="220"/>
      <c r="M65" s="220"/>
      <c r="N65" s="220"/>
      <c r="O65" s="220"/>
    </row>
    <row r="66" spans="3:15" hidden="1" x14ac:dyDescent="0.2">
      <c r="C66" s="231" t="s">
        <v>225</v>
      </c>
      <c r="D66" s="231" t="s">
        <v>225</v>
      </c>
      <c r="E66" s="220"/>
      <c r="F66" s="226"/>
      <c r="G66" s="227">
        <f t="shared" si="6"/>
        <v>0</v>
      </c>
      <c r="H66" s="227">
        <v>400</v>
      </c>
      <c r="I66" s="228"/>
      <c r="J66" s="253">
        <f t="shared" si="7"/>
        <v>0</v>
      </c>
      <c r="K66" s="220"/>
      <c r="L66" s="220"/>
      <c r="M66" s="220"/>
      <c r="N66" s="220"/>
      <c r="O66" s="220"/>
    </row>
    <row r="67" spans="3:15" hidden="1" x14ac:dyDescent="0.2">
      <c r="C67" s="231" t="s">
        <v>231</v>
      </c>
      <c r="D67" s="231" t="s">
        <v>231</v>
      </c>
      <c r="E67" s="220"/>
      <c r="F67" s="226"/>
      <c r="G67" s="227">
        <f t="shared" si="6"/>
        <v>0</v>
      </c>
      <c r="H67" s="227">
        <v>400</v>
      </c>
      <c r="I67" s="255">
        <v>565</v>
      </c>
      <c r="J67" s="253">
        <f t="shared" si="7"/>
        <v>0</v>
      </c>
    </row>
    <row r="68" spans="3:15" hidden="1" x14ac:dyDescent="0.2">
      <c r="C68" s="231"/>
      <c r="D68" s="231"/>
      <c r="E68" s="220"/>
      <c r="F68" s="226"/>
      <c r="G68" s="227"/>
      <c r="H68" s="227"/>
      <c r="I68" s="228"/>
      <c r="J68" s="253"/>
    </row>
    <row r="69" spans="3:15" hidden="1" x14ac:dyDescent="0.2">
      <c r="C69" s="254" t="s">
        <v>202</v>
      </c>
      <c r="D69" s="254" t="s">
        <v>202</v>
      </c>
      <c r="E69" s="220"/>
      <c r="F69" s="226"/>
      <c r="G69" s="227"/>
      <c r="H69" s="227"/>
      <c r="I69" s="228"/>
      <c r="J69" s="253"/>
    </row>
    <row r="70" spans="3:15" hidden="1" x14ac:dyDescent="0.2">
      <c r="C70" s="231" t="s">
        <v>75</v>
      </c>
      <c r="D70" s="231" t="s">
        <v>75</v>
      </c>
      <c r="E70" s="220"/>
      <c r="F70" s="226"/>
      <c r="G70" s="227">
        <f>E70*F70</f>
        <v>0</v>
      </c>
      <c r="H70" s="227">
        <v>22</v>
      </c>
      <c r="I70" s="228">
        <v>135</v>
      </c>
      <c r="J70" s="253">
        <f>G70*I70</f>
        <v>0</v>
      </c>
    </row>
    <row r="71" spans="3:15" hidden="1" x14ac:dyDescent="0.2">
      <c r="C71" s="231" t="s">
        <v>203</v>
      </c>
      <c r="D71" s="231" t="s">
        <v>203</v>
      </c>
      <c r="E71" s="220"/>
      <c r="F71" s="226"/>
      <c r="G71" s="227">
        <f t="shared" ref="G71:G77" si="8">E71*F71</f>
        <v>0</v>
      </c>
      <c r="H71" s="227">
        <v>30</v>
      </c>
      <c r="I71" s="228">
        <v>150</v>
      </c>
      <c r="J71" s="253">
        <f t="shared" ref="J71:J77" si="9">G71*I71</f>
        <v>0</v>
      </c>
    </row>
    <row r="72" spans="3:15" hidden="1" x14ac:dyDescent="0.2">
      <c r="C72" s="231" t="s">
        <v>204</v>
      </c>
      <c r="D72" s="231" t="s">
        <v>204</v>
      </c>
      <c r="E72" s="220"/>
      <c r="F72" s="226"/>
      <c r="G72" s="227">
        <f t="shared" si="8"/>
        <v>0</v>
      </c>
      <c r="H72" s="227">
        <v>40</v>
      </c>
      <c r="I72" s="228">
        <v>170</v>
      </c>
      <c r="J72" s="253">
        <f t="shared" si="9"/>
        <v>0</v>
      </c>
    </row>
    <row r="73" spans="3:15" hidden="1" x14ac:dyDescent="0.2">
      <c r="C73" s="231" t="s">
        <v>74</v>
      </c>
      <c r="D73" s="231" t="s">
        <v>74</v>
      </c>
      <c r="E73" s="220"/>
      <c r="F73" s="226"/>
      <c r="G73" s="227">
        <f t="shared" si="8"/>
        <v>0</v>
      </c>
      <c r="H73" s="227">
        <v>50</v>
      </c>
      <c r="I73" s="228">
        <v>185</v>
      </c>
      <c r="J73" s="253">
        <f t="shared" si="9"/>
        <v>0</v>
      </c>
    </row>
    <row r="74" spans="3:15" hidden="1" x14ac:dyDescent="0.2">
      <c r="C74" s="231" t="s">
        <v>205</v>
      </c>
      <c r="D74" s="231" t="s">
        <v>205</v>
      </c>
      <c r="E74" s="220"/>
      <c r="F74" s="226"/>
      <c r="G74" s="227">
        <f t="shared" si="8"/>
        <v>0</v>
      </c>
      <c r="H74" s="227">
        <v>60</v>
      </c>
      <c r="I74" s="228">
        <v>195</v>
      </c>
      <c r="J74" s="253">
        <f t="shared" si="9"/>
        <v>0</v>
      </c>
    </row>
    <row r="75" spans="3:15" hidden="1" x14ac:dyDescent="0.2">
      <c r="C75" s="231" t="s">
        <v>206</v>
      </c>
      <c r="D75" s="231" t="s">
        <v>206</v>
      </c>
      <c r="E75" s="220"/>
      <c r="F75" s="226"/>
      <c r="G75" s="227">
        <f t="shared" si="8"/>
        <v>0</v>
      </c>
      <c r="H75" s="227">
        <v>70</v>
      </c>
      <c r="I75" s="228">
        <v>240</v>
      </c>
      <c r="J75" s="253">
        <f t="shared" si="9"/>
        <v>0</v>
      </c>
    </row>
    <row r="76" spans="3:15" hidden="1" x14ac:dyDescent="0.2">
      <c r="C76" s="231" t="s">
        <v>218</v>
      </c>
      <c r="D76" s="231" t="s">
        <v>218</v>
      </c>
      <c r="E76" s="220"/>
      <c r="F76" s="226"/>
      <c r="G76" s="227">
        <f t="shared" si="8"/>
        <v>0</v>
      </c>
      <c r="H76" s="227">
        <v>90</v>
      </c>
      <c r="I76" s="228">
        <v>255</v>
      </c>
      <c r="J76" s="253">
        <f t="shared" si="9"/>
        <v>0</v>
      </c>
    </row>
    <row r="77" spans="3:15" hidden="1" x14ac:dyDescent="0.2">
      <c r="C77" s="231" t="s">
        <v>219</v>
      </c>
      <c r="D77" s="231" t="s">
        <v>219</v>
      </c>
      <c r="E77" s="220"/>
      <c r="F77" s="226"/>
      <c r="G77" s="227">
        <f t="shared" si="8"/>
        <v>0</v>
      </c>
      <c r="H77" s="227">
        <v>400</v>
      </c>
      <c r="I77" s="228">
        <v>280</v>
      </c>
      <c r="J77" s="253">
        <f t="shared" si="9"/>
        <v>0</v>
      </c>
    </row>
    <row r="78" spans="3:15" hidden="1" x14ac:dyDescent="0.2">
      <c r="C78" s="220" t="s">
        <v>220</v>
      </c>
      <c r="D78" s="220" t="s">
        <v>220</v>
      </c>
      <c r="E78" s="220"/>
      <c r="F78" s="226"/>
      <c r="G78" s="227"/>
      <c r="H78" s="227"/>
      <c r="I78" s="228"/>
      <c r="J78" s="253"/>
    </row>
    <row r="79" spans="3:15" hidden="1" x14ac:dyDescent="0.2">
      <c r="C79" s="220" t="s">
        <v>221</v>
      </c>
      <c r="D79" s="220" t="s">
        <v>221</v>
      </c>
      <c r="E79" s="220"/>
      <c r="F79" s="226"/>
      <c r="G79" s="227"/>
      <c r="H79" s="227"/>
      <c r="I79" s="228"/>
      <c r="J79" s="253"/>
    </row>
    <row r="80" spans="3:15" hidden="1" x14ac:dyDescent="0.2">
      <c r="C80" s="220"/>
      <c r="D80" s="220"/>
      <c r="E80" s="220"/>
      <c r="F80" s="226"/>
      <c r="G80" s="227"/>
      <c r="H80" s="227"/>
      <c r="I80" s="228"/>
      <c r="J80" s="253"/>
    </row>
    <row r="81" spans="3:10" hidden="1" x14ac:dyDescent="0.2">
      <c r="C81" s="254" t="s">
        <v>227</v>
      </c>
      <c r="D81" s="254" t="s">
        <v>227</v>
      </c>
      <c r="E81" s="220"/>
      <c r="F81" s="226"/>
      <c r="G81" s="227"/>
      <c r="H81" s="227"/>
      <c r="I81" s="228"/>
      <c r="J81" s="253"/>
    </row>
    <row r="82" spans="3:10" hidden="1" x14ac:dyDescent="0.2">
      <c r="C82" s="231" t="s">
        <v>228</v>
      </c>
      <c r="D82" s="231" t="s">
        <v>228</v>
      </c>
      <c r="E82" s="220"/>
      <c r="F82" s="226"/>
      <c r="G82" s="227">
        <f>E82*F82</f>
        <v>0</v>
      </c>
      <c r="H82" s="227">
        <v>75</v>
      </c>
      <c r="I82" s="228">
        <v>240</v>
      </c>
      <c r="J82" s="253">
        <f>G82*I82</f>
        <v>0</v>
      </c>
    </row>
    <row r="83" spans="3:10" hidden="1" x14ac:dyDescent="0.2">
      <c r="C83" s="231" t="s">
        <v>229</v>
      </c>
      <c r="D83" s="231" t="s">
        <v>229</v>
      </c>
      <c r="E83" s="220"/>
      <c r="F83" s="226"/>
      <c r="G83" s="227">
        <f>E83*F83</f>
        <v>0</v>
      </c>
      <c r="H83" s="227">
        <v>82</v>
      </c>
      <c r="I83" s="228"/>
      <c r="J83" s="253">
        <f>G83*I83</f>
        <v>0</v>
      </c>
    </row>
    <row r="84" spans="3:10" hidden="1" x14ac:dyDescent="0.2">
      <c r="C84" s="231"/>
      <c r="D84" s="231"/>
      <c r="E84" s="220"/>
      <c r="F84" s="226"/>
      <c r="G84" s="227"/>
      <c r="H84" s="227"/>
      <c r="I84" s="228"/>
      <c r="J84" s="253"/>
    </row>
    <row r="85" spans="3:10" hidden="1" x14ac:dyDescent="0.2">
      <c r="C85" s="220" t="s">
        <v>220</v>
      </c>
      <c r="D85" s="220" t="s">
        <v>220</v>
      </c>
      <c r="E85" s="220"/>
      <c r="F85" s="226"/>
      <c r="G85" s="227"/>
      <c r="H85" s="227"/>
      <c r="I85" s="228"/>
      <c r="J85" s="253"/>
    </row>
    <row r="86" spans="3:10" hidden="1" x14ac:dyDescent="0.2">
      <c r="C86" s="220" t="s">
        <v>221</v>
      </c>
      <c r="D86" s="220" t="s">
        <v>221</v>
      </c>
      <c r="E86" s="220"/>
      <c r="F86" s="226"/>
      <c r="G86" s="227"/>
      <c r="H86" s="227"/>
      <c r="I86" s="228"/>
      <c r="J86" s="253"/>
    </row>
    <row r="87" spans="3:10" hidden="1" x14ac:dyDescent="0.2">
      <c r="C87" s="231" t="s">
        <v>230</v>
      </c>
      <c r="D87" s="231" t="s">
        <v>230</v>
      </c>
      <c r="E87" s="220"/>
      <c r="F87" s="226"/>
      <c r="G87" s="227">
        <f>E87*F87</f>
        <v>0</v>
      </c>
      <c r="H87" s="227"/>
      <c r="I87" s="228">
        <v>95</v>
      </c>
      <c r="J87" s="253">
        <f>G87*I87</f>
        <v>0</v>
      </c>
    </row>
    <row r="88" spans="3:10" hidden="1" x14ac:dyDescent="0.2">
      <c r="C88" s="256"/>
      <c r="D88" s="256"/>
      <c r="E88" s="220"/>
      <c r="F88" s="226"/>
      <c r="G88" s="227"/>
      <c r="H88" s="227"/>
      <c r="I88" s="228"/>
      <c r="J88" s="253"/>
    </row>
    <row r="89" spans="3:10" hidden="1" x14ac:dyDescent="0.2">
      <c r="C89" s="231"/>
      <c r="D89" s="231"/>
      <c r="E89" s="231"/>
      <c r="F89" s="220"/>
      <c r="G89" s="220"/>
      <c r="H89" s="220"/>
      <c r="I89" s="257"/>
      <c r="J89" s="253"/>
    </row>
    <row r="90" spans="3:10" ht="13.5" thickBot="1" x14ac:dyDescent="0.25"/>
    <row r="91" spans="3:10" ht="13.5" thickBot="1" x14ac:dyDescent="0.25">
      <c r="C91" s="1679" t="s">
        <v>2404</v>
      </c>
      <c r="D91" s="1680"/>
      <c r="E91" s="1680"/>
      <c r="F91" s="1680"/>
      <c r="G91" s="1680"/>
      <c r="H91" s="1680"/>
      <c r="I91" s="1680"/>
      <c r="J91" s="1681"/>
    </row>
    <row r="92" spans="3:10" ht="25.5" x14ac:dyDescent="0.2">
      <c r="C92" s="1405" t="s">
        <v>2413</v>
      </c>
      <c r="D92" s="1401" t="s">
        <v>2406</v>
      </c>
      <c r="E92" s="1402" t="s">
        <v>2407</v>
      </c>
      <c r="F92" s="1402" t="s">
        <v>2408</v>
      </c>
      <c r="G92" s="1403" t="s">
        <v>2405</v>
      </c>
      <c r="H92" s="1404" t="s">
        <v>2411</v>
      </c>
      <c r="I92" s="1403" t="s">
        <v>2409</v>
      </c>
      <c r="J92" s="1404" t="s">
        <v>2410</v>
      </c>
    </row>
    <row r="93" spans="3:10" x14ac:dyDescent="0.2">
      <c r="C93" s="1412" t="s">
        <v>2415</v>
      </c>
      <c r="D93" s="1406">
        <v>5</v>
      </c>
      <c r="E93" s="1400">
        <v>6</v>
      </c>
      <c r="F93" s="1400">
        <v>4</v>
      </c>
      <c r="G93" s="1398">
        <v>1</v>
      </c>
      <c r="H93" s="1399">
        <f>(D93+G93)*(E93+G93)</f>
        <v>42</v>
      </c>
      <c r="I93" s="1287">
        <v>1.25</v>
      </c>
      <c r="J93" s="1287">
        <f>I93*H93</f>
        <v>52.5</v>
      </c>
    </row>
    <row r="94" spans="3:10" x14ac:dyDescent="0.2">
      <c r="C94" s="1412" t="s">
        <v>2417</v>
      </c>
      <c r="D94" s="1406">
        <v>0</v>
      </c>
      <c r="E94" s="1400">
        <v>0</v>
      </c>
      <c r="F94" s="1400">
        <v>0</v>
      </c>
      <c r="G94" s="1398">
        <v>0</v>
      </c>
      <c r="H94" s="1399">
        <f t="shared" ref="H94:H103" si="10">(D94+G94)*(E94+G94)</f>
        <v>0</v>
      </c>
      <c r="I94" s="1287">
        <v>1.25</v>
      </c>
      <c r="J94" s="1287">
        <f t="shared" ref="J94:J103" si="11">I94*H94</f>
        <v>0</v>
      </c>
    </row>
    <row r="95" spans="3:10" x14ac:dyDescent="0.2">
      <c r="C95" s="1407"/>
      <c r="D95" s="1406">
        <v>0</v>
      </c>
      <c r="E95" s="1400">
        <v>0</v>
      </c>
      <c r="F95" s="1400">
        <v>0</v>
      </c>
      <c r="G95" s="1398">
        <v>0</v>
      </c>
      <c r="H95" s="1399">
        <f t="shared" si="10"/>
        <v>0</v>
      </c>
      <c r="I95" s="1287">
        <v>1.25</v>
      </c>
      <c r="J95" s="1287">
        <f t="shared" si="11"/>
        <v>0</v>
      </c>
    </row>
    <row r="96" spans="3:10" x14ac:dyDescent="0.2">
      <c r="C96" s="1407"/>
      <c r="D96" s="1406">
        <v>0</v>
      </c>
      <c r="E96" s="1400">
        <v>0</v>
      </c>
      <c r="F96" s="1400">
        <v>0</v>
      </c>
      <c r="G96" s="1398">
        <v>0</v>
      </c>
      <c r="H96" s="1399">
        <f t="shared" si="10"/>
        <v>0</v>
      </c>
      <c r="I96" s="1287">
        <v>1.25</v>
      </c>
      <c r="J96" s="1287">
        <f t="shared" si="11"/>
        <v>0</v>
      </c>
    </row>
    <row r="97" spans="3:10" x14ac:dyDescent="0.2">
      <c r="C97" s="1407"/>
      <c r="D97" s="1406">
        <v>0</v>
      </c>
      <c r="E97" s="1400">
        <v>0</v>
      </c>
      <c r="F97" s="1400">
        <v>0</v>
      </c>
      <c r="G97" s="1398">
        <v>0</v>
      </c>
      <c r="H97" s="1399">
        <f t="shared" si="10"/>
        <v>0</v>
      </c>
      <c r="I97" s="1287">
        <v>1.25</v>
      </c>
      <c r="J97" s="1287">
        <f t="shared" si="11"/>
        <v>0</v>
      </c>
    </row>
    <row r="98" spans="3:10" x14ac:dyDescent="0.2">
      <c r="C98" s="1407"/>
      <c r="D98" s="1406">
        <v>0</v>
      </c>
      <c r="E98" s="1400">
        <v>0</v>
      </c>
      <c r="F98" s="1400">
        <v>0</v>
      </c>
      <c r="G98" s="1398">
        <v>0</v>
      </c>
      <c r="H98" s="1399">
        <f t="shared" si="10"/>
        <v>0</v>
      </c>
      <c r="I98" s="1287">
        <v>1.25</v>
      </c>
      <c r="J98" s="1287">
        <f t="shared" si="11"/>
        <v>0</v>
      </c>
    </row>
    <row r="99" spans="3:10" x14ac:dyDescent="0.2">
      <c r="C99" s="1407"/>
      <c r="D99" s="1406">
        <v>0</v>
      </c>
      <c r="E99" s="1400">
        <v>0</v>
      </c>
      <c r="F99" s="1400">
        <v>0</v>
      </c>
      <c r="G99" s="1398">
        <v>0</v>
      </c>
      <c r="H99" s="1399">
        <f t="shared" si="10"/>
        <v>0</v>
      </c>
      <c r="I99" s="1287">
        <v>1.25</v>
      </c>
      <c r="J99" s="1287">
        <f t="shared" si="11"/>
        <v>0</v>
      </c>
    </row>
    <row r="100" spans="3:10" x14ac:dyDescent="0.2">
      <c r="C100" s="1407"/>
      <c r="D100" s="1406">
        <v>0</v>
      </c>
      <c r="E100" s="1400">
        <v>0</v>
      </c>
      <c r="F100" s="1400">
        <v>0</v>
      </c>
      <c r="G100" s="1398">
        <v>0</v>
      </c>
      <c r="H100" s="1399">
        <f t="shared" si="10"/>
        <v>0</v>
      </c>
      <c r="I100" s="1287">
        <v>1.25</v>
      </c>
      <c r="J100" s="1287">
        <f t="shared" si="11"/>
        <v>0</v>
      </c>
    </row>
    <row r="101" spans="3:10" x14ac:dyDescent="0.2">
      <c r="C101" s="1407"/>
      <c r="D101" s="1406">
        <v>0</v>
      </c>
      <c r="E101" s="1400">
        <v>0</v>
      </c>
      <c r="F101" s="1400">
        <v>0</v>
      </c>
      <c r="G101" s="1398">
        <v>0</v>
      </c>
      <c r="H101" s="1399">
        <f t="shared" si="10"/>
        <v>0</v>
      </c>
      <c r="I101" s="1287">
        <v>1.25</v>
      </c>
      <c r="J101" s="1287">
        <f t="shared" si="11"/>
        <v>0</v>
      </c>
    </row>
    <row r="102" spans="3:10" x14ac:dyDescent="0.2">
      <c r="C102" s="1407"/>
      <c r="D102" s="1406">
        <v>0</v>
      </c>
      <c r="E102" s="1400">
        <v>0</v>
      </c>
      <c r="F102" s="1400">
        <v>0</v>
      </c>
      <c r="G102" s="1398">
        <v>0</v>
      </c>
      <c r="H102" s="1399">
        <f t="shared" si="10"/>
        <v>0</v>
      </c>
      <c r="I102" s="1287">
        <v>1.25</v>
      </c>
      <c r="J102" s="1287">
        <f t="shared" si="11"/>
        <v>0</v>
      </c>
    </row>
    <row r="103" spans="3:10" ht="13.5" thickBot="1" x14ac:dyDescent="0.25">
      <c r="C103" s="1408"/>
      <c r="D103" s="1406">
        <v>0</v>
      </c>
      <c r="E103" s="1400">
        <v>0</v>
      </c>
      <c r="F103" s="1400">
        <v>0</v>
      </c>
      <c r="G103" s="1400">
        <v>0</v>
      </c>
      <c r="H103" s="1399">
        <f t="shared" si="10"/>
        <v>0</v>
      </c>
      <c r="I103" s="1409">
        <v>1.25</v>
      </c>
      <c r="J103" s="1409">
        <f t="shared" si="11"/>
        <v>0</v>
      </c>
    </row>
    <row r="104" spans="3:10" ht="13.5" thickBot="1" x14ac:dyDescent="0.25">
      <c r="C104" s="1410"/>
      <c r="D104" s="1683"/>
      <c r="E104" s="1684"/>
      <c r="F104" s="1684"/>
      <c r="G104" s="1684"/>
      <c r="H104" s="1682" t="s">
        <v>2414</v>
      </c>
      <c r="I104" s="1682"/>
      <c r="J104" s="1411">
        <f>SUM(J93:J103)</f>
        <v>52.5</v>
      </c>
    </row>
    <row r="105" spans="3:10" ht="13.5" thickBot="1" x14ac:dyDescent="0.25">
      <c r="D105" s="1676" t="s">
        <v>2412</v>
      </c>
      <c r="E105" s="1677"/>
      <c r="F105" s="1677"/>
      <c r="G105" s="1677"/>
      <c r="H105" s="1677"/>
      <c r="I105" s="1677"/>
      <c r="J105" s="1678"/>
    </row>
  </sheetData>
  <sheetProtection formatCells="0" formatColumns="0" formatRows="0" insertColumns="0" insertRows="0" deleteColumns="0" deleteRows="0" selectLockedCells="1" sort="0" autoFilter="0" pivotTables="0"/>
  <customSheetViews>
    <customSheetView guid="{C88CD669-B349-4A86-8041-5686C62E698E}" fitToPage="1" hiddenRows="1" hiddenColumns="1">
      <pane ySplit="5" topLeftCell="A6" activePane="bottomLeft" state="frozen"/>
      <selection pane="bottomLeft" activeCell="A6" sqref="A6"/>
      <pageMargins left="0.75" right="0.75" top="0.75" bottom="0.5" header="0.25" footer="0"/>
      <pageSetup scale="71" orientation="portrait" r:id="rId1"/>
      <headerFooter alignWithMargins="0">
        <oddHeader>&amp;CRECAPITULATION
HOISTING EQUIPMENT
&amp;R&amp;D</oddHeader>
        <oddFooter>&amp;L&amp;F&amp;C&amp;A</oddFooter>
      </headerFooter>
    </customSheetView>
    <customSheetView guid="{14A9C729-6567-47B0-B521-30EFFF4E950A}" scale="120" fitToPage="1" hiddenColumns="1">
      <pane ySplit="5" topLeftCell="A21" activePane="bottomLeft" state="frozen"/>
      <selection pane="bottomLeft" activeCell="A26" sqref="A26"/>
      <pageMargins left="0.75" right="0.75" top="0.75" bottom="0.5" header="0.25" footer="0"/>
      <pageSetup scale="71" orientation="portrait" r:id="rId2"/>
      <headerFooter alignWithMargins="0">
        <oddHeader>&amp;CRECAPITULATION
HOISTING EQUIPMENT
&amp;R&amp;D</oddHeader>
        <oddFooter>&amp;L&amp;F&amp;C&amp;A</oddFooter>
      </headerFooter>
    </customSheetView>
    <customSheetView guid="{198460B7-6D23-4AED-A971-BF824A975991}" scale="120" fitToPage="1" hiddenColumns="1">
      <pane ySplit="5" topLeftCell="A21" activePane="bottomLeft" state="frozen"/>
      <selection pane="bottomLeft" activeCell="A26" sqref="A26"/>
      <pageMargins left="0.75" right="0.75" top="0.75" bottom="0.5" header="0.25" footer="0"/>
      <pageSetup scale="71" orientation="portrait" r:id="rId3"/>
      <headerFooter alignWithMargins="0">
        <oddHeader>&amp;CRECAPITULATION
HOISTING EQUIPMENT
&amp;R&amp;D</oddHeader>
        <oddFooter>&amp;L&amp;F&amp;C&amp;A</oddFooter>
      </headerFooter>
    </customSheetView>
  </customSheetViews>
  <mergeCells count="4">
    <mergeCell ref="D105:J105"/>
    <mergeCell ref="C91:J91"/>
    <mergeCell ref="H104:I104"/>
    <mergeCell ref="D104:G104"/>
  </mergeCells>
  <phoneticPr fontId="71" type="noConversion"/>
  <conditionalFormatting sqref="J14:J15">
    <cfRule type="cellIs" dxfId="12" priority="7" operator="equal">
      <formula>0</formula>
    </cfRule>
  </conditionalFormatting>
  <conditionalFormatting sqref="J45">
    <cfRule type="cellIs" dxfId="11" priority="6" operator="equal">
      <formula>0</formula>
    </cfRule>
  </conditionalFormatting>
  <conditionalFormatting sqref="J46">
    <cfRule type="cellIs" dxfId="10" priority="3" operator="equal">
      <formula>0</formula>
    </cfRule>
  </conditionalFormatting>
  <conditionalFormatting sqref="F49">
    <cfRule type="cellIs" dxfId="9" priority="1" operator="greaterThan">
      <formula>3</formula>
    </cfRule>
    <cfRule type="cellIs" dxfId="8" priority="2" operator="equal">
      <formula>0</formula>
    </cfRule>
  </conditionalFormatting>
  <pageMargins left="0.75" right="0.75" top="0.75" bottom="0.5" header="0.25" footer="0"/>
  <pageSetup scale="71" orientation="portrait" r:id="rId4"/>
  <headerFooter alignWithMargins="0">
    <oddHeader>&amp;CRECAPITULATION
HOISTING EQUIPMENT
&amp;R&amp;D</oddHeader>
    <oddFooter>&amp;L&amp;F&amp;C&amp;A</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DATA!$H$64:$H$70</xm:f>
          </x14:formula1>
          <xm:sqref>H61 H48:H51 H17:H20</xm:sqref>
        </x14:dataValidation>
        <x14:dataValidation type="list" allowBlank="1" showInputMessage="1" showErrorMessage="1" xr:uid="{D7849969-68DD-4214-A14C-5685279BA9DE}">
          <x14:formula1>
            <xm:f>Rentals!$A$13:$A$35</xm:f>
          </x14:formula1>
          <xm:sqref>H6:H15 H25:H46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54"/>
  <sheetViews>
    <sheetView zoomScaleNormal="100" workbookViewId="0">
      <selection activeCell="I9" sqref="I9"/>
    </sheetView>
  </sheetViews>
  <sheetFormatPr defaultColWidth="9.140625" defaultRowHeight="12.75" x14ac:dyDescent="0.2"/>
  <cols>
    <col min="1" max="1" width="6" style="44" customWidth="1"/>
    <col min="2" max="2" width="9.140625" style="44"/>
    <col min="3" max="3" width="12.85546875" style="44" customWidth="1"/>
    <col min="4" max="4" width="9.28515625" style="44" bestFit="1" customWidth="1"/>
    <col min="5" max="13" width="10.7109375" style="44" customWidth="1"/>
    <col min="14" max="14" width="10.85546875" style="44" customWidth="1"/>
    <col min="15" max="15" width="9.28515625" style="44" bestFit="1" customWidth="1"/>
    <col min="16" max="16" width="5.42578125" style="44" customWidth="1"/>
    <col min="17" max="16384" width="9.140625" style="44"/>
  </cols>
  <sheetData>
    <row r="1" spans="1:16" ht="6" customHeight="1" x14ac:dyDescent="0.2">
      <c r="A1" s="946"/>
      <c r="B1" s="947"/>
      <c r="C1" s="947"/>
      <c r="D1" s="947"/>
      <c r="E1" s="947"/>
      <c r="F1" s="947"/>
      <c r="G1" s="947"/>
      <c r="H1" s="947"/>
      <c r="I1" s="947"/>
      <c r="J1" s="947"/>
      <c r="K1" s="947"/>
      <c r="L1" s="947"/>
      <c r="M1" s="947"/>
      <c r="N1" s="947"/>
      <c r="O1" s="947"/>
      <c r="P1" s="948"/>
    </row>
    <row r="2" spans="1:16" x14ac:dyDescent="0.2">
      <c r="A2" s="949"/>
      <c r="B2" s="950" t="s">
        <v>242</v>
      </c>
      <c r="C2" s="951"/>
      <c r="D2" s="951"/>
      <c r="E2" s="951"/>
      <c r="F2" s="952"/>
      <c r="G2" s="959" t="s">
        <v>1085</v>
      </c>
      <c r="H2" s="952">
        <f ca="1">NOW()</f>
        <v>44718.519324884262</v>
      </c>
      <c r="I2" s="951"/>
      <c r="J2" s="951"/>
      <c r="K2" s="951"/>
      <c r="L2" s="951"/>
      <c r="M2" s="953" t="s">
        <v>208</v>
      </c>
      <c r="N2" s="954">
        <f>'GO-NO-GO CHECKLIST'!E25</f>
        <v>44757</v>
      </c>
      <c r="O2" s="951"/>
      <c r="P2" s="955"/>
    </row>
    <row r="3" spans="1:16" x14ac:dyDescent="0.2">
      <c r="A3" s="949"/>
      <c r="B3" s="956" t="s">
        <v>1590</v>
      </c>
      <c r="C3" s="951"/>
      <c r="D3" s="952">
        <v>43928</v>
      </c>
      <c r="E3" s="951"/>
      <c r="F3" s="951"/>
      <c r="G3" s="951"/>
      <c r="H3" s="951"/>
      <c r="I3" s="951"/>
      <c r="J3" s="951"/>
      <c r="K3" s="951"/>
      <c r="L3" s="951"/>
      <c r="M3" s="953" t="s">
        <v>209</v>
      </c>
      <c r="N3" s="954">
        <f>'GO-NO-GO CHECKLIST'!J25</f>
        <v>45056</v>
      </c>
      <c r="O3" s="951"/>
      <c r="P3" s="955"/>
    </row>
    <row r="4" spans="1:16" x14ac:dyDescent="0.2">
      <c r="A4" s="949"/>
      <c r="B4" s="951" t="s">
        <v>115</v>
      </c>
      <c r="C4" s="951"/>
      <c r="D4" s="950" t="str">
        <f>'Project Cost Recap'!C5</f>
        <v>300 University Boulevard</v>
      </c>
      <c r="E4" s="951"/>
      <c r="F4" s="951"/>
      <c r="G4" s="951"/>
      <c r="H4" s="951"/>
      <c r="I4" s="951"/>
      <c r="J4" s="951"/>
      <c r="K4" s="951"/>
      <c r="L4" s="951"/>
      <c r="M4" s="953" t="s">
        <v>125</v>
      </c>
      <c r="N4" s="957">
        <f>'PROJECT INFO'!H26</f>
        <v>9.9666666666666668</v>
      </c>
      <c r="O4" s="951"/>
      <c r="P4" s="955"/>
    </row>
    <row r="5" spans="1:16" x14ac:dyDescent="0.2">
      <c r="A5" s="949"/>
      <c r="B5" s="951" t="s">
        <v>114</v>
      </c>
      <c r="C5" s="951"/>
      <c r="D5" s="950" t="str">
        <f>'PROJECT INFO'!E4</f>
        <v>5888</v>
      </c>
      <c r="E5" s="951"/>
      <c r="F5" s="951"/>
      <c r="G5" s="958" t="s">
        <v>113</v>
      </c>
      <c r="H5" s="951"/>
      <c r="I5" s="951"/>
      <c r="J5" s="951"/>
      <c r="K5" s="951"/>
      <c r="L5" s="951"/>
      <c r="M5" s="959" t="s">
        <v>1589</v>
      </c>
      <c r="N5" s="960">
        <f>'Heating Recap'!L43</f>
        <v>2</v>
      </c>
      <c r="O5" s="951"/>
      <c r="P5" s="955"/>
    </row>
    <row r="6" spans="1:16" x14ac:dyDescent="0.2">
      <c r="A6" s="949"/>
      <c r="B6" s="958"/>
      <c r="C6" s="951"/>
      <c r="D6" s="951"/>
      <c r="E6" s="951"/>
      <c r="F6" s="951"/>
      <c r="G6" s="961"/>
      <c r="H6" s="962"/>
      <c r="I6" s="962"/>
      <c r="J6" s="962"/>
      <c r="K6" s="962"/>
      <c r="L6" s="951"/>
      <c r="M6" s="951"/>
      <c r="N6" s="951"/>
      <c r="O6" s="951"/>
      <c r="P6" s="955"/>
    </row>
    <row r="7" spans="1:16" x14ac:dyDescent="0.2">
      <c r="A7" s="949"/>
      <c r="B7" s="951"/>
      <c r="C7" s="951"/>
      <c r="D7" s="951"/>
      <c r="E7" s="951" t="s">
        <v>112</v>
      </c>
      <c r="F7" s="951"/>
      <c r="G7" s="960">
        <v>1.85</v>
      </c>
      <c r="H7" s="960">
        <v>2</v>
      </c>
      <c r="I7" s="960">
        <v>2</v>
      </c>
      <c r="J7" s="960">
        <v>2</v>
      </c>
      <c r="K7" s="960">
        <v>2</v>
      </c>
      <c r="L7" s="951"/>
      <c r="M7" s="951"/>
      <c r="N7" s="951"/>
      <c r="O7" s="951"/>
      <c r="P7" s="955"/>
    </row>
    <row r="8" spans="1:16" x14ac:dyDescent="0.2">
      <c r="A8" s="949"/>
      <c r="B8" s="951"/>
      <c r="C8" s="951"/>
      <c r="D8" s="951"/>
      <c r="E8" s="951" t="s">
        <v>111</v>
      </c>
      <c r="F8" s="959" t="s">
        <v>2162</v>
      </c>
      <c r="G8" s="963">
        <v>0</v>
      </c>
      <c r="H8" s="963">
        <v>0</v>
      </c>
      <c r="I8" s="963">
        <v>12</v>
      </c>
      <c r="J8" s="963">
        <v>0</v>
      </c>
      <c r="K8" s="963">
        <v>0</v>
      </c>
      <c r="L8" s="50">
        <f>SUM(G8:K8)</f>
        <v>12</v>
      </c>
      <c r="M8" s="950" t="s">
        <v>110</v>
      </c>
      <c r="N8" s="951"/>
      <c r="O8" s="951"/>
      <c r="P8" s="955"/>
    </row>
    <row r="9" spans="1:16" x14ac:dyDescent="0.2">
      <c r="A9" s="949"/>
      <c r="B9" s="951" t="s">
        <v>109</v>
      </c>
      <c r="C9" s="951"/>
      <c r="D9" s="951"/>
      <c r="E9" s="951"/>
      <c r="F9" s="1148">
        <v>43617</v>
      </c>
      <c r="G9" s="1148">
        <v>43983</v>
      </c>
      <c r="H9" s="1148">
        <v>44348</v>
      </c>
      <c r="I9" s="1148">
        <v>44713</v>
      </c>
      <c r="J9" s="1148">
        <v>45078</v>
      </c>
      <c r="K9" s="1148">
        <v>45444</v>
      </c>
      <c r="L9" s="49" t="s">
        <v>108</v>
      </c>
      <c r="M9" s="951"/>
      <c r="N9" s="951"/>
      <c r="O9" s="951"/>
      <c r="P9" s="955"/>
    </row>
    <row r="10" spans="1:16" x14ac:dyDescent="0.2">
      <c r="A10" s="949"/>
      <c r="B10" s="951"/>
      <c r="C10" s="951"/>
      <c r="D10" s="951"/>
      <c r="E10" s="951"/>
      <c r="F10" s="1148">
        <v>43982</v>
      </c>
      <c r="G10" s="1148">
        <v>44347</v>
      </c>
      <c r="H10" s="1148">
        <v>44712</v>
      </c>
      <c r="I10" s="1148">
        <v>45077</v>
      </c>
      <c r="J10" s="1148">
        <v>45443</v>
      </c>
      <c r="K10" s="1148">
        <v>45808</v>
      </c>
      <c r="L10" s="49" t="s">
        <v>241</v>
      </c>
      <c r="M10" s="951"/>
      <c r="N10" s="951"/>
      <c r="O10" s="951"/>
      <c r="P10" s="955"/>
    </row>
    <row r="11" spans="1:16" x14ac:dyDescent="0.2">
      <c r="A11" s="949"/>
      <c r="B11" s="951"/>
      <c r="C11" s="951"/>
      <c r="D11" s="951"/>
      <c r="E11" s="951"/>
      <c r="F11" s="959" t="s">
        <v>1215</v>
      </c>
      <c r="G11" s="964"/>
      <c r="H11" s="964"/>
      <c r="I11" s="964"/>
      <c r="J11" s="964"/>
      <c r="K11" s="964"/>
      <c r="L11" s="49"/>
      <c r="M11" s="962" t="s">
        <v>107</v>
      </c>
      <c r="N11" s="951"/>
      <c r="O11" s="951"/>
      <c r="P11" s="955"/>
    </row>
    <row r="12" spans="1:16" x14ac:dyDescent="0.2">
      <c r="A12" s="949"/>
      <c r="B12" s="951" t="s">
        <v>106</v>
      </c>
      <c r="C12" s="951"/>
      <c r="D12" s="951"/>
      <c r="E12" s="951" t="s">
        <v>101</v>
      </c>
      <c r="F12" s="1252">
        <v>44.43</v>
      </c>
      <c r="G12" s="972">
        <f>G7+F12</f>
        <v>46.28</v>
      </c>
      <c r="H12" s="972">
        <f>H7+G12</f>
        <v>48.28</v>
      </c>
      <c r="I12" s="972">
        <f>I7+H12</f>
        <v>50.28</v>
      </c>
      <c r="J12" s="972">
        <f>I12+$J$7</f>
        <v>52.28</v>
      </c>
      <c r="K12" s="972">
        <f>J12+$K$7</f>
        <v>54.28</v>
      </c>
      <c r="L12" s="1150">
        <f>$G$8/$L$8*G12+$H$8/$L$8*H12+$I$8/$L$8*I12+$J$8/$L$8*J12+$K$8/$L$8*K12</f>
        <v>50.28</v>
      </c>
      <c r="M12" s="951">
        <v>0</v>
      </c>
      <c r="N12" s="951"/>
      <c r="O12" s="972">
        <f>L12*M12</f>
        <v>0</v>
      </c>
      <c r="P12" s="955"/>
    </row>
    <row r="13" spans="1:16" x14ac:dyDescent="0.2">
      <c r="A13" s="949"/>
      <c r="B13" s="951"/>
      <c r="C13" s="951"/>
      <c r="D13" s="951"/>
      <c r="E13" s="951" t="s">
        <v>100</v>
      </c>
      <c r="F13" s="967">
        <v>1.5</v>
      </c>
      <c r="G13" s="972">
        <f>G12*F13</f>
        <v>69.42</v>
      </c>
      <c r="H13" s="972">
        <f>H12*F13</f>
        <v>72.42</v>
      </c>
      <c r="I13" s="972">
        <f>I12*F13</f>
        <v>75.42</v>
      </c>
      <c r="J13" s="972">
        <f>J12*F13</f>
        <v>78.42</v>
      </c>
      <c r="K13" s="972">
        <f>K12*F13</f>
        <v>81.42</v>
      </c>
      <c r="L13" s="1150">
        <f>$G$8/$L$8*G13+$H$8/$L$8*H13+$I$8/$L$8*I13+$J$8/$L$8*J13+$K$8/$L$8*K13</f>
        <v>75.42</v>
      </c>
      <c r="M13" s="951"/>
      <c r="N13" s="951"/>
      <c r="O13" s="972">
        <f>L13*M13</f>
        <v>0</v>
      </c>
      <c r="P13" s="955"/>
    </row>
    <row r="14" spans="1:16" x14ac:dyDescent="0.2">
      <c r="A14" s="949"/>
      <c r="B14" s="951"/>
      <c r="C14" s="951"/>
      <c r="D14" s="951"/>
      <c r="E14" s="951" t="s">
        <v>233</v>
      </c>
      <c r="F14" s="967">
        <v>2</v>
      </c>
      <c r="G14" s="972">
        <f>G12*F14</f>
        <v>92.56</v>
      </c>
      <c r="H14" s="972">
        <f>H12*F14</f>
        <v>96.56</v>
      </c>
      <c r="I14" s="972">
        <f>I12*F14</f>
        <v>100.56</v>
      </c>
      <c r="J14" s="972">
        <f>J12*F14</f>
        <v>104.56</v>
      </c>
      <c r="K14" s="972">
        <f>K12*F14</f>
        <v>108.56</v>
      </c>
      <c r="L14" s="1150">
        <f>$G$8/$L$8*G14+$H$8/$L$8*H14+$I$8/$L$8*I14+$J$8/$L$8*J14+$K$8/$L$8*K14</f>
        <v>100.56</v>
      </c>
      <c r="M14" s="951"/>
      <c r="N14" s="951"/>
      <c r="O14" s="972">
        <f>L14*M14</f>
        <v>0</v>
      </c>
      <c r="P14" s="955"/>
    </row>
    <row r="15" spans="1:16" x14ac:dyDescent="0.2">
      <c r="A15" s="949"/>
      <c r="B15" s="951"/>
      <c r="C15" s="951"/>
      <c r="D15" s="951"/>
      <c r="E15" s="956" t="s">
        <v>232</v>
      </c>
      <c r="F15" s="967">
        <v>1.1499999999999999</v>
      </c>
      <c r="G15" s="972">
        <f>G12*F15</f>
        <v>53.221999999999994</v>
      </c>
      <c r="H15" s="972">
        <f>H12*F15</f>
        <v>55.521999999999998</v>
      </c>
      <c r="I15" s="972">
        <f>I12*F15</f>
        <v>57.821999999999996</v>
      </c>
      <c r="J15" s="972">
        <f>J12*F15</f>
        <v>60.122</v>
      </c>
      <c r="K15" s="972">
        <f>K12*F15</f>
        <v>62.421999999999997</v>
      </c>
      <c r="L15" s="1150">
        <f>$G$8/$L$8*G15+$H$8/$L$8*H15+$I$8/$L$8*I15+$J$8/$L$8*J15+$K$8/$L$8*K15</f>
        <v>57.821999999999996</v>
      </c>
      <c r="M15" s="967"/>
      <c r="N15" s="967"/>
      <c r="O15" s="972">
        <f>L15*M15</f>
        <v>0</v>
      </c>
      <c r="P15" s="955"/>
    </row>
    <row r="16" spans="1:16" x14ac:dyDescent="0.2">
      <c r="A16" s="949"/>
      <c r="B16" s="951"/>
      <c r="C16" s="951"/>
      <c r="D16" s="951"/>
      <c r="E16" s="956"/>
      <c r="F16" s="967"/>
      <c r="G16" s="972"/>
      <c r="H16" s="972"/>
      <c r="I16" s="972"/>
      <c r="J16" s="972"/>
      <c r="K16" s="972"/>
      <c r="L16" s="1150"/>
      <c r="M16" s="967"/>
      <c r="N16" s="967"/>
      <c r="O16" s="972"/>
      <c r="P16" s="955"/>
    </row>
    <row r="17" spans="1:16" x14ac:dyDescent="0.2">
      <c r="A17" s="949"/>
      <c r="B17" s="951" t="s">
        <v>105</v>
      </c>
      <c r="C17" s="951"/>
      <c r="D17" s="951"/>
      <c r="E17" s="951" t="s">
        <v>101</v>
      </c>
      <c r="F17" s="1253">
        <v>42.71</v>
      </c>
      <c r="G17" s="972">
        <f>G7+F17</f>
        <v>44.56</v>
      </c>
      <c r="H17" s="972">
        <f>H7+G17</f>
        <v>46.56</v>
      </c>
      <c r="I17" s="972">
        <f>I7+H17</f>
        <v>48.56</v>
      </c>
      <c r="J17" s="972">
        <f>I17+$J$7</f>
        <v>50.56</v>
      </c>
      <c r="K17" s="972">
        <f>J17+$K$7</f>
        <v>52.56</v>
      </c>
      <c r="L17" s="1150">
        <f>$G$8/$L$8*G17+$H$8/$L$8*H17+$I$8/$L$8*I17+$J$8/$L$8*J17+$K$8/$L$8*K17</f>
        <v>48.56</v>
      </c>
      <c r="M17" s="951">
        <v>1</v>
      </c>
      <c r="N17" s="951"/>
      <c r="O17" s="972">
        <f t="shared" ref="O17:O30" si="0">L17*M17</f>
        <v>48.56</v>
      </c>
      <c r="P17" s="955"/>
    </row>
    <row r="18" spans="1:16" x14ac:dyDescent="0.2">
      <c r="A18" s="949"/>
      <c r="B18" s="951"/>
      <c r="C18" s="951"/>
      <c r="D18" s="951"/>
      <c r="E18" s="951" t="s">
        <v>100</v>
      </c>
      <c r="F18" s="967">
        <v>1.5</v>
      </c>
      <c r="G18" s="972">
        <f>G17*F18</f>
        <v>66.84</v>
      </c>
      <c r="H18" s="972">
        <f>H17*F18</f>
        <v>69.84</v>
      </c>
      <c r="I18" s="972">
        <f>I17*F18</f>
        <v>72.84</v>
      </c>
      <c r="J18" s="972">
        <f>J17*F18</f>
        <v>75.84</v>
      </c>
      <c r="K18" s="972">
        <f>K17*F18</f>
        <v>78.84</v>
      </c>
      <c r="L18" s="1150">
        <f>$G$8/$L$8*G18+$H$8/$L$8*H18+$I$8/$L$8*I18+$J$8/$L$8*J18+$K$8/$L$8*K18</f>
        <v>72.84</v>
      </c>
      <c r="M18" s="951"/>
      <c r="N18" s="951"/>
      <c r="O18" s="972">
        <f t="shared" si="0"/>
        <v>0</v>
      </c>
      <c r="P18" s="955"/>
    </row>
    <row r="19" spans="1:16" x14ac:dyDescent="0.2">
      <c r="A19" s="949"/>
      <c r="B19" s="951"/>
      <c r="C19" s="951"/>
      <c r="D19" s="951"/>
      <c r="E19" s="951" t="s">
        <v>233</v>
      </c>
      <c r="F19" s="967">
        <v>2</v>
      </c>
      <c r="G19" s="972">
        <f>G17*F19</f>
        <v>89.12</v>
      </c>
      <c r="H19" s="972">
        <f>H17*F19</f>
        <v>93.12</v>
      </c>
      <c r="I19" s="972">
        <f>I17*F19</f>
        <v>97.12</v>
      </c>
      <c r="J19" s="972">
        <f>J17*F19</f>
        <v>101.12</v>
      </c>
      <c r="K19" s="972">
        <f>K17*F19</f>
        <v>105.12</v>
      </c>
      <c r="L19" s="1150">
        <f>$G$8/$L$8*G19+$H$8/$L$8*H19+$I$8/$L$8*I19+$J$8/$L$8*J19+$K$8/$L$8*K19</f>
        <v>97.12</v>
      </c>
      <c r="M19" s="951"/>
      <c r="N19" s="951"/>
      <c r="O19" s="972">
        <f t="shared" si="0"/>
        <v>0</v>
      </c>
      <c r="P19" s="955"/>
    </row>
    <row r="20" spans="1:16" x14ac:dyDescent="0.2">
      <c r="A20" s="949"/>
      <c r="B20" s="951"/>
      <c r="C20" s="951"/>
      <c r="D20" s="951"/>
      <c r="E20" s="956" t="s">
        <v>232</v>
      </c>
      <c r="F20" s="967">
        <v>1.1499999999999999</v>
      </c>
      <c r="G20" s="972">
        <f>G17*F20</f>
        <v>51.244</v>
      </c>
      <c r="H20" s="972">
        <f>H17*F20</f>
        <v>53.543999999999997</v>
      </c>
      <c r="I20" s="972">
        <f>I17*F20</f>
        <v>55.844000000000001</v>
      </c>
      <c r="J20" s="972">
        <f>J17*F20</f>
        <v>58.143999999999998</v>
      </c>
      <c r="K20" s="972">
        <f>K17*F20</f>
        <v>60.443999999999996</v>
      </c>
      <c r="L20" s="1150">
        <f>$G$8/$L$8*G20+$H$8/$L$8*H20+$I$8/$L$8*I20+$J$8/$L$8*J20+$K$8/$L$8*K20</f>
        <v>55.844000000000001</v>
      </c>
      <c r="M20" s="967"/>
      <c r="N20" s="967"/>
      <c r="O20" s="972">
        <f t="shared" si="0"/>
        <v>0</v>
      </c>
      <c r="P20" s="955"/>
    </row>
    <row r="21" spans="1:16" x14ac:dyDescent="0.2">
      <c r="A21" s="949"/>
      <c r="B21" s="951"/>
      <c r="C21" s="951"/>
      <c r="D21" s="951"/>
      <c r="E21" s="951"/>
      <c r="F21" s="951"/>
      <c r="G21" s="972"/>
      <c r="H21" s="972"/>
      <c r="I21" s="972"/>
      <c r="J21" s="972"/>
      <c r="K21" s="972"/>
      <c r="L21" s="1150"/>
      <c r="M21" s="951"/>
      <c r="N21" s="951"/>
      <c r="O21" s="972"/>
      <c r="P21" s="955"/>
    </row>
    <row r="22" spans="1:16" x14ac:dyDescent="0.2">
      <c r="A22" s="949"/>
      <c r="B22" s="951" t="s">
        <v>104</v>
      </c>
      <c r="C22" s="951"/>
      <c r="D22" s="951"/>
      <c r="E22" s="951" t="s">
        <v>101</v>
      </c>
      <c r="F22" s="1253">
        <v>39.25</v>
      </c>
      <c r="G22" s="972">
        <f>G7+F22</f>
        <v>41.1</v>
      </c>
      <c r="H22" s="972">
        <f>H7+G22</f>
        <v>43.1</v>
      </c>
      <c r="I22" s="972">
        <f>I7+H22</f>
        <v>45.1</v>
      </c>
      <c r="J22" s="972">
        <f>I22+$J$7</f>
        <v>47.1</v>
      </c>
      <c r="K22" s="972">
        <f>J22+$K$7</f>
        <v>49.1</v>
      </c>
      <c r="L22" s="1150">
        <f>$G$8/$L$8*G22+$H$8/$L$8*H22+$I$8/$L$8*I22+$J$8/$L$8*J22+$K$8/$L$8*K22</f>
        <v>45.1</v>
      </c>
      <c r="M22" s="951">
        <v>1</v>
      </c>
      <c r="N22" s="951"/>
      <c r="O22" s="972">
        <f t="shared" si="0"/>
        <v>45.1</v>
      </c>
      <c r="P22" s="955"/>
    </row>
    <row r="23" spans="1:16" x14ac:dyDescent="0.2">
      <c r="A23" s="949"/>
      <c r="B23" s="951"/>
      <c r="C23" s="951"/>
      <c r="D23" s="951"/>
      <c r="E23" s="951" t="s">
        <v>100</v>
      </c>
      <c r="F23" s="967">
        <v>1.5</v>
      </c>
      <c r="G23" s="972">
        <f>G22*F23</f>
        <v>61.650000000000006</v>
      </c>
      <c r="H23" s="972">
        <f>H22*F23</f>
        <v>64.650000000000006</v>
      </c>
      <c r="I23" s="972">
        <f>I22*F23</f>
        <v>67.650000000000006</v>
      </c>
      <c r="J23" s="972">
        <f>J22*F23</f>
        <v>70.650000000000006</v>
      </c>
      <c r="K23" s="972">
        <f>K22*F23</f>
        <v>73.650000000000006</v>
      </c>
      <c r="L23" s="1150">
        <f>$G$8/$L$8*G23+$H$8/$L$8*H23+$I$8/$L$8*I23+$J$8/$L$8*J23+$K$8/$L$8*K23</f>
        <v>67.650000000000006</v>
      </c>
      <c r="M23" s="951"/>
      <c r="N23" s="951"/>
      <c r="O23" s="972">
        <f t="shared" si="0"/>
        <v>0</v>
      </c>
      <c r="P23" s="955"/>
    </row>
    <row r="24" spans="1:16" x14ac:dyDescent="0.2">
      <c r="A24" s="949"/>
      <c r="B24" s="951"/>
      <c r="C24" s="951"/>
      <c r="D24" s="951"/>
      <c r="E24" s="951" t="s">
        <v>233</v>
      </c>
      <c r="F24" s="967">
        <v>2</v>
      </c>
      <c r="G24" s="972">
        <f>G22*F24</f>
        <v>82.2</v>
      </c>
      <c r="H24" s="972">
        <f>H22*F24</f>
        <v>86.2</v>
      </c>
      <c r="I24" s="972">
        <f>I22*F24</f>
        <v>90.2</v>
      </c>
      <c r="J24" s="972">
        <f>J22*F24</f>
        <v>94.2</v>
      </c>
      <c r="K24" s="972">
        <f>K22*F24</f>
        <v>98.2</v>
      </c>
      <c r="L24" s="1150">
        <f>$G$8/$L$8*G24+$H$8/$L$8*H24+$I$8/$L$8*I24+$J$8/$L$8*J24+$K$8/$L$8*K24</f>
        <v>90.2</v>
      </c>
      <c r="M24" s="951"/>
      <c r="N24" s="951"/>
      <c r="O24" s="972">
        <f t="shared" si="0"/>
        <v>0</v>
      </c>
      <c r="P24" s="955"/>
    </row>
    <row r="25" spans="1:16" x14ac:dyDescent="0.2">
      <c r="A25" s="949"/>
      <c r="B25" s="951"/>
      <c r="C25" s="951"/>
      <c r="D25" s="951"/>
      <c r="E25" s="956" t="s">
        <v>232</v>
      </c>
      <c r="F25" s="967">
        <v>1.1499999999999999</v>
      </c>
      <c r="G25" s="972">
        <f>G22*F25</f>
        <v>47.265000000000001</v>
      </c>
      <c r="H25" s="972">
        <f>H22*F25</f>
        <v>49.564999999999998</v>
      </c>
      <c r="I25" s="972">
        <f>I22*F25</f>
        <v>51.864999999999995</v>
      </c>
      <c r="J25" s="972">
        <f>J22*F25</f>
        <v>54.164999999999999</v>
      </c>
      <c r="K25" s="972">
        <f>K22*F25</f>
        <v>56.464999999999996</v>
      </c>
      <c r="L25" s="1150">
        <f>$G$8/$L$8*G25+$H$8/$L$8*H25+$I$8/$L$8*I25+$J$8/$L$8*J25+$K$8/$L$8*K25</f>
        <v>51.864999999999995</v>
      </c>
      <c r="M25" s="967"/>
      <c r="N25" s="967"/>
      <c r="O25" s="972">
        <f t="shared" si="0"/>
        <v>0</v>
      </c>
      <c r="P25" s="955"/>
    </row>
    <row r="26" spans="1:16" x14ac:dyDescent="0.2">
      <c r="A26" s="949"/>
      <c r="B26" s="951"/>
      <c r="C26" s="951"/>
      <c r="D26" s="951"/>
      <c r="E26" s="951"/>
      <c r="F26" s="951"/>
      <c r="G26" s="972"/>
      <c r="H26" s="972"/>
      <c r="I26" s="972"/>
      <c r="J26" s="972"/>
      <c r="K26" s="972"/>
      <c r="L26" s="1150"/>
      <c r="M26" s="951"/>
      <c r="N26" s="951"/>
      <c r="O26" s="972"/>
      <c r="P26" s="955"/>
    </row>
    <row r="27" spans="1:16" x14ac:dyDescent="0.2">
      <c r="A27" s="949"/>
      <c r="B27" s="951" t="s">
        <v>103</v>
      </c>
      <c r="C27" s="951"/>
      <c r="D27" s="951"/>
      <c r="E27" s="968" t="s">
        <v>101</v>
      </c>
      <c r="F27" s="1253">
        <v>27.99</v>
      </c>
      <c r="G27" s="972">
        <f>G7+F27</f>
        <v>29.84</v>
      </c>
      <c r="H27" s="972">
        <f>H7+G27</f>
        <v>31.84</v>
      </c>
      <c r="I27" s="972">
        <f>I7+H27</f>
        <v>33.840000000000003</v>
      </c>
      <c r="J27" s="972">
        <f>I27+$J$7</f>
        <v>35.840000000000003</v>
      </c>
      <c r="K27" s="972">
        <f>J27+$K$7</f>
        <v>37.840000000000003</v>
      </c>
      <c r="L27" s="1150">
        <f>$G$8/$L$8*G27+$H$8/$L$8*H27+$I$8/$L$8*I27+$J$8/$L$8*J27+$K$8/$L$8*K27</f>
        <v>33.840000000000003</v>
      </c>
      <c r="M27" s="951">
        <v>4</v>
      </c>
      <c r="N27" s="951"/>
      <c r="O27" s="972">
        <f t="shared" si="0"/>
        <v>135.36000000000001</v>
      </c>
      <c r="P27" s="955"/>
    </row>
    <row r="28" spans="1:16" x14ac:dyDescent="0.2">
      <c r="A28" s="949"/>
      <c r="B28" s="951"/>
      <c r="C28" s="951"/>
      <c r="D28" s="951"/>
      <c r="E28" s="968" t="s">
        <v>100</v>
      </c>
      <c r="F28" s="969">
        <v>1.5</v>
      </c>
      <c r="G28" s="972">
        <f>G27*F28</f>
        <v>44.76</v>
      </c>
      <c r="H28" s="972">
        <f>H27*F28</f>
        <v>47.76</v>
      </c>
      <c r="I28" s="972">
        <f>I27*F28</f>
        <v>50.760000000000005</v>
      </c>
      <c r="J28" s="972">
        <f>J27*F28</f>
        <v>53.760000000000005</v>
      </c>
      <c r="K28" s="972">
        <f>K27*F28</f>
        <v>56.760000000000005</v>
      </c>
      <c r="L28" s="1150">
        <f>$G$8/$L$8*G28+$H$8/$L$8*H28+$I$8/$L$8*I28+$J$8/$L$8*J28+$K$8/$L$8*K28</f>
        <v>50.760000000000005</v>
      </c>
      <c r="M28" s="967"/>
      <c r="N28" s="951"/>
      <c r="O28" s="972">
        <f t="shared" si="0"/>
        <v>0</v>
      </c>
      <c r="P28" s="955"/>
    </row>
    <row r="29" spans="1:16" x14ac:dyDescent="0.2">
      <c r="A29" s="949"/>
      <c r="B29" s="951"/>
      <c r="C29" s="951"/>
      <c r="D29" s="951"/>
      <c r="E29" s="968" t="s">
        <v>233</v>
      </c>
      <c r="F29" s="969">
        <v>2</v>
      </c>
      <c r="G29" s="972">
        <f>G27*F29</f>
        <v>59.68</v>
      </c>
      <c r="H29" s="972">
        <f>H27*F29</f>
        <v>63.68</v>
      </c>
      <c r="I29" s="972">
        <f>I27*F29</f>
        <v>67.680000000000007</v>
      </c>
      <c r="J29" s="972">
        <f>J27*F29</f>
        <v>71.680000000000007</v>
      </c>
      <c r="K29" s="972">
        <f>K27*F29</f>
        <v>75.680000000000007</v>
      </c>
      <c r="L29" s="1150">
        <f>$G$8/$L$8*G29+$H$8/$L$8*H29+$I$8/$L$8*I29+$J$8/$L$8*J29+$K$8/$L$8*K29</f>
        <v>67.680000000000007</v>
      </c>
      <c r="M29" s="951"/>
      <c r="N29" s="951"/>
      <c r="O29" s="972">
        <f t="shared" si="0"/>
        <v>0</v>
      </c>
      <c r="P29" s="955"/>
    </row>
    <row r="30" spans="1:16" x14ac:dyDescent="0.2">
      <c r="A30" s="949"/>
      <c r="B30" s="951"/>
      <c r="C30" s="951"/>
      <c r="D30" s="951"/>
      <c r="E30" s="970" t="s">
        <v>232</v>
      </c>
      <c r="F30" s="969">
        <v>1.1499999999999999</v>
      </c>
      <c r="G30" s="972">
        <f>G27*F30</f>
        <v>34.315999999999995</v>
      </c>
      <c r="H30" s="972">
        <f>H27*F30</f>
        <v>36.616</v>
      </c>
      <c r="I30" s="972">
        <f>I27*F30</f>
        <v>38.916000000000004</v>
      </c>
      <c r="J30" s="972">
        <f>J27*F30</f>
        <v>41.216000000000001</v>
      </c>
      <c r="K30" s="972">
        <f>K27*F30</f>
        <v>43.515999999999998</v>
      </c>
      <c r="L30" s="1150">
        <f>$G$8/$L$8*G30+$H$8/$L$8*H30+$I$8/$L$8*I30+$J$8/$L$8*J30+$K$8/$L$8*K30</f>
        <v>38.916000000000004</v>
      </c>
      <c r="M30" s="951"/>
      <c r="N30" s="967"/>
      <c r="O30" s="972">
        <f t="shared" si="0"/>
        <v>0</v>
      </c>
      <c r="P30" s="955"/>
    </row>
    <row r="31" spans="1:16" x14ac:dyDescent="0.2">
      <c r="A31" s="949"/>
      <c r="B31" s="951"/>
      <c r="C31" s="951"/>
      <c r="D31" s="951"/>
      <c r="E31" s="968"/>
      <c r="F31" s="968"/>
      <c r="G31" s="972"/>
      <c r="H31" s="972"/>
      <c r="I31" s="972"/>
      <c r="J31" s="972"/>
      <c r="K31" s="972"/>
      <c r="L31" s="1150"/>
      <c r="M31" s="951"/>
      <c r="N31" s="951"/>
      <c r="O31" s="972"/>
      <c r="P31" s="955"/>
    </row>
    <row r="32" spans="1:16" x14ac:dyDescent="0.2">
      <c r="A32" s="949"/>
      <c r="B32" s="951" t="s">
        <v>102</v>
      </c>
      <c r="C32" s="951"/>
      <c r="D32" s="951"/>
      <c r="E32" s="968" t="s">
        <v>101</v>
      </c>
      <c r="F32" s="1253">
        <v>20.48</v>
      </c>
      <c r="G32" s="972">
        <f>G7+F32</f>
        <v>22.330000000000002</v>
      </c>
      <c r="H32" s="972">
        <f>H7+G32</f>
        <v>24.330000000000002</v>
      </c>
      <c r="I32" s="972">
        <f>I7+H32</f>
        <v>26.330000000000002</v>
      </c>
      <c r="J32" s="972">
        <f>I32+$J$7</f>
        <v>28.330000000000002</v>
      </c>
      <c r="K32" s="972">
        <f>J32+$K$7</f>
        <v>30.330000000000002</v>
      </c>
      <c r="L32" s="1150">
        <f>$G$8/$L$8*G32+$H$8/$L$8*H32+$I$8/$L$8*I32+$J$8/$L$8*J32+$K$8/$L$8*K32</f>
        <v>26.330000000000002</v>
      </c>
      <c r="M32" s="951">
        <v>2</v>
      </c>
      <c r="N32" s="951"/>
      <c r="O32" s="972">
        <f t="shared" ref="O32:O39" si="1">L32*M32</f>
        <v>52.660000000000004</v>
      </c>
      <c r="P32" s="955"/>
    </row>
    <row r="33" spans="1:16" x14ac:dyDescent="0.2">
      <c r="A33" s="949"/>
      <c r="B33" s="951"/>
      <c r="C33" s="951"/>
      <c r="D33" s="951"/>
      <c r="E33" s="968" t="s">
        <v>100</v>
      </c>
      <c r="F33" s="969">
        <v>1.5</v>
      </c>
      <c r="G33" s="972">
        <f>G32*F33</f>
        <v>33.495000000000005</v>
      </c>
      <c r="H33" s="972">
        <f>H32*F33</f>
        <v>36.495000000000005</v>
      </c>
      <c r="I33" s="972">
        <f>I32*F33</f>
        <v>39.495000000000005</v>
      </c>
      <c r="J33" s="972">
        <f>J32*F33</f>
        <v>42.495000000000005</v>
      </c>
      <c r="K33" s="972">
        <f>K32*F33</f>
        <v>45.495000000000005</v>
      </c>
      <c r="L33" s="1150">
        <f>$G$8/$L$8*G33+$H$8/$L$8*H33+$I$8/$L$8*I33+$J$8/$L$8*J33+$K$8/$L$8*K33</f>
        <v>39.495000000000005</v>
      </c>
      <c r="M33" s="951"/>
      <c r="N33" s="951"/>
      <c r="O33" s="972">
        <f t="shared" si="1"/>
        <v>0</v>
      </c>
      <c r="P33" s="955"/>
    </row>
    <row r="34" spans="1:16" x14ac:dyDescent="0.2">
      <c r="A34" s="949"/>
      <c r="B34" s="951"/>
      <c r="C34" s="951"/>
      <c r="D34" s="951"/>
      <c r="E34" s="968" t="s">
        <v>233</v>
      </c>
      <c r="F34" s="969">
        <v>2</v>
      </c>
      <c r="G34" s="972">
        <f>G32*F34</f>
        <v>44.660000000000004</v>
      </c>
      <c r="H34" s="972">
        <f>H32*F34</f>
        <v>48.660000000000004</v>
      </c>
      <c r="I34" s="972">
        <f>I32*F34</f>
        <v>52.660000000000004</v>
      </c>
      <c r="J34" s="972">
        <f>J32*F34</f>
        <v>56.660000000000004</v>
      </c>
      <c r="K34" s="972">
        <f>K32*F34</f>
        <v>60.660000000000004</v>
      </c>
      <c r="L34" s="1150">
        <f>$G$8/$L$8*G34+$H$8/$L$8*H34+$I$8/$L$8*I34+$J$8/$L$8*J34+$K$8/$L$8*K34</f>
        <v>52.660000000000004</v>
      </c>
      <c r="M34" s="951"/>
      <c r="N34" s="951"/>
      <c r="O34" s="972">
        <f t="shared" si="1"/>
        <v>0</v>
      </c>
      <c r="P34" s="955"/>
    </row>
    <row r="35" spans="1:16" x14ac:dyDescent="0.2">
      <c r="A35" s="949"/>
      <c r="B35" s="951"/>
      <c r="C35" s="951"/>
      <c r="D35" s="951"/>
      <c r="E35" s="970" t="s">
        <v>232</v>
      </c>
      <c r="F35" s="969">
        <v>1.1499999999999999</v>
      </c>
      <c r="G35" s="972">
        <f>G32*F35</f>
        <v>25.679500000000001</v>
      </c>
      <c r="H35" s="972">
        <f>H32*F35</f>
        <v>27.979500000000002</v>
      </c>
      <c r="I35" s="972">
        <f>I32*F35</f>
        <v>30.279499999999999</v>
      </c>
      <c r="J35" s="972">
        <f>J32*F35</f>
        <v>32.579500000000003</v>
      </c>
      <c r="K35" s="972">
        <f>K32*F35</f>
        <v>34.8795</v>
      </c>
      <c r="L35" s="1150">
        <f>$G$8/$L$8*G35+$H$8/$L$8*H35+$I$8/$L$8*I35+$J$8/$L$8*J35+$K$8/$L$8*K35</f>
        <v>30.279499999999999</v>
      </c>
      <c r="M35" s="967"/>
      <c r="N35" s="967"/>
      <c r="O35" s="972">
        <f>L35*M35</f>
        <v>0</v>
      </c>
      <c r="P35" s="955"/>
    </row>
    <row r="36" spans="1:16" x14ac:dyDescent="0.2">
      <c r="A36" s="949"/>
      <c r="B36" s="951"/>
      <c r="C36" s="951"/>
      <c r="D36" s="951"/>
      <c r="E36" s="968"/>
      <c r="F36" s="968"/>
      <c r="G36" s="972"/>
      <c r="H36" s="972"/>
      <c r="I36" s="972"/>
      <c r="J36" s="972"/>
      <c r="K36" s="972"/>
      <c r="L36" s="1150"/>
      <c r="M36" s="951"/>
      <c r="N36" s="951"/>
      <c r="O36" s="972"/>
      <c r="P36" s="955"/>
    </row>
    <row r="37" spans="1:16" x14ac:dyDescent="0.2">
      <c r="A37" s="949"/>
      <c r="B37" s="951" t="s">
        <v>199</v>
      </c>
      <c r="C37" s="951"/>
      <c r="D37" s="951"/>
      <c r="E37" s="968" t="s">
        <v>101</v>
      </c>
      <c r="F37" s="1253">
        <v>19.16</v>
      </c>
      <c r="G37" s="972">
        <f>G7+F37</f>
        <v>21.01</v>
      </c>
      <c r="H37" s="972">
        <f>H7+G37</f>
        <v>23.01</v>
      </c>
      <c r="I37" s="972">
        <f>I7+H37</f>
        <v>25.01</v>
      </c>
      <c r="J37" s="972">
        <f>I37+$J$7</f>
        <v>27.01</v>
      </c>
      <c r="K37" s="972">
        <f>J37+$K$7</f>
        <v>29.01</v>
      </c>
      <c r="L37" s="1150">
        <f>$G$8/$L$8*G37+$H$8/$L$8*H37+$I$8/$L$8*I37+$J$8/$L$8*J37+$K$8/$L$8*K37</f>
        <v>25.01</v>
      </c>
      <c r="M37" s="951"/>
      <c r="N37" s="951"/>
      <c r="O37" s="972">
        <f t="shared" si="1"/>
        <v>0</v>
      </c>
      <c r="P37" s="955"/>
    </row>
    <row r="38" spans="1:16" x14ac:dyDescent="0.2">
      <c r="A38" s="949"/>
      <c r="B38" s="951"/>
      <c r="C38" s="951"/>
      <c r="D38" s="951"/>
      <c r="E38" s="968" t="s">
        <v>100</v>
      </c>
      <c r="F38" s="969">
        <v>1.5</v>
      </c>
      <c r="G38" s="972">
        <f>G37*F38</f>
        <v>31.515000000000001</v>
      </c>
      <c r="H38" s="972">
        <f>H37*F38</f>
        <v>34.515000000000001</v>
      </c>
      <c r="I38" s="972">
        <f>I37*F38</f>
        <v>37.515000000000001</v>
      </c>
      <c r="J38" s="972">
        <f>J37*F38</f>
        <v>40.515000000000001</v>
      </c>
      <c r="K38" s="972">
        <f>K37*F38</f>
        <v>43.515000000000001</v>
      </c>
      <c r="L38" s="1150">
        <f>$G$8/$L$8*G38+$H$8/$L$8*H38+$I$8/$L$8*I38+$J$8/$L$8*J38+$K$8/$L$8*K38</f>
        <v>37.515000000000001</v>
      </c>
      <c r="M38" s="951"/>
      <c r="N38" s="951"/>
      <c r="O38" s="972">
        <f t="shared" si="1"/>
        <v>0</v>
      </c>
      <c r="P38" s="955"/>
    </row>
    <row r="39" spans="1:16" x14ac:dyDescent="0.2">
      <c r="A39" s="949"/>
      <c r="B39" s="951"/>
      <c r="C39" s="951"/>
      <c r="D39" s="951"/>
      <c r="E39" s="951" t="s">
        <v>233</v>
      </c>
      <c r="F39" s="967">
        <v>2</v>
      </c>
      <c r="G39" s="972">
        <f>G37*F39</f>
        <v>42.02</v>
      </c>
      <c r="H39" s="972">
        <f>H37*F39</f>
        <v>46.02</v>
      </c>
      <c r="I39" s="972">
        <f>I37*F39</f>
        <v>50.02</v>
      </c>
      <c r="J39" s="972">
        <f>J37*F39</f>
        <v>54.02</v>
      </c>
      <c r="K39" s="972">
        <f>K37*F39</f>
        <v>58.02</v>
      </c>
      <c r="L39" s="1150">
        <f>$G$8/$L$8*G39+$H$8/$L$8*H39+$I$8/$L$8*I39+$J$8/$L$8*J39+$K$8/$L$8*K39</f>
        <v>50.02</v>
      </c>
      <c r="M39" s="951"/>
      <c r="N39" s="951"/>
      <c r="O39" s="972">
        <f t="shared" si="1"/>
        <v>0</v>
      </c>
      <c r="P39" s="955"/>
    </row>
    <row r="40" spans="1:16" x14ac:dyDescent="0.2">
      <c r="A40" s="949"/>
      <c r="B40" s="951"/>
      <c r="C40" s="951"/>
      <c r="D40" s="951"/>
      <c r="E40" s="956" t="s">
        <v>232</v>
      </c>
      <c r="F40" s="967">
        <v>1.1499999999999999</v>
      </c>
      <c r="G40" s="972">
        <f>G37*F40</f>
        <v>24.1615</v>
      </c>
      <c r="H40" s="972">
        <f>H37*F40</f>
        <v>26.461500000000001</v>
      </c>
      <c r="I40" s="972">
        <f>I37*F40</f>
        <v>28.761499999999998</v>
      </c>
      <c r="J40" s="972">
        <f>J37*F40</f>
        <v>31.061499999999999</v>
      </c>
      <c r="K40" s="972">
        <f>K37*F40</f>
        <v>33.361499999999999</v>
      </c>
      <c r="L40" s="1150">
        <f>$G$8/$L$8*G40+$H$8/$L$8*H40+$I$8/$L$8*I40+$J$8/$L$8*J40+$K$8/$L$8*K40</f>
        <v>28.761499999999998</v>
      </c>
      <c r="M40" s="967"/>
      <c r="N40" s="967"/>
      <c r="O40" s="972">
        <f>L40*M40</f>
        <v>0</v>
      </c>
      <c r="P40" s="955"/>
    </row>
    <row r="41" spans="1:16" x14ac:dyDescent="0.2">
      <c r="A41" s="949"/>
      <c r="B41" s="951"/>
      <c r="C41" s="951"/>
      <c r="D41" s="951"/>
      <c r="E41" s="951"/>
      <c r="F41" s="951"/>
      <c r="G41" s="965"/>
      <c r="H41" s="965"/>
      <c r="I41" s="965"/>
      <c r="J41" s="965"/>
      <c r="K41" s="965"/>
      <c r="L41" s="48"/>
      <c r="M41" s="951"/>
      <c r="N41" s="951"/>
      <c r="O41" s="966"/>
      <c r="P41" s="955"/>
    </row>
    <row r="42" spans="1:16" ht="25.5" customHeight="1" x14ac:dyDescent="0.2">
      <c r="A42" s="949"/>
      <c r="B42" s="1685" t="s">
        <v>2167</v>
      </c>
      <c r="C42" s="1685"/>
      <c r="D42" s="1685"/>
      <c r="E42" s="959" t="s">
        <v>1150</v>
      </c>
      <c r="F42" s="971" t="s">
        <v>1200</v>
      </c>
      <c r="G42" s="959" t="s">
        <v>197</v>
      </c>
      <c r="H42" s="959" t="s">
        <v>1215</v>
      </c>
      <c r="I42" s="1686" t="s">
        <v>2166</v>
      </c>
      <c r="J42" s="1686"/>
      <c r="K42" s="951"/>
      <c r="L42" s="950"/>
      <c r="M42" s="951"/>
      <c r="N42" s="951"/>
      <c r="O42" s="966"/>
      <c r="P42" s="955"/>
    </row>
    <row r="43" spans="1:16" x14ac:dyDescent="0.2">
      <c r="A43" s="949"/>
      <c r="B43" s="1685"/>
      <c r="C43" s="1685"/>
      <c r="D43" s="1685"/>
      <c r="E43" s="951" t="s">
        <v>118</v>
      </c>
      <c r="F43" s="972">
        <v>34.46</v>
      </c>
      <c r="G43" s="1139">
        <f>F43</f>
        <v>34.46</v>
      </c>
      <c r="H43" s="960">
        <v>1</v>
      </c>
      <c r="I43" s="1687">
        <v>59.38</v>
      </c>
      <c r="J43" s="1687"/>
      <c r="K43" s="951"/>
      <c r="L43" s="951" t="s">
        <v>69</v>
      </c>
      <c r="M43" s="951">
        <f>SUM(M12:M42)</f>
        <v>8</v>
      </c>
      <c r="N43" s="951"/>
      <c r="O43" s="972">
        <f>SUM(O12:O42)</f>
        <v>281.68</v>
      </c>
      <c r="P43" s="955"/>
    </row>
    <row r="44" spans="1:16" x14ac:dyDescent="0.2">
      <c r="A44" s="949"/>
      <c r="B44" s="1685"/>
      <c r="C44" s="1685"/>
      <c r="D44" s="1685"/>
      <c r="E44" s="951" t="s">
        <v>100</v>
      </c>
      <c r="F44" s="972">
        <f>G43*H44</f>
        <v>51.69</v>
      </c>
      <c r="G44" s="972">
        <f>F44-F43</f>
        <v>17.229999999999997</v>
      </c>
      <c r="H44" s="960">
        <v>1.5</v>
      </c>
      <c r="I44" s="951"/>
      <c r="J44" s="951"/>
      <c r="K44" s="951"/>
      <c r="L44" s="959" t="s">
        <v>2392</v>
      </c>
      <c r="M44" s="951"/>
      <c r="N44" s="951"/>
      <c r="O44" s="1368">
        <f>'Heating Recap'!$L$42</f>
        <v>61.148761701703116</v>
      </c>
      <c r="P44" s="955"/>
    </row>
    <row r="45" spans="1:16" x14ac:dyDescent="0.2">
      <c r="A45" s="949"/>
      <c r="B45" s="1685"/>
      <c r="C45" s="1685"/>
      <c r="D45" s="1685"/>
      <c r="E45" s="951" t="s">
        <v>233</v>
      </c>
      <c r="F45" s="972">
        <f>G43*H45</f>
        <v>68.92</v>
      </c>
      <c r="G45" s="972">
        <f>F45-F43</f>
        <v>34.46</v>
      </c>
      <c r="H45" s="960">
        <v>2</v>
      </c>
      <c r="I45" s="951"/>
      <c r="J45" s="951"/>
      <c r="K45" s="951"/>
      <c r="L45" s="951"/>
      <c r="M45" s="951"/>
      <c r="N45" s="951"/>
      <c r="O45" s="951"/>
      <c r="P45" s="955"/>
    </row>
    <row r="46" spans="1:16" x14ac:dyDescent="0.2">
      <c r="A46" s="949"/>
      <c r="B46" s="1685"/>
      <c r="C46" s="1685"/>
      <c r="D46" s="1685"/>
      <c r="E46" s="951" t="s">
        <v>232</v>
      </c>
      <c r="F46" s="972">
        <f>G43*H46</f>
        <v>39.628999999999998</v>
      </c>
      <c r="G46" s="972">
        <f>F46-F43</f>
        <v>5.1689999999999969</v>
      </c>
      <c r="H46" s="960">
        <v>1.1499999999999999</v>
      </c>
      <c r="I46" s="951"/>
      <c r="J46" s="47" t="s">
        <v>98</v>
      </c>
      <c r="K46" s="46"/>
      <c r="L46" s="46"/>
      <c r="M46" s="46"/>
      <c r="N46" s="1152">
        <f>O43/M43</f>
        <v>35.21</v>
      </c>
      <c r="O46" s="45" t="s">
        <v>96</v>
      </c>
      <c r="P46" s="955"/>
    </row>
    <row r="47" spans="1:16" x14ac:dyDescent="0.2">
      <c r="A47" s="949"/>
      <c r="B47" s="951"/>
      <c r="C47" s="951"/>
      <c r="D47" s="951"/>
      <c r="E47" s="951"/>
      <c r="F47" s="951"/>
      <c r="G47" s="951"/>
      <c r="H47" s="951"/>
      <c r="I47" s="951"/>
      <c r="J47" s="951"/>
      <c r="K47" s="951"/>
      <c r="L47" s="951"/>
      <c r="M47" s="951"/>
      <c r="N47" s="951"/>
      <c r="O47" s="951"/>
      <c r="P47" s="955"/>
    </row>
    <row r="48" spans="1:16" x14ac:dyDescent="0.2">
      <c r="A48" s="949"/>
      <c r="B48" s="951"/>
      <c r="C48" s="951"/>
      <c r="D48" s="973"/>
      <c r="E48" s="951"/>
      <c r="F48" s="951"/>
      <c r="G48" s="951"/>
      <c r="H48" s="951"/>
      <c r="I48" s="951"/>
      <c r="J48" s="47" t="s">
        <v>97</v>
      </c>
      <c r="K48" s="46"/>
      <c r="L48" s="46"/>
      <c r="M48" s="46"/>
      <c r="N48" s="1152">
        <f>O43/(M43-D48)</f>
        <v>35.21</v>
      </c>
      <c r="O48" s="45" t="s">
        <v>96</v>
      </c>
      <c r="P48" s="955"/>
    </row>
    <row r="49" spans="1:16" ht="13.5" thickBot="1" x14ac:dyDescent="0.25">
      <c r="A49" s="974"/>
      <c r="B49" s="975"/>
      <c r="C49" s="975"/>
      <c r="D49" s="975"/>
      <c r="E49" s="975"/>
      <c r="F49" s="975"/>
      <c r="G49" s="975"/>
      <c r="H49" s="975"/>
      <c r="I49" s="975"/>
      <c r="J49" s="975"/>
      <c r="K49" s="975"/>
      <c r="L49" s="975"/>
      <c r="M49" s="975"/>
      <c r="N49" s="975"/>
      <c r="O49" s="975"/>
      <c r="P49" s="976"/>
    </row>
    <row r="51" spans="1:16" x14ac:dyDescent="0.2">
      <c r="B51" s="365"/>
    </row>
    <row r="52" spans="1:16" x14ac:dyDescent="0.2">
      <c r="B52" s="365"/>
    </row>
    <row r="53" spans="1:16" x14ac:dyDescent="0.2">
      <c r="B53" s="365"/>
    </row>
    <row r="54" spans="1:16" x14ac:dyDescent="0.2">
      <c r="B54" s="365"/>
    </row>
  </sheetData>
  <customSheetViews>
    <customSheetView guid="{C88CD669-B349-4A86-8041-5686C62E698E}" fitToPage="1">
      <pageMargins left="0.75" right="0.75" top="1" bottom="1" header="0.5" footer="0.5"/>
      <pageSetup scale="74" fitToWidth="0"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H8" sqref="H8"/>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74" fitToWidth="0" orientation="landscape" r:id="rId4"/>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49"/>
  <sheetViews>
    <sheetView zoomScaleNormal="100" workbookViewId="0">
      <selection activeCell="I9" sqref="I9"/>
    </sheetView>
  </sheetViews>
  <sheetFormatPr defaultColWidth="9.140625" defaultRowHeight="12.75" x14ac:dyDescent="0.2"/>
  <cols>
    <col min="1" max="1" width="5.140625" style="51" customWidth="1"/>
    <col min="2" max="3" width="9.140625" style="51"/>
    <col min="4" max="4" width="9.28515625" style="51" bestFit="1" customWidth="1"/>
    <col min="5" max="15" width="10.7109375" style="51" customWidth="1"/>
    <col min="16" max="16" width="5.5703125" style="51" customWidth="1"/>
    <col min="17" max="16384" width="9.140625" style="51"/>
  </cols>
  <sheetData>
    <row r="1" spans="1:16" x14ac:dyDescent="0.2">
      <c r="A1" s="977"/>
      <c r="B1" s="978"/>
      <c r="C1" s="978"/>
      <c r="D1" s="978"/>
      <c r="E1" s="978"/>
      <c r="F1" s="978"/>
      <c r="G1" s="978"/>
      <c r="H1" s="978"/>
      <c r="I1" s="978"/>
      <c r="J1" s="978"/>
      <c r="K1" s="978"/>
      <c r="L1" s="978"/>
      <c r="M1" s="978"/>
      <c r="N1" s="978"/>
      <c r="O1" s="978"/>
      <c r="P1" s="979"/>
    </row>
    <row r="2" spans="1:16" x14ac:dyDescent="0.2">
      <c r="A2" s="980"/>
      <c r="B2" s="958" t="s">
        <v>243</v>
      </c>
      <c r="C2" s="967"/>
      <c r="D2" s="967"/>
      <c r="E2" s="967"/>
      <c r="F2" s="981"/>
      <c r="G2" s="956" t="s">
        <v>1085</v>
      </c>
      <c r="H2" s="981">
        <f ca="1">NOW()</f>
        <v>44718.519324884262</v>
      </c>
      <c r="I2" s="967"/>
      <c r="J2" s="967"/>
      <c r="K2" s="967"/>
      <c r="L2" s="967"/>
      <c r="M2" s="953" t="s">
        <v>208</v>
      </c>
      <c r="N2" s="954">
        <f>'PROJECT INFO'!H24</f>
        <v>44757</v>
      </c>
      <c r="O2" s="967"/>
      <c r="P2" s="982"/>
    </row>
    <row r="3" spans="1:16" x14ac:dyDescent="0.2">
      <c r="A3" s="980"/>
      <c r="B3" s="956" t="s">
        <v>1590</v>
      </c>
      <c r="C3" s="967"/>
      <c r="D3" s="981">
        <v>43928</v>
      </c>
      <c r="E3" s="967"/>
      <c r="F3" s="967"/>
      <c r="G3" s="967"/>
      <c r="H3" s="967"/>
      <c r="I3" s="967"/>
      <c r="J3" s="967"/>
      <c r="K3" s="967"/>
      <c r="L3" s="967"/>
      <c r="M3" s="953" t="s">
        <v>209</v>
      </c>
      <c r="N3" s="954">
        <f>'PROJECT INFO'!H25</f>
        <v>45056</v>
      </c>
      <c r="O3" s="967"/>
      <c r="P3" s="982"/>
    </row>
    <row r="4" spans="1:16" x14ac:dyDescent="0.2">
      <c r="A4" s="980"/>
      <c r="B4" s="967" t="s">
        <v>115</v>
      </c>
      <c r="C4" s="967"/>
      <c r="D4" s="958" t="str">
        <f>'Project Cost Recap'!C5</f>
        <v>300 University Boulevard</v>
      </c>
      <c r="E4" s="967"/>
      <c r="F4" s="967"/>
      <c r="G4" s="967"/>
      <c r="H4" s="967"/>
      <c r="I4" s="951"/>
      <c r="J4" s="967"/>
      <c r="K4" s="967"/>
      <c r="L4" s="967"/>
      <c r="M4" s="953" t="s">
        <v>125</v>
      </c>
      <c r="N4" s="957">
        <f>'PROJECT INFO'!H26</f>
        <v>9.9666666666666668</v>
      </c>
      <c r="O4" s="967"/>
      <c r="P4" s="982"/>
    </row>
    <row r="5" spans="1:16" x14ac:dyDescent="0.2">
      <c r="A5" s="980"/>
      <c r="B5" s="967" t="s">
        <v>114</v>
      </c>
      <c r="C5" s="967"/>
      <c r="D5" s="958" t="str">
        <f>'PROJECT INFO'!E4</f>
        <v>5888</v>
      </c>
      <c r="E5" s="967"/>
      <c r="F5" s="967"/>
      <c r="G5" s="958" t="s">
        <v>113</v>
      </c>
      <c r="H5" s="967"/>
      <c r="I5" s="967"/>
      <c r="J5" s="967"/>
      <c r="K5" s="967"/>
      <c r="L5" s="967"/>
      <c r="M5" s="956" t="s">
        <v>1589</v>
      </c>
      <c r="N5" s="983">
        <f>'Plumbing Recap'!L41</f>
        <v>3</v>
      </c>
      <c r="O5" s="967"/>
      <c r="P5" s="982"/>
    </row>
    <row r="6" spans="1:16" x14ac:dyDescent="0.2">
      <c r="A6" s="980"/>
      <c r="B6" s="958"/>
      <c r="C6" s="967"/>
      <c r="D6" s="967"/>
      <c r="E6" s="967"/>
      <c r="F6" s="967"/>
      <c r="G6" s="984"/>
      <c r="H6" s="962"/>
      <c r="I6" s="962"/>
      <c r="J6" s="962"/>
      <c r="K6" s="962"/>
      <c r="L6" s="967"/>
      <c r="M6" s="967"/>
      <c r="N6" s="967"/>
      <c r="O6" s="967"/>
      <c r="P6" s="982"/>
    </row>
    <row r="7" spans="1:16" x14ac:dyDescent="0.2">
      <c r="A7" s="980"/>
      <c r="B7" s="967"/>
      <c r="C7" s="967"/>
      <c r="D7" s="967"/>
      <c r="E7" s="967" t="s">
        <v>112</v>
      </c>
      <c r="F7" s="967"/>
      <c r="G7" s="960">
        <v>1.85</v>
      </c>
      <c r="H7" s="960">
        <v>2</v>
      </c>
      <c r="I7" s="960">
        <v>2</v>
      </c>
      <c r="J7" s="960">
        <v>2</v>
      </c>
      <c r="K7" s="960">
        <v>2</v>
      </c>
      <c r="L7" s="967"/>
      <c r="M7" s="967"/>
      <c r="N7" s="967"/>
      <c r="O7" s="967"/>
      <c r="P7" s="982"/>
    </row>
    <row r="8" spans="1:16" x14ac:dyDescent="0.2">
      <c r="A8" s="980"/>
      <c r="B8" s="967"/>
      <c r="C8" s="967"/>
      <c r="D8" s="967"/>
      <c r="E8" s="967" t="s">
        <v>111</v>
      </c>
      <c r="F8" s="1147" t="s">
        <v>2162</v>
      </c>
      <c r="G8" s="985">
        <v>0</v>
      </c>
      <c r="H8" s="985">
        <v>0</v>
      </c>
      <c r="I8" s="985">
        <v>12</v>
      </c>
      <c r="J8" s="985">
        <v>0</v>
      </c>
      <c r="K8" s="985">
        <v>0</v>
      </c>
      <c r="L8" s="57">
        <f>SUM(G8:K8)</f>
        <v>12</v>
      </c>
      <c r="M8" s="958" t="s">
        <v>110</v>
      </c>
      <c r="N8" s="967"/>
      <c r="O8" s="967"/>
      <c r="P8" s="982"/>
    </row>
    <row r="9" spans="1:16" x14ac:dyDescent="0.2">
      <c r="A9" s="980"/>
      <c r="B9" s="967" t="s">
        <v>116</v>
      </c>
      <c r="C9" s="967"/>
      <c r="D9" s="967"/>
      <c r="E9" s="967"/>
      <c r="F9" s="1149">
        <v>43617</v>
      </c>
      <c r="G9" s="1149">
        <v>43983</v>
      </c>
      <c r="H9" s="1148">
        <v>44348</v>
      </c>
      <c r="I9" s="1149">
        <v>44713</v>
      </c>
      <c r="J9" s="1148">
        <v>45078</v>
      </c>
      <c r="K9" s="1148">
        <v>45444</v>
      </c>
      <c r="L9" s="56" t="s">
        <v>108</v>
      </c>
      <c r="M9" s="967"/>
      <c r="N9" s="967"/>
      <c r="O9" s="967"/>
      <c r="P9" s="982"/>
    </row>
    <row r="10" spans="1:16" x14ac:dyDescent="0.2">
      <c r="A10" s="980"/>
      <c r="B10" s="967"/>
      <c r="C10" s="967"/>
      <c r="D10" s="967"/>
      <c r="E10" s="967"/>
      <c r="F10" s="1149">
        <v>43982</v>
      </c>
      <c r="G10" s="1149">
        <v>44347</v>
      </c>
      <c r="H10" s="1148">
        <v>44712</v>
      </c>
      <c r="I10" s="1149">
        <v>45077</v>
      </c>
      <c r="J10" s="1148">
        <v>45443</v>
      </c>
      <c r="K10" s="1148">
        <v>45808</v>
      </c>
      <c r="L10" s="56" t="s">
        <v>241</v>
      </c>
      <c r="M10" s="967"/>
      <c r="N10" s="967"/>
      <c r="O10" s="967"/>
      <c r="P10" s="982"/>
    </row>
    <row r="11" spans="1:16" x14ac:dyDescent="0.2">
      <c r="A11" s="980"/>
      <c r="B11" s="967"/>
      <c r="C11" s="967"/>
      <c r="D11" s="967"/>
      <c r="E11" s="967"/>
      <c r="F11" s="956" t="s">
        <v>1215</v>
      </c>
      <c r="G11" s="967"/>
      <c r="H11" s="986"/>
      <c r="I11" s="986"/>
      <c r="J11" s="986"/>
      <c r="K11" s="986"/>
      <c r="L11" s="56"/>
      <c r="M11" s="987" t="s">
        <v>107</v>
      </c>
      <c r="N11" s="967"/>
      <c r="O11" s="967"/>
      <c r="P11" s="982"/>
    </row>
    <row r="12" spans="1:16" x14ac:dyDescent="0.2">
      <c r="A12" s="980"/>
      <c r="B12" s="967" t="s">
        <v>106</v>
      </c>
      <c r="C12" s="967"/>
      <c r="D12" s="967"/>
      <c r="E12" s="967" t="s">
        <v>101</v>
      </c>
      <c r="F12" s="1253">
        <v>45</v>
      </c>
      <c r="G12" s="989">
        <f>G7+F12</f>
        <v>46.85</v>
      </c>
      <c r="H12" s="989">
        <f>H7+G12</f>
        <v>48.85</v>
      </c>
      <c r="I12" s="989">
        <f>I7+H12</f>
        <v>50.85</v>
      </c>
      <c r="J12" s="989">
        <f>J7+I12</f>
        <v>52.85</v>
      </c>
      <c r="K12" s="989">
        <f>K7+J12</f>
        <v>54.85</v>
      </c>
      <c r="L12" s="1150">
        <f>$G$8/$L$8*G12+$H$8/$L$8*H12+$I$8/$L$8*I12+$J$8/$L$8*J12+$K$8/$L$8*K12</f>
        <v>50.85</v>
      </c>
      <c r="M12" s="967">
        <v>0</v>
      </c>
      <c r="N12" s="967"/>
      <c r="O12" s="972">
        <f>L12*M12</f>
        <v>0</v>
      </c>
      <c r="P12" s="982"/>
    </row>
    <row r="13" spans="1:16" x14ac:dyDescent="0.2">
      <c r="A13" s="980"/>
      <c r="B13" s="967"/>
      <c r="C13" s="967"/>
      <c r="D13" s="967"/>
      <c r="E13" s="967" t="s">
        <v>100</v>
      </c>
      <c r="F13" s="967">
        <v>1.5</v>
      </c>
      <c r="G13" s="989">
        <f>G12*F13</f>
        <v>70.275000000000006</v>
      </c>
      <c r="H13" s="989">
        <f>H12*F13</f>
        <v>73.275000000000006</v>
      </c>
      <c r="I13" s="989">
        <f>I12*F13</f>
        <v>76.275000000000006</v>
      </c>
      <c r="J13" s="989">
        <f>J12*F13</f>
        <v>79.275000000000006</v>
      </c>
      <c r="K13" s="989">
        <f>K12*F13</f>
        <v>82.275000000000006</v>
      </c>
      <c r="L13" s="1150">
        <f>$G$8/$L$8*G13+$H$8/$L$8*H13+$I$8/$L$8*I13+$J$8/$L$8*J13+$K$8/$L$8*K13</f>
        <v>76.275000000000006</v>
      </c>
      <c r="M13" s="967"/>
      <c r="N13" s="967"/>
      <c r="O13" s="972">
        <f>L13*M13</f>
        <v>0</v>
      </c>
      <c r="P13" s="982"/>
    </row>
    <row r="14" spans="1:16" x14ac:dyDescent="0.2">
      <c r="A14" s="980"/>
      <c r="B14" s="967"/>
      <c r="C14" s="967"/>
      <c r="D14" s="967"/>
      <c r="E14" s="967" t="s">
        <v>99</v>
      </c>
      <c r="F14" s="967">
        <v>2</v>
      </c>
      <c r="G14" s="989">
        <f>G12*F14</f>
        <v>93.7</v>
      </c>
      <c r="H14" s="989">
        <f>H12*F14</f>
        <v>97.7</v>
      </c>
      <c r="I14" s="989">
        <f>I12*F14</f>
        <v>101.7</v>
      </c>
      <c r="J14" s="989">
        <f>J12*F14</f>
        <v>105.7</v>
      </c>
      <c r="K14" s="989">
        <f>K12*F14</f>
        <v>109.7</v>
      </c>
      <c r="L14" s="1150">
        <f>$G$8/$L$8*G14+$H$8/$L$8*H14+$I$8/$L$8*I14+$J$8/$L$8*J14+$K$8/$L$8*K14</f>
        <v>101.7</v>
      </c>
      <c r="M14" s="967"/>
      <c r="N14" s="967"/>
      <c r="O14" s="972">
        <f>L14*M14</f>
        <v>0</v>
      </c>
      <c r="P14" s="982"/>
    </row>
    <row r="15" spans="1:16" x14ac:dyDescent="0.2">
      <c r="A15" s="980"/>
      <c r="B15" s="967"/>
      <c r="C15" s="967"/>
      <c r="D15" s="967"/>
      <c r="E15" s="956" t="s">
        <v>232</v>
      </c>
      <c r="F15" s="967">
        <v>1.1499999999999999</v>
      </c>
      <c r="G15" s="989">
        <f>G12*F15</f>
        <v>53.877499999999998</v>
      </c>
      <c r="H15" s="989">
        <f>H12*F15</f>
        <v>56.177499999999995</v>
      </c>
      <c r="I15" s="989">
        <f>I12*F15</f>
        <v>58.477499999999999</v>
      </c>
      <c r="J15" s="989">
        <f>J12*F15</f>
        <v>60.777499999999996</v>
      </c>
      <c r="K15" s="989">
        <f>K12*F15</f>
        <v>63.077499999999993</v>
      </c>
      <c r="L15" s="1150">
        <f>$G$8/$L$8*G15+$H$8/$L$8*H15+$I$8/$L$8*I15+$J$8/$L$8*J15+$K$8/$L$8*K15</f>
        <v>58.477499999999999</v>
      </c>
      <c r="M15" s="967"/>
      <c r="N15" s="967"/>
      <c r="O15" s="972">
        <f>L15*M15</f>
        <v>0</v>
      </c>
      <c r="P15" s="982"/>
    </row>
    <row r="16" spans="1:16" x14ac:dyDescent="0.2">
      <c r="A16" s="980"/>
      <c r="B16" s="967"/>
      <c r="C16" s="967"/>
      <c r="D16" s="967"/>
      <c r="E16" s="956"/>
      <c r="F16" s="967"/>
      <c r="G16" s="989"/>
      <c r="H16" s="989"/>
      <c r="I16" s="989"/>
      <c r="J16" s="989"/>
      <c r="K16" s="989"/>
      <c r="L16" s="1150"/>
      <c r="M16" s="967"/>
      <c r="N16" s="967"/>
      <c r="O16" s="972"/>
      <c r="P16" s="982"/>
    </row>
    <row r="17" spans="1:16" x14ac:dyDescent="0.2">
      <c r="A17" s="980"/>
      <c r="B17" s="967" t="s">
        <v>105</v>
      </c>
      <c r="C17" s="967"/>
      <c r="D17" s="967"/>
      <c r="E17" s="967" t="s">
        <v>101</v>
      </c>
      <c r="F17" s="1253">
        <v>43.23</v>
      </c>
      <c r="G17" s="989">
        <f>G7+F17</f>
        <v>45.08</v>
      </c>
      <c r="H17" s="989">
        <f>H7+G17</f>
        <v>47.08</v>
      </c>
      <c r="I17" s="989">
        <f>I7+H17</f>
        <v>49.08</v>
      </c>
      <c r="J17" s="989">
        <f>J7+I17</f>
        <v>51.08</v>
      </c>
      <c r="K17" s="989">
        <f>K7+J17</f>
        <v>53.08</v>
      </c>
      <c r="L17" s="1150">
        <f>$G$8/$L$8*G17+$H$8/$L$8*H17+$I$8/$L$8*I17+$J$8/$L$8*J17+$K$8/$L$8*K17</f>
        <v>49.08</v>
      </c>
      <c r="M17" s="967">
        <v>1</v>
      </c>
      <c r="N17" s="967"/>
      <c r="O17" s="972">
        <f>L17*M17</f>
        <v>49.08</v>
      </c>
      <c r="P17" s="982"/>
    </row>
    <row r="18" spans="1:16" x14ac:dyDescent="0.2">
      <c r="A18" s="980"/>
      <c r="B18" s="967"/>
      <c r="C18" s="967"/>
      <c r="D18" s="967"/>
      <c r="E18" s="967" t="s">
        <v>100</v>
      </c>
      <c r="F18" s="967">
        <v>1.5</v>
      </c>
      <c r="G18" s="989">
        <f>G17*F18</f>
        <v>67.62</v>
      </c>
      <c r="H18" s="989">
        <f>H17*F18</f>
        <v>70.62</v>
      </c>
      <c r="I18" s="989">
        <f>I17*F18</f>
        <v>73.62</v>
      </c>
      <c r="J18" s="989">
        <f>J17*F18</f>
        <v>76.62</v>
      </c>
      <c r="K18" s="989">
        <f>K17*F18</f>
        <v>79.62</v>
      </c>
      <c r="L18" s="1150">
        <f>$G$8/$L$8*G18+$H$8/$L$8*H18+$I$8/$L$8*I18+$J$8/$L$8*J18+$K$8/$L$8*K18</f>
        <v>73.62</v>
      </c>
      <c r="M18" s="967"/>
      <c r="N18" s="967"/>
      <c r="O18" s="972">
        <f>L18*M18</f>
        <v>0</v>
      </c>
      <c r="P18" s="982"/>
    </row>
    <row r="19" spans="1:16" x14ac:dyDescent="0.2">
      <c r="A19" s="980"/>
      <c r="B19" s="967"/>
      <c r="C19" s="967"/>
      <c r="D19" s="967"/>
      <c r="E19" s="967" t="s">
        <v>99</v>
      </c>
      <c r="F19" s="967">
        <v>2</v>
      </c>
      <c r="G19" s="989">
        <f>G17*F19</f>
        <v>90.16</v>
      </c>
      <c r="H19" s="989">
        <f>H17*F19</f>
        <v>94.16</v>
      </c>
      <c r="I19" s="989">
        <f>I17*F19</f>
        <v>98.16</v>
      </c>
      <c r="J19" s="989">
        <f>J17*F19</f>
        <v>102.16</v>
      </c>
      <c r="K19" s="989">
        <f>K17*F19</f>
        <v>106.16</v>
      </c>
      <c r="L19" s="1150">
        <f>$G$8/$L$8*G19+$H$8/$L$8*H19+$I$8/$L$8*I19+$J$8/$L$8*J19+$K$8/$L$8*K19</f>
        <v>98.16</v>
      </c>
      <c r="M19" s="967"/>
      <c r="N19" s="967"/>
      <c r="O19" s="972">
        <f>L19*M19</f>
        <v>0</v>
      </c>
      <c r="P19" s="982"/>
    </row>
    <row r="20" spans="1:16" x14ac:dyDescent="0.2">
      <c r="A20" s="980"/>
      <c r="B20" s="967"/>
      <c r="C20" s="967"/>
      <c r="D20" s="967"/>
      <c r="E20" s="956" t="s">
        <v>232</v>
      </c>
      <c r="F20" s="967">
        <v>1.1499999999999999</v>
      </c>
      <c r="G20" s="989">
        <f>G17*F20</f>
        <v>51.841999999999992</v>
      </c>
      <c r="H20" s="989">
        <f>H17*F20</f>
        <v>54.141999999999996</v>
      </c>
      <c r="I20" s="989">
        <f>I17*F20</f>
        <v>56.441999999999993</v>
      </c>
      <c r="J20" s="989">
        <f>J17*F20</f>
        <v>58.74199999999999</v>
      </c>
      <c r="K20" s="989">
        <f>K17*F20</f>
        <v>61.041999999999994</v>
      </c>
      <c r="L20" s="1150">
        <f>$G$8/$L$8*G20+$H$8/$L$8*H20+$I$8/$L$8*I20+$J$8/$L$8*J20+$K$8/$L$8*K20</f>
        <v>56.441999999999993</v>
      </c>
      <c r="M20" s="967"/>
      <c r="N20" s="967"/>
      <c r="O20" s="972">
        <f>L20*M20</f>
        <v>0</v>
      </c>
      <c r="P20" s="982"/>
    </row>
    <row r="21" spans="1:16" x14ac:dyDescent="0.2">
      <c r="A21" s="980"/>
      <c r="B21" s="967"/>
      <c r="C21" s="967"/>
      <c r="D21" s="967"/>
      <c r="E21" s="967"/>
      <c r="F21" s="967"/>
      <c r="G21" s="989"/>
      <c r="H21" s="989"/>
      <c r="I21" s="989"/>
      <c r="J21" s="989"/>
      <c r="K21" s="989"/>
      <c r="L21" s="1150"/>
      <c r="M21" s="967"/>
      <c r="N21" s="967"/>
      <c r="O21" s="972"/>
      <c r="P21" s="982"/>
    </row>
    <row r="22" spans="1:16" x14ac:dyDescent="0.2">
      <c r="A22" s="980"/>
      <c r="B22" s="967" t="s">
        <v>104</v>
      </c>
      <c r="C22" s="967"/>
      <c r="D22" s="967"/>
      <c r="E22" s="967" t="s">
        <v>101</v>
      </c>
      <c r="F22" s="1253">
        <v>39.68</v>
      </c>
      <c r="G22" s="989">
        <f>G7+F22</f>
        <v>41.53</v>
      </c>
      <c r="H22" s="989">
        <f>H7+G22</f>
        <v>43.53</v>
      </c>
      <c r="I22" s="989">
        <f>I7+H22</f>
        <v>45.53</v>
      </c>
      <c r="J22" s="989">
        <f>J7+I22</f>
        <v>47.53</v>
      </c>
      <c r="K22" s="989">
        <f>K7+J22</f>
        <v>49.53</v>
      </c>
      <c r="L22" s="1150">
        <f>$G$8/$L$8*G22+$H$8/$L$8*H22+$I$8/$L$8*I22+$J$8/$L$8*J22+$K$8/$L$8*K22</f>
        <v>45.53</v>
      </c>
      <c r="M22" s="967">
        <v>1</v>
      </c>
      <c r="N22" s="967"/>
      <c r="O22" s="972">
        <f>L22*M22</f>
        <v>45.53</v>
      </c>
      <c r="P22" s="982"/>
    </row>
    <row r="23" spans="1:16" x14ac:dyDescent="0.2">
      <c r="A23" s="980"/>
      <c r="B23" s="967"/>
      <c r="C23" s="967"/>
      <c r="D23" s="967"/>
      <c r="E23" s="967" t="s">
        <v>100</v>
      </c>
      <c r="F23" s="967">
        <v>1.5</v>
      </c>
      <c r="G23" s="989">
        <f>G22*F23</f>
        <v>62.295000000000002</v>
      </c>
      <c r="H23" s="989">
        <f>H22*F23</f>
        <v>65.295000000000002</v>
      </c>
      <c r="I23" s="989">
        <f>I22*F23</f>
        <v>68.295000000000002</v>
      </c>
      <c r="J23" s="989">
        <f>J22*F23</f>
        <v>71.295000000000002</v>
      </c>
      <c r="K23" s="989">
        <f>K22*F23</f>
        <v>74.295000000000002</v>
      </c>
      <c r="L23" s="1150">
        <f>$G$8/$L$8*G23+$H$8/$L$8*H23+$I$8/$L$8*I23+$J$8/$L$8*J23+$K$8/$L$8*K23</f>
        <v>68.295000000000002</v>
      </c>
      <c r="M23" s="967"/>
      <c r="N23" s="967"/>
      <c r="O23" s="972">
        <f>L23*M23</f>
        <v>0</v>
      </c>
      <c r="P23" s="982"/>
    </row>
    <row r="24" spans="1:16" x14ac:dyDescent="0.2">
      <c r="A24" s="980"/>
      <c r="B24" s="967"/>
      <c r="C24" s="967"/>
      <c r="D24" s="967"/>
      <c r="E24" s="967" t="s">
        <v>99</v>
      </c>
      <c r="F24" s="967">
        <v>2</v>
      </c>
      <c r="G24" s="989">
        <f>G22*F24</f>
        <v>83.06</v>
      </c>
      <c r="H24" s="989">
        <f>H22*F24</f>
        <v>87.06</v>
      </c>
      <c r="I24" s="989">
        <f>I22*F24</f>
        <v>91.06</v>
      </c>
      <c r="J24" s="989">
        <f>J22*F24</f>
        <v>95.06</v>
      </c>
      <c r="K24" s="989">
        <f>K22*F24</f>
        <v>99.06</v>
      </c>
      <c r="L24" s="1150">
        <f>$G$8/$L$8*G24+$H$8/$L$8*H24+$I$8/$L$8*I24+$J$8/$L$8*J24+$K$8/$L$8*K24</f>
        <v>91.06</v>
      </c>
      <c r="M24" s="967"/>
      <c r="N24" s="967"/>
      <c r="O24" s="972">
        <f>L24*M24</f>
        <v>0</v>
      </c>
      <c r="P24" s="982"/>
    </row>
    <row r="25" spans="1:16" x14ac:dyDescent="0.2">
      <c r="A25" s="980"/>
      <c r="B25" s="967"/>
      <c r="C25" s="967"/>
      <c r="D25" s="967"/>
      <c r="E25" s="956" t="s">
        <v>232</v>
      </c>
      <c r="F25" s="967">
        <v>1.1499999999999999</v>
      </c>
      <c r="G25" s="989">
        <f>G22*F25</f>
        <v>47.759499999999996</v>
      </c>
      <c r="H25" s="989">
        <f>H22*F25</f>
        <v>50.0595</v>
      </c>
      <c r="I25" s="989">
        <f>I22*F25</f>
        <v>52.359499999999997</v>
      </c>
      <c r="J25" s="989">
        <f>J22*F25</f>
        <v>54.659499999999994</v>
      </c>
      <c r="K25" s="989">
        <f>K22*F25</f>
        <v>56.959499999999998</v>
      </c>
      <c r="L25" s="1150">
        <f>$G$8/$L$8*G25+$H$8/$L$8*H25+$I$8/$L$8*I25+$J$8/$L$8*J25+$K$8/$L$8*K25</f>
        <v>52.359499999999997</v>
      </c>
      <c r="M25" s="967"/>
      <c r="N25" s="967"/>
      <c r="O25" s="972">
        <f>L25*M25</f>
        <v>0</v>
      </c>
      <c r="P25" s="982"/>
    </row>
    <row r="26" spans="1:16" x14ac:dyDescent="0.2">
      <c r="A26" s="980"/>
      <c r="B26" s="969"/>
      <c r="C26" s="969"/>
      <c r="D26" s="969"/>
      <c r="E26" s="969"/>
      <c r="F26" s="969"/>
      <c r="G26" s="1151"/>
      <c r="H26" s="1151"/>
      <c r="I26" s="989"/>
      <c r="J26" s="989"/>
      <c r="K26" s="989"/>
      <c r="L26" s="1150"/>
      <c r="M26" s="967"/>
      <c r="N26" s="967"/>
      <c r="O26" s="972"/>
      <c r="P26" s="982"/>
    </row>
    <row r="27" spans="1:16" x14ac:dyDescent="0.2">
      <c r="A27" s="980"/>
      <c r="B27" s="970" t="s">
        <v>1226</v>
      </c>
      <c r="C27" s="969"/>
      <c r="D27" s="969"/>
      <c r="E27" s="969" t="s">
        <v>101</v>
      </c>
      <c r="F27" s="1253">
        <v>28.29</v>
      </c>
      <c r="G27" s="1151">
        <f>G7+F27</f>
        <v>30.14</v>
      </c>
      <c r="H27" s="1151">
        <f>H7+G27</f>
        <v>32.14</v>
      </c>
      <c r="I27" s="1151">
        <f>I7+H27</f>
        <v>34.14</v>
      </c>
      <c r="J27" s="1151">
        <f>J7+I27</f>
        <v>36.14</v>
      </c>
      <c r="K27" s="1151">
        <f>K7+J27</f>
        <v>38.14</v>
      </c>
      <c r="L27" s="1150">
        <f>$G$8/$L$8*G27+$H$8/$L$8*H27+$I$8/$L$8*I27+$J$8/$L$8*J27+$K$8/$L$8*K27</f>
        <v>34.14</v>
      </c>
      <c r="M27" s="967">
        <v>4</v>
      </c>
      <c r="N27" s="967"/>
      <c r="O27" s="972">
        <f>L27*M27</f>
        <v>136.56</v>
      </c>
      <c r="P27" s="982"/>
    </row>
    <row r="28" spans="1:16" x14ac:dyDescent="0.2">
      <c r="A28" s="980"/>
      <c r="B28" s="969"/>
      <c r="C28" s="969"/>
      <c r="D28" s="969"/>
      <c r="E28" s="969" t="s">
        <v>100</v>
      </c>
      <c r="F28" s="969">
        <v>1.5</v>
      </c>
      <c r="G28" s="989">
        <f>G27*F28</f>
        <v>45.21</v>
      </c>
      <c r="H28" s="989">
        <f>H27*F28</f>
        <v>48.21</v>
      </c>
      <c r="I28" s="989">
        <f>I27*F28</f>
        <v>51.21</v>
      </c>
      <c r="J28" s="989">
        <f>J27*F28</f>
        <v>54.21</v>
      </c>
      <c r="K28" s="989">
        <f>K27*F28</f>
        <v>57.21</v>
      </c>
      <c r="L28" s="1150">
        <f>$G$8/$L$8*G28+$H$8/$L$8*H28+$I$8/$L$8*I28+$J$8/$L$8*J28+$K$8/$L$8*K28</f>
        <v>51.21</v>
      </c>
      <c r="M28" s="967"/>
      <c r="N28" s="967"/>
      <c r="O28" s="972">
        <f>L28*M28</f>
        <v>0</v>
      </c>
      <c r="P28" s="982"/>
    </row>
    <row r="29" spans="1:16" x14ac:dyDescent="0.2">
      <c r="A29" s="980"/>
      <c r="B29" s="969"/>
      <c r="C29" s="969"/>
      <c r="D29" s="969"/>
      <c r="E29" s="969" t="s">
        <v>99</v>
      </c>
      <c r="F29" s="969">
        <v>2</v>
      </c>
      <c r="G29" s="989">
        <f>G27*F29</f>
        <v>60.28</v>
      </c>
      <c r="H29" s="989">
        <f>H27*F29</f>
        <v>64.28</v>
      </c>
      <c r="I29" s="989">
        <f>I27*F29</f>
        <v>68.28</v>
      </c>
      <c r="J29" s="989">
        <f>J27*F29</f>
        <v>72.28</v>
      </c>
      <c r="K29" s="989">
        <f>K27*F29</f>
        <v>76.28</v>
      </c>
      <c r="L29" s="1150">
        <f>$G$8/$L$8*G29+$H$8/$L$8*H29+$I$8/$L$8*I29+$J$8/$L$8*J29+$K$8/$L$8*K29</f>
        <v>68.28</v>
      </c>
      <c r="M29" s="967"/>
      <c r="N29" s="967"/>
      <c r="O29" s="972">
        <f>L29*M29</f>
        <v>0</v>
      </c>
      <c r="P29" s="982"/>
    </row>
    <row r="30" spans="1:16" x14ac:dyDescent="0.2">
      <c r="A30" s="980"/>
      <c r="B30" s="969"/>
      <c r="C30" s="969"/>
      <c r="D30" s="969"/>
      <c r="E30" s="970" t="s">
        <v>232</v>
      </c>
      <c r="F30" s="969">
        <v>1.1499999999999999</v>
      </c>
      <c r="G30" s="989">
        <f>G27*F30</f>
        <v>34.661000000000001</v>
      </c>
      <c r="H30" s="989">
        <f>H27*F30</f>
        <v>36.960999999999999</v>
      </c>
      <c r="I30" s="989">
        <f>I27*F30</f>
        <v>39.260999999999996</v>
      </c>
      <c r="J30" s="989">
        <f>J27*F30</f>
        <v>41.561</v>
      </c>
      <c r="K30" s="989">
        <f>K27*F30</f>
        <v>43.860999999999997</v>
      </c>
      <c r="L30" s="1150">
        <f>$G$8/$L$8*G30+$H$8/$L$8*H30+$I$8/$L$8*I30+$J$8/$L$8*J30+$K$8/$L$8*K30</f>
        <v>39.260999999999996</v>
      </c>
      <c r="M30" s="967"/>
      <c r="N30" s="967"/>
      <c r="O30" s="972">
        <f>L30*M30</f>
        <v>0</v>
      </c>
      <c r="P30" s="982"/>
    </row>
    <row r="31" spans="1:16" x14ac:dyDescent="0.2">
      <c r="A31" s="980"/>
      <c r="B31" s="969"/>
      <c r="C31" s="969"/>
      <c r="D31" s="969"/>
      <c r="E31" s="969"/>
      <c r="F31" s="969"/>
      <c r="G31" s="1151"/>
      <c r="H31" s="1151"/>
      <c r="I31" s="989"/>
      <c r="J31" s="989"/>
      <c r="K31" s="989"/>
      <c r="L31" s="1150"/>
      <c r="M31" s="967"/>
      <c r="N31" s="967"/>
      <c r="O31" s="972"/>
      <c r="P31" s="982"/>
    </row>
    <row r="32" spans="1:16" x14ac:dyDescent="0.2">
      <c r="A32" s="980"/>
      <c r="B32" s="970" t="s">
        <v>1227</v>
      </c>
      <c r="C32" s="969"/>
      <c r="D32" s="969"/>
      <c r="E32" s="969" t="s">
        <v>101</v>
      </c>
      <c r="F32" s="1253">
        <v>20.69</v>
      </c>
      <c r="G32" s="1151">
        <f>G7+F32</f>
        <v>22.540000000000003</v>
      </c>
      <c r="H32" s="1151">
        <f>H7+G32</f>
        <v>24.540000000000003</v>
      </c>
      <c r="I32" s="1151">
        <f>I7+H32</f>
        <v>26.540000000000003</v>
      </c>
      <c r="J32" s="1151">
        <f>J7+I32</f>
        <v>28.540000000000003</v>
      </c>
      <c r="K32" s="1151">
        <f>K7+J32</f>
        <v>30.540000000000003</v>
      </c>
      <c r="L32" s="1150">
        <f>$G$8/$L$8*G32+$H$8/$L$8*H32+$I$8/$L$8*I32+$J$8/$L$8*J32+$K$8/$L$8*K32</f>
        <v>26.540000000000003</v>
      </c>
      <c r="M32" s="967">
        <v>2</v>
      </c>
      <c r="N32" s="967"/>
      <c r="O32" s="972">
        <f>L32*M32</f>
        <v>53.080000000000005</v>
      </c>
      <c r="P32" s="982"/>
    </row>
    <row r="33" spans="1:16" x14ac:dyDescent="0.2">
      <c r="A33" s="980"/>
      <c r="B33" s="969"/>
      <c r="C33" s="969"/>
      <c r="D33" s="969"/>
      <c r="E33" s="969" t="s">
        <v>100</v>
      </c>
      <c r="F33" s="969">
        <v>1.5</v>
      </c>
      <c r="G33" s="989">
        <f>G32*F33</f>
        <v>33.81</v>
      </c>
      <c r="H33" s="989">
        <f>H32*F33</f>
        <v>36.81</v>
      </c>
      <c r="I33" s="989">
        <f>I32*F33</f>
        <v>39.81</v>
      </c>
      <c r="J33" s="989">
        <f>J32*F33</f>
        <v>42.81</v>
      </c>
      <c r="K33" s="989">
        <f>K32*F33</f>
        <v>45.81</v>
      </c>
      <c r="L33" s="1150">
        <f>$G$8/$L$8*G33+$H$8/$L$8*H33+$I$8/$L$8*I33+$J$8/$L$8*J33+$K$8/$L$8*K33</f>
        <v>39.81</v>
      </c>
      <c r="M33" s="967"/>
      <c r="N33" s="967"/>
      <c r="O33" s="972">
        <f>L33*M33</f>
        <v>0</v>
      </c>
      <c r="P33" s="982"/>
    </row>
    <row r="34" spans="1:16" x14ac:dyDescent="0.2">
      <c r="A34" s="980"/>
      <c r="B34" s="969"/>
      <c r="C34" s="969"/>
      <c r="D34" s="969"/>
      <c r="E34" s="969" t="s">
        <v>99</v>
      </c>
      <c r="F34" s="969">
        <v>2</v>
      </c>
      <c r="G34" s="989">
        <f>G32*F34</f>
        <v>45.080000000000005</v>
      </c>
      <c r="H34" s="989">
        <f>H32*F34</f>
        <v>49.080000000000005</v>
      </c>
      <c r="I34" s="989">
        <f>I32*F34</f>
        <v>53.080000000000005</v>
      </c>
      <c r="J34" s="989">
        <f>J32*F34</f>
        <v>57.080000000000005</v>
      </c>
      <c r="K34" s="989">
        <f>K32*F34</f>
        <v>61.080000000000005</v>
      </c>
      <c r="L34" s="1150">
        <f>$G$8/$L$8*G34+$H$8/$L$8*H34+$I$8/$L$8*I34+$J$8/$L$8*J34+$K$8/$L$8*K34</f>
        <v>53.080000000000005</v>
      </c>
      <c r="M34" s="967"/>
      <c r="N34" s="967"/>
      <c r="O34" s="972">
        <f>L34*M34</f>
        <v>0</v>
      </c>
      <c r="P34" s="982"/>
    </row>
    <row r="35" spans="1:16" x14ac:dyDescent="0.2">
      <c r="A35" s="980"/>
      <c r="B35" s="969"/>
      <c r="C35" s="969"/>
      <c r="D35" s="969"/>
      <c r="E35" s="970" t="s">
        <v>232</v>
      </c>
      <c r="F35" s="969">
        <v>1.1499999999999999</v>
      </c>
      <c r="G35" s="989">
        <f>G32*F35</f>
        <v>25.920999999999999</v>
      </c>
      <c r="H35" s="989">
        <f>H32*F35</f>
        <v>28.221</v>
      </c>
      <c r="I35" s="989">
        <f>I32*F35</f>
        <v>30.521000000000001</v>
      </c>
      <c r="J35" s="989">
        <f>J32*F35</f>
        <v>32.820999999999998</v>
      </c>
      <c r="K35" s="989">
        <f>K32*F35</f>
        <v>35.121000000000002</v>
      </c>
      <c r="L35" s="1150">
        <f>$G$8/$L$8*G35+$H$8/$L$8*H35+$I$8/$L$8*I35+$J$8/$L$8*J35+$K$8/$L$8*K35</f>
        <v>30.521000000000001</v>
      </c>
      <c r="M35" s="967"/>
      <c r="N35" s="967"/>
      <c r="O35" s="972">
        <f>L35*M35</f>
        <v>0</v>
      </c>
      <c r="P35" s="982"/>
    </row>
    <row r="36" spans="1:16" ht="27.75" customHeight="1" x14ac:dyDescent="0.2">
      <c r="A36" s="980"/>
      <c r="B36" s="969"/>
      <c r="C36" s="969"/>
      <c r="D36" s="969"/>
      <c r="E36" s="969"/>
      <c r="F36" s="969"/>
      <c r="G36" s="1151"/>
      <c r="H36" s="1151"/>
      <c r="I36" s="989"/>
      <c r="J36" s="989"/>
      <c r="K36" s="989"/>
      <c r="L36" s="1150"/>
      <c r="M36" s="967"/>
      <c r="N36" s="967"/>
      <c r="O36" s="972"/>
      <c r="P36" s="982"/>
    </row>
    <row r="37" spans="1:16" ht="12.75" customHeight="1" x14ac:dyDescent="0.2">
      <c r="A37" s="980"/>
      <c r="B37" s="969" t="s">
        <v>200</v>
      </c>
      <c r="C37" s="969"/>
      <c r="D37" s="969"/>
      <c r="E37" s="969" t="s">
        <v>101</v>
      </c>
      <c r="F37" s="1253">
        <v>15.89</v>
      </c>
      <c r="G37" s="1151">
        <f>G7+F37</f>
        <v>17.740000000000002</v>
      </c>
      <c r="H37" s="1151">
        <f>H7+G37</f>
        <v>19.740000000000002</v>
      </c>
      <c r="I37" s="1151">
        <f>I7+H37</f>
        <v>21.740000000000002</v>
      </c>
      <c r="J37" s="1151">
        <f>J7+I37</f>
        <v>23.740000000000002</v>
      </c>
      <c r="K37" s="1151">
        <f>K7+J37</f>
        <v>25.740000000000002</v>
      </c>
      <c r="L37" s="1150">
        <f>$G$8/$L$8*G37+$H$8/$L$8*H37+$I$8/$L$8*I37+$J$8/$L$8*J37+$K$8/$L$8*K37</f>
        <v>21.740000000000002</v>
      </c>
      <c r="M37" s="967">
        <v>0</v>
      </c>
      <c r="N37" s="967"/>
      <c r="O37" s="972">
        <f>L37*M37</f>
        <v>0</v>
      </c>
      <c r="P37" s="982"/>
    </row>
    <row r="38" spans="1:16" x14ac:dyDescent="0.2">
      <c r="A38" s="980"/>
      <c r="B38" s="969"/>
      <c r="C38" s="969"/>
      <c r="D38" s="969"/>
      <c r="E38" s="969" t="s">
        <v>100</v>
      </c>
      <c r="F38" s="969">
        <v>1.5</v>
      </c>
      <c r="G38" s="989">
        <f>G37*F38</f>
        <v>26.610000000000003</v>
      </c>
      <c r="H38" s="989">
        <f>H37*F38</f>
        <v>29.610000000000003</v>
      </c>
      <c r="I38" s="989">
        <f>I37*F38</f>
        <v>32.61</v>
      </c>
      <c r="J38" s="989">
        <f>J37*F38</f>
        <v>35.61</v>
      </c>
      <c r="K38" s="989">
        <f>K37*F38</f>
        <v>38.61</v>
      </c>
      <c r="L38" s="1150">
        <f>$G$8/$L$8*G38+$H$8/$L$8*H38+$I$8/$L$8*I38+$J$8/$L$8*J38+$K$8/$L$8*K38</f>
        <v>32.61</v>
      </c>
      <c r="M38" s="967"/>
      <c r="N38" s="967"/>
      <c r="O38" s="972">
        <f>L38*M38</f>
        <v>0</v>
      </c>
      <c r="P38" s="982"/>
    </row>
    <row r="39" spans="1:16" x14ac:dyDescent="0.2">
      <c r="A39" s="980"/>
      <c r="B39" s="967"/>
      <c r="C39" s="967"/>
      <c r="D39" s="967"/>
      <c r="E39" s="967" t="s">
        <v>99</v>
      </c>
      <c r="F39" s="967">
        <v>2</v>
      </c>
      <c r="G39" s="989">
        <f>G37*F39</f>
        <v>35.480000000000004</v>
      </c>
      <c r="H39" s="989">
        <f>H37*F39</f>
        <v>39.480000000000004</v>
      </c>
      <c r="I39" s="989">
        <f>I37*F39</f>
        <v>43.480000000000004</v>
      </c>
      <c r="J39" s="989">
        <f>J37*F39</f>
        <v>47.480000000000004</v>
      </c>
      <c r="K39" s="989">
        <f>K37*F39</f>
        <v>51.480000000000004</v>
      </c>
      <c r="L39" s="1150">
        <f>$G$8/$L$8*G39+$H$8/$L$8*H39+$I$8/$L$8*I39+$J$8/$L$8*J39+$K$8/$L$8*K39</f>
        <v>43.480000000000004</v>
      </c>
      <c r="M39" s="967"/>
      <c r="N39" s="967"/>
      <c r="O39" s="972">
        <f>L39*M39</f>
        <v>0</v>
      </c>
      <c r="P39" s="982"/>
    </row>
    <row r="40" spans="1:16" x14ac:dyDescent="0.2">
      <c r="A40" s="980"/>
      <c r="B40" s="967"/>
      <c r="C40" s="967"/>
      <c r="D40" s="967"/>
      <c r="E40" s="956" t="s">
        <v>232</v>
      </c>
      <c r="F40" s="967">
        <v>1.1499999999999999</v>
      </c>
      <c r="G40" s="989">
        <f>G37*F40</f>
        <v>20.401</v>
      </c>
      <c r="H40" s="989">
        <f>H37*F40</f>
        <v>22.701000000000001</v>
      </c>
      <c r="I40" s="989">
        <f>I37*F40</f>
        <v>25.001000000000001</v>
      </c>
      <c r="J40" s="989">
        <f>J37*F40</f>
        <v>27.301000000000002</v>
      </c>
      <c r="K40" s="989">
        <f>K37*F40</f>
        <v>29.600999999999999</v>
      </c>
      <c r="L40" s="1150">
        <f>$G$8/$L$8*G40+$H$8/$L$8*H40+$I$8/$L$8*I40+$J$8/$L$8*J40+$K$8/$L$8*K40</f>
        <v>25.001000000000001</v>
      </c>
      <c r="M40" s="967"/>
      <c r="N40" s="967"/>
      <c r="O40" s="972">
        <f>L40*M40</f>
        <v>0</v>
      </c>
      <c r="P40" s="982"/>
    </row>
    <row r="41" spans="1:16" x14ac:dyDescent="0.2">
      <c r="A41" s="980"/>
      <c r="B41" s="967"/>
      <c r="C41" s="967"/>
      <c r="D41" s="967"/>
      <c r="E41" s="967"/>
      <c r="F41" s="967"/>
      <c r="G41" s="988"/>
      <c r="H41" s="988"/>
      <c r="I41" s="988"/>
      <c r="J41" s="988"/>
      <c r="K41" s="988"/>
      <c r="L41" s="55"/>
      <c r="M41" s="967"/>
      <c r="N41" s="967"/>
      <c r="O41" s="972"/>
      <c r="P41" s="982"/>
    </row>
    <row r="42" spans="1:16" ht="38.1" customHeight="1" x14ac:dyDescent="0.2">
      <c r="A42" s="980"/>
      <c r="B42" s="1685" t="s">
        <v>2167</v>
      </c>
      <c r="C42" s="1685"/>
      <c r="D42" s="1685"/>
      <c r="E42" s="959" t="s">
        <v>1150</v>
      </c>
      <c r="F42" s="971" t="s">
        <v>1200</v>
      </c>
      <c r="G42" s="959" t="s">
        <v>197</v>
      </c>
      <c r="H42" s="959" t="s">
        <v>1215</v>
      </c>
      <c r="I42" s="1688" t="s">
        <v>2166</v>
      </c>
      <c r="J42" s="1688"/>
      <c r="K42" s="967"/>
      <c r="L42" s="958"/>
      <c r="M42" s="967"/>
      <c r="N42" s="967"/>
      <c r="O42" s="972"/>
      <c r="P42" s="982"/>
    </row>
    <row r="43" spans="1:16" x14ac:dyDescent="0.2">
      <c r="A43" s="980"/>
      <c r="B43" s="1685"/>
      <c r="C43" s="1685"/>
      <c r="D43" s="1685"/>
      <c r="E43" s="951" t="s">
        <v>118</v>
      </c>
      <c r="F43" s="989">
        <v>34.46</v>
      </c>
      <c r="G43" s="989">
        <f>F43</f>
        <v>34.46</v>
      </c>
      <c r="H43" s="1140">
        <v>1</v>
      </c>
      <c r="I43" s="1687">
        <v>59.431116163321953</v>
      </c>
      <c r="J43" s="1687"/>
      <c r="K43" s="967"/>
      <c r="L43" s="967" t="s">
        <v>69</v>
      </c>
      <c r="M43" s="967">
        <f>SUM(M12:M42)</f>
        <v>8</v>
      </c>
      <c r="N43" s="967"/>
      <c r="O43" s="972">
        <f>SUM(O12:O42)</f>
        <v>284.25</v>
      </c>
      <c r="P43" s="982"/>
    </row>
    <row r="44" spans="1:16" x14ac:dyDescent="0.2">
      <c r="A44" s="980"/>
      <c r="B44" s="1685"/>
      <c r="C44" s="1685"/>
      <c r="D44" s="1685"/>
      <c r="E44" s="951" t="s">
        <v>100</v>
      </c>
      <c r="F44" s="989">
        <f>F43*H44</f>
        <v>51.69</v>
      </c>
      <c r="G44" s="989">
        <f>F44-F43</f>
        <v>17.229999999999997</v>
      </c>
      <c r="H44" s="1140">
        <v>1.5</v>
      </c>
      <c r="I44" s="967"/>
      <c r="J44" s="967"/>
      <c r="K44" s="967"/>
      <c r="L44" s="959" t="s">
        <v>2393</v>
      </c>
      <c r="M44" s="967"/>
      <c r="N44" s="967"/>
      <c r="O44" s="1369">
        <f>'Plumbing Recap'!$L$40</f>
        <v>61.133795199998296</v>
      </c>
      <c r="P44" s="982"/>
    </row>
    <row r="45" spans="1:16" x14ac:dyDescent="0.2">
      <c r="A45" s="980"/>
      <c r="B45" s="1685"/>
      <c r="C45" s="1685"/>
      <c r="D45" s="1685"/>
      <c r="E45" s="951" t="s">
        <v>233</v>
      </c>
      <c r="F45" s="989">
        <f>F43*H45</f>
        <v>68.92</v>
      </c>
      <c r="G45" s="989">
        <f>F45-F43</f>
        <v>34.46</v>
      </c>
      <c r="H45" s="1140">
        <v>2</v>
      </c>
      <c r="I45" s="967"/>
      <c r="J45" s="967"/>
      <c r="K45" s="967"/>
      <c r="L45" s="967"/>
      <c r="M45" s="967"/>
      <c r="N45" s="967"/>
      <c r="O45" s="967"/>
      <c r="P45" s="982"/>
    </row>
    <row r="46" spans="1:16" x14ac:dyDescent="0.2">
      <c r="A46" s="980"/>
      <c r="B46" s="1685"/>
      <c r="C46" s="1685"/>
      <c r="D46" s="1685"/>
      <c r="E46" s="951" t="s">
        <v>232</v>
      </c>
      <c r="F46" s="989">
        <f>F43*H46</f>
        <v>39.628999999999998</v>
      </c>
      <c r="G46" s="989">
        <f>F46-F43</f>
        <v>5.1689999999999969</v>
      </c>
      <c r="H46" s="1140">
        <v>1.1499999999999999</v>
      </c>
      <c r="I46" s="967"/>
      <c r="J46" s="54" t="s">
        <v>98</v>
      </c>
      <c r="K46" s="53"/>
      <c r="L46" s="53"/>
      <c r="M46" s="53"/>
      <c r="N46" s="1152">
        <f>O43/M43</f>
        <v>35.53125</v>
      </c>
      <c r="O46" s="52" t="s">
        <v>96</v>
      </c>
      <c r="P46" s="982"/>
    </row>
    <row r="47" spans="1:16" x14ac:dyDescent="0.2">
      <c r="A47" s="980"/>
      <c r="B47" s="967"/>
      <c r="C47" s="967"/>
      <c r="D47" s="967"/>
      <c r="E47" s="967"/>
      <c r="F47" s="967"/>
      <c r="G47" s="967"/>
      <c r="H47" s="967"/>
      <c r="I47" s="967"/>
      <c r="J47" s="967"/>
      <c r="K47" s="967"/>
      <c r="L47" s="967"/>
      <c r="M47" s="967"/>
      <c r="N47" s="967"/>
      <c r="O47" s="967"/>
      <c r="P47" s="982"/>
    </row>
    <row r="48" spans="1:16" x14ac:dyDescent="0.2">
      <c r="A48" s="980"/>
      <c r="B48" s="967"/>
      <c r="C48" s="967"/>
      <c r="D48" s="990"/>
      <c r="E48" s="967"/>
      <c r="F48" s="967"/>
      <c r="G48" s="967"/>
      <c r="H48" s="967"/>
      <c r="I48" s="967"/>
      <c r="J48" s="54" t="s">
        <v>97</v>
      </c>
      <c r="K48" s="53"/>
      <c r="L48" s="53"/>
      <c r="M48" s="53"/>
      <c r="N48" s="1152">
        <f>O43/(M43-D48)</f>
        <v>35.53125</v>
      </c>
      <c r="O48" s="52" t="s">
        <v>96</v>
      </c>
      <c r="P48" s="982"/>
    </row>
    <row r="49" spans="1:16" ht="13.5" thickBot="1" x14ac:dyDescent="0.25">
      <c r="A49" s="991"/>
      <c r="B49" s="992"/>
      <c r="C49" s="992"/>
      <c r="D49" s="992"/>
      <c r="E49" s="992"/>
      <c r="F49" s="992"/>
      <c r="G49" s="992"/>
      <c r="H49" s="992"/>
      <c r="I49" s="992"/>
      <c r="J49" s="992"/>
      <c r="K49" s="992"/>
      <c r="L49" s="992"/>
      <c r="M49" s="992"/>
      <c r="N49" s="992"/>
      <c r="O49" s="992"/>
      <c r="P49" s="993"/>
    </row>
  </sheetData>
  <customSheetViews>
    <customSheetView guid="{C88CD669-B349-4A86-8041-5686C62E698E}" fitToPage="1">
      <pageMargins left="0.75" right="0.75" top="1" bottom="1" header="0.5" footer="0.5"/>
      <pageSetup scale="68"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G21" sqref="G21"/>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68" orientation="landscape" r:id="rId4"/>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C3:R50"/>
  <sheetViews>
    <sheetView zoomScale="110" zoomScaleNormal="110" workbookViewId="0">
      <selection activeCell="S38" sqref="S38"/>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9" width="9.140625" style="70"/>
    <col min="10" max="10" width="12.28515625" style="70" customWidth="1"/>
    <col min="11" max="12" width="9.140625" style="70"/>
    <col min="13" max="13" width="12.28515625" style="70" customWidth="1"/>
    <col min="14" max="14" width="9.140625" style="70"/>
    <col min="15" max="15" width="10.85546875" style="70" bestFit="1" customWidth="1"/>
    <col min="16" max="16384" width="9.140625" style="70"/>
  </cols>
  <sheetData>
    <row r="3" spans="3:15" x14ac:dyDescent="0.2">
      <c r="E3" s="88" t="s">
        <v>155</v>
      </c>
    </row>
    <row r="4" spans="3:15" x14ac:dyDescent="0.2">
      <c r="F4" s="74" t="s">
        <v>70</v>
      </c>
    </row>
    <row r="5" spans="3:15" x14ac:dyDescent="0.2">
      <c r="C5" s="75" t="s">
        <v>154</v>
      </c>
      <c r="D5" s="85" t="str">
        <f>'PROJECT INFO'!E3</f>
        <v>300 University Boulevard</v>
      </c>
      <c r="H5" s="74" t="s">
        <v>70</v>
      </c>
      <c r="I5" s="87" t="s">
        <v>70</v>
      </c>
    </row>
    <row r="6" spans="3:15" x14ac:dyDescent="0.2">
      <c r="C6" s="86" t="s">
        <v>153</v>
      </c>
      <c r="D6" s="85" t="str">
        <f>'PROJECT INFO'!E4</f>
        <v>5888</v>
      </c>
      <c r="H6" s="74" t="s">
        <v>70</v>
      </c>
      <c r="I6" s="84" t="s">
        <v>70</v>
      </c>
    </row>
    <row r="7" spans="3:15" x14ac:dyDescent="0.2">
      <c r="C7" s="75" t="s">
        <v>70</v>
      </c>
      <c r="D7" s="83" t="s">
        <v>70</v>
      </c>
    </row>
    <row r="8" spans="3:15" x14ac:dyDescent="0.2">
      <c r="C8" s="82" t="s">
        <v>152</v>
      </c>
      <c r="D8" s="81" t="s">
        <v>152</v>
      </c>
      <c r="E8" s="81" t="s">
        <v>152</v>
      </c>
      <c r="F8" s="81" t="s">
        <v>152</v>
      </c>
      <c r="G8" s="81" t="s">
        <v>152</v>
      </c>
      <c r="H8" s="81" t="s">
        <v>152</v>
      </c>
      <c r="I8" s="58"/>
    </row>
    <row r="10" spans="3:15" x14ac:dyDescent="0.2">
      <c r="C10" s="74" t="s">
        <v>151</v>
      </c>
      <c r="D10" s="70" t="s">
        <v>70</v>
      </c>
      <c r="E10" s="71">
        <f>'Project Cost Recap'!H47</f>
        <v>2361917.4080266976</v>
      </c>
    </row>
    <row r="11" spans="3:15" x14ac:dyDescent="0.2">
      <c r="D11" s="74" t="s">
        <v>150</v>
      </c>
      <c r="E11" s="74" t="s">
        <v>149</v>
      </c>
      <c r="G11" s="80" t="s">
        <v>148</v>
      </c>
      <c r="L11" s="70" t="s">
        <v>214</v>
      </c>
      <c r="O11" s="1078" t="s">
        <v>2073</v>
      </c>
    </row>
    <row r="13" spans="3:15" x14ac:dyDescent="0.2">
      <c r="C13" s="75" t="s">
        <v>147</v>
      </c>
      <c r="D13" s="79">
        <v>500000</v>
      </c>
      <c r="E13" s="78">
        <v>14.4</v>
      </c>
      <c r="G13" s="71">
        <f>IF($E10&lt;$D34,($E10/1000)*$E13,D13/1000*$E13)</f>
        <v>7200</v>
      </c>
      <c r="I13" s="75" t="s">
        <v>147</v>
      </c>
      <c r="J13" s="79">
        <v>500000</v>
      </c>
      <c r="K13" s="78">
        <v>2.16</v>
      </c>
      <c r="M13" s="71">
        <f>IF($E10&lt;$J34,($E10/1000)*$K13,J13/1000*$K13)</f>
        <v>1080</v>
      </c>
    </row>
    <row r="14" spans="3:15" x14ac:dyDescent="0.2">
      <c r="C14" s="75" t="s">
        <v>146</v>
      </c>
      <c r="D14" s="79">
        <v>2000000</v>
      </c>
      <c r="E14" s="78">
        <v>8.6999999999999993</v>
      </c>
      <c r="G14" s="71">
        <f>IF(AND($E10&lt;D35+1,$E10&gt;D34),(($E10-$D34)/1000)*E14,IF($E10&gt;D35,D14/1000*E14,0))</f>
        <v>16198.681449832267</v>
      </c>
      <c r="I14" s="75" t="s">
        <v>146</v>
      </c>
      <c r="J14" s="79">
        <v>2000000</v>
      </c>
      <c r="K14" s="78">
        <v>1.8</v>
      </c>
      <c r="M14" s="71">
        <f>IF(AND($E10&lt;J35+1,$E10&gt;J34),(($E10-$D34)/1000)*K14,IF($E10&gt;J35,J14/1000*K14,0))</f>
        <v>3351.4513344480556</v>
      </c>
    </row>
    <row r="15" spans="3:15" x14ac:dyDescent="0.2">
      <c r="C15" s="75" t="s">
        <v>146</v>
      </c>
      <c r="D15" s="79">
        <v>2500000</v>
      </c>
      <c r="E15" s="78">
        <v>6.9</v>
      </c>
      <c r="G15" s="71">
        <f>IF(AND($E10&lt;D36+1,$E10&gt;D35),(($E10-$D35)/1000)*E15,IF($E10&gt;D36,D15/1000*E15,0))</f>
        <v>0</v>
      </c>
      <c r="I15" s="75" t="s">
        <v>146</v>
      </c>
      <c r="J15" s="79">
        <v>2500000</v>
      </c>
      <c r="K15" s="78">
        <v>1.5</v>
      </c>
      <c r="M15" s="71">
        <f>IF(AND($E10&lt;J36+1,$E10&gt;J35),(($E10-$D35)/1000)*K15,IF($E10&gt;J36,J15/1000*K15,0))</f>
        <v>0</v>
      </c>
    </row>
    <row r="16" spans="3:15" x14ac:dyDescent="0.2">
      <c r="C16" s="75" t="s">
        <v>146</v>
      </c>
      <c r="D16" s="79">
        <v>2500000</v>
      </c>
      <c r="E16" s="78">
        <v>6.3</v>
      </c>
      <c r="G16" s="71">
        <f>IF(AND($E10&lt;D37+1,$E10&gt;D36),(($E10-$D36)/1000)*E16,IF($E10&gt;D37,D16/1000*E16,0))</f>
        <v>0</v>
      </c>
      <c r="I16" s="75" t="s">
        <v>146</v>
      </c>
      <c r="J16" s="79">
        <v>2500000</v>
      </c>
      <c r="K16" s="78">
        <v>1.32</v>
      </c>
      <c r="M16" s="71">
        <f>IF(AND($E10&lt;J37+1,$E10&gt;J36),(($E10-$D36)/1000)*K16,IF($E10&gt;J37,J16/1000*K16,0))</f>
        <v>0</v>
      </c>
    </row>
    <row r="17" spans="3:18" x14ac:dyDescent="0.2">
      <c r="C17" s="75" t="s">
        <v>141</v>
      </c>
      <c r="D17" s="79">
        <v>7500000</v>
      </c>
      <c r="E17" s="78">
        <v>5.76</v>
      </c>
      <c r="G17" s="71">
        <f>IF(AND($E10&lt;D38+1,$E10&gt;D37),(($E10-$D37)/1000)*E17,IF($E10&gt;D38,D17/1000*E17,0))</f>
        <v>0</v>
      </c>
      <c r="I17" s="75" t="s">
        <v>141</v>
      </c>
      <c r="J17" s="79">
        <v>12500000</v>
      </c>
      <c r="K17" s="78">
        <v>1.2</v>
      </c>
      <c r="M17" s="71">
        <f>IF(AND($E10&lt;J38+1,$E10&gt;J37),(($E10-$D37)/1000)*K17,IF($E10&gt;J38,J17/1000*K17,0))</f>
        <v>0</v>
      </c>
    </row>
    <row r="18" spans="3:18" x14ac:dyDescent="0.2">
      <c r="C18" s="75"/>
      <c r="D18" s="79">
        <v>0</v>
      </c>
      <c r="E18" s="78">
        <v>0</v>
      </c>
      <c r="G18" s="71">
        <f>IF($E10&gt;$D38+1,(($E10-D38)/1000)*$E18,0)</f>
        <v>0</v>
      </c>
      <c r="I18" s="75"/>
      <c r="J18" s="79">
        <v>0</v>
      </c>
      <c r="K18" s="78">
        <v>0</v>
      </c>
      <c r="M18" s="71">
        <f>IF($E10&gt;$D38+1,(($E10-J38)/1000)*$K18,0)</f>
        <v>0</v>
      </c>
    </row>
    <row r="19" spans="3:18" x14ac:dyDescent="0.2">
      <c r="G19" s="74" t="s">
        <v>140</v>
      </c>
      <c r="M19" s="74" t="s">
        <v>140</v>
      </c>
      <c r="O19" s="1078" t="s">
        <v>136</v>
      </c>
      <c r="P19" s="1078" t="s">
        <v>2074</v>
      </c>
    </row>
    <row r="20" spans="3:18" x14ac:dyDescent="0.2">
      <c r="C20" s="74" t="s">
        <v>145</v>
      </c>
      <c r="G20" s="71">
        <f>SUM(G13:G18)</f>
        <v>23398.681449832267</v>
      </c>
      <c r="I20" s="74" t="s">
        <v>145</v>
      </c>
      <c r="L20" s="70" t="s">
        <v>214</v>
      </c>
      <c r="M20" s="104">
        <f>SUM(M13:M18)</f>
        <v>4431.4513344480556</v>
      </c>
      <c r="N20" s="1078" t="s">
        <v>69</v>
      </c>
      <c r="O20" s="1079">
        <f>M20+G20</f>
        <v>27830.132784280322</v>
      </c>
      <c r="P20" s="1081">
        <f>O20/E10</f>
        <v>1.17828560345518E-2</v>
      </c>
    </row>
    <row r="21" spans="3:18" x14ac:dyDescent="0.2">
      <c r="C21" s="74" t="s">
        <v>144</v>
      </c>
      <c r="E21" s="77">
        <v>12.166666666666666</v>
      </c>
      <c r="F21" s="74" t="s">
        <v>143</v>
      </c>
    </row>
    <row r="22" spans="3:18" x14ac:dyDescent="0.2">
      <c r="C22" s="74" t="s">
        <v>142</v>
      </c>
      <c r="E22" s="76">
        <v>0.01</v>
      </c>
      <c r="G22" s="71">
        <f>IF($E$21&gt;D23,(($E$21-D23)*E22)*$G$20,0)</f>
        <v>0</v>
      </c>
      <c r="L22" s="70" t="s">
        <v>244</v>
      </c>
      <c r="O22" s="1078" t="s">
        <v>2080</v>
      </c>
    </row>
    <row r="23" spans="3:18" x14ac:dyDescent="0.2">
      <c r="C23" s="75" t="s">
        <v>141</v>
      </c>
      <c r="D23" s="72">
        <v>24</v>
      </c>
      <c r="E23" s="74" t="s">
        <v>111</v>
      </c>
      <c r="I23" s="75" t="s">
        <v>147</v>
      </c>
      <c r="J23" s="79">
        <v>500000</v>
      </c>
      <c r="K23" s="78">
        <v>4.32</v>
      </c>
      <c r="M23" s="71">
        <f>IF($E10&lt;$M34,($E10/1000)*$K23,J23/1000*$K23)</f>
        <v>2160</v>
      </c>
    </row>
    <row r="24" spans="3:18" x14ac:dyDescent="0.2">
      <c r="C24" s="74" t="s">
        <v>215</v>
      </c>
      <c r="D24" s="72"/>
      <c r="E24" s="74"/>
      <c r="G24" s="103"/>
      <c r="I24" s="75" t="s">
        <v>146</v>
      </c>
      <c r="J24" s="79">
        <v>2000000</v>
      </c>
      <c r="K24" s="78">
        <v>3.6</v>
      </c>
      <c r="M24" s="71">
        <f>IF(AND($E10&lt;M35+1,$E10&gt;M34),(($E10-$D34)/1000)*K24,IF($E10&gt;M35,J24/1000*K24,0))</f>
        <v>6702.9026688961112</v>
      </c>
    </row>
    <row r="25" spans="3:18" x14ac:dyDescent="0.2">
      <c r="C25" s="74" t="s">
        <v>245</v>
      </c>
      <c r="D25" s="72"/>
      <c r="E25" s="74"/>
      <c r="G25" s="113"/>
      <c r="I25" s="75" t="s">
        <v>146</v>
      </c>
      <c r="J25" s="79">
        <v>2500000</v>
      </c>
      <c r="K25" s="78">
        <v>3</v>
      </c>
      <c r="M25" s="71">
        <f>IF(AND($E10&lt;M36+1,$E10&gt;M35),(($E10-$D35)/1000)*K25,IF($E10&gt;M36,J25/1000*K25,0))</f>
        <v>0</v>
      </c>
    </row>
    <row r="26" spans="3:18" x14ac:dyDescent="0.2">
      <c r="I26" s="75" t="s">
        <v>146</v>
      </c>
      <c r="J26" s="79">
        <v>2500000</v>
      </c>
      <c r="K26" s="78">
        <v>2.64</v>
      </c>
      <c r="M26" s="71">
        <f>IF(AND($E10&lt;M37+1,$E10&gt;M36),(($E10-$D36)/1000)*K26,IF($E10&gt;M37,J26/1000*K26,0))</f>
        <v>0</v>
      </c>
    </row>
    <row r="27" spans="3:18" x14ac:dyDescent="0.2">
      <c r="C27" s="74" t="s">
        <v>139</v>
      </c>
      <c r="G27" s="71">
        <f>G20+G22+G24+G25</f>
        <v>23398.681449832267</v>
      </c>
      <c r="I27" s="75" t="s">
        <v>141</v>
      </c>
      <c r="J27" s="79">
        <v>7500000</v>
      </c>
      <c r="K27" s="78">
        <v>2.4</v>
      </c>
      <c r="M27" s="71">
        <f>IF(AND($E10&lt;M38+1,$E10&gt;M37),(($E10-$D37)/1000)*K27,IF($E10&gt;M38,J27/1000*K27,0))</f>
        <v>0</v>
      </c>
    </row>
    <row r="28" spans="3:18" x14ac:dyDescent="0.2">
      <c r="I28" s="75"/>
      <c r="J28" s="79">
        <v>0</v>
      </c>
      <c r="K28" s="78">
        <v>0</v>
      </c>
      <c r="M28" s="71">
        <f>IF($E10&gt;$M38+1,(($E10-M38)/1000)*$K28,0)</f>
        <v>0</v>
      </c>
    </row>
    <row r="29" spans="3:18" x14ac:dyDescent="0.2">
      <c r="C29" s="70" t="s">
        <v>138</v>
      </c>
      <c r="G29" s="73">
        <f>SUM(G27/E10)</f>
        <v>9.906646765172486E-3</v>
      </c>
      <c r="M29" s="74" t="s">
        <v>140</v>
      </c>
    </row>
    <row r="30" spans="3:18" x14ac:dyDescent="0.2">
      <c r="I30" s="74" t="s">
        <v>145</v>
      </c>
      <c r="L30" s="70" t="s">
        <v>244</v>
      </c>
      <c r="M30" s="114">
        <f>SUM(M23:M28)</f>
        <v>8862.9026688961112</v>
      </c>
      <c r="O30" s="1079">
        <f>M30+G20</f>
        <v>32261.58411872838</v>
      </c>
      <c r="P30" s="1081">
        <f>O30/E10</f>
        <v>1.3659065303931118E-2</v>
      </c>
      <c r="R30" s="1081">
        <f>O30/O20</f>
        <v>1.1592321304679918</v>
      </c>
    </row>
    <row r="31" spans="3:18" x14ac:dyDescent="0.2">
      <c r="P31" s="1080"/>
    </row>
    <row r="32" spans="3:18" x14ac:dyDescent="0.2">
      <c r="O32" s="1078" t="s">
        <v>2081</v>
      </c>
    </row>
    <row r="34" spans="3:16" x14ac:dyDescent="0.2">
      <c r="D34" s="71">
        <f>SUM(D13)</f>
        <v>500000</v>
      </c>
      <c r="J34" s="71">
        <f>SUM(J13)</f>
        <v>500000</v>
      </c>
      <c r="M34" s="71">
        <f>SUM(J23)</f>
        <v>500000</v>
      </c>
    </row>
    <row r="35" spans="3:16" x14ac:dyDescent="0.2">
      <c r="D35" s="71">
        <f>SUM(D13:D14)</f>
        <v>2500000</v>
      </c>
      <c r="J35" s="71">
        <f>SUM(J13:J14)</f>
        <v>2500000</v>
      </c>
      <c r="M35" s="71">
        <f>SUM(J23:J24)</f>
        <v>2500000</v>
      </c>
    </row>
    <row r="36" spans="3:16" x14ac:dyDescent="0.2">
      <c r="D36" s="71">
        <f>SUM(D13:D15)</f>
        <v>5000000</v>
      </c>
      <c r="J36" s="71">
        <f>SUM(J13:J15)</f>
        <v>5000000</v>
      </c>
      <c r="M36" s="71">
        <f>SUM(J23:J25)</f>
        <v>5000000</v>
      </c>
    </row>
    <row r="37" spans="3:16" x14ac:dyDescent="0.2">
      <c r="C37" s="72"/>
      <c r="D37" s="71">
        <f>SUM(D13:D16)</f>
        <v>7500000</v>
      </c>
      <c r="J37" s="71">
        <f>SUM(J13:J16)</f>
        <v>7500000</v>
      </c>
      <c r="M37" s="71">
        <f>SUM(J23:J26)</f>
        <v>7500000</v>
      </c>
    </row>
    <row r="38" spans="3:16" x14ac:dyDescent="0.2">
      <c r="D38" s="71">
        <f>SUM(D13:D17)</f>
        <v>15000000</v>
      </c>
      <c r="J38" s="71">
        <f>SUM(J13:J17)</f>
        <v>20000000</v>
      </c>
      <c r="M38" s="71">
        <f>SUM(J23:J27)</f>
        <v>15000000</v>
      </c>
      <c r="O38" s="1078" t="s">
        <v>2083</v>
      </c>
    </row>
    <row r="39" spans="3:16" x14ac:dyDescent="0.2">
      <c r="O39" s="1083">
        <v>0.15</v>
      </c>
    </row>
    <row r="40" spans="3:16" x14ac:dyDescent="0.2">
      <c r="O40" s="1079">
        <f>O30+(O30*O39)</f>
        <v>37100.82173653764</v>
      </c>
      <c r="P40" s="1081">
        <f>O40/E10</f>
        <v>1.5707925099520785E-2</v>
      </c>
    </row>
    <row r="41" spans="3:16" x14ac:dyDescent="0.2">
      <c r="O41" s="1079"/>
    </row>
    <row r="42" spans="3:16" x14ac:dyDescent="0.2">
      <c r="O42" s="1084" t="s">
        <v>2082</v>
      </c>
    </row>
    <row r="43" spans="3:16" x14ac:dyDescent="0.2">
      <c r="O43" s="1079"/>
    </row>
    <row r="44" spans="3:16" x14ac:dyDescent="0.2">
      <c r="O44" s="1079"/>
    </row>
    <row r="45" spans="3:16" x14ac:dyDescent="0.2">
      <c r="O45" s="1079"/>
    </row>
    <row r="46" spans="3:16" x14ac:dyDescent="0.2">
      <c r="O46" s="1079"/>
    </row>
    <row r="47" spans="3:16" x14ac:dyDescent="0.2">
      <c r="O47" s="1079"/>
    </row>
    <row r="48" spans="3:16" x14ac:dyDescent="0.2">
      <c r="O48" s="1078" t="s">
        <v>2084</v>
      </c>
    </row>
    <row r="49" spans="15:16" x14ac:dyDescent="0.2">
      <c r="O49" s="1080">
        <v>0.15</v>
      </c>
    </row>
    <row r="50" spans="15:16" x14ac:dyDescent="0.2">
      <c r="O50" s="1079">
        <f>O40+(O40*O49)</f>
        <v>42665.944997018283</v>
      </c>
      <c r="P50" s="1081">
        <f>O50/E10</f>
        <v>1.8064113864448901E-2</v>
      </c>
    </row>
  </sheetData>
  <customSheetViews>
    <customSheetView guid="{C88CD669-B349-4A86-8041-5686C62E698E}" scale="110" fitToPage="1" state="hidden">
      <selection activeCell="S38" sqref="S38"/>
      <pageMargins left="0.75" right="0.75" top="1" bottom="1" header="0.5" footer="0.5"/>
      <pageSetup scale="95" orientation="landscape" r:id="rId1"/>
      <headerFooter alignWithMargins="0"/>
    </customSheetView>
    <customSheetView guid="{14A9C729-6567-47B0-B521-30EFFF4E950A}" scale="110" fitToPage="1" state="hidden">
      <selection activeCell="D6" sqref="D6"/>
      <pageMargins left="0.75" right="0.75" top="1" bottom="1" header="0.5" footer="0.5"/>
      <pageSetup scale="95" orientation="landscape" r:id="rId2"/>
      <headerFooter alignWithMargins="0"/>
    </customSheetView>
    <customSheetView guid="{198460B7-6D23-4AED-A971-BF824A975991}" scale="110" fitToPage="1" state="hidden">
      <selection activeCell="D6" sqref="D6"/>
      <pageMargins left="0.75" right="0.75" top="1" bottom="1" header="0.5" footer="0.5"/>
      <pageSetup scale="95" orientation="landscape" r:id="rId3"/>
      <headerFooter alignWithMargins="0"/>
    </customSheetView>
  </customSheetViews>
  <pageMargins left="0.75" right="0.75" top="1" bottom="1" header="0.5" footer="0.5"/>
  <pageSetup scale="95" orientation="landscape" r:id="rId4"/>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3:I37"/>
  <sheetViews>
    <sheetView zoomScale="110" zoomScaleNormal="110" workbookViewId="0">
      <selection activeCell="D7" sqref="D7"/>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16384" width="9.140625" style="70"/>
  </cols>
  <sheetData>
    <row r="3" spans="3:9" x14ac:dyDescent="0.2">
      <c r="D3" s="88" t="s">
        <v>156</v>
      </c>
    </row>
    <row r="4" spans="3:9" x14ac:dyDescent="0.2">
      <c r="F4" s="74" t="s">
        <v>70</v>
      </c>
    </row>
    <row r="5" spans="3:9" x14ac:dyDescent="0.2">
      <c r="C5" s="75" t="s">
        <v>154</v>
      </c>
      <c r="D5" s="85" t="str">
        <f>'PROJECT INFO'!E3</f>
        <v>300 University Boulevard</v>
      </c>
      <c r="H5" s="74" t="s">
        <v>70</v>
      </c>
      <c r="I5" s="87" t="s">
        <v>70</v>
      </c>
    </row>
    <row r="6" spans="3:9" x14ac:dyDescent="0.2">
      <c r="C6" s="86" t="s">
        <v>153</v>
      </c>
      <c r="D6" s="85" t="str">
        <f>'PROJECT INFO'!E4</f>
        <v>5888</v>
      </c>
      <c r="H6" s="74" t="s">
        <v>70</v>
      </c>
      <c r="I6" s="84" t="s">
        <v>70</v>
      </c>
    </row>
    <row r="7" spans="3:9" x14ac:dyDescent="0.2">
      <c r="C7" s="75" t="s">
        <v>70</v>
      </c>
      <c r="D7" s="83" t="s">
        <v>70</v>
      </c>
    </row>
    <row r="8" spans="3:9" x14ac:dyDescent="0.2">
      <c r="C8" s="82" t="s">
        <v>152</v>
      </c>
      <c r="D8" s="81" t="s">
        <v>152</v>
      </c>
      <c r="E8" s="81" t="s">
        <v>152</v>
      </c>
      <c r="F8" s="81" t="s">
        <v>152</v>
      </c>
      <c r="G8" s="81" t="s">
        <v>152</v>
      </c>
      <c r="H8" s="81" t="s">
        <v>152</v>
      </c>
      <c r="I8" s="58"/>
    </row>
    <row r="10" spans="3:9" x14ac:dyDescent="0.2">
      <c r="C10" s="74" t="s">
        <v>151</v>
      </c>
      <c r="D10" s="70" t="s">
        <v>70</v>
      </c>
      <c r="E10" s="71">
        <f>'Project Cost Recap'!H47</f>
        <v>2361917.4080266976</v>
      </c>
    </row>
    <row r="11" spans="3:9" x14ac:dyDescent="0.2">
      <c r="D11" s="74" t="s">
        <v>150</v>
      </c>
      <c r="E11" s="74" t="s">
        <v>149</v>
      </c>
      <c r="G11" s="80" t="s">
        <v>148</v>
      </c>
    </row>
    <row r="13" spans="3:9" x14ac:dyDescent="0.2">
      <c r="C13" s="75" t="s">
        <v>147</v>
      </c>
      <c r="D13" s="79">
        <v>500000</v>
      </c>
      <c r="E13" s="78">
        <v>17.28</v>
      </c>
      <c r="G13" s="71">
        <f>IF($E10&lt;$D33,($E10/1000)*$E13,D13/1000*$E13)</f>
        <v>8640</v>
      </c>
    </row>
    <row r="14" spans="3:9" x14ac:dyDescent="0.2">
      <c r="C14" s="75" t="s">
        <v>146</v>
      </c>
      <c r="D14" s="79">
        <v>2000000</v>
      </c>
      <c r="E14" s="78">
        <v>10.44</v>
      </c>
      <c r="G14" s="71">
        <f>IF(AND($E10&lt;D34+1,$E10&gt;D33),(($E10-$D33)/1000)*E14,IF($E10&gt;D34,D14/1000*E14,0))</f>
        <v>19438.417739798722</v>
      </c>
    </row>
    <row r="15" spans="3:9" x14ac:dyDescent="0.2">
      <c r="C15" s="75" t="s">
        <v>146</v>
      </c>
      <c r="D15" s="79">
        <v>2500000</v>
      </c>
      <c r="E15" s="78">
        <v>8.2799999999999994</v>
      </c>
      <c r="G15" s="71">
        <f>IF(AND($E10&lt;D35+1,$E10&gt;D34),(($E10-$D34)/1000)*E15,IF($E10&gt;D35,D15/1000*E15,0))</f>
        <v>0</v>
      </c>
    </row>
    <row r="16" spans="3:9" x14ac:dyDescent="0.2">
      <c r="C16" s="75" t="s">
        <v>146</v>
      </c>
      <c r="D16" s="79">
        <v>2500000</v>
      </c>
      <c r="E16" s="78">
        <v>7.56</v>
      </c>
      <c r="G16" s="71">
        <f>IF(AND($E10&lt;D36+1,$E10&gt;D35),(($E10-$D35)/1000)*E16,IF($E10&gt;D36,D16/1000*E16,0))</f>
        <v>0</v>
      </c>
    </row>
    <row r="17" spans="3:7" x14ac:dyDescent="0.2">
      <c r="C17" s="75" t="s">
        <v>141</v>
      </c>
      <c r="D17" s="79">
        <v>7500000</v>
      </c>
      <c r="E17" s="78">
        <v>6.91</v>
      </c>
      <c r="G17" s="71">
        <f>IF($E10&gt;$D37+1,(($E10-D37)/1000)*$E17,0)</f>
        <v>0</v>
      </c>
    </row>
    <row r="18" spans="3:7" x14ac:dyDescent="0.2">
      <c r="G18" s="74" t="s">
        <v>140</v>
      </c>
    </row>
    <row r="19" spans="3:7" x14ac:dyDescent="0.2">
      <c r="C19" s="74" t="s">
        <v>145</v>
      </c>
      <c r="G19" s="71">
        <f>SUM(G13:G17)</f>
        <v>28078.417739798722</v>
      </c>
    </row>
    <row r="20" spans="3:7" x14ac:dyDescent="0.2">
      <c r="C20" s="74" t="s">
        <v>144</v>
      </c>
      <c r="E20" s="77">
        <f>SUM('PROJECT INFO'!F14)</f>
        <v>0</v>
      </c>
      <c r="F20" s="74" t="s">
        <v>143</v>
      </c>
    </row>
    <row r="21" spans="3:7" x14ac:dyDescent="0.2">
      <c r="C21" s="74" t="s">
        <v>142</v>
      </c>
      <c r="E21" s="76">
        <v>0.01</v>
      </c>
      <c r="G21" s="71">
        <f>IF($E$20&gt;D22,(($E$20-D22)*E21)*$G$19,0)</f>
        <v>0</v>
      </c>
    </row>
    <row r="22" spans="3:7" x14ac:dyDescent="0.2">
      <c r="C22" s="75" t="s">
        <v>141</v>
      </c>
      <c r="D22" s="72">
        <v>24</v>
      </c>
      <c r="E22" s="74" t="s">
        <v>111</v>
      </c>
    </row>
    <row r="23" spans="3:7" x14ac:dyDescent="0.2">
      <c r="G23" s="74" t="s">
        <v>140</v>
      </c>
    </row>
    <row r="25" spans="3:7" x14ac:dyDescent="0.2">
      <c r="C25" s="74" t="s">
        <v>139</v>
      </c>
      <c r="G25" s="71">
        <f>G19+G21</f>
        <v>28078.417739798722</v>
      </c>
    </row>
    <row r="26" spans="3:7" x14ac:dyDescent="0.2">
      <c r="C26" s="74"/>
      <c r="G26" s="71"/>
    </row>
    <row r="28" spans="3:7" x14ac:dyDescent="0.2">
      <c r="C28" s="70" t="s">
        <v>138</v>
      </c>
      <c r="G28" s="73">
        <f>SUM(G25/E10)</f>
        <v>1.1887976118206984E-2</v>
      </c>
    </row>
    <row r="33" spans="3:4" x14ac:dyDescent="0.2">
      <c r="D33" s="71">
        <f>SUM(D13)</f>
        <v>500000</v>
      </c>
    </row>
    <row r="34" spans="3:4" x14ac:dyDescent="0.2">
      <c r="D34" s="71">
        <f>SUM(D13:D14)</f>
        <v>2500000</v>
      </c>
    </row>
    <row r="35" spans="3:4" x14ac:dyDescent="0.2">
      <c r="D35" s="71">
        <f>SUM(D13:D15)</f>
        <v>5000000</v>
      </c>
    </row>
    <row r="36" spans="3:4" x14ac:dyDescent="0.2">
      <c r="C36" s="72"/>
      <c r="D36" s="71">
        <f>SUM(D13:D16)</f>
        <v>7500000</v>
      </c>
    </row>
    <row r="37" spans="3:4" x14ac:dyDescent="0.2">
      <c r="D37" s="71">
        <f>SUM(D13:D16)</f>
        <v>7500000</v>
      </c>
    </row>
  </sheetData>
  <customSheetViews>
    <customSheetView guid="{C88CD669-B349-4A86-8041-5686C62E698E}" scale="110" state="hidden">
      <selection activeCell="D7" sqref="D7"/>
      <pageMargins left="0.75" right="0.75" top="1" bottom="1" header="0.5" footer="0.5"/>
      <pageSetup orientation="portrait" r:id="rId1"/>
      <headerFooter alignWithMargins="0"/>
    </customSheetView>
    <customSheetView guid="{14A9C729-6567-47B0-B521-30EFFF4E950A}" scale="110" state="hidden">
      <selection activeCell="D7" sqref="D7"/>
      <pageMargins left="0.75" right="0.75" top="1" bottom="1" header="0.5" footer="0.5"/>
      <pageSetup orientation="portrait" r:id="rId2"/>
      <headerFooter alignWithMargins="0"/>
    </customSheetView>
    <customSheetView guid="{198460B7-6D23-4AED-A971-BF824A975991}" scale="110" state="hidden">
      <selection activeCell="D7" sqref="D7"/>
      <pageMargins left="0.75" right="0.75" top="1" bottom="1" header="0.5" footer="0.5"/>
      <pageSetup orientation="portrait" r:id="rId3"/>
      <headerFooter alignWithMargins="0"/>
    </customSheetView>
  </customSheetViews>
  <pageMargins left="0.75" right="0.75" top="1" bottom="1" header="0.5" footer="0.5"/>
  <pageSetup orientation="portrait" r:id="rId4"/>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125"/>
  <sheetViews>
    <sheetView topLeftCell="A66" zoomScale="90" zoomScaleNormal="90" workbookViewId="0">
      <selection activeCell="D14" sqref="D14"/>
    </sheetView>
  </sheetViews>
  <sheetFormatPr defaultRowHeight="12.75" x14ac:dyDescent="0.2"/>
  <cols>
    <col min="1" max="1" width="2.42578125" customWidth="1"/>
    <col min="2" max="2" width="11.140625" customWidth="1"/>
    <col min="3" max="3" width="30.7109375" customWidth="1"/>
    <col min="4" max="4" width="12.7109375" customWidth="1"/>
    <col min="5" max="5" width="15.42578125" customWidth="1"/>
    <col min="6" max="7" width="12.7109375" customWidth="1"/>
    <col min="8" max="8" width="14.140625" customWidth="1"/>
    <col min="9" max="9" width="12.7109375" customWidth="1"/>
    <col min="10" max="10" width="14.28515625" customWidth="1"/>
    <col min="11" max="11" width="12.7109375" customWidth="1"/>
    <col min="12" max="12" width="14.42578125" customWidth="1"/>
    <col min="13" max="13" width="15.5703125" customWidth="1"/>
    <col min="14" max="14" width="2.42578125" customWidth="1"/>
  </cols>
  <sheetData>
    <row r="1" spans="2:13" ht="13.5" thickBot="1" x14ac:dyDescent="0.25"/>
    <row r="2" spans="2:13" ht="14.25" x14ac:dyDescent="0.2">
      <c r="B2" s="1723" t="s">
        <v>1154</v>
      </c>
      <c r="C2" s="1724"/>
      <c r="D2" s="1724"/>
      <c r="E2" s="1724"/>
      <c r="F2" s="1724"/>
      <c r="G2" s="1724"/>
      <c r="H2" s="1724"/>
      <c r="I2" s="1724"/>
      <c r="J2" s="1724"/>
      <c r="K2" s="1724"/>
      <c r="L2" s="1724"/>
      <c r="M2" s="1725"/>
    </row>
    <row r="3" spans="2:13" ht="14.25" x14ac:dyDescent="0.2">
      <c r="B3" s="1035" t="s">
        <v>1155</v>
      </c>
      <c r="C3" s="874"/>
      <c r="D3" s="1730" t="str">
        <f>'PROJECT INFO'!E3</f>
        <v>300 University Boulevard</v>
      </c>
      <c r="E3" s="1730"/>
      <c r="F3" s="1730"/>
      <c r="G3" s="1730"/>
      <c r="H3" s="368" t="s">
        <v>1156</v>
      </c>
      <c r="I3" s="874"/>
      <c r="J3" s="1732"/>
      <c r="K3" s="1732"/>
      <c r="L3" s="1732"/>
      <c r="M3" s="1733"/>
    </row>
    <row r="4" spans="2:13" ht="14.25" x14ac:dyDescent="0.2">
      <c r="B4" s="1035" t="s">
        <v>1157</v>
      </c>
      <c r="C4" s="874"/>
      <c r="D4" s="1730" t="str">
        <f>'PROJECT INFO'!E4</f>
        <v>5888</v>
      </c>
      <c r="E4" s="1730"/>
      <c r="F4" s="369"/>
      <c r="G4" s="369"/>
      <c r="H4" s="369"/>
      <c r="I4" s="369"/>
      <c r="J4" s="369"/>
      <c r="K4" s="369"/>
      <c r="L4" s="369"/>
      <c r="M4" s="1036"/>
    </row>
    <row r="5" spans="2:13" ht="14.25" x14ac:dyDescent="0.2">
      <c r="B5" s="1035" t="s">
        <v>1158</v>
      </c>
      <c r="C5" s="874"/>
      <c r="D5" s="874" t="str">
        <f>'Project Cost Recap'!B65</f>
        <v>#1</v>
      </c>
      <c r="E5" s="1731" t="s">
        <v>91</v>
      </c>
      <c r="F5" s="1731"/>
      <c r="G5" s="1731"/>
      <c r="H5" s="1726" t="str">
        <f>'Project Cost Recap'!E65</f>
        <v>Furnish and Install 12 VRF Condensing Units</v>
      </c>
      <c r="I5" s="1726"/>
      <c r="J5" s="1726"/>
      <c r="K5" s="1726"/>
      <c r="L5" s="1726"/>
      <c r="M5" s="1727"/>
    </row>
    <row r="6" spans="2:13" ht="14.25" x14ac:dyDescent="0.2">
      <c r="B6" s="1035" t="s">
        <v>1085</v>
      </c>
      <c r="C6" s="370">
        <f ca="1">NOW()</f>
        <v>44718.519324884262</v>
      </c>
      <c r="D6" s="371"/>
      <c r="E6" s="371"/>
      <c r="F6" s="369"/>
      <c r="G6" s="369"/>
      <c r="H6" s="1726"/>
      <c r="I6" s="1726"/>
      <c r="J6" s="1726"/>
      <c r="K6" s="1726"/>
      <c r="L6" s="1726"/>
      <c r="M6" s="1727"/>
    </row>
    <row r="7" spans="2:13" ht="42.75" x14ac:dyDescent="0.2">
      <c r="B7" s="1728" t="s">
        <v>1159</v>
      </c>
      <c r="C7" s="1729"/>
      <c r="D7" s="372" t="s">
        <v>1146</v>
      </c>
      <c r="E7" s="372" t="s">
        <v>124</v>
      </c>
      <c r="F7" s="372" t="s">
        <v>1160</v>
      </c>
      <c r="G7" s="372" t="s">
        <v>1532</v>
      </c>
      <c r="H7" s="372" t="s">
        <v>1147</v>
      </c>
      <c r="I7" s="372" t="s">
        <v>1161</v>
      </c>
      <c r="J7" s="372" t="s">
        <v>1148</v>
      </c>
      <c r="K7" s="372" t="s">
        <v>1162</v>
      </c>
      <c r="L7" s="372" t="s">
        <v>451</v>
      </c>
      <c r="M7" s="1037" t="s">
        <v>1181</v>
      </c>
    </row>
    <row r="8" spans="2:13" ht="14.25" x14ac:dyDescent="0.2">
      <c r="B8" s="1712" t="s">
        <v>2530</v>
      </c>
      <c r="C8" s="1713"/>
      <c r="D8" s="373"/>
      <c r="E8" s="374">
        <v>2140</v>
      </c>
      <c r="F8" s="1429">
        <v>0.37289719626168222</v>
      </c>
      <c r="G8" s="375">
        <v>1</v>
      </c>
      <c r="H8" s="376">
        <f>E8*F8*G8</f>
        <v>798</v>
      </c>
      <c r="I8" s="375"/>
      <c r="J8" s="376">
        <f t="shared" ref="J8:J39" si="0">(I8*E8)</f>
        <v>0</v>
      </c>
      <c r="K8" s="377"/>
      <c r="L8" s="1428">
        <f>22336/2140</f>
        <v>10.437383177570094</v>
      </c>
      <c r="M8" s="1038">
        <f t="shared" ref="M8:M39" si="1">ROUNDUP(L8*E8,0)</f>
        <v>22336</v>
      </c>
    </row>
    <row r="9" spans="2:13" ht="14.25" x14ac:dyDescent="0.2">
      <c r="B9" s="1712" t="s">
        <v>2569</v>
      </c>
      <c r="C9" s="1713"/>
      <c r="D9" s="373"/>
      <c r="E9" s="374">
        <v>12</v>
      </c>
      <c r="F9" s="375"/>
      <c r="G9" s="375">
        <v>1</v>
      </c>
      <c r="H9" s="376">
        <f t="shared" ref="H9:H43" si="2">E9*F9*G9</f>
        <v>0</v>
      </c>
      <c r="I9" s="375"/>
      <c r="J9" s="376">
        <f t="shared" si="0"/>
        <v>0</v>
      </c>
      <c r="K9" s="377"/>
      <c r="L9" s="378">
        <f>224625/12</f>
        <v>18718.75</v>
      </c>
      <c r="M9" s="1038">
        <f t="shared" si="1"/>
        <v>224625</v>
      </c>
    </row>
    <row r="10" spans="2:13" ht="14.25" x14ac:dyDescent="0.2">
      <c r="B10" s="1712"/>
      <c r="C10" s="1713"/>
      <c r="D10" s="373"/>
      <c r="E10" s="374"/>
      <c r="F10" s="375"/>
      <c r="G10" s="375">
        <v>1</v>
      </c>
      <c r="H10" s="376">
        <f t="shared" si="2"/>
        <v>0</v>
      </c>
      <c r="I10" s="375"/>
      <c r="J10" s="376">
        <f t="shared" si="0"/>
        <v>0</v>
      </c>
      <c r="K10" s="377"/>
      <c r="L10" s="378"/>
      <c r="M10" s="1038">
        <f t="shared" si="1"/>
        <v>0</v>
      </c>
    </row>
    <row r="11" spans="2:13" ht="14.25" x14ac:dyDescent="0.2">
      <c r="B11" s="1712"/>
      <c r="C11" s="1713"/>
      <c r="D11" s="373"/>
      <c r="E11" s="374"/>
      <c r="F11" s="375"/>
      <c r="G11" s="375">
        <v>1</v>
      </c>
      <c r="H11" s="376">
        <f t="shared" si="2"/>
        <v>0</v>
      </c>
      <c r="I11" s="375"/>
      <c r="J11" s="376">
        <f t="shared" si="0"/>
        <v>0</v>
      </c>
      <c r="K11" s="377"/>
      <c r="L11" s="378"/>
      <c r="M11" s="1038">
        <f t="shared" si="1"/>
        <v>0</v>
      </c>
    </row>
    <row r="12" spans="2:13" ht="14.25" x14ac:dyDescent="0.2">
      <c r="B12" s="1712"/>
      <c r="C12" s="1713"/>
      <c r="D12" s="373"/>
      <c r="E12" s="374"/>
      <c r="F12" s="375"/>
      <c r="G12" s="375">
        <v>1</v>
      </c>
      <c r="H12" s="376">
        <f t="shared" si="2"/>
        <v>0</v>
      </c>
      <c r="I12" s="375"/>
      <c r="J12" s="376">
        <f t="shared" si="0"/>
        <v>0</v>
      </c>
      <c r="K12" s="377"/>
      <c r="L12" s="378"/>
      <c r="M12" s="1038">
        <f t="shared" si="1"/>
        <v>0</v>
      </c>
    </row>
    <row r="13" spans="2:13" ht="14.25" x14ac:dyDescent="0.2">
      <c r="B13" s="1712"/>
      <c r="C13" s="1713"/>
      <c r="D13" s="373"/>
      <c r="E13" s="374"/>
      <c r="F13" s="375"/>
      <c r="G13" s="375">
        <v>1</v>
      </c>
      <c r="H13" s="376">
        <f t="shared" si="2"/>
        <v>0</v>
      </c>
      <c r="I13" s="375"/>
      <c r="J13" s="376">
        <f t="shared" si="0"/>
        <v>0</v>
      </c>
      <c r="K13" s="377"/>
      <c r="L13" s="378"/>
      <c r="M13" s="1038">
        <f t="shared" si="1"/>
        <v>0</v>
      </c>
    </row>
    <row r="14" spans="2:13" ht="14.25" x14ac:dyDescent="0.2">
      <c r="B14" s="1712"/>
      <c r="C14" s="1713"/>
      <c r="D14" s="373"/>
      <c r="E14" s="374"/>
      <c r="F14" s="375"/>
      <c r="G14" s="375">
        <v>1</v>
      </c>
      <c r="H14" s="376">
        <f t="shared" si="2"/>
        <v>0</v>
      </c>
      <c r="I14" s="375"/>
      <c r="J14" s="376">
        <f t="shared" si="0"/>
        <v>0</v>
      </c>
      <c r="K14" s="377"/>
      <c r="L14" s="378"/>
      <c r="M14" s="1038">
        <f t="shared" si="1"/>
        <v>0</v>
      </c>
    </row>
    <row r="15" spans="2:13" ht="14.25" x14ac:dyDescent="0.2">
      <c r="B15" s="1712"/>
      <c r="C15" s="1713"/>
      <c r="D15" s="373"/>
      <c r="E15" s="374"/>
      <c r="F15" s="375"/>
      <c r="G15" s="375">
        <v>1</v>
      </c>
      <c r="H15" s="376">
        <f t="shared" si="2"/>
        <v>0</v>
      </c>
      <c r="I15" s="375"/>
      <c r="J15" s="376">
        <f t="shared" si="0"/>
        <v>0</v>
      </c>
      <c r="K15" s="377"/>
      <c r="L15" s="378"/>
      <c r="M15" s="1038">
        <f t="shared" si="1"/>
        <v>0</v>
      </c>
    </row>
    <row r="16" spans="2:13" ht="14.25" x14ac:dyDescent="0.2">
      <c r="B16" s="1712"/>
      <c r="C16" s="1713"/>
      <c r="D16" s="373"/>
      <c r="E16" s="374"/>
      <c r="F16" s="375"/>
      <c r="G16" s="375">
        <v>1</v>
      </c>
      <c r="H16" s="376">
        <f t="shared" si="2"/>
        <v>0</v>
      </c>
      <c r="I16" s="375"/>
      <c r="J16" s="376">
        <f t="shared" si="0"/>
        <v>0</v>
      </c>
      <c r="K16" s="377"/>
      <c r="L16" s="378"/>
      <c r="M16" s="1038">
        <f t="shared" si="1"/>
        <v>0</v>
      </c>
    </row>
    <row r="17" spans="2:13" ht="14.25" x14ac:dyDescent="0.2">
      <c r="B17" s="1712"/>
      <c r="C17" s="1713"/>
      <c r="D17" s="373"/>
      <c r="E17" s="374"/>
      <c r="F17" s="375"/>
      <c r="G17" s="375">
        <v>1</v>
      </c>
      <c r="H17" s="376">
        <f t="shared" si="2"/>
        <v>0</v>
      </c>
      <c r="I17" s="375"/>
      <c r="J17" s="376">
        <f t="shared" si="0"/>
        <v>0</v>
      </c>
      <c r="K17" s="377"/>
      <c r="L17" s="378"/>
      <c r="M17" s="1038">
        <f t="shared" si="1"/>
        <v>0</v>
      </c>
    </row>
    <row r="18" spans="2:13" ht="14.25" x14ac:dyDescent="0.2">
      <c r="B18" s="1712"/>
      <c r="C18" s="1713"/>
      <c r="D18" s="373"/>
      <c r="E18" s="374"/>
      <c r="F18" s="375"/>
      <c r="G18" s="375">
        <v>1</v>
      </c>
      <c r="H18" s="376">
        <f t="shared" si="2"/>
        <v>0</v>
      </c>
      <c r="I18" s="375"/>
      <c r="J18" s="376">
        <f t="shared" si="0"/>
        <v>0</v>
      </c>
      <c r="K18" s="377"/>
      <c r="L18" s="378"/>
      <c r="M18" s="1038">
        <f t="shared" si="1"/>
        <v>0</v>
      </c>
    </row>
    <row r="19" spans="2:13" ht="14.25" x14ac:dyDescent="0.2">
      <c r="B19" s="1712"/>
      <c r="C19" s="1713"/>
      <c r="D19" s="373"/>
      <c r="E19" s="374"/>
      <c r="F19" s="375"/>
      <c r="G19" s="375">
        <v>1</v>
      </c>
      <c r="H19" s="376">
        <f t="shared" si="2"/>
        <v>0</v>
      </c>
      <c r="I19" s="375"/>
      <c r="J19" s="376">
        <f t="shared" si="0"/>
        <v>0</v>
      </c>
      <c r="K19" s="377"/>
      <c r="L19" s="378"/>
      <c r="M19" s="1038">
        <f t="shared" si="1"/>
        <v>0</v>
      </c>
    </row>
    <row r="20" spans="2:13" ht="14.25" x14ac:dyDescent="0.2">
      <c r="B20" s="1712"/>
      <c r="C20" s="1713"/>
      <c r="D20" s="373"/>
      <c r="E20" s="374"/>
      <c r="F20" s="375"/>
      <c r="G20" s="375">
        <v>1</v>
      </c>
      <c r="H20" s="376">
        <f t="shared" si="2"/>
        <v>0</v>
      </c>
      <c r="I20" s="375"/>
      <c r="J20" s="376">
        <f t="shared" si="0"/>
        <v>0</v>
      </c>
      <c r="K20" s="377"/>
      <c r="L20" s="378"/>
      <c r="M20" s="1038">
        <f t="shared" si="1"/>
        <v>0</v>
      </c>
    </row>
    <row r="21" spans="2:13" ht="14.25" x14ac:dyDescent="0.2">
      <c r="B21" s="1712"/>
      <c r="C21" s="1713"/>
      <c r="D21" s="373"/>
      <c r="E21" s="374"/>
      <c r="F21" s="375"/>
      <c r="G21" s="375">
        <v>1</v>
      </c>
      <c r="H21" s="376">
        <f t="shared" si="2"/>
        <v>0</v>
      </c>
      <c r="I21" s="375"/>
      <c r="J21" s="376">
        <f t="shared" si="0"/>
        <v>0</v>
      </c>
      <c r="K21" s="377"/>
      <c r="L21" s="378"/>
      <c r="M21" s="1038">
        <f t="shared" si="1"/>
        <v>0</v>
      </c>
    </row>
    <row r="22" spans="2:13" ht="14.25" x14ac:dyDescent="0.2">
      <c r="B22" s="1712"/>
      <c r="C22" s="1713"/>
      <c r="D22" s="373"/>
      <c r="E22" s="374"/>
      <c r="F22" s="375"/>
      <c r="G22" s="375">
        <v>1</v>
      </c>
      <c r="H22" s="376">
        <f t="shared" si="2"/>
        <v>0</v>
      </c>
      <c r="I22" s="375"/>
      <c r="J22" s="376">
        <f t="shared" si="0"/>
        <v>0</v>
      </c>
      <c r="K22" s="377"/>
      <c r="L22" s="378"/>
      <c r="M22" s="1038">
        <f t="shared" si="1"/>
        <v>0</v>
      </c>
    </row>
    <row r="23" spans="2:13" ht="14.25" x14ac:dyDescent="0.2">
      <c r="B23" s="1712"/>
      <c r="C23" s="1713"/>
      <c r="D23" s="373"/>
      <c r="E23" s="374"/>
      <c r="F23" s="375"/>
      <c r="G23" s="375">
        <v>1</v>
      </c>
      <c r="H23" s="376">
        <f t="shared" si="2"/>
        <v>0</v>
      </c>
      <c r="I23" s="375"/>
      <c r="J23" s="376">
        <f t="shared" si="0"/>
        <v>0</v>
      </c>
      <c r="K23" s="377"/>
      <c r="L23" s="378"/>
      <c r="M23" s="1038">
        <f t="shared" si="1"/>
        <v>0</v>
      </c>
    </row>
    <row r="24" spans="2:13" ht="14.25" x14ac:dyDescent="0.2">
      <c r="B24" s="1712"/>
      <c r="C24" s="1713"/>
      <c r="D24" s="373"/>
      <c r="E24" s="374"/>
      <c r="F24" s="375"/>
      <c r="G24" s="375">
        <v>1</v>
      </c>
      <c r="H24" s="376">
        <f t="shared" si="2"/>
        <v>0</v>
      </c>
      <c r="I24" s="375"/>
      <c r="J24" s="376">
        <f t="shared" si="0"/>
        <v>0</v>
      </c>
      <c r="K24" s="377"/>
      <c r="L24" s="378"/>
      <c r="M24" s="1038">
        <f t="shared" si="1"/>
        <v>0</v>
      </c>
    </row>
    <row r="25" spans="2:13" ht="14.25" x14ac:dyDescent="0.2">
      <c r="B25" s="1712"/>
      <c r="C25" s="1713"/>
      <c r="D25" s="373"/>
      <c r="E25" s="374"/>
      <c r="F25" s="375"/>
      <c r="G25" s="375">
        <v>1</v>
      </c>
      <c r="H25" s="376">
        <f t="shared" si="2"/>
        <v>0</v>
      </c>
      <c r="I25" s="375"/>
      <c r="J25" s="376">
        <f t="shared" si="0"/>
        <v>0</v>
      </c>
      <c r="K25" s="377"/>
      <c r="L25" s="378"/>
      <c r="M25" s="1038">
        <f t="shared" si="1"/>
        <v>0</v>
      </c>
    </row>
    <row r="26" spans="2:13" ht="14.25" x14ac:dyDescent="0.2">
      <c r="B26" s="1712"/>
      <c r="C26" s="1713"/>
      <c r="D26" s="373"/>
      <c r="E26" s="374"/>
      <c r="F26" s="375"/>
      <c r="G26" s="375">
        <v>1</v>
      </c>
      <c r="H26" s="376">
        <f t="shared" si="2"/>
        <v>0</v>
      </c>
      <c r="I26" s="375"/>
      <c r="J26" s="376">
        <f t="shared" si="0"/>
        <v>0</v>
      </c>
      <c r="K26" s="377"/>
      <c r="L26" s="378"/>
      <c r="M26" s="1038">
        <f t="shared" si="1"/>
        <v>0</v>
      </c>
    </row>
    <row r="27" spans="2:13" ht="14.25" x14ac:dyDescent="0.2">
      <c r="B27" s="1712"/>
      <c r="C27" s="1713"/>
      <c r="D27" s="373"/>
      <c r="E27" s="374"/>
      <c r="F27" s="375"/>
      <c r="G27" s="375">
        <v>1</v>
      </c>
      <c r="H27" s="376">
        <f t="shared" si="2"/>
        <v>0</v>
      </c>
      <c r="I27" s="375"/>
      <c r="J27" s="376">
        <f t="shared" si="0"/>
        <v>0</v>
      </c>
      <c r="K27" s="377"/>
      <c r="L27" s="378"/>
      <c r="M27" s="1038">
        <f t="shared" si="1"/>
        <v>0</v>
      </c>
    </row>
    <row r="28" spans="2:13" ht="14.25" x14ac:dyDescent="0.2">
      <c r="B28" s="1712"/>
      <c r="C28" s="1713"/>
      <c r="D28" s="373"/>
      <c r="E28" s="374"/>
      <c r="F28" s="375"/>
      <c r="G28" s="375">
        <v>1</v>
      </c>
      <c r="H28" s="376">
        <f t="shared" si="2"/>
        <v>0</v>
      </c>
      <c r="I28" s="375"/>
      <c r="J28" s="376">
        <f t="shared" si="0"/>
        <v>0</v>
      </c>
      <c r="K28" s="377"/>
      <c r="L28" s="378"/>
      <c r="M28" s="1038">
        <f t="shared" si="1"/>
        <v>0</v>
      </c>
    </row>
    <row r="29" spans="2:13" ht="14.25" x14ac:dyDescent="0.2">
      <c r="B29" s="1712"/>
      <c r="C29" s="1713"/>
      <c r="D29" s="373"/>
      <c r="E29" s="374"/>
      <c r="F29" s="375"/>
      <c r="G29" s="375">
        <v>1</v>
      </c>
      <c r="H29" s="376">
        <f t="shared" si="2"/>
        <v>0</v>
      </c>
      <c r="I29" s="375"/>
      <c r="J29" s="376">
        <f t="shared" si="0"/>
        <v>0</v>
      </c>
      <c r="K29" s="377"/>
      <c r="L29" s="378"/>
      <c r="M29" s="1038">
        <f t="shared" si="1"/>
        <v>0</v>
      </c>
    </row>
    <row r="30" spans="2:13" ht="14.25" x14ac:dyDescent="0.2">
      <c r="B30" s="1712"/>
      <c r="C30" s="1713"/>
      <c r="D30" s="373"/>
      <c r="E30" s="374"/>
      <c r="F30" s="375"/>
      <c r="G30" s="375">
        <v>1</v>
      </c>
      <c r="H30" s="376">
        <f t="shared" si="2"/>
        <v>0</v>
      </c>
      <c r="I30" s="375"/>
      <c r="J30" s="376">
        <f t="shared" si="0"/>
        <v>0</v>
      </c>
      <c r="K30" s="377"/>
      <c r="L30" s="378"/>
      <c r="M30" s="1038">
        <f t="shared" si="1"/>
        <v>0</v>
      </c>
    </row>
    <row r="31" spans="2:13" ht="14.25" x14ac:dyDescent="0.2">
      <c r="B31" s="1712"/>
      <c r="C31" s="1713"/>
      <c r="D31" s="373"/>
      <c r="E31" s="374"/>
      <c r="F31" s="375"/>
      <c r="G31" s="375">
        <v>1</v>
      </c>
      <c r="H31" s="376">
        <f t="shared" si="2"/>
        <v>0</v>
      </c>
      <c r="I31" s="375"/>
      <c r="J31" s="376">
        <f t="shared" si="0"/>
        <v>0</v>
      </c>
      <c r="K31" s="377"/>
      <c r="L31" s="378"/>
      <c r="M31" s="1038">
        <f t="shared" si="1"/>
        <v>0</v>
      </c>
    </row>
    <row r="32" spans="2:13" ht="14.25" x14ac:dyDescent="0.2">
      <c r="B32" s="1712"/>
      <c r="C32" s="1713"/>
      <c r="D32" s="373"/>
      <c r="E32" s="374"/>
      <c r="F32" s="375"/>
      <c r="G32" s="375">
        <v>1</v>
      </c>
      <c r="H32" s="376">
        <f t="shared" si="2"/>
        <v>0</v>
      </c>
      <c r="I32" s="375"/>
      <c r="J32" s="376">
        <f t="shared" si="0"/>
        <v>0</v>
      </c>
      <c r="K32" s="377"/>
      <c r="L32" s="378"/>
      <c r="M32" s="1038">
        <f t="shared" si="1"/>
        <v>0</v>
      </c>
    </row>
    <row r="33" spans="2:13" ht="14.25" x14ac:dyDescent="0.2">
      <c r="B33" s="1712"/>
      <c r="C33" s="1713"/>
      <c r="D33" s="373"/>
      <c r="E33" s="374"/>
      <c r="F33" s="375"/>
      <c r="G33" s="375">
        <v>1</v>
      </c>
      <c r="H33" s="376">
        <f t="shared" si="2"/>
        <v>0</v>
      </c>
      <c r="I33" s="375"/>
      <c r="J33" s="376">
        <f t="shared" si="0"/>
        <v>0</v>
      </c>
      <c r="K33" s="377"/>
      <c r="L33" s="378"/>
      <c r="M33" s="1038">
        <f t="shared" si="1"/>
        <v>0</v>
      </c>
    </row>
    <row r="34" spans="2:13" ht="14.25" x14ac:dyDescent="0.2">
      <c r="B34" s="1712"/>
      <c r="C34" s="1713"/>
      <c r="D34" s="373"/>
      <c r="E34" s="374"/>
      <c r="F34" s="375"/>
      <c r="G34" s="375">
        <v>1</v>
      </c>
      <c r="H34" s="376">
        <f t="shared" si="2"/>
        <v>0</v>
      </c>
      <c r="I34" s="375"/>
      <c r="J34" s="376">
        <f t="shared" si="0"/>
        <v>0</v>
      </c>
      <c r="K34" s="377"/>
      <c r="L34" s="378"/>
      <c r="M34" s="1038">
        <f t="shared" si="1"/>
        <v>0</v>
      </c>
    </row>
    <row r="35" spans="2:13" ht="14.25" x14ac:dyDescent="0.2">
      <c r="B35" s="1712"/>
      <c r="C35" s="1713"/>
      <c r="D35" s="373"/>
      <c r="E35" s="374"/>
      <c r="F35" s="375"/>
      <c r="G35" s="375">
        <v>1</v>
      </c>
      <c r="H35" s="376">
        <f t="shared" si="2"/>
        <v>0</v>
      </c>
      <c r="I35" s="375"/>
      <c r="J35" s="376">
        <f t="shared" si="0"/>
        <v>0</v>
      </c>
      <c r="K35" s="377"/>
      <c r="L35" s="378"/>
      <c r="M35" s="1038">
        <f t="shared" si="1"/>
        <v>0</v>
      </c>
    </row>
    <row r="36" spans="2:13" ht="14.25" x14ac:dyDescent="0.2">
      <c r="B36" s="1712"/>
      <c r="C36" s="1713"/>
      <c r="D36" s="373"/>
      <c r="E36" s="374"/>
      <c r="F36" s="375"/>
      <c r="G36" s="375">
        <v>1</v>
      </c>
      <c r="H36" s="376">
        <f t="shared" si="2"/>
        <v>0</v>
      </c>
      <c r="I36" s="375"/>
      <c r="J36" s="376">
        <f t="shared" si="0"/>
        <v>0</v>
      </c>
      <c r="K36" s="377"/>
      <c r="L36" s="378"/>
      <c r="M36" s="1038">
        <f t="shared" si="1"/>
        <v>0</v>
      </c>
    </row>
    <row r="37" spans="2:13" ht="14.25" x14ac:dyDescent="0.2">
      <c r="B37" s="1712"/>
      <c r="C37" s="1713"/>
      <c r="D37" s="373"/>
      <c r="E37" s="374"/>
      <c r="F37" s="375"/>
      <c r="G37" s="375">
        <v>1</v>
      </c>
      <c r="H37" s="376">
        <f t="shared" si="2"/>
        <v>0</v>
      </c>
      <c r="I37" s="375"/>
      <c r="J37" s="376">
        <f t="shared" si="0"/>
        <v>0</v>
      </c>
      <c r="K37" s="377"/>
      <c r="L37" s="378"/>
      <c r="M37" s="1038">
        <f t="shared" si="1"/>
        <v>0</v>
      </c>
    </row>
    <row r="38" spans="2:13" ht="14.25" x14ac:dyDescent="0.2">
      <c r="B38" s="1712"/>
      <c r="C38" s="1713"/>
      <c r="D38" s="373"/>
      <c r="E38" s="374"/>
      <c r="F38" s="375"/>
      <c r="G38" s="375">
        <v>1</v>
      </c>
      <c r="H38" s="376">
        <f t="shared" si="2"/>
        <v>0</v>
      </c>
      <c r="I38" s="375"/>
      <c r="J38" s="376">
        <f t="shared" si="0"/>
        <v>0</v>
      </c>
      <c r="K38" s="377"/>
      <c r="L38" s="378"/>
      <c r="M38" s="1038">
        <f t="shared" si="1"/>
        <v>0</v>
      </c>
    </row>
    <row r="39" spans="2:13" ht="14.25" x14ac:dyDescent="0.2">
      <c r="B39" s="1712"/>
      <c r="C39" s="1713"/>
      <c r="D39" s="373"/>
      <c r="E39" s="374"/>
      <c r="F39" s="375"/>
      <c r="G39" s="375">
        <v>1</v>
      </c>
      <c r="H39" s="376">
        <f t="shared" si="2"/>
        <v>0</v>
      </c>
      <c r="I39" s="375"/>
      <c r="J39" s="376">
        <f t="shared" si="0"/>
        <v>0</v>
      </c>
      <c r="K39" s="377"/>
      <c r="L39" s="378"/>
      <c r="M39" s="1038">
        <f t="shared" si="1"/>
        <v>0</v>
      </c>
    </row>
    <row r="40" spans="2:13" ht="14.25" x14ac:dyDescent="0.2">
      <c r="B40" s="1712"/>
      <c r="C40" s="1713"/>
      <c r="D40" s="373"/>
      <c r="E40" s="374"/>
      <c r="F40" s="375"/>
      <c r="G40" s="375">
        <v>1</v>
      </c>
      <c r="H40" s="376">
        <f t="shared" si="2"/>
        <v>0</v>
      </c>
      <c r="I40" s="375"/>
      <c r="J40" s="376">
        <f>(I40*E40)</f>
        <v>0</v>
      </c>
      <c r="K40" s="377"/>
      <c r="L40" s="378"/>
      <c r="M40" s="1038">
        <f>ROUNDUP(L40*E40,0)</f>
        <v>0</v>
      </c>
    </row>
    <row r="41" spans="2:13" ht="14.25" x14ac:dyDescent="0.2">
      <c r="B41" s="1712"/>
      <c r="C41" s="1713"/>
      <c r="D41" s="373"/>
      <c r="E41" s="374"/>
      <c r="F41" s="375"/>
      <c r="G41" s="375">
        <v>1</v>
      </c>
      <c r="H41" s="376">
        <f t="shared" si="2"/>
        <v>0</v>
      </c>
      <c r="I41" s="375"/>
      <c r="J41" s="376">
        <f>(I41*E41)</f>
        <v>0</v>
      </c>
      <c r="K41" s="377"/>
      <c r="L41" s="378"/>
      <c r="M41" s="1038">
        <f>ROUNDUP(L41*E41,0)</f>
        <v>0</v>
      </c>
    </row>
    <row r="42" spans="2:13" ht="14.25" x14ac:dyDescent="0.2">
      <c r="B42" s="1712"/>
      <c r="C42" s="1713"/>
      <c r="D42" s="373"/>
      <c r="E42" s="374"/>
      <c r="F42" s="375"/>
      <c r="G42" s="375">
        <v>1</v>
      </c>
      <c r="H42" s="376">
        <f t="shared" si="2"/>
        <v>0</v>
      </c>
      <c r="I42" s="375"/>
      <c r="J42" s="376">
        <f>(I42*E42)</f>
        <v>0</v>
      </c>
      <c r="K42" s="377"/>
      <c r="L42" s="378"/>
      <c r="M42" s="1038">
        <f>ROUNDUP(L42*E42,0)</f>
        <v>0</v>
      </c>
    </row>
    <row r="43" spans="2:13" ht="14.25" x14ac:dyDescent="0.2">
      <c r="B43" s="1712"/>
      <c r="C43" s="1713"/>
      <c r="D43" s="373"/>
      <c r="E43" s="374"/>
      <c r="F43" s="375"/>
      <c r="G43" s="375">
        <v>1</v>
      </c>
      <c r="H43" s="376">
        <f t="shared" si="2"/>
        <v>0</v>
      </c>
      <c r="I43" s="375"/>
      <c r="J43" s="376">
        <f>(I43*E43)</f>
        <v>0</v>
      </c>
      <c r="K43" s="377"/>
      <c r="L43" s="378"/>
      <c r="M43" s="1038">
        <f>ROUNDUP(L43*E43,0)</f>
        <v>0</v>
      </c>
    </row>
    <row r="44" spans="2:13" ht="14.25" x14ac:dyDescent="0.2">
      <c r="B44" s="1706"/>
      <c r="C44" s="1708"/>
      <c r="D44" s="380"/>
      <c r="E44" s="380"/>
      <c r="F44" s="381" t="s">
        <v>1149</v>
      </c>
      <c r="G44" s="381"/>
      <c r="H44" s="382">
        <f>SUM(H8:H43)</f>
        <v>798</v>
      </c>
      <c r="I44" s="383"/>
      <c r="J44" s="382">
        <f>SUM(J8:J43)</f>
        <v>0</v>
      </c>
      <c r="K44" s="384"/>
      <c r="L44" s="385"/>
      <c r="M44" s="1039">
        <f>SUM(M8:M43)</f>
        <v>246961</v>
      </c>
    </row>
    <row r="45" spans="2:13" ht="14.25" x14ac:dyDescent="0.2">
      <c r="B45" s="1040"/>
      <c r="C45" s="386"/>
      <c r="D45" s="386"/>
      <c r="E45" s="386"/>
      <c r="F45" s="387"/>
      <c r="G45" s="388"/>
      <c r="H45" s="388"/>
      <c r="I45" s="389"/>
      <c r="J45" s="389"/>
      <c r="K45" s="389"/>
      <c r="L45" s="390"/>
      <c r="M45" s="1041"/>
    </row>
    <row r="46" spans="2:13" ht="42.75" x14ac:dyDescent="0.2">
      <c r="B46" s="1706" t="s">
        <v>1163</v>
      </c>
      <c r="C46" s="1707"/>
      <c r="D46" s="1707"/>
      <c r="E46" s="1707"/>
      <c r="F46" s="1740" t="s">
        <v>198</v>
      </c>
      <c r="G46" s="1740"/>
      <c r="H46" s="1740"/>
      <c r="I46" s="1740"/>
      <c r="J46" s="1741"/>
      <c r="K46" s="372" t="s">
        <v>1164</v>
      </c>
      <c r="L46" s="380" t="s">
        <v>1150</v>
      </c>
      <c r="M46" s="1037" t="s">
        <v>1181</v>
      </c>
    </row>
    <row r="47" spans="2:13" ht="14.25" x14ac:dyDescent="0.2">
      <c r="B47" s="1742"/>
      <c r="C47" s="1743"/>
      <c r="D47" s="1743"/>
      <c r="E47" s="1744"/>
      <c r="F47" s="1748" t="s">
        <v>1165</v>
      </c>
      <c r="G47" s="1749"/>
      <c r="H47" s="1749"/>
      <c r="I47" s="1749"/>
      <c r="J47" s="1750"/>
      <c r="K47" s="391">
        <f>H44</f>
        <v>798</v>
      </c>
      <c r="L47" s="392">
        <f>'Project Cost Recap'!C65</f>
        <v>65</v>
      </c>
      <c r="M47" s="1038">
        <f>ROUNDUP(K47*L47,0)</f>
        <v>51870</v>
      </c>
    </row>
    <row r="48" spans="2:13" ht="14.25" x14ac:dyDescent="0.2">
      <c r="B48" s="1745"/>
      <c r="C48" s="1746"/>
      <c r="D48" s="1746"/>
      <c r="E48" s="1747"/>
      <c r="F48" s="1751" t="s">
        <v>1151</v>
      </c>
      <c r="G48" s="1752"/>
      <c r="H48" s="1752"/>
      <c r="I48" s="1752"/>
      <c r="J48" s="1753"/>
      <c r="K48" s="391">
        <f>J44</f>
        <v>0</v>
      </c>
      <c r="L48" s="393">
        <f>L47*1.15</f>
        <v>74.75</v>
      </c>
      <c r="M48" s="1038">
        <f>ROUNDUP(K48*L48,0)</f>
        <v>0</v>
      </c>
    </row>
    <row r="49" spans="2:13" ht="14.25" x14ac:dyDescent="0.2">
      <c r="B49" s="1745"/>
      <c r="C49" s="1746"/>
      <c r="D49" s="1746"/>
      <c r="E49" s="1747"/>
      <c r="F49" s="1751" t="s">
        <v>453</v>
      </c>
      <c r="G49" s="1752"/>
      <c r="H49" s="1752"/>
      <c r="I49" s="1752"/>
      <c r="J49" s="1753"/>
      <c r="K49" s="394">
        <f>M44</f>
        <v>246961</v>
      </c>
      <c r="L49" s="395"/>
      <c r="M49" s="1038">
        <f>ROUNDUP((M44+(M44*L49)),0)</f>
        <v>246961</v>
      </c>
    </row>
    <row r="50" spans="2:13" ht="14.25" x14ac:dyDescent="0.2">
      <c r="B50" s="1745"/>
      <c r="C50" s="1746"/>
      <c r="D50" s="1746"/>
      <c r="E50" s="1747"/>
      <c r="F50" s="1751" t="s">
        <v>1166</v>
      </c>
      <c r="G50" s="1752"/>
      <c r="H50" s="1752"/>
      <c r="I50" s="1752"/>
      <c r="J50" s="1753"/>
      <c r="K50" s="396"/>
      <c r="L50" s="395">
        <f>'PROJECT INFO'!H14</f>
        <v>8.8099999999999998E-2</v>
      </c>
      <c r="M50" s="1038">
        <f>L50*K49</f>
        <v>21757.2641</v>
      </c>
    </row>
    <row r="51" spans="2:13" ht="14.25" x14ac:dyDescent="0.2">
      <c r="B51" s="1714" t="s">
        <v>1167</v>
      </c>
      <c r="C51" s="1715"/>
      <c r="D51" s="1715"/>
      <c r="E51" s="1715"/>
      <c r="F51" s="1715"/>
      <c r="G51" s="1715"/>
      <c r="H51" s="1715"/>
      <c r="I51" s="1715"/>
      <c r="J51" s="1715"/>
      <c r="K51" s="1715"/>
      <c r="L51" s="1754"/>
      <c r="M51" s="1042">
        <f>SUM(M47:M50)</f>
        <v>320588.26410000003</v>
      </c>
    </row>
    <row r="52" spans="2:13" ht="14.25" x14ac:dyDescent="0.2">
      <c r="B52" s="1040"/>
      <c r="C52" s="386"/>
      <c r="D52" s="386"/>
      <c r="E52" s="386"/>
      <c r="F52" s="387"/>
      <c r="G52" s="388"/>
      <c r="H52" s="388"/>
      <c r="I52" s="389"/>
      <c r="J52" s="389"/>
      <c r="K52" s="389"/>
      <c r="L52" s="390"/>
      <c r="M52" s="1041"/>
    </row>
    <row r="53" spans="2:13" ht="28.5" x14ac:dyDescent="0.2">
      <c r="B53" s="1706" t="s">
        <v>1168</v>
      </c>
      <c r="C53" s="1707"/>
      <c r="D53" s="1707"/>
      <c r="E53" s="1740" t="s">
        <v>198</v>
      </c>
      <c r="F53" s="1740"/>
      <c r="G53" s="1740"/>
      <c r="H53" s="1740"/>
      <c r="I53" s="397" t="s">
        <v>1169</v>
      </c>
      <c r="J53" s="398" t="s">
        <v>1170</v>
      </c>
      <c r="K53" s="380" t="s">
        <v>1171</v>
      </c>
      <c r="L53" s="380" t="s">
        <v>1150</v>
      </c>
      <c r="M53" s="1037" t="s">
        <v>1181</v>
      </c>
    </row>
    <row r="54" spans="2:13" ht="14.25" x14ac:dyDescent="0.2">
      <c r="B54" s="1697"/>
      <c r="C54" s="1698"/>
      <c r="D54" s="1699"/>
      <c r="E54" s="1734" t="s">
        <v>1172</v>
      </c>
      <c r="F54" s="1735"/>
      <c r="G54" s="1735"/>
      <c r="H54" s="1735"/>
      <c r="I54" s="399">
        <f>K47</f>
        <v>798</v>
      </c>
      <c r="J54" s="450">
        <v>0.03</v>
      </c>
      <c r="K54" s="400">
        <f>$J$54*I54</f>
        <v>23.939999999999998</v>
      </c>
      <c r="L54" s="393">
        <f>L47</f>
        <v>65</v>
      </c>
      <c r="M54" s="1038">
        <f>L54*K54</f>
        <v>1556.1</v>
      </c>
    </row>
    <row r="55" spans="2:13" ht="14.25" x14ac:dyDescent="0.2">
      <c r="B55" s="1700"/>
      <c r="C55" s="1701"/>
      <c r="D55" s="1702"/>
      <c r="E55" s="1734" t="s">
        <v>1173</v>
      </c>
      <c r="F55" s="1735"/>
      <c r="G55" s="1735"/>
      <c r="H55" s="1735"/>
      <c r="I55" s="399">
        <f>K47</f>
        <v>798</v>
      </c>
      <c r="J55" s="450">
        <v>0.1</v>
      </c>
      <c r="K55" s="400">
        <f>$J$55*I55</f>
        <v>79.800000000000011</v>
      </c>
      <c r="L55" s="393">
        <f>L54*1.2</f>
        <v>78</v>
      </c>
      <c r="M55" s="1038">
        <f>L55*K55</f>
        <v>6224.4000000000005</v>
      </c>
    </row>
    <row r="56" spans="2:13" ht="14.25" x14ac:dyDescent="0.2">
      <c r="B56" s="1700"/>
      <c r="C56" s="1701"/>
      <c r="D56" s="1702"/>
      <c r="E56" s="1734" t="s">
        <v>1174</v>
      </c>
      <c r="F56" s="1735"/>
      <c r="G56" s="1735"/>
      <c r="H56" s="1735"/>
      <c r="I56" s="399"/>
      <c r="J56" s="395">
        <v>0.01</v>
      </c>
      <c r="K56" s="1736"/>
      <c r="L56" s="1737"/>
      <c r="M56" s="1038">
        <f>J56*$M$47</f>
        <v>518.70000000000005</v>
      </c>
    </row>
    <row r="57" spans="2:13" ht="14.25" x14ac:dyDescent="0.2">
      <c r="B57" s="1703"/>
      <c r="C57" s="1704"/>
      <c r="D57" s="1705"/>
      <c r="E57" s="1734" t="s">
        <v>1175</v>
      </c>
      <c r="F57" s="1735"/>
      <c r="G57" s="1735"/>
      <c r="H57" s="1735"/>
      <c r="I57" s="399"/>
      <c r="J57" s="395">
        <v>0.03</v>
      </c>
      <c r="K57" s="1738"/>
      <c r="L57" s="1739"/>
      <c r="M57" s="1038">
        <f>J57*$M$47</f>
        <v>1556.1</v>
      </c>
    </row>
    <row r="58" spans="2:13" ht="14.25" x14ac:dyDescent="0.2">
      <c r="B58" s="1706" t="s">
        <v>1176</v>
      </c>
      <c r="C58" s="1707"/>
      <c r="D58" s="1707"/>
      <c r="E58" s="1707"/>
      <c r="F58" s="1707"/>
      <c r="G58" s="1707"/>
      <c r="H58" s="1707"/>
      <c r="I58" s="1707"/>
      <c r="J58" s="1707"/>
      <c r="K58" s="1707"/>
      <c r="L58" s="1708"/>
      <c r="M58" s="1042">
        <f>SUM(M54:M57)</f>
        <v>9855.3000000000011</v>
      </c>
    </row>
    <row r="59" spans="2:13" ht="14.25" x14ac:dyDescent="0.2">
      <c r="B59" s="1040"/>
      <c r="C59" s="386"/>
      <c r="D59" s="386"/>
      <c r="E59" s="386"/>
      <c r="F59" s="387"/>
      <c r="G59" s="388"/>
      <c r="H59" s="388"/>
      <c r="I59" s="389"/>
      <c r="J59" s="389"/>
      <c r="K59" s="389"/>
      <c r="L59" s="390"/>
      <c r="M59" s="1041"/>
    </row>
    <row r="60" spans="2:13" ht="57" x14ac:dyDescent="0.2">
      <c r="B60" s="1706" t="s">
        <v>1177</v>
      </c>
      <c r="C60" s="1707"/>
      <c r="D60" s="1707"/>
      <c r="E60" s="1740" t="s">
        <v>198</v>
      </c>
      <c r="F60" s="1740"/>
      <c r="G60" s="1740"/>
      <c r="H60" s="1740"/>
      <c r="I60" s="397" t="s">
        <v>1146</v>
      </c>
      <c r="J60" s="397" t="s">
        <v>1178</v>
      </c>
      <c r="K60" s="401" t="s">
        <v>1179</v>
      </c>
      <c r="L60" s="402" t="s">
        <v>1180</v>
      </c>
      <c r="M60" s="1037" t="s">
        <v>1181</v>
      </c>
    </row>
    <row r="61" spans="2:13" ht="14.25" x14ac:dyDescent="0.2">
      <c r="B61" s="1742"/>
      <c r="C61" s="1743"/>
      <c r="D61" s="1744"/>
      <c r="E61" s="1748" t="s">
        <v>1182</v>
      </c>
      <c r="F61" s="1749"/>
      <c r="G61" s="1749"/>
      <c r="H61" s="1749"/>
      <c r="I61" s="1229" t="s">
        <v>1183</v>
      </c>
      <c r="J61" s="1247">
        <v>1</v>
      </c>
      <c r="K61" s="405">
        <v>0</v>
      </c>
      <c r="L61" s="1248">
        <f>Rentals!B8</f>
        <v>2000</v>
      </c>
      <c r="M61" s="1249">
        <f>L61*K61*J61</f>
        <v>0</v>
      </c>
    </row>
    <row r="62" spans="2:13" ht="14.25" x14ac:dyDescent="0.2">
      <c r="B62" s="1745"/>
      <c r="C62" s="1746"/>
      <c r="D62" s="1747"/>
      <c r="E62" s="1751" t="s">
        <v>1184</v>
      </c>
      <c r="F62" s="1752"/>
      <c r="G62" s="1752"/>
      <c r="H62" s="1752"/>
      <c r="I62" s="1250" t="s">
        <v>2338</v>
      </c>
      <c r="J62" s="1231">
        <v>1</v>
      </c>
      <c r="K62" s="1231">
        <v>0</v>
      </c>
      <c r="L62" s="1251">
        <f>VLOOKUP(I62,Rentals!A$13:C$32,2,FALSE)</f>
        <v>0</v>
      </c>
      <c r="M62" s="1249">
        <f>L62*K62*J62</f>
        <v>0</v>
      </c>
    </row>
    <row r="63" spans="2:13" ht="14.25" x14ac:dyDescent="0.2">
      <c r="B63" s="1745"/>
      <c r="C63" s="1746"/>
      <c r="D63" s="1747"/>
      <c r="E63" s="1751" t="s">
        <v>2339</v>
      </c>
      <c r="F63" s="1752"/>
      <c r="G63" s="1752"/>
      <c r="H63" s="1752"/>
      <c r="I63" s="1250" t="str">
        <f>I62</f>
        <v>…............</v>
      </c>
      <c r="J63" s="403">
        <v>1</v>
      </c>
      <c r="K63" s="405">
        <v>0</v>
      </c>
      <c r="L63" s="871">
        <f>VLOOKUP(I63,Rentals!A$13:C$32,3,FALSE)</f>
        <v>0</v>
      </c>
      <c r="M63" s="1043">
        <f>L63*K63*J63</f>
        <v>0</v>
      </c>
    </row>
    <row r="64" spans="2:13" ht="14.25" x14ac:dyDescent="0.2">
      <c r="B64" s="1745"/>
      <c r="C64" s="1746"/>
      <c r="D64" s="1747"/>
      <c r="E64" s="1751" t="s">
        <v>1186</v>
      </c>
      <c r="F64" s="1752"/>
      <c r="G64" s="1752"/>
      <c r="H64" s="1752"/>
      <c r="I64" s="399" t="s">
        <v>1183</v>
      </c>
      <c r="J64" s="403">
        <v>1</v>
      </c>
      <c r="K64" s="404">
        <v>2</v>
      </c>
      <c r="L64" s="871">
        <f>Rentals!B39</f>
        <v>1000</v>
      </c>
      <c r="M64" s="1043">
        <f>L64*K64*J64</f>
        <v>2000</v>
      </c>
    </row>
    <row r="65" spans="2:13" ht="14.25" x14ac:dyDescent="0.2">
      <c r="B65" s="1745"/>
      <c r="C65" s="1746"/>
      <c r="D65" s="1747"/>
      <c r="E65" s="1755" t="s">
        <v>176</v>
      </c>
      <c r="F65" s="1756"/>
      <c r="G65" s="1756"/>
      <c r="H65" s="1756"/>
      <c r="I65" s="406" t="s">
        <v>1183</v>
      </c>
      <c r="J65" s="403">
        <v>1</v>
      </c>
      <c r="K65" s="404">
        <v>1</v>
      </c>
      <c r="L65" s="871">
        <f>Rentals!B5</f>
        <v>5000</v>
      </c>
      <c r="M65" s="1043">
        <f>L65*K65*J65</f>
        <v>5000</v>
      </c>
    </row>
    <row r="66" spans="2:13" ht="14.25" x14ac:dyDescent="0.2">
      <c r="B66" s="1758" t="s">
        <v>1187</v>
      </c>
      <c r="C66" s="1759"/>
      <c r="D66" s="1759"/>
      <c r="E66" s="1759"/>
      <c r="F66" s="1759"/>
      <c r="G66" s="1759"/>
      <c r="H66" s="1759"/>
      <c r="I66" s="1759"/>
      <c r="J66" s="1759"/>
      <c r="K66" s="1759"/>
      <c r="L66" s="1760"/>
      <c r="M66" s="1042">
        <f>SUM(M61:M65)</f>
        <v>7000</v>
      </c>
    </row>
    <row r="67" spans="2:13" ht="14.25" x14ac:dyDescent="0.2">
      <c r="B67" s="1040"/>
      <c r="C67" s="386"/>
      <c r="D67" s="386"/>
      <c r="E67" s="386"/>
      <c r="F67" s="387"/>
      <c r="G67" s="388"/>
      <c r="H67" s="388"/>
      <c r="I67" s="389"/>
      <c r="J67" s="389"/>
      <c r="K67" s="389"/>
      <c r="L67" s="390"/>
      <c r="M67" s="1041"/>
    </row>
    <row r="68" spans="2:13" ht="14.25" x14ac:dyDescent="0.2">
      <c r="B68" s="1714" t="s">
        <v>1188</v>
      </c>
      <c r="C68" s="1715"/>
      <c r="D68" s="1715"/>
      <c r="E68" s="1715"/>
      <c r="F68" s="1715"/>
      <c r="G68" s="1715"/>
      <c r="H68" s="1715"/>
      <c r="I68" s="1715"/>
      <c r="J68" s="1715"/>
      <c r="K68" s="1715"/>
      <c r="L68" s="1715"/>
      <c r="M68" s="1716"/>
    </row>
    <row r="69" spans="2:13" ht="42.75" x14ac:dyDescent="0.2">
      <c r="B69" s="1761" t="s">
        <v>428</v>
      </c>
      <c r="C69" s="1762"/>
      <c r="D69" s="1762"/>
      <c r="E69" s="1762" t="s">
        <v>657</v>
      </c>
      <c r="F69" s="1762"/>
      <c r="G69" s="1762"/>
      <c r="H69" s="1762"/>
      <c r="I69" s="1762"/>
      <c r="J69" s="873" t="s">
        <v>1189</v>
      </c>
      <c r="K69" s="523" t="s">
        <v>1190</v>
      </c>
      <c r="L69" s="523" t="s">
        <v>1191</v>
      </c>
      <c r="M69" s="1044" t="s">
        <v>1181</v>
      </c>
    </row>
    <row r="70" spans="2:13" ht="14.25" x14ac:dyDescent="0.2">
      <c r="B70" s="1700" t="str">
        <f>'Project Cost Recap'!E23</f>
        <v>PINNACLE</v>
      </c>
      <c r="C70" s="1701"/>
      <c r="D70" s="1702"/>
      <c r="E70" s="1720" t="s">
        <v>580</v>
      </c>
      <c r="F70" s="1721"/>
      <c r="G70" s="1721"/>
      <c r="H70" s="1721"/>
      <c r="I70" s="1722"/>
      <c r="J70" s="407" t="s">
        <v>1192</v>
      </c>
      <c r="K70" s="408">
        <v>1</v>
      </c>
      <c r="L70" s="409">
        <f>Subs!$I$12</f>
        <v>0</v>
      </c>
      <c r="M70" s="1045">
        <f>L70*K70</f>
        <v>0</v>
      </c>
    </row>
    <row r="71" spans="2:13" ht="14.25" x14ac:dyDescent="0.2">
      <c r="B71" s="1700">
        <f>'Project Cost Recap'!E24</f>
        <v>0</v>
      </c>
      <c r="C71" s="1701"/>
      <c r="D71" s="1702"/>
      <c r="E71" s="1720" t="s">
        <v>425</v>
      </c>
      <c r="F71" s="1721"/>
      <c r="G71" s="1721"/>
      <c r="H71" s="1721"/>
      <c r="I71" s="1722"/>
      <c r="J71" s="407" t="s">
        <v>1192</v>
      </c>
      <c r="K71" s="408">
        <v>1</v>
      </c>
      <c r="L71" s="409">
        <f>Subs!$H$25</f>
        <v>0</v>
      </c>
      <c r="M71" s="1045">
        <f>L71*K71</f>
        <v>0</v>
      </c>
    </row>
    <row r="72" spans="2:13" ht="14.25" x14ac:dyDescent="0.2">
      <c r="B72" s="1700">
        <f>'Project Cost Recap'!E25</f>
        <v>0</v>
      </c>
      <c r="C72" s="1701"/>
      <c r="D72" s="1702"/>
      <c r="E72" s="1720" t="s">
        <v>422</v>
      </c>
      <c r="F72" s="1721"/>
      <c r="G72" s="1721"/>
      <c r="H72" s="1721"/>
      <c r="I72" s="1722"/>
      <c r="J72" s="407" t="s">
        <v>1193</v>
      </c>
      <c r="K72" s="408">
        <v>1</v>
      </c>
      <c r="L72" s="409">
        <v>0</v>
      </c>
      <c r="M72" s="1045">
        <f t="shared" ref="M72:M86" si="3">L72*K72</f>
        <v>0</v>
      </c>
    </row>
    <row r="73" spans="2:13" ht="14.25" x14ac:dyDescent="0.2">
      <c r="B73" s="1700">
        <f>'Project Cost Recap'!E26</f>
        <v>0</v>
      </c>
      <c r="C73" s="1701"/>
      <c r="D73" s="1702"/>
      <c r="E73" s="1720" t="s">
        <v>420</v>
      </c>
      <c r="F73" s="1721"/>
      <c r="G73" s="1721"/>
      <c r="H73" s="1721"/>
      <c r="I73" s="1722"/>
      <c r="J73" s="407" t="s">
        <v>1192</v>
      </c>
      <c r="K73" s="408">
        <v>1</v>
      </c>
      <c r="L73" s="409">
        <f>Subs!G51</f>
        <v>0</v>
      </c>
      <c r="M73" s="1045">
        <f t="shared" si="3"/>
        <v>0</v>
      </c>
    </row>
    <row r="74" spans="2:13" ht="14.25" x14ac:dyDescent="0.2">
      <c r="B74" s="1700" t="str">
        <f>'Project Cost Recap'!E27</f>
        <v>3 GEN EXCAVATION</v>
      </c>
      <c r="C74" s="1701"/>
      <c r="D74" s="1702"/>
      <c r="E74" s="1720" t="s">
        <v>417</v>
      </c>
      <c r="F74" s="1721"/>
      <c r="G74" s="1721"/>
      <c r="H74" s="1721"/>
      <c r="I74" s="1722"/>
      <c r="J74" s="407" t="s">
        <v>1192</v>
      </c>
      <c r="K74" s="408">
        <v>1</v>
      </c>
      <c r="L74" s="409">
        <f>Subs!L65</f>
        <v>0</v>
      </c>
      <c r="M74" s="1045">
        <f>L74*K74</f>
        <v>0</v>
      </c>
    </row>
    <row r="75" spans="2:13" ht="14.25" x14ac:dyDescent="0.2">
      <c r="B75" s="1700">
        <f>'Project Cost Recap'!E28</f>
        <v>0</v>
      </c>
      <c r="C75" s="1701"/>
      <c r="D75" s="1702"/>
      <c r="E75" s="1720" t="str">
        <f>'GO-NO-GO CHECKLIST'!B102</f>
        <v>FIRE PROTECTION</v>
      </c>
      <c r="F75" s="1721"/>
      <c r="G75" s="1721"/>
      <c r="H75" s="1721"/>
      <c r="I75" s="1722"/>
      <c r="J75" s="407" t="s">
        <v>1192</v>
      </c>
      <c r="K75" s="408">
        <v>1</v>
      </c>
      <c r="L75" s="409">
        <f>Subs!G77</f>
        <v>0</v>
      </c>
      <c r="M75" s="1045">
        <f t="shared" si="3"/>
        <v>0</v>
      </c>
    </row>
    <row r="76" spans="2:13" ht="14.25" x14ac:dyDescent="0.2">
      <c r="B76" s="1700">
        <f>'Project Cost Recap'!E29</f>
        <v>0</v>
      </c>
      <c r="C76" s="1701"/>
      <c r="D76" s="1702"/>
      <c r="E76" s="1720" t="str">
        <f>'GO-NO-GO CHECKLIST'!B110</f>
        <v>FIRE STOPPING</v>
      </c>
      <c r="F76" s="1721"/>
      <c r="G76" s="1721"/>
      <c r="H76" s="1721"/>
      <c r="I76" s="1722"/>
      <c r="J76" s="407" t="s">
        <v>1193</v>
      </c>
      <c r="K76" s="408">
        <v>1</v>
      </c>
      <c r="L76" s="409">
        <f>Subs!I89</f>
        <v>0</v>
      </c>
      <c r="M76" s="1045">
        <f t="shared" si="3"/>
        <v>0</v>
      </c>
    </row>
    <row r="77" spans="2:13" ht="14.25" x14ac:dyDescent="0.2">
      <c r="B77" s="1700">
        <f>'Project Cost Recap'!E30</f>
        <v>0</v>
      </c>
      <c r="C77" s="1701"/>
      <c r="D77" s="1702"/>
      <c r="E77" s="1720" t="s">
        <v>421</v>
      </c>
      <c r="F77" s="1721"/>
      <c r="G77" s="1721"/>
      <c r="H77" s="1721"/>
      <c r="I77" s="1722"/>
      <c r="J77" s="407" t="s">
        <v>1192</v>
      </c>
      <c r="K77" s="408">
        <v>1</v>
      </c>
      <c r="L77" s="409">
        <f>Subs!G101</f>
        <v>0</v>
      </c>
      <c r="M77" s="1045">
        <f t="shared" si="3"/>
        <v>0</v>
      </c>
    </row>
    <row r="78" spans="2:13" ht="14.25" x14ac:dyDescent="0.2">
      <c r="B78" s="1700" t="str">
        <f>'Project Cost Recap'!E31</f>
        <v>FORTUNATO</v>
      </c>
      <c r="C78" s="1701"/>
      <c r="D78" s="1702"/>
      <c r="E78" s="1720" t="s">
        <v>423</v>
      </c>
      <c r="F78" s="1721"/>
      <c r="G78" s="1721"/>
      <c r="H78" s="1721"/>
      <c r="I78" s="1722"/>
      <c r="J78" s="407" t="s">
        <v>1192</v>
      </c>
      <c r="K78" s="408">
        <v>1</v>
      </c>
      <c r="L78" s="409">
        <f>Subs!K115</f>
        <v>0</v>
      </c>
      <c r="M78" s="1045">
        <f t="shared" si="3"/>
        <v>0</v>
      </c>
    </row>
    <row r="79" spans="2:13" ht="14.25" x14ac:dyDescent="0.2">
      <c r="B79" s="1700">
        <f>'Project Cost Recap'!E32</f>
        <v>0</v>
      </c>
      <c r="C79" s="1701"/>
      <c r="D79" s="1702"/>
      <c r="E79" s="1720" t="s">
        <v>951</v>
      </c>
      <c r="F79" s="1721"/>
      <c r="G79" s="1721"/>
      <c r="H79" s="1721"/>
      <c r="I79" s="1722"/>
      <c r="J79" s="407" t="s">
        <v>1192</v>
      </c>
      <c r="K79" s="408">
        <v>1</v>
      </c>
      <c r="L79" s="409">
        <f>Subs!I127</f>
        <v>0</v>
      </c>
      <c r="M79" s="1045">
        <f t="shared" si="3"/>
        <v>0</v>
      </c>
    </row>
    <row r="80" spans="2:13" ht="14.25" x14ac:dyDescent="0.2">
      <c r="B80" s="1700">
        <f>'Project Cost Recap'!E33</f>
        <v>0</v>
      </c>
      <c r="C80" s="1701"/>
      <c r="D80" s="1702"/>
      <c r="E80" s="1720" t="s">
        <v>426</v>
      </c>
      <c r="F80" s="1721"/>
      <c r="G80" s="1721"/>
      <c r="H80" s="1721"/>
      <c r="I80" s="1722"/>
      <c r="J80" s="407" t="s">
        <v>1192</v>
      </c>
      <c r="K80" s="408">
        <v>1</v>
      </c>
      <c r="L80" s="409">
        <f>Subs!G139</f>
        <v>0</v>
      </c>
      <c r="M80" s="1045">
        <f>L80*K80</f>
        <v>0</v>
      </c>
    </row>
    <row r="81" spans="2:13" ht="14.25" x14ac:dyDescent="0.2">
      <c r="B81" s="1700">
        <f>'Project Cost Recap'!E34</f>
        <v>0</v>
      </c>
      <c r="C81" s="1701"/>
      <c r="D81" s="1702"/>
      <c r="E81" s="1720" t="s">
        <v>1700</v>
      </c>
      <c r="F81" s="1721"/>
      <c r="G81" s="1721"/>
      <c r="H81" s="1721"/>
      <c r="I81" s="1722"/>
      <c r="J81" s="407" t="s">
        <v>1192</v>
      </c>
      <c r="K81" s="408">
        <v>1</v>
      </c>
      <c r="L81" s="409">
        <f>Subs!G151</f>
        <v>0</v>
      </c>
      <c r="M81" s="1045">
        <f t="shared" si="3"/>
        <v>0</v>
      </c>
    </row>
    <row r="82" spans="2:13" ht="14.25" x14ac:dyDescent="0.2">
      <c r="B82" s="1700" t="str">
        <f>'Project Cost Recap'!E35</f>
        <v>AIR SYSTEMS</v>
      </c>
      <c r="C82" s="1701"/>
      <c r="D82" s="1702"/>
      <c r="E82" s="1720" t="s">
        <v>123</v>
      </c>
      <c r="F82" s="1721"/>
      <c r="G82" s="1721"/>
      <c r="H82" s="1721"/>
      <c r="I82" s="1722"/>
      <c r="J82" s="407" t="s">
        <v>1192</v>
      </c>
      <c r="K82" s="408">
        <v>1</v>
      </c>
      <c r="L82" s="409">
        <f>Subs!M163</f>
        <v>10058</v>
      </c>
      <c r="M82" s="1045">
        <f t="shared" si="3"/>
        <v>10058</v>
      </c>
    </row>
    <row r="83" spans="2:13" ht="14.25" x14ac:dyDescent="0.2">
      <c r="B83" s="1700">
        <f>'Project Cost Recap'!E36</f>
        <v>0</v>
      </c>
      <c r="C83" s="1701"/>
      <c r="D83" s="1702"/>
      <c r="E83" s="1720" t="s">
        <v>578</v>
      </c>
      <c r="F83" s="1721"/>
      <c r="G83" s="1721"/>
      <c r="H83" s="1721"/>
      <c r="I83" s="1722"/>
      <c r="J83" s="407" t="s">
        <v>1192</v>
      </c>
      <c r="K83" s="408">
        <v>1</v>
      </c>
      <c r="L83" s="409">
        <f>Subs!G175</f>
        <v>0</v>
      </c>
      <c r="M83" s="1045">
        <f t="shared" si="3"/>
        <v>0</v>
      </c>
    </row>
    <row r="84" spans="2:13" ht="14.25" x14ac:dyDescent="0.2">
      <c r="B84" s="1700" t="str">
        <f>'Project Cost Recap'!E37</f>
        <v>LONG BUILDING TECHNOLOGIES</v>
      </c>
      <c r="C84" s="1701"/>
      <c r="D84" s="1702"/>
      <c r="E84" s="1720" t="s">
        <v>419</v>
      </c>
      <c r="F84" s="1721"/>
      <c r="G84" s="1721"/>
      <c r="H84" s="1721"/>
      <c r="I84" s="1722"/>
      <c r="J84" s="407" t="s">
        <v>1192</v>
      </c>
      <c r="K84" s="408">
        <v>1</v>
      </c>
      <c r="L84" s="409">
        <f>Subs!G186</f>
        <v>14850</v>
      </c>
      <c r="M84" s="1045">
        <f t="shared" si="3"/>
        <v>14850</v>
      </c>
    </row>
    <row r="85" spans="2:13" ht="14.25" x14ac:dyDescent="0.2">
      <c r="B85" s="1700" t="str">
        <f>'Project Cost Recap'!E38</f>
        <v>FINN &amp; ASSOCIATES</v>
      </c>
      <c r="C85" s="1701"/>
      <c r="D85" s="1702"/>
      <c r="E85" s="1720" t="s">
        <v>418</v>
      </c>
      <c r="F85" s="1721"/>
      <c r="G85" s="1721"/>
      <c r="H85" s="1721"/>
      <c r="I85" s="1722"/>
      <c r="J85" s="407" t="s">
        <v>1192</v>
      </c>
      <c r="K85" s="408">
        <v>1</v>
      </c>
      <c r="L85" s="409">
        <f>Subs!K198</f>
        <v>0</v>
      </c>
      <c r="M85" s="1045">
        <f t="shared" si="3"/>
        <v>0</v>
      </c>
    </row>
    <row r="86" spans="2:13" ht="14.25" x14ac:dyDescent="0.2">
      <c r="B86" s="1700">
        <f>'Project Cost Recap'!E39</f>
        <v>0</v>
      </c>
      <c r="C86" s="1701"/>
      <c r="D86" s="1702"/>
      <c r="E86" s="1720" t="str">
        <f>'GO-NO-GO CHECKLIST'!B165</f>
        <v>MISCELLANEOUS (CHANGE TO SUIT)</v>
      </c>
      <c r="F86" s="1721"/>
      <c r="G86" s="1721"/>
      <c r="H86" s="1721"/>
      <c r="I86" s="1722"/>
      <c r="J86" s="407" t="s">
        <v>1192</v>
      </c>
      <c r="K86" s="408">
        <v>1</v>
      </c>
      <c r="L86" s="409">
        <v>50000</v>
      </c>
      <c r="M86" s="1045">
        <f t="shared" si="3"/>
        <v>50000</v>
      </c>
    </row>
    <row r="87" spans="2:13" ht="14.25" x14ac:dyDescent="0.2">
      <c r="B87" s="1700"/>
      <c r="C87" s="1701"/>
      <c r="D87" s="1702"/>
      <c r="E87" s="1717" t="s">
        <v>1194</v>
      </c>
      <c r="F87" s="1718"/>
      <c r="G87" s="1718"/>
      <c r="H87" s="1718"/>
      <c r="I87" s="1719"/>
      <c r="J87" s="407" t="s">
        <v>1192</v>
      </c>
      <c r="K87" s="408">
        <v>1</v>
      </c>
      <c r="L87" s="409">
        <v>0</v>
      </c>
      <c r="M87" s="1045">
        <f>L87*K87</f>
        <v>0</v>
      </c>
    </row>
    <row r="88" spans="2:13" ht="14.25" x14ac:dyDescent="0.2">
      <c r="B88" s="1046"/>
      <c r="C88" s="397"/>
      <c r="D88" s="397"/>
      <c r="E88" s="397"/>
      <c r="F88" s="410" t="s">
        <v>1724</v>
      </c>
      <c r="G88" s="397"/>
      <c r="H88" s="397"/>
      <c r="I88" s="411"/>
      <c r="J88" s="411"/>
      <c r="K88" s="411"/>
      <c r="L88" s="412"/>
      <c r="M88" s="1042">
        <f>SUM(M70:M87)</f>
        <v>74908</v>
      </c>
    </row>
    <row r="89" spans="2:13" ht="14.25" x14ac:dyDescent="0.2">
      <c r="B89" s="1040"/>
      <c r="C89" s="386"/>
      <c r="D89" s="386"/>
      <c r="E89" s="386"/>
      <c r="F89" s="387"/>
      <c r="G89" s="388"/>
      <c r="H89" s="388"/>
      <c r="I89" s="389"/>
      <c r="J89" s="389"/>
      <c r="K89" s="389"/>
      <c r="L89" s="390"/>
      <c r="M89" s="1041"/>
    </row>
    <row r="90" spans="2:13" ht="14.25" x14ac:dyDescent="0.2">
      <c r="B90" s="1202"/>
      <c r="C90" s="1203"/>
      <c r="D90" s="1030"/>
      <c r="E90" s="1204"/>
      <c r="F90" s="410" t="s">
        <v>1195</v>
      </c>
      <c r="G90" s="397"/>
      <c r="H90" s="397"/>
      <c r="I90" s="397" t="s">
        <v>198</v>
      </c>
      <c r="J90" s="397"/>
      <c r="K90" s="614"/>
      <c r="L90" s="380" t="s">
        <v>1150</v>
      </c>
      <c r="M90" s="1037" t="s">
        <v>1181</v>
      </c>
    </row>
    <row r="91" spans="2:13" ht="14.25" x14ac:dyDescent="0.2">
      <c r="B91" s="1205"/>
      <c r="C91" s="1206"/>
      <c r="D91" s="1030"/>
      <c r="E91" s="1204"/>
      <c r="F91" s="405"/>
      <c r="G91" s="1229"/>
      <c r="H91" s="1743" t="s">
        <v>1152</v>
      </c>
      <c r="I91" s="1743"/>
      <c r="J91" s="1743"/>
      <c r="K91" s="1744"/>
      <c r="L91" s="379"/>
      <c r="M91" s="1038">
        <f>M88+M66+M58+M51</f>
        <v>412351.56410000002</v>
      </c>
    </row>
    <row r="92" spans="2:13" ht="14.25" x14ac:dyDescent="0.2">
      <c r="B92" s="1207"/>
      <c r="C92" s="1208"/>
      <c r="D92" s="1209"/>
      <c r="E92" s="1204"/>
      <c r="F92" s="1230"/>
      <c r="G92" s="1231"/>
      <c r="H92" s="1746" t="s">
        <v>1153</v>
      </c>
      <c r="I92" s="1746"/>
      <c r="J92" s="1746"/>
      <c r="K92" s="1747"/>
      <c r="L92" s="413">
        <v>0.1</v>
      </c>
      <c r="M92" s="1038">
        <f>L92*M91</f>
        <v>41235.156410000003</v>
      </c>
    </row>
    <row r="93" spans="2:13" ht="14.25" x14ac:dyDescent="0.2">
      <c r="B93" s="1270" t="s">
        <v>2353</v>
      </c>
      <c r="C93" s="1271" t="str">
        <f>'PROJECT INFO'!$H$12</f>
        <v>DENVER (COMBINED)</v>
      </c>
      <c r="D93" s="1757" t="s">
        <v>2352</v>
      </c>
      <c r="E93" s="1757"/>
      <c r="F93" s="1757"/>
      <c r="G93" s="1757"/>
      <c r="H93" s="1746" t="s">
        <v>2351</v>
      </c>
      <c r="I93" s="1746"/>
      <c r="J93" s="1746"/>
      <c r="K93" s="1747"/>
      <c r="L93" s="613">
        <f>'PROJECT INFO'!I15</f>
        <v>1</v>
      </c>
      <c r="M93" s="1339">
        <f>IF('PROJECT INFO'!$H$15="Yes",VLOOKUP('PROJECT INFO'!$H$12,'Taxes&amp;Permits'!$A$4:$Q$223,9,FALSE),0)</f>
        <v>2523</v>
      </c>
    </row>
    <row r="94" spans="2:13" ht="14.25" x14ac:dyDescent="0.2">
      <c r="B94" s="1207"/>
      <c r="C94" s="1206"/>
      <c r="D94" s="1030"/>
      <c r="E94" s="1204"/>
      <c r="F94" s="1230"/>
      <c r="G94" s="1231"/>
      <c r="H94" s="1746" t="s">
        <v>135</v>
      </c>
      <c r="I94" s="1746"/>
      <c r="J94" s="1746"/>
      <c r="K94" s="1747"/>
      <c r="L94" s="413">
        <v>0.1</v>
      </c>
      <c r="M94" s="1038">
        <f>(M91+M92+M93)*L94</f>
        <v>45610.972051000004</v>
      </c>
    </row>
    <row r="95" spans="2:13" ht="14.25" x14ac:dyDescent="0.2">
      <c r="B95" s="1205"/>
      <c r="C95" s="1206"/>
      <c r="D95" s="1030"/>
      <c r="E95" s="1204"/>
      <c r="F95" s="1230"/>
      <c r="G95" s="1231"/>
      <c r="H95" s="1746" t="s">
        <v>1196</v>
      </c>
      <c r="I95" s="1746"/>
      <c r="J95" s="1746"/>
      <c r="K95" s="1747"/>
      <c r="L95" s="395"/>
      <c r="M95" s="1038">
        <f>SUM(M91:M94)</f>
        <v>501720.692561</v>
      </c>
    </row>
    <row r="96" spans="2:13" ht="14.25" x14ac:dyDescent="0.2">
      <c r="B96" s="1210"/>
      <c r="C96" s="1332" t="s">
        <v>1150</v>
      </c>
      <c r="D96" s="1332" t="s">
        <v>2162</v>
      </c>
      <c r="E96" s="1204" t="s">
        <v>2390</v>
      </c>
      <c r="F96" s="1232" t="s">
        <v>2391</v>
      </c>
      <c r="G96" s="1233"/>
      <c r="H96" s="1775" t="s">
        <v>1197</v>
      </c>
      <c r="I96" s="1775"/>
      <c r="J96" s="1775"/>
      <c r="K96" s="1776"/>
      <c r="L96" s="395">
        <f>'Project Cost Recap'!J48*'PROJECT INFO'!I17</f>
        <v>0</v>
      </c>
      <c r="M96" s="1038">
        <f>M95*L96</f>
        <v>0</v>
      </c>
    </row>
    <row r="97" spans="2:13" ht="14.25" x14ac:dyDescent="0.2">
      <c r="B97" s="1333"/>
      <c r="C97" s="1332">
        <f>'Project Cost Recap'!$D$53</f>
        <v>2.2000000000000001E-3</v>
      </c>
      <c r="D97" s="1334">
        <f>M95</f>
        <v>501720.692561</v>
      </c>
      <c r="E97" s="1335">
        <f>D97*C97</f>
        <v>1103.7855236342</v>
      </c>
      <c r="F97" s="1336">
        <f>'Project Cost Recap'!$K$53</f>
        <v>3750</v>
      </c>
      <c r="G97" s="1331"/>
      <c r="H97" s="1780" t="s">
        <v>248</v>
      </c>
      <c r="I97" s="1780"/>
      <c r="J97" s="1780"/>
      <c r="K97" s="1781"/>
      <c r="L97" s="1330"/>
      <c r="M97" s="1337">
        <f>IF($E97&lt;$F97,($C97*$D97),$F97)*'PROJECT INFO'!$I$21</f>
        <v>1103.7855236342</v>
      </c>
    </row>
    <row r="98" spans="2:13" ht="14.25" x14ac:dyDescent="0.2">
      <c r="B98" s="1333"/>
      <c r="C98" s="1332"/>
      <c r="D98" s="1334"/>
      <c r="E98" s="1335"/>
      <c r="F98" s="1336"/>
      <c r="G98" s="1331"/>
      <c r="H98" s="1780" t="s">
        <v>246</v>
      </c>
      <c r="I98" s="1780"/>
      <c r="J98" s="1780"/>
      <c r="K98" s="1781"/>
      <c r="L98" s="1330">
        <f>'Project Cost Recap'!$F$54</f>
        <v>0.05</v>
      </c>
      <c r="M98" s="1337">
        <f>M97*L98</f>
        <v>55.189276181709999</v>
      </c>
    </row>
    <row r="99" spans="2:13" ht="14.25" x14ac:dyDescent="0.2">
      <c r="B99" s="1204"/>
      <c r="C99" s="1204"/>
      <c r="D99" s="1204"/>
      <c r="E99" s="1204"/>
      <c r="F99" s="1777"/>
      <c r="G99" s="1778"/>
      <c r="H99" s="1778"/>
      <c r="I99" s="1778"/>
      <c r="J99" s="1778"/>
      <c r="K99" s="1779"/>
      <c r="L99" s="410" t="s">
        <v>1198</v>
      </c>
      <c r="M99" s="1039">
        <f>M95+M96+M97+M98</f>
        <v>502879.66736081586</v>
      </c>
    </row>
    <row r="100" spans="2:13" ht="15" thickBot="1" x14ac:dyDescent="0.25">
      <c r="B100" s="1049"/>
      <c r="C100" s="1050"/>
      <c r="D100" s="1050"/>
      <c r="E100" s="1050"/>
      <c r="F100" s="1032"/>
      <c r="G100" s="1031"/>
      <c r="H100" s="1031"/>
      <c r="I100" s="1033"/>
      <c r="J100" s="1033"/>
      <c r="K100" s="1033"/>
      <c r="L100" s="1034"/>
      <c r="M100" s="1048"/>
    </row>
    <row r="101" spans="2:13" ht="20.25" x14ac:dyDescent="0.3">
      <c r="B101" s="1709" t="s">
        <v>2356</v>
      </c>
      <c r="C101" s="1710"/>
      <c r="D101" s="1710"/>
      <c r="E101" s="1710"/>
      <c r="F101" s="1710"/>
      <c r="G101" s="1710"/>
      <c r="H101" s="1710"/>
      <c r="I101" s="1710"/>
      <c r="J101" s="1710"/>
      <c r="K101" s="1710"/>
      <c r="L101" s="1710"/>
      <c r="M101" s="1711"/>
    </row>
    <row r="103" spans="2:13" ht="13.5" thickBot="1" x14ac:dyDescent="0.25">
      <c r="C103" s="1763" t="s">
        <v>2183</v>
      </c>
      <c r="D103" s="1764"/>
      <c r="F103" s="1237" t="s">
        <v>2168</v>
      </c>
      <c r="G103" s="1238"/>
      <c r="H103" s="1238"/>
      <c r="I103" s="1238"/>
      <c r="J103" s="1238"/>
      <c r="K103" s="1238"/>
      <c r="L103" s="1238"/>
      <c r="M103" s="1239"/>
    </row>
    <row r="104" spans="2:13" ht="13.5" customHeight="1" thickBot="1" x14ac:dyDescent="0.25">
      <c r="C104" s="1765" t="s">
        <v>2177</v>
      </c>
      <c r="D104" s="1766"/>
      <c r="F104" s="1605" t="s">
        <v>2169</v>
      </c>
      <c r="G104" s="1605"/>
      <c r="H104" s="1188">
        <f>($M$91+1)</f>
        <v>412352.56410000002</v>
      </c>
      <c r="I104" s="1187"/>
      <c r="J104" s="1187"/>
      <c r="K104" s="1187"/>
      <c r="L104" s="1187"/>
      <c r="M104" s="1187"/>
    </row>
    <row r="105" spans="2:13" ht="39" thickBot="1" x14ac:dyDescent="0.25">
      <c r="B105" s="1234" t="s">
        <v>2184</v>
      </c>
      <c r="C105" s="1765"/>
      <c r="D105" s="1766"/>
      <c r="F105" s="1243" t="s">
        <v>2344</v>
      </c>
      <c r="G105" s="1244" t="s">
        <v>2170</v>
      </c>
      <c r="H105" s="1244" t="s">
        <v>2171</v>
      </c>
      <c r="I105" s="1244" t="s">
        <v>2172</v>
      </c>
      <c r="J105" s="1243" t="s">
        <v>2173</v>
      </c>
      <c r="K105" s="1245" t="s">
        <v>2175</v>
      </c>
      <c r="L105" s="1243" t="s">
        <v>2343</v>
      </c>
      <c r="M105" s="1243" t="s">
        <v>2176</v>
      </c>
    </row>
    <row r="106" spans="2:13" ht="13.5" thickBot="1" x14ac:dyDescent="0.25">
      <c r="B106" s="1236">
        <f>VLOOKUP(1,E106:M113,9,FALSE)</f>
        <v>2523</v>
      </c>
      <c r="C106" s="1765"/>
      <c r="D106" s="1766"/>
      <c r="E106" s="1197">
        <f>IF(AND(F106&gt;=MIN(G106,H106),F106&lt;=MAX(G106,H106)),1,0)</f>
        <v>0</v>
      </c>
      <c r="F106" s="1188">
        <f>H104</f>
        <v>412352.56410000002</v>
      </c>
      <c r="G106" s="1189">
        <v>1</v>
      </c>
      <c r="H106" s="1189">
        <v>500</v>
      </c>
      <c r="I106" s="1189">
        <v>20</v>
      </c>
      <c r="J106" s="1190">
        <v>0</v>
      </c>
      <c r="K106" s="1187"/>
      <c r="L106" s="1191"/>
      <c r="M106" s="1189">
        <f>ROUNDUP(L106+I106,0)</f>
        <v>20</v>
      </c>
    </row>
    <row r="107" spans="2:13" ht="13.5" thickBot="1" x14ac:dyDescent="0.25">
      <c r="C107" s="1765"/>
      <c r="D107" s="1766"/>
      <c r="E107" s="1197">
        <f t="shared" ref="E107:E113" si="4">IF(AND(F107&gt;=MIN(G107,H107),F107&lt;=MAX(G107,H107)),1,0)</f>
        <v>0</v>
      </c>
      <c r="F107" s="1188">
        <f>F106</f>
        <v>412352.56410000002</v>
      </c>
      <c r="G107" s="1189">
        <v>501</v>
      </c>
      <c r="H107" s="1189">
        <v>2000</v>
      </c>
      <c r="I107" s="1189">
        <v>35</v>
      </c>
      <c r="J107" s="1190">
        <v>0</v>
      </c>
      <c r="K107" s="1187"/>
      <c r="L107" s="1191"/>
      <c r="M107" s="1189">
        <f t="shared" ref="M107:M112" si="5">ROUNDUP(L107+I107,0)</f>
        <v>35</v>
      </c>
    </row>
    <row r="108" spans="2:13" ht="13.5" thickBot="1" x14ac:dyDescent="0.25">
      <c r="C108" s="1765"/>
      <c r="D108" s="1766"/>
      <c r="E108" s="1197">
        <f t="shared" si="4"/>
        <v>0</v>
      </c>
      <c r="F108" s="1188">
        <f t="shared" ref="F108:F113" si="6">F107</f>
        <v>412352.56410000002</v>
      </c>
      <c r="G108" s="1189">
        <v>2001</v>
      </c>
      <c r="H108" s="1189">
        <v>25000</v>
      </c>
      <c r="I108" s="1189">
        <v>35</v>
      </c>
      <c r="J108" s="1190">
        <v>8</v>
      </c>
      <c r="K108" s="1192">
        <f>ROUNDUP((F108-2000)/1000,0)</f>
        <v>411</v>
      </c>
      <c r="L108" s="1189">
        <f t="shared" ref="L108:L113" si="7">K108*J108</f>
        <v>3288</v>
      </c>
      <c r="M108" s="1189">
        <f t="shared" si="5"/>
        <v>3323</v>
      </c>
    </row>
    <row r="109" spans="2:13" ht="13.5" thickBot="1" x14ac:dyDescent="0.25">
      <c r="C109" s="1765"/>
      <c r="D109" s="1766"/>
      <c r="E109" s="1197">
        <f t="shared" si="4"/>
        <v>0</v>
      </c>
      <c r="F109" s="1188">
        <f t="shared" si="6"/>
        <v>412352.56410000002</v>
      </c>
      <c r="G109" s="1189">
        <v>25001</v>
      </c>
      <c r="H109" s="1189">
        <v>50000</v>
      </c>
      <c r="I109" s="1189">
        <v>220</v>
      </c>
      <c r="J109" s="1190">
        <v>8</v>
      </c>
      <c r="K109" s="1192">
        <f>ROUNDUP((F109-25000)/1000,0)</f>
        <v>388</v>
      </c>
      <c r="L109" s="1189">
        <f t="shared" si="7"/>
        <v>3104</v>
      </c>
      <c r="M109" s="1189">
        <f t="shared" si="5"/>
        <v>3324</v>
      </c>
    </row>
    <row r="110" spans="2:13" ht="13.5" thickBot="1" x14ac:dyDescent="0.25">
      <c r="C110" s="1765"/>
      <c r="D110" s="1766"/>
      <c r="E110" s="1197">
        <f t="shared" si="4"/>
        <v>0</v>
      </c>
      <c r="F110" s="1188">
        <f t="shared" si="6"/>
        <v>412352.56410000002</v>
      </c>
      <c r="G110" s="1189">
        <v>50001</v>
      </c>
      <c r="H110" s="1189">
        <v>100000</v>
      </c>
      <c r="I110" s="1189">
        <v>420</v>
      </c>
      <c r="J110" s="1190">
        <v>7</v>
      </c>
      <c r="K110" s="1192">
        <f>ROUNDUP((F110-50000)/1000,0)</f>
        <v>363</v>
      </c>
      <c r="L110" s="1189">
        <f t="shared" si="7"/>
        <v>2541</v>
      </c>
      <c r="M110" s="1189">
        <f t="shared" si="5"/>
        <v>2961</v>
      </c>
    </row>
    <row r="111" spans="2:13" ht="13.5" thickBot="1" x14ac:dyDescent="0.25">
      <c r="C111" s="1765"/>
      <c r="D111" s="1766"/>
      <c r="E111" s="1197">
        <f t="shared" si="4"/>
        <v>1</v>
      </c>
      <c r="F111" s="1188">
        <f t="shared" si="6"/>
        <v>412352.56410000002</v>
      </c>
      <c r="G111" s="1189">
        <v>100001</v>
      </c>
      <c r="H111" s="1189">
        <v>500000</v>
      </c>
      <c r="I111" s="1189">
        <v>770</v>
      </c>
      <c r="J111" s="1190">
        <v>5.6</v>
      </c>
      <c r="K111" s="1192">
        <f>ROUNDUP((F111-100000)/1000,0)</f>
        <v>313</v>
      </c>
      <c r="L111" s="1189">
        <f t="shared" si="7"/>
        <v>1752.8</v>
      </c>
      <c r="M111" s="1189">
        <f t="shared" si="5"/>
        <v>2523</v>
      </c>
    </row>
    <row r="112" spans="2:13" ht="13.5" thickBot="1" x14ac:dyDescent="0.25">
      <c r="C112" s="1765"/>
      <c r="D112" s="1766"/>
      <c r="E112" s="1197">
        <f t="shared" si="4"/>
        <v>0</v>
      </c>
      <c r="F112" s="1188">
        <f t="shared" si="6"/>
        <v>412352.56410000002</v>
      </c>
      <c r="G112" s="1189">
        <v>500001</v>
      </c>
      <c r="H112" s="1189">
        <v>1000000</v>
      </c>
      <c r="I112" s="1189">
        <v>3010</v>
      </c>
      <c r="J112" s="1190">
        <v>4.75</v>
      </c>
      <c r="K112" s="1192">
        <f>ROUNDUP((F112-500000)/1000,0)</f>
        <v>-88</v>
      </c>
      <c r="L112" s="1189">
        <f t="shared" si="7"/>
        <v>-418</v>
      </c>
      <c r="M112" s="1189">
        <f t="shared" si="5"/>
        <v>2592</v>
      </c>
    </row>
    <row r="113" spans="2:13" ht="13.5" thickBot="1" x14ac:dyDescent="0.25">
      <c r="C113" s="1765"/>
      <c r="D113" s="1766"/>
      <c r="E113" s="1197">
        <f t="shared" si="4"/>
        <v>0</v>
      </c>
      <c r="F113" s="1188">
        <f t="shared" si="6"/>
        <v>412352.56410000002</v>
      </c>
      <c r="G113" s="1189">
        <v>1000001</v>
      </c>
      <c r="H113" s="1189">
        <v>50000000</v>
      </c>
      <c r="I113" s="1189">
        <v>5385</v>
      </c>
      <c r="J113" s="1190">
        <v>3.65</v>
      </c>
      <c r="K113" s="1192">
        <f>ROUNDUP((F113-1000000)/1000,0)</f>
        <v>-588</v>
      </c>
      <c r="L113" s="1189">
        <f t="shared" si="7"/>
        <v>-2146.1999999999998</v>
      </c>
      <c r="M113" s="1189">
        <f>ROUNDUP(L113+I113,0)</f>
        <v>3239</v>
      </c>
    </row>
    <row r="114" spans="2:13" ht="13.5" thickBot="1" x14ac:dyDescent="0.25">
      <c r="C114" s="1765"/>
      <c r="D114" s="1766"/>
    </row>
    <row r="115" spans="2:13" ht="13.5" thickBot="1" x14ac:dyDescent="0.25">
      <c r="C115" s="1767" t="s">
        <v>2182</v>
      </c>
      <c r="D115" s="1768"/>
      <c r="F115" s="1240" t="s">
        <v>2181</v>
      </c>
      <c r="G115" s="1241"/>
      <c r="H115" s="1241"/>
      <c r="I115" s="1241"/>
      <c r="J115" s="1241"/>
      <c r="K115" s="1241"/>
      <c r="L115" s="1241"/>
      <c r="M115" s="1242"/>
    </row>
    <row r="116" spans="2:13" ht="13.5" customHeight="1" x14ac:dyDescent="0.2">
      <c r="C116" s="1769" t="s">
        <v>2177</v>
      </c>
      <c r="D116" s="1770"/>
      <c r="F116" s="1605" t="s">
        <v>2169</v>
      </c>
      <c r="G116" s="1605"/>
      <c r="H116" s="1188">
        <f>($M$91+1)</f>
        <v>412352.56410000002</v>
      </c>
      <c r="I116" s="1187"/>
      <c r="J116" s="1187"/>
      <c r="K116" s="1187"/>
      <c r="L116" s="1187"/>
      <c r="M116" s="1187"/>
    </row>
    <row r="117" spans="2:13" ht="38.25" x14ac:dyDescent="0.2">
      <c r="B117" s="1234" t="s">
        <v>2185</v>
      </c>
      <c r="C117" s="1771"/>
      <c r="D117" s="1772"/>
      <c r="F117" s="1243" t="s">
        <v>2344</v>
      </c>
      <c r="G117" s="1244" t="s">
        <v>2170</v>
      </c>
      <c r="H117" s="1244" t="s">
        <v>2171</v>
      </c>
      <c r="I117" s="1244" t="s">
        <v>2172</v>
      </c>
      <c r="J117" s="1243" t="s">
        <v>2346</v>
      </c>
      <c r="K117" s="1245" t="s">
        <v>2347</v>
      </c>
      <c r="L117" s="1243" t="s">
        <v>2324</v>
      </c>
      <c r="M117" s="1243" t="s">
        <v>2176</v>
      </c>
    </row>
    <row r="118" spans="2:13" x14ac:dyDescent="0.2">
      <c r="B118" s="1235">
        <f>VLOOKUP(1,E118:M121,9,FALSE)</f>
        <v>15455</v>
      </c>
      <c r="C118" s="1771"/>
      <c r="D118" s="1772"/>
      <c r="E118" s="1197">
        <f>IF(AND(F118&gt;=MIN(G118,H118),F118&lt;=MAX(G118,H118)),1,0)</f>
        <v>0</v>
      </c>
      <c r="F118" s="1188">
        <f>H116</f>
        <v>412352.56410000002</v>
      </c>
      <c r="G118" s="1189">
        <v>1</v>
      </c>
      <c r="H118" s="1189">
        <v>100</v>
      </c>
      <c r="I118" s="1191">
        <v>13.6</v>
      </c>
      <c r="J118" s="1190">
        <v>0</v>
      </c>
      <c r="K118" s="1187"/>
      <c r="L118" s="1191"/>
      <c r="M118" s="1189">
        <f>ROUNDUP(L118+I118,0)</f>
        <v>14</v>
      </c>
    </row>
    <row r="119" spans="2:13" x14ac:dyDescent="0.2">
      <c r="C119" s="1771"/>
      <c r="D119" s="1772"/>
      <c r="E119" s="1197">
        <f>IF(AND(F119&gt;=MIN(G119,H119),F119&lt;=MAX(G119,H119)),1,0)</f>
        <v>0</v>
      </c>
      <c r="F119" s="1188">
        <f>F118</f>
        <v>412352.56410000002</v>
      </c>
      <c r="G119" s="1189">
        <v>101</v>
      </c>
      <c r="H119" s="1189">
        <v>400</v>
      </c>
      <c r="I119" s="1200">
        <v>16.75</v>
      </c>
      <c r="J119" s="1190">
        <v>0</v>
      </c>
      <c r="K119" s="1192">
        <v>0</v>
      </c>
      <c r="L119" s="1189">
        <f>K119*J119</f>
        <v>0</v>
      </c>
      <c r="M119" s="1189">
        <f>ROUNDUP(L119+I119,0)</f>
        <v>17</v>
      </c>
    </row>
    <row r="120" spans="2:13" x14ac:dyDescent="0.2">
      <c r="C120" s="1771"/>
      <c r="D120" s="1772"/>
      <c r="E120" s="1197">
        <f>IF(AND(F120&gt;=MIN(G120,H120),F120&lt;=MAX(G120,H120)),1,0)</f>
        <v>0</v>
      </c>
      <c r="F120" s="1188">
        <f>F119</f>
        <v>412352.56410000002</v>
      </c>
      <c r="G120" s="1189">
        <v>401</v>
      </c>
      <c r="H120" s="1189">
        <v>800</v>
      </c>
      <c r="I120" s="1191">
        <v>19.899999999999999</v>
      </c>
      <c r="J120" s="1190">
        <v>0</v>
      </c>
      <c r="K120" s="1192">
        <v>0</v>
      </c>
      <c r="L120" s="1189">
        <f>K120*J120</f>
        <v>0</v>
      </c>
      <c r="M120" s="1189">
        <f>ROUNDUP(L120+I120,0)</f>
        <v>20</v>
      </c>
    </row>
    <row r="121" spans="2:13" ht="13.5" thickBot="1" x14ac:dyDescent="0.25">
      <c r="C121" s="1773"/>
      <c r="D121" s="1774"/>
      <c r="E121" s="1197">
        <f>IF(AND(F121&gt;=MIN(G121,H121),F121&lt;=MAX(G121,H121)),1,0)</f>
        <v>1</v>
      </c>
      <c r="F121" s="1188">
        <f>F120</f>
        <v>412352.56410000002</v>
      </c>
      <c r="G121" s="1189">
        <v>801</v>
      </c>
      <c r="H121" s="1189">
        <v>50000000</v>
      </c>
      <c r="I121" s="1191">
        <v>19.899999999999999</v>
      </c>
      <c r="J121" s="1190">
        <v>3.75</v>
      </c>
      <c r="K121" s="1192">
        <f>ROUNDUP((F121-800)/100,0)</f>
        <v>4116</v>
      </c>
      <c r="L121" s="1189">
        <f>K121*J121</f>
        <v>15435</v>
      </c>
      <c r="M121" s="1189">
        <f>ROUNDUP(L121+I121,0)</f>
        <v>15455</v>
      </c>
    </row>
    <row r="122" spans="2:13" ht="13.5" thickBot="1" x14ac:dyDescent="0.25">
      <c r="C122" s="1689" t="s">
        <v>2042</v>
      </c>
      <c r="D122" s="1690"/>
      <c r="F122" s="1320" t="s">
        <v>2365</v>
      </c>
      <c r="G122" s="1321"/>
      <c r="H122" s="1321"/>
      <c r="I122" s="1321"/>
      <c r="J122" s="1321"/>
      <c r="K122" s="1321"/>
      <c r="L122" s="1321"/>
      <c r="M122" s="1322"/>
    </row>
    <row r="123" spans="2:13" ht="13.5" customHeight="1" x14ac:dyDescent="0.2">
      <c r="C123" s="1691" t="s">
        <v>2367</v>
      </c>
      <c r="D123" s="1692"/>
      <c r="F123" s="1605" t="s">
        <v>2169</v>
      </c>
      <c r="G123" s="1605"/>
      <c r="H123" s="1188">
        <f>($M$91+1)</f>
        <v>412352.56410000002</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5887</v>
      </c>
      <c r="C125" s="1695"/>
      <c r="D125" s="1696"/>
      <c r="E125" s="1197">
        <f>IF(AND(F125&gt;=MIN(G125,H125),F125&lt;=MAX(G125,H125)),1,0)</f>
        <v>1</v>
      </c>
      <c r="F125" s="1188">
        <f>H123</f>
        <v>412352.56410000002</v>
      </c>
      <c r="G125" s="1189">
        <v>1</v>
      </c>
      <c r="H125" s="1189">
        <v>50000000</v>
      </c>
      <c r="I125" s="1191">
        <v>105</v>
      </c>
      <c r="J125" s="1190">
        <v>14</v>
      </c>
      <c r="K125" s="1192">
        <f>ROUNDUP(F125/1000,0)</f>
        <v>413</v>
      </c>
      <c r="L125" s="1189">
        <f>K125*J125</f>
        <v>5782</v>
      </c>
      <c r="M125" s="1189">
        <f>ROUNDUP(L125+I125,0)</f>
        <v>5887</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A7" sqref="A7:B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B74:D74"/>
    <mergeCell ref="E74:I74"/>
    <mergeCell ref="B80:D80"/>
    <mergeCell ref="E80:I80"/>
    <mergeCell ref="H93:K93"/>
    <mergeCell ref="H92:K92"/>
    <mergeCell ref="H91:K91"/>
    <mergeCell ref="H94:K94"/>
    <mergeCell ref="H95:K95"/>
    <mergeCell ref="H96:K96"/>
    <mergeCell ref="F99:K99"/>
    <mergeCell ref="E81:I81"/>
    <mergeCell ref="E82:I82"/>
    <mergeCell ref="E83:I83"/>
    <mergeCell ref="E84:I84"/>
    <mergeCell ref="B76:D76"/>
    <mergeCell ref="H97:K97"/>
    <mergeCell ref="H98:K98"/>
    <mergeCell ref="E60:H60"/>
    <mergeCell ref="B61:D65"/>
    <mergeCell ref="E61:H61"/>
    <mergeCell ref="E62:H62"/>
    <mergeCell ref="E63:H63"/>
    <mergeCell ref="E64:H64"/>
    <mergeCell ref="E65:H65"/>
    <mergeCell ref="E71:I71"/>
    <mergeCell ref="D93:G93"/>
    <mergeCell ref="E72:I72"/>
    <mergeCell ref="E73:I73"/>
    <mergeCell ref="E75:I75"/>
    <mergeCell ref="E76:I76"/>
    <mergeCell ref="E77:I77"/>
    <mergeCell ref="E78:I78"/>
    <mergeCell ref="E79:I79"/>
    <mergeCell ref="B66:L66"/>
    <mergeCell ref="B69:D69"/>
    <mergeCell ref="B70:D70"/>
    <mergeCell ref="B60:D60"/>
    <mergeCell ref="E70:I70"/>
    <mergeCell ref="E69:I69"/>
    <mergeCell ref="B73:D73"/>
    <mergeCell ref="B75:D75"/>
    <mergeCell ref="E54:H54"/>
    <mergeCell ref="E55:H55"/>
    <mergeCell ref="K56:L57"/>
    <mergeCell ref="E56:H56"/>
    <mergeCell ref="E57:H57"/>
    <mergeCell ref="B36:C36"/>
    <mergeCell ref="B37:C37"/>
    <mergeCell ref="B38:C38"/>
    <mergeCell ref="B39:C39"/>
    <mergeCell ref="B44:C44"/>
    <mergeCell ref="B46:E46"/>
    <mergeCell ref="F46:J46"/>
    <mergeCell ref="B47:E50"/>
    <mergeCell ref="F47:J47"/>
    <mergeCell ref="F48:J48"/>
    <mergeCell ref="F49:J49"/>
    <mergeCell ref="F50:J50"/>
    <mergeCell ref="B40:C40"/>
    <mergeCell ref="B41:C41"/>
    <mergeCell ref="B42:C42"/>
    <mergeCell ref="B43:C43"/>
    <mergeCell ref="B51:L51"/>
    <mergeCell ref="B53:D53"/>
    <mergeCell ref="E53:H53"/>
    <mergeCell ref="B2:M2"/>
    <mergeCell ref="H5:M6"/>
    <mergeCell ref="B7:C7"/>
    <mergeCell ref="B8:C8"/>
    <mergeCell ref="B19:C19"/>
    <mergeCell ref="B20:C20"/>
    <mergeCell ref="B21:C21"/>
    <mergeCell ref="B22:C22"/>
    <mergeCell ref="B23:C23"/>
    <mergeCell ref="B14:C14"/>
    <mergeCell ref="B15:C15"/>
    <mergeCell ref="B16:C16"/>
    <mergeCell ref="B17:C17"/>
    <mergeCell ref="B18:C18"/>
    <mergeCell ref="D3:G3"/>
    <mergeCell ref="E5:G5"/>
    <mergeCell ref="J3:M3"/>
    <mergeCell ref="B9:C9"/>
    <mergeCell ref="B10:C10"/>
    <mergeCell ref="B11:C11"/>
    <mergeCell ref="B12:C12"/>
    <mergeCell ref="B13:C13"/>
    <mergeCell ref="D4:E4"/>
    <mergeCell ref="B29:C29"/>
    <mergeCell ref="B30:C30"/>
    <mergeCell ref="B31:C31"/>
    <mergeCell ref="B32:C32"/>
    <mergeCell ref="B33:C33"/>
    <mergeCell ref="B24:C24"/>
    <mergeCell ref="B25:C25"/>
    <mergeCell ref="B26:C26"/>
    <mergeCell ref="B27:C27"/>
    <mergeCell ref="B28:C28"/>
    <mergeCell ref="F123:G123"/>
    <mergeCell ref="C122:D122"/>
    <mergeCell ref="C123:D125"/>
    <mergeCell ref="B54:D57"/>
    <mergeCell ref="B58:L58"/>
    <mergeCell ref="B101:M101"/>
    <mergeCell ref="B34:C34"/>
    <mergeCell ref="B35:C35"/>
    <mergeCell ref="B87:D87"/>
    <mergeCell ref="B68:M68"/>
    <mergeCell ref="B77:D77"/>
    <mergeCell ref="B78:D78"/>
    <mergeCell ref="B79:D79"/>
    <mergeCell ref="B81:D81"/>
    <mergeCell ref="B82:D82"/>
    <mergeCell ref="B83:D83"/>
    <mergeCell ref="B84:D84"/>
    <mergeCell ref="B85:D85"/>
    <mergeCell ref="B86:D86"/>
    <mergeCell ref="E87:I87"/>
    <mergeCell ref="E85:I85"/>
    <mergeCell ref="E86:I86"/>
    <mergeCell ref="B71:D71"/>
    <mergeCell ref="B72:D72"/>
  </mergeCells>
  <conditionalFormatting sqref="M93">
    <cfRule type="cellIs" dxfId="7"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B6B48F8-C180-409F-B66B-DD0CFFA8A45E}">
          <x14:formula1>
            <xm:f>Rentals!$A$13:$A$35</xm:f>
          </x14:formula1>
          <xm:sqref>I62:I63</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O125"/>
  <sheetViews>
    <sheetView topLeftCell="A24" zoomScale="80" zoomScaleNormal="80" workbookViewId="0">
      <selection activeCell="L9" sqref="L9"/>
    </sheetView>
  </sheetViews>
  <sheetFormatPr defaultRowHeight="12.75" x14ac:dyDescent="0.2"/>
  <cols>
    <col min="1" max="1" width="2.28515625" customWidth="1"/>
    <col min="2" max="2" width="10.42578125" customWidth="1"/>
    <col min="3" max="3" width="30.7109375" customWidth="1"/>
    <col min="4" max="4" width="12.7109375" customWidth="1"/>
    <col min="5" max="5" width="15.42578125" customWidth="1"/>
    <col min="6" max="7" width="12.7109375" customWidth="1"/>
    <col min="8" max="8" width="15.42578125" customWidth="1"/>
    <col min="9" max="9" width="12.7109375" customWidth="1"/>
    <col min="10" max="10" width="14.28515625" customWidth="1"/>
    <col min="11" max="11" width="12.7109375" customWidth="1"/>
    <col min="12" max="12" width="15.28515625" customWidth="1"/>
    <col min="13" max="13" width="16.28515625" bestFit="1" customWidth="1"/>
    <col min="14" max="14" width="2.140625" customWidth="1"/>
  </cols>
  <sheetData>
    <row r="1" spans="2:13" ht="6.75" customHeight="1" thickBot="1" x14ac:dyDescent="0.25"/>
    <row r="2" spans="2:13" ht="14.25" x14ac:dyDescent="0.2">
      <c r="B2" s="1723" t="s">
        <v>1154</v>
      </c>
      <c r="C2" s="1724"/>
      <c r="D2" s="1724"/>
      <c r="E2" s="1724"/>
      <c r="F2" s="1724"/>
      <c r="G2" s="1724"/>
      <c r="H2" s="1724"/>
      <c r="I2" s="1724"/>
      <c r="J2" s="1724"/>
      <c r="K2" s="1724"/>
      <c r="L2" s="1724"/>
      <c r="M2" s="1725"/>
    </row>
    <row r="3" spans="2:13" ht="14.25" x14ac:dyDescent="0.2">
      <c r="B3" s="1035" t="s">
        <v>1155</v>
      </c>
      <c r="C3" s="874"/>
      <c r="D3" s="1730" t="str">
        <f>'PROJECT INFO'!E3</f>
        <v>300 University Boulevard</v>
      </c>
      <c r="E3" s="1730"/>
      <c r="F3" s="1730"/>
      <c r="G3" s="1730"/>
      <c r="H3" s="368" t="s">
        <v>1156</v>
      </c>
      <c r="I3" s="874"/>
      <c r="J3" s="1732"/>
      <c r="K3" s="1732"/>
      <c r="L3" s="1732"/>
      <c r="M3" s="1733"/>
    </row>
    <row r="4" spans="2:13" ht="14.25" x14ac:dyDescent="0.2">
      <c r="B4" s="1035" t="s">
        <v>1157</v>
      </c>
      <c r="C4" s="874"/>
      <c r="D4" s="1730" t="str">
        <f>'PROJECT INFO'!E4</f>
        <v>5888</v>
      </c>
      <c r="E4" s="1730"/>
      <c r="F4" s="369"/>
      <c r="G4" s="369"/>
      <c r="H4" s="369"/>
      <c r="I4" s="369"/>
      <c r="J4" s="369"/>
      <c r="K4" s="369"/>
      <c r="L4" s="369"/>
      <c r="M4" s="1036"/>
    </row>
    <row r="5" spans="2:13" ht="14.25" x14ac:dyDescent="0.2">
      <c r="B5" s="1035" t="s">
        <v>1158</v>
      </c>
      <c r="C5" s="874"/>
      <c r="D5" s="874" t="str">
        <f>'Project Cost Recap'!B66</f>
        <v>#2</v>
      </c>
      <c r="E5" s="1731" t="s">
        <v>91</v>
      </c>
      <c r="F5" s="1731"/>
      <c r="G5" s="1731"/>
      <c r="H5" s="1726" t="str">
        <f>'Project Cost Recap'!E66</f>
        <v>Storm Overflow Drain in PVC</v>
      </c>
      <c r="I5" s="1726"/>
      <c r="J5" s="1726"/>
      <c r="K5" s="1726"/>
      <c r="L5" s="1726"/>
      <c r="M5" s="1727"/>
    </row>
    <row r="6" spans="2:13" ht="14.25" x14ac:dyDescent="0.2">
      <c r="B6" s="1035" t="s">
        <v>1085</v>
      </c>
      <c r="C6" s="370">
        <f ca="1">NOW()</f>
        <v>44718.519324884262</v>
      </c>
      <c r="D6" s="371"/>
      <c r="E6" s="371"/>
      <c r="F6" s="369"/>
      <c r="G6" s="369"/>
      <c r="H6" s="1726"/>
      <c r="I6" s="1726"/>
      <c r="J6" s="1726"/>
      <c r="K6" s="1726"/>
      <c r="L6" s="1726"/>
      <c r="M6" s="1727"/>
    </row>
    <row r="7" spans="2:13" ht="42.75" x14ac:dyDescent="0.2">
      <c r="B7" s="1728" t="s">
        <v>1159</v>
      </c>
      <c r="C7" s="1729"/>
      <c r="D7" s="372" t="s">
        <v>1146</v>
      </c>
      <c r="E7" s="372" t="s">
        <v>124</v>
      </c>
      <c r="F7" s="372" t="s">
        <v>1160</v>
      </c>
      <c r="G7" s="372" t="s">
        <v>1532</v>
      </c>
      <c r="H7" s="372" t="s">
        <v>1147</v>
      </c>
      <c r="I7" s="372" t="s">
        <v>1161</v>
      </c>
      <c r="J7" s="372" t="s">
        <v>1148</v>
      </c>
      <c r="K7" s="372" t="s">
        <v>1162</v>
      </c>
      <c r="L7" s="372" t="s">
        <v>451</v>
      </c>
      <c r="M7" s="1037" t="s">
        <v>1181</v>
      </c>
    </row>
    <row r="8" spans="2:13" ht="14.25" x14ac:dyDescent="0.2">
      <c r="B8" s="1712" t="s">
        <v>2560</v>
      </c>
      <c r="C8" s="1713"/>
      <c r="D8" s="373"/>
      <c r="E8" s="374">
        <v>-644</v>
      </c>
      <c r="F8" s="1431">
        <v>0.59006211180124202</v>
      </c>
      <c r="G8" s="375">
        <v>1</v>
      </c>
      <c r="H8" s="376">
        <f>E8*F8*G8</f>
        <v>-379.99999999999989</v>
      </c>
      <c r="I8" s="375"/>
      <c r="J8" s="376">
        <f t="shared" ref="J8:J43" si="0">(I8*E8)</f>
        <v>0</v>
      </c>
      <c r="K8" s="377"/>
      <c r="L8" s="378">
        <f>28873/-E8</f>
        <v>44.83385093167702</v>
      </c>
      <c r="M8" s="1038">
        <f>ROUNDUP(L8*E8,0)</f>
        <v>-28873</v>
      </c>
    </row>
    <row r="9" spans="2:13" ht="14.25" x14ac:dyDescent="0.2">
      <c r="B9" s="1712" t="s">
        <v>2559</v>
      </c>
      <c r="C9" s="1713"/>
      <c r="D9" s="373"/>
      <c r="E9" s="374">
        <v>644</v>
      </c>
      <c r="F9" s="1431">
        <f>338/E9</f>
        <v>0.52484472049689446</v>
      </c>
      <c r="G9" s="375">
        <v>1</v>
      </c>
      <c r="H9" s="376">
        <f t="shared" ref="H9:H43" si="1">E9*F9*G9</f>
        <v>338.00000000000006</v>
      </c>
      <c r="I9" s="375"/>
      <c r="J9" s="376">
        <f t="shared" si="0"/>
        <v>0</v>
      </c>
      <c r="K9" s="377"/>
      <c r="L9" s="378">
        <f>16718/644</f>
        <v>25.959627329192546</v>
      </c>
      <c r="M9" s="1038">
        <f>ROUNDUP(L9*E9,0)</f>
        <v>16718</v>
      </c>
    </row>
    <row r="10" spans="2:13" ht="14.25" x14ac:dyDescent="0.2">
      <c r="B10" s="1712"/>
      <c r="C10" s="1713"/>
      <c r="D10" s="373"/>
      <c r="E10" s="374"/>
      <c r="F10" s="375"/>
      <c r="G10" s="375">
        <v>1</v>
      </c>
      <c r="H10" s="376">
        <f t="shared" si="1"/>
        <v>0</v>
      </c>
      <c r="I10" s="375"/>
      <c r="J10" s="376">
        <f t="shared" si="0"/>
        <v>0</v>
      </c>
      <c r="K10" s="377"/>
      <c r="L10" s="378"/>
      <c r="M10" s="1038">
        <f t="shared" ref="M10:M43" si="2">ROUNDUP(L10*E10,0)</f>
        <v>0</v>
      </c>
    </row>
    <row r="11" spans="2:13" ht="14.25" x14ac:dyDescent="0.2">
      <c r="B11" s="1712"/>
      <c r="C11" s="1713"/>
      <c r="D11" s="373"/>
      <c r="E11" s="374"/>
      <c r="F11" s="375"/>
      <c r="G11" s="375">
        <v>1</v>
      </c>
      <c r="H11" s="376">
        <f t="shared" si="1"/>
        <v>0</v>
      </c>
      <c r="I11" s="375"/>
      <c r="J11" s="376">
        <f t="shared" si="0"/>
        <v>0</v>
      </c>
      <c r="K11" s="377"/>
      <c r="L11" s="378"/>
      <c r="M11" s="1038">
        <f t="shared" si="2"/>
        <v>0</v>
      </c>
    </row>
    <row r="12" spans="2:13" ht="14.25" x14ac:dyDescent="0.2">
      <c r="B12" s="1712"/>
      <c r="C12" s="1713"/>
      <c r="D12" s="373"/>
      <c r="E12" s="374"/>
      <c r="F12" s="375"/>
      <c r="G12" s="375">
        <v>1</v>
      </c>
      <c r="H12" s="376">
        <f t="shared" si="1"/>
        <v>0</v>
      </c>
      <c r="I12" s="375"/>
      <c r="J12" s="376">
        <f t="shared" si="0"/>
        <v>0</v>
      </c>
      <c r="K12" s="377"/>
      <c r="L12" s="378"/>
      <c r="M12" s="1038">
        <f t="shared" si="2"/>
        <v>0</v>
      </c>
    </row>
    <row r="13" spans="2:13" ht="14.25" x14ac:dyDescent="0.2">
      <c r="B13" s="1712"/>
      <c r="C13" s="1713"/>
      <c r="D13" s="373"/>
      <c r="E13" s="374"/>
      <c r="F13" s="375"/>
      <c r="G13" s="375">
        <v>1</v>
      </c>
      <c r="H13" s="376">
        <f t="shared" si="1"/>
        <v>0</v>
      </c>
      <c r="I13" s="375"/>
      <c r="J13" s="376">
        <f t="shared" si="0"/>
        <v>0</v>
      </c>
      <c r="K13" s="377"/>
      <c r="L13" s="378"/>
      <c r="M13" s="1038">
        <f t="shared" si="2"/>
        <v>0</v>
      </c>
    </row>
    <row r="14" spans="2:13" ht="14.25" x14ac:dyDescent="0.2">
      <c r="B14" s="1712"/>
      <c r="C14" s="1713"/>
      <c r="D14" s="373"/>
      <c r="E14" s="374"/>
      <c r="F14" s="375"/>
      <c r="G14" s="375">
        <v>1</v>
      </c>
      <c r="H14" s="376">
        <f t="shared" si="1"/>
        <v>0</v>
      </c>
      <c r="I14" s="375"/>
      <c r="J14" s="376">
        <f t="shared" si="0"/>
        <v>0</v>
      </c>
      <c r="K14" s="377"/>
      <c r="L14" s="378"/>
      <c r="M14" s="1038">
        <f t="shared" si="2"/>
        <v>0</v>
      </c>
    </row>
    <row r="15" spans="2:13" ht="14.25" x14ac:dyDescent="0.2">
      <c r="B15" s="1712"/>
      <c r="C15" s="1713"/>
      <c r="D15" s="373"/>
      <c r="E15" s="374"/>
      <c r="F15" s="375"/>
      <c r="G15" s="375">
        <v>1</v>
      </c>
      <c r="H15" s="376">
        <f t="shared" si="1"/>
        <v>0</v>
      </c>
      <c r="I15" s="375"/>
      <c r="J15" s="376">
        <f t="shared" si="0"/>
        <v>0</v>
      </c>
      <c r="K15" s="377"/>
      <c r="L15" s="378"/>
      <c r="M15" s="1038">
        <f t="shared" si="2"/>
        <v>0</v>
      </c>
    </row>
    <row r="16" spans="2:13" ht="14.25" x14ac:dyDescent="0.2">
      <c r="B16" s="1712"/>
      <c r="C16" s="1713"/>
      <c r="D16" s="373"/>
      <c r="E16" s="374"/>
      <c r="F16" s="375"/>
      <c r="G16" s="375">
        <v>1</v>
      </c>
      <c r="H16" s="376">
        <f t="shared" si="1"/>
        <v>0</v>
      </c>
      <c r="I16" s="375"/>
      <c r="J16" s="376">
        <f t="shared" si="0"/>
        <v>0</v>
      </c>
      <c r="K16" s="377"/>
      <c r="L16" s="378"/>
      <c r="M16" s="1038">
        <f t="shared" si="2"/>
        <v>0</v>
      </c>
    </row>
    <row r="17" spans="2:13" ht="14.25" x14ac:dyDescent="0.2">
      <c r="B17" s="1712"/>
      <c r="C17" s="1713"/>
      <c r="D17" s="373"/>
      <c r="E17" s="374"/>
      <c r="F17" s="375"/>
      <c r="G17" s="375">
        <v>1</v>
      </c>
      <c r="H17" s="376">
        <f t="shared" si="1"/>
        <v>0</v>
      </c>
      <c r="I17" s="375"/>
      <c r="J17" s="376">
        <f t="shared" si="0"/>
        <v>0</v>
      </c>
      <c r="K17" s="377"/>
      <c r="L17" s="378"/>
      <c r="M17" s="1038">
        <f t="shared" si="2"/>
        <v>0</v>
      </c>
    </row>
    <row r="18" spans="2:13" ht="14.25" x14ac:dyDescent="0.2">
      <c r="B18" s="1712"/>
      <c r="C18" s="1713"/>
      <c r="D18" s="373"/>
      <c r="E18" s="374"/>
      <c r="F18" s="375"/>
      <c r="G18" s="375">
        <v>1</v>
      </c>
      <c r="H18" s="376">
        <f t="shared" si="1"/>
        <v>0</v>
      </c>
      <c r="I18" s="375"/>
      <c r="J18" s="376">
        <f t="shared" si="0"/>
        <v>0</v>
      </c>
      <c r="K18" s="377"/>
      <c r="L18" s="378"/>
      <c r="M18" s="1038">
        <f t="shared" si="2"/>
        <v>0</v>
      </c>
    </row>
    <row r="19" spans="2:13" ht="14.25" x14ac:dyDescent="0.2">
      <c r="B19" s="1712"/>
      <c r="C19" s="1713"/>
      <c r="D19" s="373"/>
      <c r="E19" s="374"/>
      <c r="F19" s="375"/>
      <c r="G19" s="375">
        <v>1</v>
      </c>
      <c r="H19" s="376">
        <f t="shared" si="1"/>
        <v>0</v>
      </c>
      <c r="I19" s="375"/>
      <c r="J19" s="376">
        <f t="shared" si="0"/>
        <v>0</v>
      </c>
      <c r="K19" s="377"/>
      <c r="L19" s="378"/>
      <c r="M19" s="1038">
        <f t="shared" si="2"/>
        <v>0</v>
      </c>
    </row>
    <row r="20" spans="2:13" ht="14.25" x14ac:dyDescent="0.2">
      <c r="B20" s="1712"/>
      <c r="C20" s="1713"/>
      <c r="D20" s="373"/>
      <c r="E20" s="374"/>
      <c r="F20" s="375"/>
      <c r="G20" s="375">
        <v>1</v>
      </c>
      <c r="H20" s="376">
        <f t="shared" si="1"/>
        <v>0</v>
      </c>
      <c r="I20" s="375"/>
      <c r="J20" s="376">
        <f t="shared" si="0"/>
        <v>0</v>
      </c>
      <c r="K20" s="377"/>
      <c r="L20" s="378"/>
      <c r="M20" s="1038">
        <f t="shared" si="2"/>
        <v>0</v>
      </c>
    </row>
    <row r="21" spans="2:13" ht="14.25" x14ac:dyDescent="0.2">
      <c r="B21" s="1712"/>
      <c r="C21" s="1713"/>
      <c r="D21" s="373"/>
      <c r="E21" s="374"/>
      <c r="F21" s="375"/>
      <c r="G21" s="375">
        <v>1</v>
      </c>
      <c r="H21" s="376">
        <f t="shared" si="1"/>
        <v>0</v>
      </c>
      <c r="I21" s="375"/>
      <c r="J21" s="376">
        <f t="shared" si="0"/>
        <v>0</v>
      </c>
      <c r="K21" s="377"/>
      <c r="L21" s="378"/>
      <c r="M21" s="1038">
        <f t="shared" si="2"/>
        <v>0</v>
      </c>
    </row>
    <row r="22" spans="2:13" ht="14.25" x14ac:dyDescent="0.2">
      <c r="B22" s="1712"/>
      <c r="C22" s="1713"/>
      <c r="D22" s="373"/>
      <c r="E22" s="374"/>
      <c r="F22" s="375"/>
      <c r="G22" s="375">
        <v>1</v>
      </c>
      <c r="H22" s="376">
        <f t="shared" si="1"/>
        <v>0</v>
      </c>
      <c r="I22" s="375"/>
      <c r="J22" s="376">
        <f t="shared" si="0"/>
        <v>0</v>
      </c>
      <c r="K22" s="377"/>
      <c r="L22" s="378"/>
      <c r="M22" s="1038">
        <f t="shared" si="2"/>
        <v>0</v>
      </c>
    </row>
    <row r="23" spans="2:13" ht="14.25" x14ac:dyDescent="0.2">
      <c r="B23" s="1712"/>
      <c r="C23" s="1713"/>
      <c r="D23" s="373"/>
      <c r="E23" s="374"/>
      <c r="F23" s="375"/>
      <c r="G23" s="375">
        <v>1</v>
      </c>
      <c r="H23" s="376">
        <f t="shared" si="1"/>
        <v>0</v>
      </c>
      <c r="I23" s="375"/>
      <c r="J23" s="376">
        <f t="shared" si="0"/>
        <v>0</v>
      </c>
      <c r="K23" s="377"/>
      <c r="L23" s="378"/>
      <c r="M23" s="1038">
        <f t="shared" si="2"/>
        <v>0</v>
      </c>
    </row>
    <row r="24" spans="2:13" ht="14.25" x14ac:dyDescent="0.2">
      <c r="B24" s="1712"/>
      <c r="C24" s="1713"/>
      <c r="D24" s="373"/>
      <c r="E24" s="374"/>
      <c r="F24" s="375"/>
      <c r="G24" s="375">
        <v>1</v>
      </c>
      <c r="H24" s="376">
        <f t="shared" si="1"/>
        <v>0</v>
      </c>
      <c r="I24" s="375"/>
      <c r="J24" s="376">
        <f t="shared" si="0"/>
        <v>0</v>
      </c>
      <c r="K24" s="377"/>
      <c r="L24" s="378"/>
      <c r="M24" s="1038">
        <f t="shared" si="2"/>
        <v>0</v>
      </c>
    </row>
    <row r="25" spans="2:13" ht="14.25" x14ac:dyDescent="0.2">
      <c r="B25" s="1712"/>
      <c r="C25" s="1713"/>
      <c r="D25" s="373"/>
      <c r="E25" s="374"/>
      <c r="F25" s="375"/>
      <c r="G25" s="375">
        <v>1</v>
      </c>
      <c r="H25" s="376">
        <f t="shared" si="1"/>
        <v>0</v>
      </c>
      <c r="I25" s="375"/>
      <c r="J25" s="376">
        <f t="shared" si="0"/>
        <v>0</v>
      </c>
      <c r="K25" s="377"/>
      <c r="L25" s="378"/>
      <c r="M25" s="1038">
        <f t="shared" si="2"/>
        <v>0</v>
      </c>
    </row>
    <row r="26" spans="2:13" ht="14.25" x14ac:dyDescent="0.2">
      <c r="B26" s="1712"/>
      <c r="C26" s="1713"/>
      <c r="D26" s="373"/>
      <c r="E26" s="374"/>
      <c r="F26" s="375"/>
      <c r="G26" s="375">
        <v>1</v>
      </c>
      <c r="H26" s="376">
        <f t="shared" si="1"/>
        <v>0</v>
      </c>
      <c r="I26" s="375"/>
      <c r="J26" s="376">
        <f t="shared" si="0"/>
        <v>0</v>
      </c>
      <c r="K26" s="377"/>
      <c r="L26" s="378"/>
      <c r="M26" s="1038">
        <f t="shared" si="2"/>
        <v>0</v>
      </c>
    </row>
    <row r="27" spans="2:13" ht="14.25" x14ac:dyDescent="0.2">
      <c r="B27" s="1712"/>
      <c r="C27" s="1713"/>
      <c r="D27" s="373"/>
      <c r="E27" s="374"/>
      <c r="F27" s="375"/>
      <c r="G27" s="375">
        <v>1</v>
      </c>
      <c r="H27" s="376">
        <f t="shared" si="1"/>
        <v>0</v>
      </c>
      <c r="I27" s="375"/>
      <c r="J27" s="376">
        <f t="shared" si="0"/>
        <v>0</v>
      </c>
      <c r="K27" s="377"/>
      <c r="L27" s="378"/>
      <c r="M27" s="1038">
        <f t="shared" si="2"/>
        <v>0</v>
      </c>
    </row>
    <row r="28" spans="2:13" ht="14.25" x14ac:dyDescent="0.2">
      <c r="B28" s="1712"/>
      <c r="C28" s="1713"/>
      <c r="D28" s="373"/>
      <c r="E28" s="374"/>
      <c r="F28" s="375"/>
      <c r="G28" s="375">
        <v>1</v>
      </c>
      <c r="H28" s="376">
        <f t="shared" si="1"/>
        <v>0</v>
      </c>
      <c r="I28" s="375"/>
      <c r="J28" s="376">
        <f t="shared" si="0"/>
        <v>0</v>
      </c>
      <c r="K28" s="377"/>
      <c r="L28" s="378"/>
      <c r="M28" s="1038">
        <f t="shared" si="2"/>
        <v>0</v>
      </c>
    </row>
    <row r="29" spans="2:13" ht="14.25" x14ac:dyDescent="0.2">
      <c r="B29" s="1712"/>
      <c r="C29" s="1713"/>
      <c r="D29" s="373"/>
      <c r="E29" s="374"/>
      <c r="F29" s="375"/>
      <c r="G29" s="375">
        <v>1</v>
      </c>
      <c r="H29" s="376">
        <f t="shared" si="1"/>
        <v>0</v>
      </c>
      <c r="I29" s="375"/>
      <c r="J29" s="376">
        <f t="shared" si="0"/>
        <v>0</v>
      </c>
      <c r="K29" s="377"/>
      <c r="L29" s="378"/>
      <c r="M29" s="1038">
        <f t="shared" si="2"/>
        <v>0</v>
      </c>
    </row>
    <row r="30" spans="2:13" ht="14.25" x14ac:dyDescent="0.2">
      <c r="B30" s="1712"/>
      <c r="C30" s="1713"/>
      <c r="D30" s="373"/>
      <c r="E30" s="374"/>
      <c r="F30" s="375"/>
      <c r="G30" s="375">
        <v>1</v>
      </c>
      <c r="H30" s="376">
        <f t="shared" si="1"/>
        <v>0</v>
      </c>
      <c r="I30" s="375"/>
      <c r="J30" s="376">
        <f t="shared" si="0"/>
        <v>0</v>
      </c>
      <c r="K30" s="377"/>
      <c r="L30" s="378"/>
      <c r="M30" s="1038">
        <f t="shared" si="2"/>
        <v>0</v>
      </c>
    </row>
    <row r="31" spans="2:13" ht="14.25" x14ac:dyDescent="0.2">
      <c r="B31" s="1712"/>
      <c r="C31" s="1713"/>
      <c r="D31" s="373"/>
      <c r="E31" s="374"/>
      <c r="F31" s="375"/>
      <c r="G31" s="375">
        <v>1</v>
      </c>
      <c r="H31" s="376">
        <f t="shared" si="1"/>
        <v>0</v>
      </c>
      <c r="I31" s="375"/>
      <c r="J31" s="376">
        <f t="shared" si="0"/>
        <v>0</v>
      </c>
      <c r="K31" s="377"/>
      <c r="L31" s="378"/>
      <c r="M31" s="1038">
        <f t="shared" si="2"/>
        <v>0</v>
      </c>
    </row>
    <row r="32" spans="2:13" ht="14.25" x14ac:dyDescent="0.2">
      <c r="B32" s="1712"/>
      <c r="C32" s="1713"/>
      <c r="D32" s="373"/>
      <c r="E32" s="374"/>
      <c r="F32" s="375"/>
      <c r="G32" s="375">
        <v>1</v>
      </c>
      <c r="H32" s="376">
        <f t="shared" si="1"/>
        <v>0</v>
      </c>
      <c r="I32" s="375"/>
      <c r="J32" s="376">
        <f t="shared" si="0"/>
        <v>0</v>
      </c>
      <c r="K32" s="377"/>
      <c r="L32" s="378"/>
      <c r="M32" s="1038">
        <f t="shared" si="2"/>
        <v>0</v>
      </c>
    </row>
    <row r="33" spans="2:13" ht="14.25" x14ac:dyDescent="0.2">
      <c r="B33" s="1712"/>
      <c r="C33" s="1713"/>
      <c r="D33" s="373"/>
      <c r="E33" s="374"/>
      <c r="F33" s="375"/>
      <c r="G33" s="375">
        <v>1</v>
      </c>
      <c r="H33" s="376">
        <f t="shared" si="1"/>
        <v>0</v>
      </c>
      <c r="I33" s="375"/>
      <c r="J33" s="376">
        <f t="shared" si="0"/>
        <v>0</v>
      </c>
      <c r="K33" s="377"/>
      <c r="L33" s="378"/>
      <c r="M33" s="1038">
        <f t="shared" si="2"/>
        <v>0</v>
      </c>
    </row>
    <row r="34" spans="2:13" ht="14.25" x14ac:dyDescent="0.2">
      <c r="B34" s="1712"/>
      <c r="C34" s="1713"/>
      <c r="D34" s="373"/>
      <c r="E34" s="374"/>
      <c r="F34" s="375"/>
      <c r="G34" s="375">
        <v>1</v>
      </c>
      <c r="H34" s="376">
        <f t="shared" si="1"/>
        <v>0</v>
      </c>
      <c r="I34" s="375"/>
      <c r="J34" s="376">
        <f t="shared" si="0"/>
        <v>0</v>
      </c>
      <c r="K34" s="377"/>
      <c r="L34" s="378"/>
      <c r="M34" s="1038">
        <f t="shared" si="2"/>
        <v>0</v>
      </c>
    </row>
    <row r="35" spans="2:13" ht="14.25" x14ac:dyDescent="0.2">
      <c r="B35" s="1712"/>
      <c r="C35" s="1713"/>
      <c r="D35" s="373"/>
      <c r="E35" s="374"/>
      <c r="F35" s="375"/>
      <c r="G35" s="375">
        <v>1</v>
      </c>
      <c r="H35" s="376">
        <f t="shared" si="1"/>
        <v>0</v>
      </c>
      <c r="I35" s="375"/>
      <c r="J35" s="376">
        <f t="shared" si="0"/>
        <v>0</v>
      </c>
      <c r="K35" s="377"/>
      <c r="L35" s="378"/>
      <c r="M35" s="1038">
        <f t="shared" si="2"/>
        <v>0</v>
      </c>
    </row>
    <row r="36" spans="2:13" ht="14.25" x14ac:dyDescent="0.2">
      <c r="B36" s="1712"/>
      <c r="C36" s="1713"/>
      <c r="D36" s="373"/>
      <c r="E36" s="374"/>
      <c r="F36" s="375"/>
      <c r="G36" s="375">
        <v>1</v>
      </c>
      <c r="H36" s="376">
        <f t="shared" si="1"/>
        <v>0</v>
      </c>
      <c r="I36" s="375"/>
      <c r="J36" s="376">
        <f t="shared" si="0"/>
        <v>0</v>
      </c>
      <c r="K36" s="377"/>
      <c r="L36" s="378"/>
      <c r="M36" s="1038">
        <f t="shared" si="2"/>
        <v>0</v>
      </c>
    </row>
    <row r="37" spans="2:13" ht="14.25" x14ac:dyDescent="0.2">
      <c r="B37" s="1712"/>
      <c r="C37" s="1713"/>
      <c r="D37" s="373"/>
      <c r="E37" s="374"/>
      <c r="F37" s="375"/>
      <c r="G37" s="375">
        <v>1</v>
      </c>
      <c r="H37" s="376">
        <f t="shared" si="1"/>
        <v>0</v>
      </c>
      <c r="I37" s="375"/>
      <c r="J37" s="376">
        <f t="shared" si="0"/>
        <v>0</v>
      </c>
      <c r="K37" s="377"/>
      <c r="L37" s="378"/>
      <c r="M37" s="1038">
        <f t="shared" si="2"/>
        <v>0</v>
      </c>
    </row>
    <row r="38" spans="2:13" ht="14.25" x14ac:dyDescent="0.2">
      <c r="B38" s="1712"/>
      <c r="C38" s="1713"/>
      <c r="D38" s="373"/>
      <c r="E38" s="374"/>
      <c r="F38" s="375"/>
      <c r="G38" s="375">
        <v>1</v>
      </c>
      <c r="H38" s="376">
        <f t="shared" si="1"/>
        <v>0</v>
      </c>
      <c r="I38" s="375"/>
      <c r="J38" s="376">
        <f t="shared" si="0"/>
        <v>0</v>
      </c>
      <c r="K38" s="377"/>
      <c r="L38" s="378"/>
      <c r="M38" s="1038">
        <f t="shared" si="2"/>
        <v>0</v>
      </c>
    </row>
    <row r="39" spans="2:13" ht="14.25" x14ac:dyDescent="0.2">
      <c r="B39" s="1712"/>
      <c r="C39" s="1713"/>
      <c r="D39" s="373"/>
      <c r="E39" s="374"/>
      <c r="F39" s="375"/>
      <c r="G39" s="375">
        <v>1</v>
      </c>
      <c r="H39" s="376">
        <f t="shared" si="1"/>
        <v>0</v>
      </c>
      <c r="I39" s="375"/>
      <c r="J39" s="376">
        <f t="shared" si="0"/>
        <v>0</v>
      </c>
      <c r="K39" s="377"/>
      <c r="L39" s="378"/>
      <c r="M39" s="1038">
        <f t="shared" si="2"/>
        <v>0</v>
      </c>
    </row>
    <row r="40" spans="2:13" ht="14.25" x14ac:dyDescent="0.2">
      <c r="B40" s="1712"/>
      <c r="C40" s="1713"/>
      <c r="D40" s="373"/>
      <c r="E40" s="374"/>
      <c r="F40" s="375"/>
      <c r="G40" s="375">
        <v>1</v>
      </c>
      <c r="H40" s="376">
        <f t="shared" si="1"/>
        <v>0</v>
      </c>
      <c r="I40" s="375"/>
      <c r="J40" s="376">
        <f t="shared" si="0"/>
        <v>0</v>
      </c>
      <c r="K40" s="377"/>
      <c r="L40" s="378"/>
      <c r="M40" s="1038">
        <f t="shared" si="2"/>
        <v>0</v>
      </c>
    </row>
    <row r="41" spans="2:13" ht="14.25" x14ac:dyDescent="0.2">
      <c r="B41" s="1712"/>
      <c r="C41" s="1713"/>
      <c r="D41" s="373"/>
      <c r="E41" s="374"/>
      <c r="F41" s="375"/>
      <c r="G41" s="375">
        <v>1</v>
      </c>
      <c r="H41" s="376">
        <f t="shared" si="1"/>
        <v>0</v>
      </c>
      <c r="I41" s="375"/>
      <c r="J41" s="376">
        <f t="shared" si="0"/>
        <v>0</v>
      </c>
      <c r="K41" s="377"/>
      <c r="L41" s="378"/>
      <c r="M41" s="1038">
        <f t="shared" si="2"/>
        <v>0</v>
      </c>
    </row>
    <row r="42" spans="2:13" ht="14.25" x14ac:dyDescent="0.2">
      <c r="B42" s="1712"/>
      <c r="C42" s="1713"/>
      <c r="D42" s="373"/>
      <c r="E42" s="374"/>
      <c r="F42" s="375"/>
      <c r="G42" s="375">
        <v>1</v>
      </c>
      <c r="H42" s="376">
        <f t="shared" si="1"/>
        <v>0</v>
      </c>
      <c r="I42" s="375"/>
      <c r="J42" s="376">
        <f t="shared" si="0"/>
        <v>0</v>
      </c>
      <c r="K42" s="377"/>
      <c r="L42" s="378"/>
      <c r="M42" s="1038">
        <f t="shared" si="2"/>
        <v>0</v>
      </c>
    </row>
    <row r="43" spans="2:13" ht="14.25" x14ac:dyDescent="0.2">
      <c r="B43" s="1712"/>
      <c r="C43" s="1713"/>
      <c r="D43" s="373"/>
      <c r="E43" s="374"/>
      <c r="F43" s="375"/>
      <c r="G43" s="375">
        <v>1</v>
      </c>
      <c r="H43" s="376">
        <f t="shared" si="1"/>
        <v>0</v>
      </c>
      <c r="I43" s="375"/>
      <c r="J43" s="376">
        <f t="shared" si="0"/>
        <v>0</v>
      </c>
      <c r="K43" s="377"/>
      <c r="L43" s="378"/>
      <c r="M43" s="1038">
        <f t="shared" si="2"/>
        <v>0</v>
      </c>
    </row>
    <row r="44" spans="2:13" ht="14.25" x14ac:dyDescent="0.2">
      <c r="B44" s="1706"/>
      <c r="C44" s="1708"/>
      <c r="D44" s="380"/>
      <c r="E44" s="380"/>
      <c r="F44" s="381" t="s">
        <v>1149</v>
      </c>
      <c r="G44" s="381"/>
      <c r="H44" s="382">
        <f>SUM(H8:H43)</f>
        <v>-41.999999999999829</v>
      </c>
      <c r="I44" s="383"/>
      <c r="J44" s="382">
        <f>SUM(J8:J43)</f>
        <v>0</v>
      </c>
      <c r="K44" s="384"/>
      <c r="L44" s="385"/>
      <c r="M44" s="1039">
        <f>SUM(M8:M43)</f>
        <v>-12155</v>
      </c>
    </row>
    <row r="45" spans="2:13" ht="14.25" x14ac:dyDescent="0.2">
      <c r="B45" s="1040"/>
      <c r="C45" s="386"/>
      <c r="D45" s="386"/>
      <c r="E45" s="386"/>
      <c r="F45" s="387"/>
      <c r="G45" s="388"/>
      <c r="H45" s="388"/>
      <c r="I45" s="389"/>
      <c r="J45" s="389"/>
      <c r="K45" s="389"/>
      <c r="L45" s="390"/>
      <c r="M45" s="1041"/>
    </row>
    <row r="46" spans="2:13" ht="42.75" x14ac:dyDescent="0.2">
      <c r="B46" s="1706" t="s">
        <v>1163</v>
      </c>
      <c r="C46" s="1707"/>
      <c r="D46" s="1707"/>
      <c r="E46" s="1707"/>
      <c r="F46" s="1740" t="s">
        <v>198</v>
      </c>
      <c r="G46" s="1740"/>
      <c r="H46" s="1740"/>
      <c r="I46" s="1740"/>
      <c r="J46" s="1741"/>
      <c r="K46" s="372" t="s">
        <v>1164</v>
      </c>
      <c r="L46" s="380" t="s">
        <v>1150</v>
      </c>
      <c r="M46" s="1037" t="s">
        <v>1181</v>
      </c>
    </row>
    <row r="47" spans="2:13" ht="14.25" x14ac:dyDescent="0.2">
      <c r="B47" s="1742"/>
      <c r="C47" s="1743"/>
      <c r="D47" s="1743"/>
      <c r="E47" s="1744"/>
      <c r="F47" s="1748" t="s">
        <v>1165</v>
      </c>
      <c r="G47" s="1749"/>
      <c r="H47" s="1749"/>
      <c r="I47" s="1749"/>
      <c r="J47" s="1750"/>
      <c r="K47" s="391">
        <f>H44</f>
        <v>-41.999999999999829</v>
      </c>
      <c r="L47" s="392">
        <f>'Project Cost Recap'!C66</f>
        <v>65</v>
      </c>
      <c r="M47" s="1038">
        <f>ROUNDUP(K47*L47,0)</f>
        <v>-2730</v>
      </c>
    </row>
    <row r="48" spans="2:13" ht="14.25" x14ac:dyDescent="0.2">
      <c r="B48" s="1745"/>
      <c r="C48" s="1746"/>
      <c r="D48" s="1746"/>
      <c r="E48" s="1747"/>
      <c r="F48" s="1751" t="s">
        <v>1151</v>
      </c>
      <c r="G48" s="1752"/>
      <c r="H48" s="1752"/>
      <c r="I48" s="1752"/>
      <c r="J48" s="1753"/>
      <c r="K48" s="391">
        <f>J44</f>
        <v>0</v>
      </c>
      <c r="L48" s="393">
        <f>L47*1.15</f>
        <v>74.75</v>
      </c>
      <c r="M48" s="1038">
        <f>ROUNDUP(K48*L48,0)</f>
        <v>0</v>
      </c>
    </row>
    <row r="49" spans="2:13" ht="14.25" x14ac:dyDescent="0.2">
      <c r="B49" s="1745"/>
      <c r="C49" s="1746"/>
      <c r="D49" s="1746"/>
      <c r="E49" s="1747"/>
      <c r="F49" s="1751" t="s">
        <v>453</v>
      </c>
      <c r="G49" s="1752"/>
      <c r="H49" s="1752"/>
      <c r="I49" s="1752"/>
      <c r="J49" s="1753"/>
      <c r="K49" s="394">
        <f>M44</f>
        <v>-12155</v>
      </c>
      <c r="L49" s="395"/>
      <c r="M49" s="1038">
        <f>ROUNDUP((M44+(M44*L49)),0)</f>
        <v>-12155</v>
      </c>
    </row>
    <row r="50" spans="2:13" ht="14.25" x14ac:dyDescent="0.2">
      <c r="B50" s="1745"/>
      <c r="C50" s="1746"/>
      <c r="D50" s="1746"/>
      <c r="E50" s="1747"/>
      <c r="F50" s="1751" t="s">
        <v>1166</v>
      </c>
      <c r="G50" s="1752"/>
      <c r="H50" s="1752"/>
      <c r="I50" s="1752"/>
      <c r="J50" s="1753"/>
      <c r="K50" s="396"/>
      <c r="L50" s="395">
        <f>'PROJECT INFO'!H14</f>
        <v>8.8099999999999998E-2</v>
      </c>
      <c r="M50" s="1038">
        <f>L50*K49</f>
        <v>-1070.8554999999999</v>
      </c>
    </row>
    <row r="51" spans="2:13" ht="14.25" x14ac:dyDescent="0.2">
      <c r="B51" s="1714" t="s">
        <v>1167</v>
      </c>
      <c r="C51" s="1715"/>
      <c r="D51" s="1715"/>
      <c r="E51" s="1715"/>
      <c r="F51" s="1715"/>
      <c r="G51" s="1715"/>
      <c r="H51" s="1715"/>
      <c r="I51" s="1715"/>
      <c r="J51" s="1715"/>
      <c r="K51" s="1715"/>
      <c r="L51" s="1754"/>
      <c r="M51" s="1042">
        <f>SUM(M47:M50)</f>
        <v>-15955.8555</v>
      </c>
    </row>
    <row r="52" spans="2:13" ht="14.25" x14ac:dyDescent="0.2">
      <c r="B52" s="1040"/>
      <c r="C52" s="386"/>
      <c r="D52" s="386"/>
      <c r="E52" s="386"/>
      <c r="F52" s="387"/>
      <c r="G52" s="388"/>
      <c r="H52" s="388"/>
      <c r="I52" s="389"/>
      <c r="J52" s="389"/>
      <c r="K52" s="389"/>
      <c r="L52" s="390"/>
      <c r="M52" s="1041"/>
    </row>
    <row r="53" spans="2:13" ht="28.5" x14ac:dyDescent="0.2">
      <c r="B53" s="1706" t="s">
        <v>1168</v>
      </c>
      <c r="C53" s="1707"/>
      <c r="D53" s="1707"/>
      <c r="E53" s="1740" t="s">
        <v>198</v>
      </c>
      <c r="F53" s="1740"/>
      <c r="G53" s="1740"/>
      <c r="H53" s="1740"/>
      <c r="I53" s="397" t="s">
        <v>1169</v>
      </c>
      <c r="J53" s="398" t="s">
        <v>1170</v>
      </c>
      <c r="K53" s="380" t="s">
        <v>1171</v>
      </c>
      <c r="L53" s="380" t="s">
        <v>1150</v>
      </c>
      <c r="M53" s="1037" t="s">
        <v>1181</v>
      </c>
    </row>
    <row r="54" spans="2:13" ht="14.25" x14ac:dyDescent="0.2">
      <c r="B54" s="1697"/>
      <c r="C54" s="1698"/>
      <c r="D54" s="1699"/>
      <c r="E54" s="1734" t="s">
        <v>1172</v>
      </c>
      <c r="F54" s="1735"/>
      <c r="G54" s="1735"/>
      <c r="H54" s="1735"/>
      <c r="I54" s="399">
        <f>K47</f>
        <v>-41.999999999999829</v>
      </c>
      <c r="J54" s="450">
        <v>0.03</v>
      </c>
      <c r="K54" s="400">
        <f>$J$54*I54</f>
        <v>-1.2599999999999949</v>
      </c>
      <c r="L54" s="393">
        <f>L47</f>
        <v>65</v>
      </c>
      <c r="M54" s="1038">
        <f>L54*K54</f>
        <v>-81.899999999999665</v>
      </c>
    </row>
    <row r="55" spans="2:13" ht="14.25" x14ac:dyDescent="0.2">
      <c r="B55" s="1700"/>
      <c r="C55" s="1701"/>
      <c r="D55" s="1702"/>
      <c r="E55" s="1734" t="s">
        <v>1173</v>
      </c>
      <c r="F55" s="1735"/>
      <c r="G55" s="1735"/>
      <c r="H55" s="1735"/>
      <c r="I55" s="399">
        <f>K47</f>
        <v>-41.999999999999829</v>
      </c>
      <c r="J55" s="450">
        <v>0.1</v>
      </c>
      <c r="K55" s="400">
        <f>$J$55*I55</f>
        <v>-4.1999999999999833</v>
      </c>
      <c r="L55" s="393">
        <f>L54*1.2</f>
        <v>78</v>
      </c>
      <c r="M55" s="1038">
        <f>L55*K55</f>
        <v>-327.59999999999872</v>
      </c>
    </row>
    <row r="56" spans="2:13" ht="14.25" x14ac:dyDescent="0.2">
      <c r="B56" s="1700"/>
      <c r="C56" s="1701"/>
      <c r="D56" s="1702"/>
      <c r="E56" s="1734" t="s">
        <v>1174</v>
      </c>
      <c r="F56" s="1735"/>
      <c r="G56" s="1735"/>
      <c r="H56" s="1735"/>
      <c r="I56" s="399"/>
      <c r="J56" s="395">
        <v>0.01</v>
      </c>
      <c r="K56" s="1736"/>
      <c r="L56" s="1737"/>
      <c r="M56" s="1038">
        <f>J56*$M$47</f>
        <v>-27.3</v>
      </c>
    </row>
    <row r="57" spans="2:13" ht="14.25" x14ac:dyDescent="0.2">
      <c r="B57" s="1703"/>
      <c r="C57" s="1704"/>
      <c r="D57" s="1705"/>
      <c r="E57" s="1734" t="s">
        <v>1175</v>
      </c>
      <c r="F57" s="1735"/>
      <c r="G57" s="1735"/>
      <c r="H57" s="1735"/>
      <c r="I57" s="399"/>
      <c r="J57" s="395">
        <v>0.03</v>
      </c>
      <c r="K57" s="1738"/>
      <c r="L57" s="1739"/>
      <c r="M57" s="1038">
        <f>J57*$M$47</f>
        <v>-81.899999999999991</v>
      </c>
    </row>
    <row r="58" spans="2:13" ht="14.25" x14ac:dyDescent="0.2">
      <c r="B58" s="1706" t="s">
        <v>1176</v>
      </c>
      <c r="C58" s="1707"/>
      <c r="D58" s="1707"/>
      <c r="E58" s="1707"/>
      <c r="F58" s="1707"/>
      <c r="G58" s="1707"/>
      <c r="H58" s="1707"/>
      <c r="I58" s="1707"/>
      <c r="J58" s="1707"/>
      <c r="K58" s="1707"/>
      <c r="L58" s="1708"/>
      <c r="M58" s="1042">
        <f>SUM(M54:M57)*0</f>
        <v>0</v>
      </c>
    </row>
    <row r="59" spans="2:13" ht="14.25" x14ac:dyDescent="0.2">
      <c r="B59" s="1040"/>
      <c r="C59" s="386"/>
      <c r="D59" s="386"/>
      <c r="E59" s="386"/>
      <c r="F59" s="387"/>
      <c r="G59" s="388"/>
      <c r="H59" s="388"/>
      <c r="I59" s="389"/>
      <c r="J59" s="389"/>
      <c r="K59" s="389"/>
      <c r="L59" s="390"/>
      <c r="M59" s="1041"/>
    </row>
    <row r="60" spans="2:13" ht="57" x14ac:dyDescent="0.2">
      <c r="B60" s="1706" t="s">
        <v>1177</v>
      </c>
      <c r="C60" s="1707"/>
      <c r="D60" s="1707"/>
      <c r="E60" s="1740" t="s">
        <v>198</v>
      </c>
      <c r="F60" s="1740"/>
      <c r="G60" s="1740"/>
      <c r="H60" s="1740"/>
      <c r="I60" s="397" t="s">
        <v>1146</v>
      </c>
      <c r="J60" s="397" t="s">
        <v>1178</v>
      </c>
      <c r="K60" s="401" t="s">
        <v>1179</v>
      </c>
      <c r="L60" s="402" t="s">
        <v>1180</v>
      </c>
      <c r="M60" s="1037" t="s">
        <v>1181</v>
      </c>
    </row>
    <row r="61" spans="2:13" ht="14.25" x14ac:dyDescent="0.2">
      <c r="B61" s="1742"/>
      <c r="C61" s="1743"/>
      <c r="D61" s="1744"/>
      <c r="E61" s="1748" t="s">
        <v>1182</v>
      </c>
      <c r="F61" s="1749"/>
      <c r="G61" s="1749"/>
      <c r="H61" s="1749"/>
      <c r="I61" s="399" t="s">
        <v>1183</v>
      </c>
      <c r="J61" s="403">
        <v>1</v>
      </c>
      <c r="K61" s="404">
        <v>0</v>
      </c>
      <c r="L61" s="871">
        <f>Rentals!B8</f>
        <v>2000</v>
      </c>
      <c r="M61" s="1043">
        <f>L61*K61*J61</f>
        <v>0</v>
      </c>
    </row>
    <row r="62" spans="2:13" ht="14.25" x14ac:dyDescent="0.2">
      <c r="B62" s="1745"/>
      <c r="C62" s="1746"/>
      <c r="D62" s="1747"/>
      <c r="E62" s="1751" t="s">
        <v>1184</v>
      </c>
      <c r="F62" s="1752"/>
      <c r="G62" s="1752"/>
      <c r="H62" s="1752"/>
      <c r="I62" s="1250" t="s">
        <v>2338</v>
      </c>
      <c r="J62" s="1231">
        <v>1</v>
      </c>
      <c r="K62" s="1231">
        <v>0</v>
      </c>
      <c r="L62" s="1251">
        <f>VLOOKUP(I62,Rentals!A$13:C$32,2,FALSE)</f>
        <v>0</v>
      </c>
      <c r="M62" s="1043">
        <f>L62*K62*J62</f>
        <v>0</v>
      </c>
    </row>
    <row r="63" spans="2:13" ht="14.25" x14ac:dyDescent="0.2">
      <c r="B63" s="1745"/>
      <c r="C63" s="1746"/>
      <c r="D63" s="1747"/>
      <c r="E63" s="1751" t="s">
        <v>2339</v>
      </c>
      <c r="F63" s="1752"/>
      <c r="G63" s="1752"/>
      <c r="H63" s="1752"/>
      <c r="I63" s="1250" t="str">
        <f>I62</f>
        <v>…............</v>
      </c>
      <c r="J63" s="403">
        <v>1</v>
      </c>
      <c r="K63" s="405">
        <v>0</v>
      </c>
      <c r="L63" s="871">
        <f>VLOOKUP(I63,Rentals!A$13:C$32,3,FALSE)</f>
        <v>0</v>
      </c>
      <c r="M63" s="1043">
        <f>L63*K63*J63</f>
        <v>0</v>
      </c>
    </row>
    <row r="64" spans="2:13" ht="14.25" x14ac:dyDescent="0.2">
      <c r="B64" s="1745"/>
      <c r="C64" s="1746"/>
      <c r="D64" s="1747"/>
      <c r="E64" s="1751" t="s">
        <v>1186</v>
      </c>
      <c r="F64" s="1752"/>
      <c r="G64" s="1752"/>
      <c r="H64" s="1752"/>
      <c r="I64" s="399" t="s">
        <v>1183</v>
      </c>
      <c r="J64" s="403">
        <v>1</v>
      </c>
      <c r="K64" s="404">
        <v>0</v>
      </c>
      <c r="L64" s="871">
        <f>Rentals!B39</f>
        <v>1000</v>
      </c>
      <c r="M64" s="1043">
        <f>L64*K64*J64</f>
        <v>0</v>
      </c>
    </row>
    <row r="65" spans="2:13" ht="14.25" x14ac:dyDescent="0.2">
      <c r="B65" s="1745"/>
      <c r="C65" s="1746"/>
      <c r="D65" s="1747"/>
      <c r="E65" s="1755" t="s">
        <v>176</v>
      </c>
      <c r="F65" s="1756"/>
      <c r="G65" s="1756"/>
      <c r="H65" s="1756"/>
      <c r="I65" s="406" t="s">
        <v>1183</v>
      </c>
      <c r="J65" s="403">
        <v>1</v>
      </c>
      <c r="K65" s="404">
        <v>0</v>
      </c>
      <c r="L65" s="871">
        <f>Rentals!B5</f>
        <v>5000</v>
      </c>
      <c r="M65" s="1043">
        <f>L65*K65*J65</f>
        <v>0</v>
      </c>
    </row>
    <row r="66" spans="2:13" ht="14.25" x14ac:dyDescent="0.2">
      <c r="B66" s="1758" t="s">
        <v>1187</v>
      </c>
      <c r="C66" s="1759"/>
      <c r="D66" s="1759"/>
      <c r="E66" s="1759"/>
      <c r="F66" s="1759"/>
      <c r="G66" s="1759"/>
      <c r="H66" s="1759"/>
      <c r="I66" s="1759"/>
      <c r="J66" s="1759"/>
      <c r="K66" s="1759"/>
      <c r="L66" s="1760"/>
      <c r="M66" s="1042">
        <f>SUM(M61:M65)</f>
        <v>0</v>
      </c>
    </row>
    <row r="67" spans="2:13" ht="14.25" x14ac:dyDescent="0.2">
      <c r="B67" s="1040"/>
      <c r="C67" s="386"/>
      <c r="D67" s="386"/>
      <c r="E67" s="386"/>
      <c r="F67" s="387"/>
      <c r="G67" s="388"/>
      <c r="H67" s="388"/>
      <c r="I67" s="389"/>
      <c r="J67" s="389"/>
      <c r="K67" s="389"/>
      <c r="L67" s="390"/>
      <c r="M67" s="1041"/>
    </row>
    <row r="68" spans="2:13" ht="14.25" x14ac:dyDescent="0.2">
      <c r="B68" s="1714" t="s">
        <v>1188</v>
      </c>
      <c r="C68" s="1715"/>
      <c r="D68" s="1715"/>
      <c r="E68" s="1715"/>
      <c r="F68" s="1715"/>
      <c r="G68" s="1715"/>
      <c r="H68" s="1715"/>
      <c r="I68" s="1715"/>
      <c r="J68" s="1715"/>
      <c r="K68" s="1715"/>
      <c r="L68" s="1715"/>
      <c r="M68" s="1716"/>
    </row>
    <row r="69" spans="2:13" ht="42.75" x14ac:dyDescent="0.2">
      <c r="B69" s="1761" t="s">
        <v>428</v>
      </c>
      <c r="C69" s="1762"/>
      <c r="D69" s="1762"/>
      <c r="E69" s="1762" t="s">
        <v>657</v>
      </c>
      <c r="F69" s="1762"/>
      <c r="G69" s="1762"/>
      <c r="H69" s="1762"/>
      <c r="I69" s="1762"/>
      <c r="J69" s="873" t="s">
        <v>1189</v>
      </c>
      <c r="K69" s="523" t="s">
        <v>1190</v>
      </c>
      <c r="L69" s="523" t="s">
        <v>1191</v>
      </c>
      <c r="M69" s="1044" t="s">
        <v>1181</v>
      </c>
    </row>
    <row r="70" spans="2:13" ht="14.25" x14ac:dyDescent="0.2">
      <c r="B70" s="1700" t="str">
        <f>'Project Cost Recap'!E23</f>
        <v>PINNACLE</v>
      </c>
      <c r="C70" s="1701"/>
      <c r="D70" s="1702"/>
      <c r="E70" s="1720" t="s">
        <v>580</v>
      </c>
      <c r="F70" s="1721"/>
      <c r="G70" s="1721"/>
      <c r="H70" s="1721"/>
      <c r="I70" s="1722"/>
      <c r="J70" s="407" t="s">
        <v>1192</v>
      </c>
      <c r="K70" s="408">
        <v>1</v>
      </c>
      <c r="L70" s="409">
        <f>Subs!$J$12</f>
        <v>0</v>
      </c>
      <c r="M70" s="1045">
        <f>L70*K70</f>
        <v>0</v>
      </c>
    </row>
    <row r="71" spans="2:13" ht="14.25" x14ac:dyDescent="0.2">
      <c r="B71" s="1700">
        <f>'Project Cost Recap'!E24</f>
        <v>0</v>
      </c>
      <c r="C71" s="1701"/>
      <c r="D71" s="1702"/>
      <c r="E71" s="1720" t="s">
        <v>425</v>
      </c>
      <c r="F71" s="1721"/>
      <c r="G71" s="1721"/>
      <c r="H71" s="1721"/>
      <c r="I71" s="1722"/>
      <c r="J71" s="407" t="s">
        <v>1192</v>
      </c>
      <c r="K71" s="408">
        <v>1</v>
      </c>
      <c r="L71" s="409">
        <f>Subs!$I$25</f>
        <v>0</v>
      </c>
      <c r="M71" s="1045">
        <f>L71*K71</f>
        <v>0</v>
      </c>
    </row>
    <row r="72" spans="2:13" ht="14.25" x14ac:dyDescent="0.2">
      <c r="B72" s="1700">
        <f>'Project Cost Recap'!E25</f>
        <v>0</v>
      </c>
      <c r="C72" s="1701"/>
      <c r="D72" s="1702"/>
      <c r="E72" s="1720" t="s">
        <v>422</v>
      </c>
      <c r="F72" s="1721"/>
      <c r="G72" s="1721"/>
      <c r="H72" s="1721"/>
      <c r="I72" s="1722"/>
      <c r="J72" s="407" t="s">
        <v>1193</v>
      </c>
      <c r="K72" s="408">
        <v>0</v>
      </c>
      <c r="L72" s="409">
        <v>0</v>
      </c>
      <c r="M72" s="1045">
        <f t="shared" ref="M72:M87" si="3">L72*K72</f>
        <v>0</v>
      </c>
    </row>
    <row r="73" spans="2:13" ht="14.25" x14ac:dyDescent="0.2">
      <c r="B73" s="1700">
        <f>'Project Cost Recap'!E26</f>
        <v>0</v>
      </c>
      <c r="C73" s="1701"/>
      <c r="D73" s="1702"/>
      <c r="E73" s="1720" t="s">
        <v>420</v>
      </c>
      <c r="F73" s="1721"/>
      <c r="G73" s="1721"/>
      <c r="H73" s="1721"/>
      <c r="I73" s="1722"/>
      <c r="J73" s="407" t="s">
        <v>1192</v>
      </c>
      <c r="K73" s="408">
        <v>1</v>
      </c>
      <c r="L73" s="409">
        <f>Subs!H51</f>
        <v>0</v>
      </c>
      <c r="M73" s="1045">
        <f t="shared" si="3"/>
        <v>0</v>
      </c>
    </row>
    <row r="74" spans="2:13" ht="14.25" x14ac:dyDescent="0.2">
      <c r="B74" s="1700" t="str">
        <f>'Project Cost Recap'!E27</f>
        <v>3 GEN EXCAVATION</v>
      </c>
      <c r="C74" s="1701"/>
      <c r="D74" s="1702"/>
      <c r="E74" s="1720" t="s">
        <v>417</v>
      </c>
      <c r="F74" s="1721"/>
      <c r="G74" s="1721"/>
      <c r="H74" s="1721"/>
      <c r="I74" s="1722"/>
      <c r="J74" s="407" t="s">
        <v>1192</v>
      </c>
      <c r="K74" s="408">
        <v>1</v>
      </c>
      <c r="L74" s="409">
        <f>Subs!M65</f>
        <v>0</v>
      </c>
      <c r="M74" s="1045">
        <f>L74*K74</f>
        <v>0</v>
      </c>
    </row>
    <row r="75" spans="2:13" ht="14.25" x14ac:dyDescent="0.2">
      <c r="B75" s="1700">
        <f>'Project Cost Recap'!E28</f>
        <v>0</v>
      </c>
      <c r="C75" s="1701"/>
      <c r="D75" s="1702"/>
      <c r="E75" s="1720" t="str">
        <f>'GO-NO-GO CHECKLIST'!B102</f>
        <v>FIRE PROTECTION</v>
      </c>
      <c r="F75" s="1721"/>
      <c r="G75" s="1721"/>
      <c r="H75" s="1721"/>
      <c r="I75" s="1722"/>
      <c r="J75" s="407" t="s">
        <v>1192</v>
      </c>
      <c r="K75" s="408">
        <v>1</v>
      </c>
      <c r="L75" s="409">
        <f>Subs!H77</f>
        <v>0</v>
      </c>
      <c r="M75" s="1045">
        <f t="shared" si="3"/>
        <v>0</v>
      </c>
    </row>
    <row r="76" spans="2:13" ht="14.25" x14ac:dyDescent="0.2">
      <c r="B76" s="1700">
        <f>'Project Cost Recap'!E29</f>
        <v>0</v>
      </c>
      <c r="C76" s="1701"/>
      <c r="D76" s="1702"/>
      <c r="E76" s="1720" t="str">
        <f>'GO-NO-GO CHECKLIST'!B110</f>
        <v>FIRE STOPPING</v>
      </c>
      <c r="F76" s="1721"/>
      <c r="G76" s="1721"/>
      <c r="H76" s="1721"/>
      <c r="I76" s="1722"/>
      <c r="J76" s="407" t="s">
        <v>1193</v>
      </c>
      <c r="K76" s="408">
        <v>0</v>
      </c>
      <c r="L76" s="409">
        <f>Subs!J89</f>
        <v>0</v>
      </c>
      <c r="M76" s="1045">
        <f t="shared" si="3"/>
        <v>0</v>
      </c>
    </row>
    <row r="77" spans="2:13" ht="14.25" x14ac:dyDescent="0.2">
      <c r="B77" s="1700">
        <f>'Project Cost Recap'!E30</f>
        <v>0</v>
      </c>
      <c r="C77" s="1701"/>
      <c r="D77" s="1702"/>
      <c r="E77" s="1720" t="s">
        <v>421</v>
      </c>
      <c r="F77" s="1721"/>
      <c r="G77" s="1721"/>
      <c r="H77" s="1721"/>
      <c r="I77" s="1722"/>
      <c r="J77" s="407" t="s">
        <v>1192</v>
      </c>
      <c r="K77" s="408">
        <v>1</v>
      </c>
      <c r="L77" s="409">
        <f>Subs!H101</f>
        <v>0</v>
      </c>
      <c r="M77" s="1045">
        <f t="shared" si="3"/>
        <v>0</v>
      </c>
    </row>
    <row r="78" spans="2:13" ht="14.25" x14ac:dyDescent="0.2">
      <c r="B78" s="1700" t="str">
        <f>'Project Cost Recap'!E31</f>
        <v>FORTUNATO</v>
      </c>
      <c r="C78" s="1701"/>
      <c r="D78" s="1702"/>
      <c r="E78" s="1720" t="s">
        <v>423</v>
      </c>
      <c r="F78" s="1721"/>
      <c r="G78" s="1721"/>
      <c r="H78" s="1721"/>
      <c r="I78" s="1722"/>
      <c r="J78" s="407" t="s">
        <v>1192</v>
      </c>
      <c r="K78" s="408">
        <v>1</v>
      </c>
      <c r="L78" s="409">
        <f>Subs!L115</f>
        <v>10180</v>
      </c>
      <c r="M78" s="1045">
        <f t="shared" si="3"/>
        <v>10180</v>
      </c>
    </row>
    <row r="79" spans="2:13" ht="14.25" x14ac:dyDescent="0.2">
      <c r="B79" s="1700">
        <f>'Project Cost Recap'!E32</f>
        <v>0</v>
      </c>
      <c r="C79" s="1701"/>
      <c r="D79" s="1702"/>
      <c r="E79" s="1720" t="s">
        <v>951</v>
      </c>
      <c r="F79" s="1721"/>
      <c r="G79" s="1721"/>
      <c r="H79" s="1721"/>
      <c r="I79" s="1722"/>
      <c r="J79" s="407" t="s">
        <v>1192</v>
      </c>
      <c r="K79" s="408">
        <v>1</v>
      </c>
      <c r="L79" s="409">
        <f>Subs!J127</f>
        <v>0</v>
      </c>
      <c r="M79" s="1045">
        <f t="shared" si="3"/>
        <v>0</v>
      </c>
    </row>
    <row r="80" spans="2:13" ht="14.25" x14ac:dyDescent="0.2">
      <c r="B80" s="1700">
        <f>'Project Cost Recap'!E33</f>
        <v>0</v>
      </c>
      <c r="C80" s="1701"/>
      <c r="D80" s="1702"/>
      <c r="E80" s="1720" t="s">
        <v>426</v>
      </c>
      <c r="F80" s="1721"/>
      <c r="G80" s="1721"/>
      <c r="H80" s="1721"/>
      <c r="I80" s="1722"/>
      <c r="J80" s="407" t="s">
        <v>1192</v>
      </c>
      <c r="K80" s="408">
        <v>1</v>
      </c>
      <c r="L80" s="409">
        <f>Subs!H139</f>
        <v>0</v>
      </c>
      <c r="M80" s="1045">
        <f t="shared" si="3"/>
        <v>0</v>
      </c>
    </row>
    <row r="81" spans="2:13" ht="14.25" x14ac:dyDescent="0.2">
      <c r="B81" s="1700">
        <f>'Project Cost Recap'!E34</f>
        <v>0</v>
      </c>
      <c r="C81" s="1701"/>
      <c r="D81" s="1702"/>
      <c r="E81" s="1720" t="s">
        <v>1725</v>
      </c>
      <c r="F81" s="1721"/>
      <c r="G81" s="1721"/>
      <c r="H81" s="1721"/>
      <c r="I81" s="1722"/>
      <c r="J81" s="407" t="s">
        <v>1192</v>
      </c>
      <c r="K81" s="408">
        <v>1</v>
      </c>
      <c r="L81" s="409">
        <f>Subs!H151</f>
        <v>0</v>
      </c>
      <c r="M81" s="1045">
        <f>L81*K81</f>
        <v>0</v>
      </c>
    </row>
    <row r="82" spans="2:13" ht="14.25" x14ac:dyDescent="0.2">
      <c r="B82" s="1700" t="str">
        <f>'Project Cost Recap'!E35</f>
        <v>AIR SYSTEMS</v>
      </c>
      <c r="C82" s="1701"/>
      <c r="D82" s="1702"/>
      <c r="E82" s="1720" t="s">
        <v>123</v>
      </c>
      <c r="F82" s="1721"/>
      <c r="G82" s="1721"/>
      <c r="H82" s="1721"/>
      <c r="I82" s="1722"/>
      <c r="J82" s="407" t="s">
        <v>1192</v>
      </c>
      <c r="K82" s="408">
        <v>1</v>
      </c>
      <c r="L82" s="409">
        <f>Subs!N163</f>
        <v>0</v>
      </c>
      <c r="M82" s="1045">
        <f t="shared" si="3"/>
        <v>0</v>
      </c>
    </row>
    <row r="83" spans="2:13" ht="14.25" x14ac:dyDescent="0.2">
      <c r="B83" s="1700">
        <f>'Project Cost Recap'!E36</f>
        <v>0</v>
      </c>
      <c r="C83" s="1701"/>
      <c r="D83" s="1702"/>
      <c r="E83" s="1720" t="s">
        <v>578</v>
      </c>
      <c r="F83" s="1721"/>
      <c r="G83" s="1721"/>
      <c r="H83" s="1721"/>
      <c r="I83" s="1722"/>
      <c r="J83" s="407" t="s">
        <v>1192</v>
      </c>
      <c r="K83" s="408">
        <v>1</v>
      </c>
      <c r="L83" s="409">
        <f>Subs!H175</f>
        <v>0</v>
      </c>
      <c r="M83" s="1045">
        <f t="shared" si="3"/>
        <v>0</v>
      </c>
    </row>
    <row r="84" spans="2:13" ht="14.25" x14ac:dyDescent="0.2">
      <c r="B84" s="1700" t="str">
        <f>'Project Cost Recap'!E37</f>
        <v>LONG BUILDING TECHNOLOGIES</v>
      </c>
      <c r="C84" s="1701"/>
      <c r="D84" s="1702"/>
      <c r="E84" s="1720" t="s">
        <v>419</v>
      </c>
      <c r="F84" s="1721"/>
      <c r="G84" s="1721"/>
      <c r="H84" s="1721"/>
      <c r="I84" s="1722"/>
      <c r="J84" s="407" t="s">
        <v>1192</v>
      </c>
      <c r="K84" s="408">
        <v>1</v>
      </c>
      <c r="L84" s="409">
        <f>Subs!H186</f>
        <v>0</v>
      </c>
      <c r="M84" s="1045">
        <f t="shared" si="3"/>
        <v>0</v>
      </c>
    </row>
    <row r="85" spans="2:13" ht="14.25" x14ac:dyDescent="0.2">
      <c r="B85" s="1700" t="str">
        <f>'Project Cost Recap'!E38</f>
        <v>FINN &amp; ASSOCIATES</v>
      </c>
      <c r="C85" s="1701"/>
      <c r="D85" s="1702"/>
      <c r="E85" s="1720" t="s">
        <v>418</v>
      </c>
      <c r="F85" s="1721"/>
      <c r="G85" s="1721"/>
      <c r="H85" s="1721"/>
      <c r="I85" s="1722"/>
      <c r="J85" s="407" t="s">
        <v>1192</v>
      </c>
      <c r="K85" s="408">
        <v>1</v>
      </c>
      <c r="L85" s="409">
        <f>Subs!L198</f>
        <v>0</v>
      </c>
      <c r="M85" s="1045">
        <f t="shared" si="3"/>
        <v>0</v>
      </c>
    </row>
    <row r="86" spans="2:13" ht="14.25" x14ac:dyDescent="0.2">
      <c r="B86" s="1700">
        <f>'Project Cost Recap'!E39</f>
        <v>0</v>
      </c>
      <c r="C86" s="1701"/>
      <c r="D86" s="1702"/>
      <c r="E86" s="1720" t="str">
        <f>'GO-NO-GO CHECKLIST'!B165</f>
        <v>MISCELLANEOUS (CHANGE TO SUIT)</v>
      </c>
      <c r="F86" s="1721"/>
      <c r="G86" s="1721"/>
      <c r="H86" s="1721"/>
      <c r="I86" s="1722"/>
      <c r="J86" s="407" t="s">
        <v>1192</v>
      </c>
      <c r="K86" s="408">
        <v>1</v>
      </c>
      <c r="L86" s="409">
        <f>Subs!H210</f>
        <v>0</v>
      </c>
      <c r="M86" s="1045">
        <f t="shared" si="3"/>
        <v>0</v>
      </c>
    </row>
    <row r="87" spans="2:13" ht="14.25" x14ac:dyDescent="0.2">
      <c r="B87" s="1700"/>
      <c r="C87" s="1701"/>
      <c r="D87" s="1702"/>
      <c r="E87" s="1717" t="s">
        <v>1194</v>
      </c>
      <c r="F87" s="1718"/>
      <c r="G87" s="1718"/>
      <c r="H87" s="1718"/>
      <c r="I87" s="1719"/>
      <c r="J87" s="407" t="s">
        <v>1192</v>
      </c>
      <c r="K87" s="408">
        <v>1</v>
      </c>
      <c r="L87" s="409">
        <v>0</v>
      </c>
      <c r="M87" s="1045">
        <f t="shared" si="3"/>
        <v>0</v>
      </c>
    </row>
    <row r="88" spans="2:13" ht="14.25" x14ac:dyDescent="0.2">
      <c r="B88" s="1046"/>
      <c r="C88" s="397"/>
      <c r="D88" s="397"/>
      <c r="E88" s="397"/>
      <c r="F88" s="410" t="s">
        <v>1724</v>
      </c>
      <c r="G88" s="397"/>
      <c r="H88" s="397"/>
      <c r="I88" s="411"/>
      <c r="J88" s="411"/>
      <c r="K88" s="411"/>
      <c r="L88" s="412"/>
      <c r="M88" s="1042">
        <f>SUM(M70:M87)</f>
        <v>10180</v>
      </c>
    </row>
    <row r="89" spans="2:13" ht="14.25" x14ac:dyDescent="0.2">
      <c r="B89" s="1040"/>
      <c r="C89" s="386"/>
      <c r="D89" s="386"/>
      <c r="E89" s="386"/>
      <c r="F89" s="387"/>
      <c r="G89" s="388"/>
      <c r="H89" s="388"/>
      <c r="I89" s="389"/>
      <c r="J89" s="389"/>
      <c r="K89" s="389"/>
      <c r="L89" s="390"/>
      <c r="M89" s="1041"/>
    </row>
    <row r="90" spans="2:13" ht="14.25" x14ac:dyDescent="0.2">
      <c r="B90" s="1202"/>
      <c r="C90" s="1203"/>
      <c r="D90" s="1030"/>
      <c r="E90" s="1204"/>
      <c r="F90" s="397" t="s">
        <v>1195</v>
      </c>
      <c r="G90" s="397"/>
      <c r="H90" s="397"/>
      <c r="I90" s="397" t="s">
        <v>198</v>
      </c>
      <c r="J90" s="397"/>
      <c r="K90" s="614"/>
      <c r="L90" s="380" t="s">
        <v>1150</v>
      </c>
      <c r="M90" s="1037" t="s">
        <v>1181</v>
      </c>
    </row>
    <row r="91" spans="2:13" ht="14.25" x14ac:dyDescent="0.2">
      <c r="B91" s="1205"/>
      <c r="C91" s="1206"/>
      <c r="D91" s="1030"/>
      <c r="E91" s="1204"/>
      <c r="F91" s="1229"/>
      <c r="G91" s="1229"/>
      <c r="H91" s="1743" t="s">
        <v>1152</v>
      </c>
      <c r="I91" s="1743"/>
      <c r="J91" s="1743"/>
      <c r="K91" s="1744"/>
      <c r="L91" s="379"/>
      <c r="M91" s="1038">
        <f>M88+M66+M58+M51</f>
        <v>-5775.8554999999997</v>
      </c>
    </row>
    <row r="92" spans="2:13" ht="14.25" x14ac:dyDescent="0.2">
      <c r="B92" s="1207"/>
      <c r="C92" s="1208"/>
      <c r="D92" s="1209"/>
      <c r="E92" s="1204"/>
      <c r="F92" s="1231"/>
      <c r="G92" s="1231"/>
      <c r="H92" s="1746" t="s">
        <v>1153</v>
      </c>
      <c r="I92" s="1746"/>
      <c r="J92" s="1746"/>
      <c r="K92" s="1747"/>
      <c r="L92" s="413">
        <v>0</v>
      </c>
      <c r="M92" s="1038">
        <f>L92*M91</f>
        <v>0</v>
      </c>
    </row>
    <row r="93" spans="2:13" ht="14.25" x14ac:dyDescent="0.2">
      <c r="B93" s="1270" t="s">
        <v>2353</v>
      </c>
      <c r="C93" s="1271" t="str">
        <f>'PROJECT INFO'!$H$12</f>
        <v>DENVER (COMBINED)</v>
      </c>
      <c r="D93" s="1757" t="s">
        <v>2352</v>
      </c>
      <c r="E93" s="1757"/>
      <c r="F93" s="1757"/>
      <c r="G93" s="1757"/>
      <c r="H93" s="1746" t="s">
        <v>2351</v>
      </c>
      <c r="I93" s="1746"/>
      <c r="J93" s="1746"/>
      <c r="K93" s="1747"/>
      <c r="L93" s="613">
        <v>1</v>
      </c>
      <c r="M93" s="1338"/>
    </row>
    <row r="94" spans="2:13" ht="14.25" x14ac:dyDescent="0.2">
      <c r="B94" s="1207"/>
      <c r="C94" s="1206"/>
      <c r="D94" s="1030"/>
      <c r="E94" s="1204"/>
      <c r="F94" s="1231"/>
      <c r="G94" s="1231"/>
      <c r="H94" s="1746" t="s">
        <v>135</v>
      </c>
      <c r="I94" s="1746"/>
      <c r="J94" s="1746"/>
      <c r="K94" s="1747"/>
      <c r="L94" s="413">
        <v>0</v>
      </c>
      <c r="M94" s="1038">
        <f>(M91+M92+M93)*L94</f>
        <v>0</v>
      </c>
    </row>
    <row r="95" spans="2:13" ht="14.25" x14ac:dyDescent="0.2">
      <c r="B95" s="1205"/>
      <c r="C95" s="1206"/>
      <c r="D95" s="1030"/>
      <c r="E95" s="1204"/>
      <c r="F95" s="1231"/>
      <c r="G95" s="1231"/>
      <c r="H95" s="1746" t="s">
        <v>1196</v>
      </c>
      <c r="I95" s="1746"/>
      <c r="J95" s="1746"/>
      <c r="K95" s="1747"/>
      <c r="L95" s="395"/>
      <c r="M95" s="1038">
        <f>SUM(M91:M94)</f>
        <v>-5775.8554999999997</v>
      </c>
    </row>
    <row r="96" spans="2:13" ht="14.25" x14ac:dyDescent="0.2">
      <c r="B96" s="1210"/>
      <c r="C96" s="1332" t="s">
        <v>1150</v>
      </c>
      <c r="D96" s="1332" t="s">
        <v>2162</v>
      </c>
      <c r="E96" s="1204" t="s">
        <v>2390</v>
      </c>
      <c r="F96" s="1232" t="s">
        <v>2391</v>
      </c>
      <c r="G96" s="1233"/>
      <c r="H96" s="1775" t="s">
        <v>1197</v>
      </c>
      <c r="I96" s="1775"/>
      <c r="J96" s="1775"/>
      <c r="K96" s="1776"/>
      <c r="L96" s="395">
        <f>'Project Cost Recap'!J48*'PROJECT INFO'!I17</f>
        <v>0</v>
      </c>
      <c r="M96" s="1038">
        <f>M95*L96</f>
        <v>0</v>
      </c>
    </row>
    <row r="97" spans="2:15" ht="14.25" x14ac:dyDescent="0.2">
      <c r="B97" s="1333"/>
      <c r="C97" s="1332">
        <f>'Project Cost Recap'!$D$53</f>
        <v>2.2000000000000001E-3</v>
      </c>
      <c r="D97" s="1334">
        <f>M95</f>
        <v>-5775.8554999999997</v>
      </c>
      <c r="E97" s="1335">
        <f>D97*C97</f>
        <v>-12.7068821</v>
      </c>
      <c r="F97" s="1336">
        <f>'Project Cost Recap'!$K$53</f>
        <v>3750</v>
      </c>
      <c r="G97" s="1331"/>
      <c r="H97" s="1780" t="s">
        <v>248</v>
      </c>
      <c r="I97" s="1780"/>
      <c r="J97" s="1780"/>
      <c r="K97" s="1781"/>
      <c r="L97" s="1330"/>
      <c r="M97" s="1337">
        <f>IF($E97&lt;$F97,($C97*$D97),$F97)*'PROJECT INFO'!$I$21</f>
        <v>-12.7068821</v>
      </c>
    </row>
    <row r="98" spans="2:15" ht="14.25" x14ac:dyDescent="0.2">
      <c r="B98" s="1333"/>
      <c r="C98" s="1332"/>
      <c r="D98" s="1334"/>
      <c r="E98" s="1335"/>
      <c r="F98" s="1336"/>
      <c r="G98" s="1331"/>
      <c r="H98" s="1780" t="s">
        <v>246</v>
      </c>
      <c r="I98" s="1780"/>
      <c r="J98" s="1780"/>
      <c r="K98" s="1781"/>
      <c r="L98" s="1330">
        <f>'Project Cost Recap'!$F$54</f>
        <v>0.05</v>
      </c>
      <c r="M98" s="1337">
        <f>M97*L98</f>
        <v>-0.63534410500000005</v>
      </c>
    </row>
    <row r="99" spans="2:15" ht="14.25" x14ac:dyDescent="0.2">
      <c r="B99" s="1204"/>
      <c r="C99" s="1204"/>
      <c r="D99" s="1204"/>
      <c r="E99" s="1204"/>
      <c r="F99" s="1777"/>
      <c r="G99" s="1778"/>
      <c r="H99" s="1778"/>
      <c r="I99" s="1778"/>
      <c r="J99" s="1778"/>
      <c r="K99" s="1779"/>
      <c r="L99" s="410" t="s">
        <v>1198</v>
      </c>
      <c r="M99" s="1039">
        <f>M95+M96+M97+M98</f>
        <v>-5789.1977262049995</v>
      </c>
      <c r="O99">
        <v>-10682</v>
      </c>
    </row>
    <row r="100" spans="2:15" ht="14.25" x14ac:dyDescent="0.2">
      <c r="B100" s="1040"/>
      <c r="C100" s="386"/>
      <c r="D100" s="386"/>
      <c r="E100" s="386"/>
      <c r="F100" s="1278"/>
      <c r="G100" s="1279"/>
      <c r="H100" s="1279"/>
      <c r="I100" s="1280"/>
      <c r="J100" s="1280"/>
      <c r="K100" s="1280"/>
      <c r="L100" s="1281"/>
      <c r="M100" s="1282"/>
    </row>
    <row r="101" spans="2:15" ht="20.25" x14ac:dyDescent="0.3">
      <c r="B101" s="1709" t="s">
        <v>2356</v>
      </c>
      <c r="C101" s="1710"/>
      <c r="D101" s="1710"/>
      <c r="E101" s="1710"/>
      <c r="F101" s="1710"/>
      <c r="G101" s="1710"/>
      <c r="H101" s="1710"/>
      <c r="I101" s="1710"/>
      <c r="J101" s="1710"/>
      <c r="K101" s="1710"/>
      <c r="L101" s="1710"/>
      <c r="M101" s="1711"/>
    </row>
    <row r="103" spans="2:15" ht="13.5" thickBot="1" x14ac:dyDescent="0.25">
      <c r="C103" s="1782" t="s">
        <v>2183</v>
      </c>
      <c r="D103" s="1783"/>
      <c r="F103" s="1237" t="s">
        <v>2168</v>
      </c>
      <c r="G103" s="1238"/>
      <c r="H103" s="1238"/>
      <c r="I103" s="1238"/>
      <c r="J103" s="1238"/>
      <c r="K103" s="1238"/>
      <c r="L103" s="1238"/>
      <c r="M103" s="1239"/>
    </row>
    <row r="104" spans="2:15" ht="13.5" customHeight="1" x14ac:dyDescent="0.2">
      <c r="C104" s="1784" t="s">
        <v>2177</v>
      </c>
      <c r="D104" s="1785"/>
      <c r="F104" s="1605" t="s">
        <v>2169</v>
      </c>
      <c r="G104" s="1605"/>
      <c r="H104" s="1188">
        <f>($M$91+1)</f>
        <v>-5774.8554999999997</v>
      </c>
      <c r="I104" s="1187"/>
      <c r="J104" s="1187"/>
      <c r="K104" s="1187"/>
      <c r="L104" s="1187"/>
      <c r="M104" s="1187"/>
    </row>
    <row r="105" spans="2:15" ht="38.25" customHeight="1" x14ac:dyDescent="0.2">
      <c r="B105" s="1196" t="s">
        <v>2184</v>
      </c>
      <c r="C105" s="1784"/>
      <c r="D105" s="1785"/>
      <c r="F105" s="1243" t="s">
        <v>2344</v>
      </c>
      <c r="G105" s="1244" t="s">
        <v>2170</v>
      </c>
      <c r="H105" s="1244" t="s">
        <v>2171</v>
      </c>
      <c r="I105" s="1244" t="s">
        <v>2172</v>
      </c>
      <c r="J105" s="1243" t="s">
        <v>2173</v>
      </c>
      <c r="K105" s="1245" t="s">
        <v>2175</v>
      </c>
      <c r="L105" s="1243" t="s">
        <v>2343</v>
      </c>
      <c r="M105" s="1243" t="s">
        <v>2176</v>
      </c>
    </row>
    <row r="106" spans="2:15" x14ac:dyDescent="0.2">
      <c r="B106" s="1198" t="e">
        <f>VLOOKUP(1,E106:M113,9,FALSE)</f>
        <v>#N/A</v>
      </c>
      <c r="C106" s="1784"/>
      <c r="D106" s="1785"/>
      <c r="E106" s="1197">
        <f>IF(AND(F106&gt;=MIN(G106,H106),F106&lt;=MAX(G106,H106)),1,0)</f>
        <v>0</v>
      </c>
      <c r="F106" s="1188">
        <f>H104</f>
        <v>-5774.8554999999997</v>
      </c>
      <c r="G106" s="1189">
        <v>1</v>
      </c>
      <c r="H106" s="1189">
        <v>500</v>
      </c>
      <c r="I106" s="1189">
        <v>20</v>
      </c>
      <c r="J106" s="1190">
        <v>0</v>
      </c>
      <c r="K106" s="1187"/>
      <c r="L106" s="1191"/>
      <c r="M106" s="1189">
        <f>ROUNDUP(L106+I106,0)</f>
        <v>20</v>
      </c>
    </row>
    <row r="107" spans="2:15" x14ac:dyDescent="0.2">
      <c r="C107" s="1784"/>
      <c r="D107" s="1785"/>
      <c r="E107" s="1197">
        <f t="shared" ref="E107:E113" si="4">IF(AND(F107&gt;=MIN(G107,H107),F107&lt;=MAX(G107,H107)),1,0)</f>
        <v>0</v>
      </c>
      <c r="F107" s="1188">
        <f>F106</f>
        <v>-5774.8554999999997</v>
      </c>
      <c r="G107" s="1189">
        <v>501</v>
      </c>
      <c r="H107" s="1189">
        <v>2000</v>
      </c>
      <c r="I107" s="1189">
        <v>35</v>
      </c>
      <c r="J107" s="1190">
        <v>0</v>
      </c>
      <c r="K107" s="1187"/>
      <c r="L107" s="1191"/>
      <c r="M107" s="1189">
        <f t="shared" ref="M107:M112" si="5">ROUNDUP(L107+I107,0)</f>
        <v>35</v>
      </c>
    </row>
    <row r="108" spans="2:15" x14ac:dyDescent="0.2">
      <c r="C108" s="1784"/>
      <c r="D108" s="1785"/>
      <c r="E108" s="1197">
        <f t="shared" si="4"/>
        <v>0</v>
      </c>
      <c r="F108" s="1188">
        <f t="shared" ref="F108:F113" si="6">F107</f>
        <v>-5774.8554999999997</v>
      </c>
      <c r="G108" s="1189">
        <v>2001</v>
      </c>
      <c r="H108" s="1189">
        <v>25000</v>
      </c>
      <c r="I108" s="1189">
        <v>35</v>
      </c>
      <c r="J108" s="1190">
        <v>8</v>
      </c>
      <c r="K108" s="1192">
        <f>ROUNDUP((F108-2000)/1000,0)</f>
        <v>-8</v>
      </c>
      <c r="L108" s="1189">
        <f t="shared" ref="L108:L113" si="7">K108*J108</f>
        <v>-64</v>
      </c>
      <c r="M108" s="1189">
        <f t="shared" si="5"/>
        <v>-29</v>
      </c>
    </row>
    <row r="109" spans="2:15" x14ac:dyDescent="0.2">
      <c r="C109" s="1784"/>
      <c r="D109" s="1785"/>
      <c r="E109" s="1197">
        <f t="shared" si="4"/>
        <v>0</v>
      </c>
      <c r="F109" s="1188">
        <f t="shared" si="6"/>
        <v>-5774.8554999999997</v>
      </c>
      <c r="G109" s="1189">
        <v>25001</v>
      </c>
      <c r="H109" s="1189">
        <v>50000</v>
      </c>
      <c r="I109" s="1189">
        <v>220</v>
      </c>
      <c r="J109" s="1190">
        <v>8</v>
      </c>
      <c r="K109" s="1192">
        <f>ROUNDUP((F109-25000)/1000,0)</f>
        <v>-31</v>
      </c>
      <c r="L109" s="1189">
        <f t="shared" si="7"/>
        <v>-248</v>
      </c>
      <c r="M109" s="1189">
        <f t="shared" si="5"/>
        <v>-28</v>
      </c>
    </row>
    <row r="110" spans="2:15" x14ac:dyDescent="0.2">
      <c r="C110" s="1784"/>
      <c r="D110" s="1785"/>
      <c r="E110" s="1197">
        <f t="shared" si="4"/>
        <v>0</v>
      </c>
      <c r="F110" s="1188">
        <f t="shared" si="6"/>
        <v>-5774.8554999999997</v>
      </c>
      <c r="G110" s="1189">
        <v>50001</v>
      </c>
      <c r="H110" s="1189">
        <v>100000</v>
      </c>
      <c r="I110" s="1189">
        <v>420</v>
      </c>
      <c r="J110" s="1190">
        <v>7</v>
      </c>
      <c r="K110" s="1192">
        <f>ROUNDUP((F110-50000)/1000,0)</f>
        <v>-56</v>
      </c>
      <c r="L110" s="1189">
        <f t="shared" si="7"/>
        <v>-392</v>
      </c>
      <c r="M110" s="1189">
        <f t="shared" si="5"/>
        <v>28</v>
      </c>
    </row>
    <row r="111" spans="2:15" x14ac:dyDescent="0.2">
      <c r="C111" s="1784"/>
      <c r="D111" s="1785"/>
      <c r="E111" s="1197">
        <f t="shared" si="4"/>
        <v>0</v>
      </c>
      <c r="F111" s="1188">
        <f t="shared" si="6"/>
        <v>-5774.8554999999997</v>
      </c>
      <c r="G111" s="1189">
        <v>100001</v>
      </c>
      <c r="H111" s="1189">
        <v>500000</v>
      </c>
      <c r="I111" s="1189">
        <v>770</v>
      </c>
      <c r="J111" s="1190">
        <v>5.6</v>
      </c>
      <c r="K111" s="1192">
        <f>ROUNDUP((F111-100000)/1000,0)</f>
        <v>-106</v>
      </c>
      <c r="L111" s="1189">
        <f t="shared" si="7"/>
        <v>-593.59999999999991</v>
      </c>
      <c r="M111" s="1189">
        <f t="shared" si="5"/>
        <v>177</v>
      </c>
    </row>
    <row r="112" spans="2:15" x14ac:dyDescent="0.2">
      <c r="C112" s="1784"/>
      <c r="D112" s="1785"/>
      <c r="E112" s="1197">
        <f t="shared" si="4"/>
        <v>0</v>
      </c>
      <c r="F112" s="1188">
        <f t="shared" si="6"/>
        <v>-5774.8554999999997</v>
      </c>
      <c r="G112" s="1189">
        <v>500001</v>
      </c>
      <c r="H112" s="1189">
        <v>1000000</v>
      </c>
      <c r="I112" s="1189">
        <v>3010</v>
      </c>
      <c r="J112" s="1190">
        <v>4.75</v>
      </c>
      <c r="K112" s="1192">
        <f>ROUNDUP((F112-500000)/1000,0)</f>
        <v>-506</v>
      </c>
      <c r="L112" s="1189">
        <f t="shared" si="7"/>
        <v>-2403.5</v>
      </c>
      <c r="M112" s="1189">
        <f t="shared" si="5"/>
        <v>607</v>
      </c>
    </row>
    <row r="113" spans="2:13" x14ac:dyDescent="0.2">
      <c r="C113" s="1784"/>
      <c r="D113" s="1785"/>
      <c r="E113" s="1197">
        <f t="shared" si="4"/>
        <v>0</v>
      </c>
      <c r="F113" s="1188">
        <f t="shared" si="6"/>
        <v>-5774.8554999999997</v>
      </c>
      <c r="G113" s="1189">
        <v>1000001</v>
      </c>
      <c r="H113" s="1189">
        <v>50000000</v>
      </c>
      <c r="I113" s="1189">
        <v>5385</v>
      </c>
      <c r="J113" s="1190">
        <v>3.65</v>
      </c>
      <c r="K113" s="1192">
        <f>ROUNDUP((F113-1000000)/1000,0)</f>
        <v>-1006</v>
      </c>
      <c r="L113" s="1189">
        <f t="shared" si="7"/>
        <v>-3671.9</v>
      </c>
      <c r="M113" s="1189">
        <f>ROUNDUP(L113+I113,0)</f>
        <v>1714</v>
      </c>
    </row>
    <row r="114" spans="2:13" ht="13.5" thickBot="1" x14ac:dyDescent="0.25">
      <c r="C114" s="1784"/>
      <c r="D114" s="1785"/>
    </row>
    <row r="115" spans="2:13" ht="13.5" thickBot="1" x14ac:dyDescent="0.25">
      <c r="C115" s="1786" t="s">
        <v>2182</v>
      </c>
      <c r="D115" s="1787"/>
      <c r="F115" s="1240" t="s">
        <v>2181</v>
      </c>
      <c r="G115" s="1241"/>
      <c r="H115" s="1241"/>
      <c r="I115" s="1241"/>
      <c r="J115" s="1241"/>
      <c r="K115" s="1241"/>
      <c r="L115" s="1241"/>
      <c r="M115" s="1242"/>
    </row>
    <row r="116" spans="2:13" ht="13.5" customHeight="1" x14ac:dyDescent="0.2">
      <c r="C116" s="1788" t="s">
        <v>2177</v>
      </c>
      <c r="D116" s="1789"/>
      <c r="F116" s="1605" t="s">
        <v>2169</v>
      </c>
      <c r="G116" s="1605"/>
      <c r="H116" s="1188">
        <f>($M$91+1)</f>
        <v>-5774.8554999999997</v>
      </c>
      <c r="I116" s="1187"/>
      <c r="J116" s="1187"/>
      <c r="K116" s="1187"/>
      <c r="L116" s="1187"/>
      <c r="M116" s="1187"/>
    </row>
    <row r="117" spans="2:13" ht="38.25" x14ac:dyDescent="0.2">
      <c r="B117" s="1196" t="s">
        <v>2185</v>
      </c>
      <c r="C117" s="1788"/>
      <c r="D117" s="1789"/>
      <c r="F117" s="1243" t="s">
        <v>2344</v>
      </c>
      <c r="G117" s="1244" t="s">
        <v>2170</v>
      </c>
      <c r="H117" s="1244" t="s">
        <v>2171</v>
      </c>
      <c r="I117" s="1244" t="s">
        <v>2172</v>
      </c>
      <c r="J117" s="1243" t="s">
        <v>2346</v>
      </c>
      <c r="K117" s="1245" t="s">
        <v>2347</v>
      </c>
      <c r="L117" s="1243" t="s">
        <v>2324</v>
      </c>
      <c r="M117" s="1243" t="s">
        <v>2176</v>
      </c>
    </row>
    <row r="118" spans="2:13" x14ac:dyDescent="0.2">
      <c r="B118" s="1199" t="e">
        <f>VLOOKUP(1,E118:M121,9,FALSE)</f>
        <v>#N/A</v>
      </c>
      <c r="C118" s="1788"/>
      <c r="D118" s="1789"/>
      <c r="E118" s="1197">
        <f>IF(AND(F118&gt;=MIN(G118,H118),F118&lt;=MAX(G118,H118)),1,0)</f>
        <v>0</v>
      </c>
      <c r="F118" s="1188">
        <f>H116</f>
        <v>-5774.8554999999997</v>
      </c>
      <c r="G118" s="1189">
        <v>1</v>
      </c>
      <c r="H118" s="1189">
        <v>100</v>
      </c>
      <c r="I118" s="1191">
        <v>13.6</v>
      </c>
      <c r="J118" s="1190">
        <v>0</v>
      </c>
      <c r="K118" s="1187"/>
      <c r="L118" s="1191"/>
      <c r="M118" s="1189">
        <f>ROUNDUP(L118+I118,0)</f>
        <v>14</v>
      </c>
    </row>
    <row r="119" spans="2:13" x14ac:dyDescent="0.2">
      <c r="C119" s="1788"/>
      <c r="D119" s="1789"/>
      <c r="E119" s="1197">
        <f>IF(AND(F119&gt;=MIN(G119,H119),F119&lt;=MAX(G119,H119)),1,0)</f>
        <v>0</v>
      </c>
      <c r="F119" s="1188">
        <f>F118</f>
        <v>-5774.8554999999997</v>
      </c>
      <c r="G119" s="1189">
        <v>101</v>
      </c>
      <c r="H119" s="1189">
        <v>400</v>
      </c>
      <c r="I119" s="1200">
        <v>16.75</v>
      </c>
      <c r="J119" s="1190">
        <v>0</v>
      </c>
      <c r="K119" s="1192">
        <v>0</v>
      </c>
      <c r="L119" s="1189">
        <f>K119*J119</f>
        <v>0</v>
      </c>
      <c r="M119" s="1189">
        <f>ROUNDUP(L119+I119,0)</f>
        <v>17</v>
      </c>
    </row>
    <row r="120" spans="2:13" x14ac:dyDescent="0.2">
      <c r="C120" s="1788"/>
      <c r="D120" s="1789"/>
      <c r="E120" s="1197">
        <f>IF(AND(F120&gt;=MIN(G120,H120),F120&lt;=MAX(G120,H120)),1,0)</f>
        <v>0</v>
      </c>
      <c r="F120" s="1188">
        <f>F119</f>
        <v>-5774.8554999999997</v>
      </c>
      <c r="G120" s="1189">
        <v>401</v>
      </c>
      <c r="H120" s="1189">
        <v>800</v>
      </c>
      <c r="I120" s="1191">
        <v>19.899999999999999</v>
      </c>
      <c r="J120" s="1190">
        <v>0</v>
      </c>
      <c r="K120" s="1192">
        <v>0</v>
      </c>
      <c r="L120" s="1189">
        <f>K120*J120</f>
        <v>0</v>
      </c>
      <c r="M120" s="1189">
        <f>ROUNDUP(L120+I120,0)</f>
        <v>20</v>
      </c>
    </row>
    <row r="121" spans="2:13" ht="13.5" thickBot="1" x14ac:dyDescent="0.25">
      <c r="C121" s="1788"/>
      <c r="D121" s="1789"/>
      <c r="E121" s="1197">
        <f>IF(AND(F121&gt;=MIN(G121,H121),F121&lt;=MAX(G121,H121)),1,0)</f>
        <v>0</v>
      </c>
      <c r="F121" s="1188">
        <f>F120</f>
        <v>-5774.8554999999997</v>
      </c>
      <c r="G121" s="1189">
        <v>801</v>
      </c>
      <c r="H121" s="1189">
        <v>50000000</v>
      </c>
      <c r="I121" s="1191">
        <v>19.899999999999999</v>
      </c>
      <c r="J121" s="1190">
        <v>3.75</v>
      </c>
      <c r="K121" s="1192">
        <f>ROUNDUP((F121-800)/100,0)</f>
        <v>-66</v>
      </c>
      <c r="L121" s="1189">
        <f>K121*J121</f>
        <v>-247.5</v>
      </c>
      <c r="M121" s="1189">
        <f>ROUNDUP(L121+I121,0)</f>
        <v>-228</v>
      </c>
    </row>
    <row r="122" spans="2:13" ht="13.5" thickBot="1" x14ac:dyDescent="0.25">
      <c r="C122" s="1689" t="s">
        <v>2042</v>
      </c>
      <c r="D122" s="1690"/>
      <c r="F122" s="1320" t="s">
        <v>2365</v>
      </c>
      <c r="G122" s="1321"/>
      <c r="H122" s="1321"/>
      <c r="I122" s="1321"/>
      <c r="J122" s="1321"/>
      <c r="K122" s="1321"/>
      <c r="L122" s="1321"/>
      <c r="M122" s="1322"/>
    </row>
    <row r="123" spans="2:13" x14ac:dyDescent="0.2">
      <c r="C123" s="1691" t="s">
        <v>2367</v>
      </c>
      <c r="D123" s="1692"/>
      <c r="F123" s="1605" t="s">
        <v>2169</v>
      </c>
      <c r="G123" s="1605"/>
      <c r="H123" s="1188">
        <f>($M$91+1)</f>
        <v>-5774.8554999999997</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21</v>
      </c>
      <c r="C125" s="1695"/>
      <c r="D125" s="1696"/>
      <c r="E125" s="1197">
        <f>IF(AND(F125&gt;=MIN(G125,H125),F125&lt;=MAX(G125,H125)),1,0)</f>
        <v>0</v>
      </c>
      <c r="F125" s="1188">
        <f>H123</f>
        <v>-5774.8554999999997</v>
      </c>
      <c r="G125" s="1189">
        <v>1</v>
      </c>
      <c r="H125" s="1189">
        <v>50000000</v>
      </c>
      <c r="I125" s="1191">
        <v>105</v>
      </c>
      <c r="J125" s="1190">
        <v>14</v>
      </c>
      <c r="K125" s="1192">
        <f>ROUNDUP(F125/1000,0)</f>
        <v>-6</v>
      </c>
      <c r="L125" s="1189">
        <f>K125*J125</f>
        <v>-84</v>
      </c>
      <c r="M125" s="1189">
        <f>ROUNDUP(L125+I125,0)</f>
        <v>21</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C27" sqref="C2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27:C27"/>
    <mergeCell ref="B28:C28"/>
    <mergeCell ref="B44:C44"/>
    <mergeCell ref="B46:E46"/>
    <mergeCell ref="B29:C29"/>
    <mergeCell ref="B30:C30"/>
    <mergeCell ref="B31:C31"/>
    <mergeCell ref="B38:C38"/>
    <mergeCell ref="B39:C39"/>
    <mergeCell ref="B32:C32"/>
    <mergeCell ref="B33:C33"/>
    <mergeCell ref="B34:C34"/>
    <mergeCell ref="B35:C35"/>
    <mergeCell ref="B36:C36"/>
    <mergeCell ref="B37:C37"/>
    <mergeCell ref="B2:M2"/>
    <mergeCell ref="D3:G3"/>
    <mergeCell ref="J3:M3"/>
    <mergeCell ref="D4:E4"/>
    <mergeCell ref="E5:G5"/>
    <mergeCell ref="H5:M6"/>
    <mergeCell ref="B13:C13"/>
    <mergeCell ref="B14:C14"/>
    <mergeCell ref="B15:C15"/>
    <mergeCell ref="C122:D122"/>
    <mergeCell ref="C123:D125"/>
    <mergeCell ref="F123:G123"/>
    <mergeCell ref="B19:C19"/>
    <mergeCell ref="B16:C16"/>
    <mergeCell ref="B17:C17"/>
    <mergeCell ref="B18:C18"/>
    <mergeCell ref="B7:C7"/>
    <mergeCell ref="B8:C8"/>
    <mergeCell ref="B9:C9"/>
    <mergeCell ref="B10:C10"/>
    <mergeCell ref="B11:C11"/>
    <mergeCell ref="B12:C12"/>
    <mergeCell ref="B20:C20"/>
    <mergeCell ref="B21:C21"/>
    <mergeCell ref="B22:C22"/>
    <mergeCell ref="B23:C23"/>
    <mergeCell ref="B24:C24"/>
    <mergeCell ref="B40:C40"/>
    <mergeCell ref="B41:C41"/>
    <mergeCell ref="B42:C42"/>
    <mergeCell ref="B43:C43"/>
    <mergeCell ref="B25:C25"/>
    <mergeCell ref="B26:C26"/>
  </mergeCells>
  <conditionalFormatting sqref="M93">
    <cfRule type="cellIs" dxfId="6"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F40BBFF-7CE7-4063-AF0B-3C035000B384}">
          <x14:formula1>
            <xm:f>Rentals!$A$13:$A$35</xm:f>
          </x14:formula1>
          <xm:sqref>I62:I63</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5"/>
  <sheetViews>
    <sheetView topLeftCell="A67" zoomScale="70" zoomScaleNormal="70" workbookViewId="0">
      <selection activeCell="L88" sqref="L88"/>
    </sheetView>
  </sheetViews>
  <sheetFormatPr defaultRowHeight="12.75" x14ac:dyDescent="0.2"/>
  <cols>
    <col min="1" max="1" width="2.28515625" customWidth="1"/>
    <col min="2" max="2" width="10" customWidth="1"/>
    <col min="3" max="3" width="30.7109375" customWidth="1"/>
    <col min="4" max="4" width="14.5703125" bestFit="1" customWidth="1"/>
    <col min="5" max="5" width="15.42578125" customWidth="1"/>
    <col min="6" max="6" width="17.85546875" customWidth="1"/>
    <col min="7" max="7" width="12.7109375" customWidth="1"/>
    <col min="8" max="8" width="18.28515625" customWidth="1"/>
    <col min="9" max="9" width="12.7109375" customWidth="1"/>
    <col min="10" max="10" width="14.28515625" customWidth="1"/>
    <col min="11" max="11" width="13.42578125" bestFit="1" customWidth="1"/>
    <col min="12" max="12" width="17.7109375" bestFit="1" customWidth="1"/>
    <col min="13" max="13" width="17.85546875" bestFit="1" customWidth="1"/>
    <col min="14" max="14" width="1.7109375" customWidth="1"/>
  </cols>
  <sheetData>
    <row r="1" spans="2:13" ht="6.75" customHeight="1" thickBot="1" x14ac:dyDescent="0.25"/>
    <row r="2" spans="2:13" ht="14.25" x14ac:dyDescent="0.2">
      <c r="B2" s="1723" t="s">
        <v>1154</v>
      </c>
      <c r="C2" s="1724"/>
      <c r="D2" s="1724"/>
      <c r="E2" s="1724"/>
      <c r="F2" s="1724"/>
      <c r="G2" s="1724"/>
      <c r="H2" s="1724"/>
      <c r="I2" s="1724"/>
      <c r="J2" s="1724"/>
      <c r="K2" s="1724"/>
      <c r="L2" s="1724"/>
      <c r="M2" s="1725"/>
    </row>
    <row r="3" spans="2:13" ht="14.25" x14ac:dyDescent="0.2">
      <c r="B3" s="1035" t="s">
        <v>1155</v>
      </c>
      <c r="C3" s="874"/>
      <c r="D3" s="1730" t="str">
        <f>'PROJECT INFO'!E3</f>
        <v>300 University Boulevard</v>
      </c>
      <c r="E3" s="1730"/>
      <c r="F3" s="1730"/>
      <c r="G3" s="1730"/>
      <c r="H3" s="368" t="s">
        <v>1156</v>
      </c>
      <c r="I3" s="874"/>
      <c r="J3" s="1732"/>
      <c r="K3" s="1732"/>
      <c r="L3" s="1732"/>
      <c r="M3" s="1733"/>
    </row>
    <row r="4" spans="2:13" ht="14.25" x14ac:dyDescent="0.2">
      <c r="B4" s="1035" t="s">
        <v>1157</v>
      </c>
      <c r="C4" s="874"/>
      <c r="D4" s="1730" t="str">
        <f>'PROJECT INFO'!E4</f>
        <v>5888</v>
      </c>
      <c r="E4" s="1730"/>
      <c r="F4" s="369"/>
      <c r="G4" s="369"/>
      <c r="H4" s="369"/>
      <c r="I4" s="369"/>
      <c r="J4" s="369"/>
      <c r="K4" s="369"/>
      <c r="L4" s="369"/>
      <c r="M4" s="1036"/>
    </row>
    <row r="5" spans="2:13" ht="14.25" x14ac:dyDescent="0.2">
      <c r="B5" s="1035" t="s">
        <v>1158</v>
      </c>
      <c r="C5" s="874"/>
      <c r="D5" s="874" t="str">
        <f>'Project Cost Recap'!B67</f>
        <v>#3</v>
      </c>
      <c r="E5" s="1731" t="s">
        <v>91</v>
      </c>
      <c r="F5" s="1731"/>
      <c r="G5" s="1731"/>
      <c r="H5" s="1726" t="str">
        <f>'Project Cost Recap'!E67</f>
        <v>Install Irrigation Line</v>
      </c>
      <c r="I5" s="1726"/>
      <c r="J5" s="1726"/>
      <c r="K5" s="1726"/>
      <c r="L5" s="1726"/>
      <c r="M5" s="1727"/>
    </row>
    <row r="6" spans="2:13" ht="14.25" x14ac:dyDescent="0.2">
      <c r="B6" s="1035" t="s">
        <v>1085</v>
      </c>
      <c r="C6" s="370">
        <f ca="1">NOW()</f>
        <v>44718.519324884262</v>
      </c>
      <c r="D6" s="371"/>
      <c r="E6" s="371"/>
      <c r="F6" s="369"/>
      <c r="G6" s="369"/>
      <c r="H6" s="1726"/>
      <c r="I6" s="1726"/>
      <c r="J6" s="1726"/>
      <c r="K6" s="1726"/>
      <c r="L6" s="1726"/>
      <c r="M6" s="1727"/>
    </row>
    <row r="7" spans="2:13" ht="42.75" x14ac:dyDescent="0.2">
      <c r="B7" s="1728" t="s">
        <v>1159</v>
      </c>
      <c r="C7" s="1729"/>
      <c r="D7" s="372" t="s">
        <v>1146</v>
      </c>
      <c r="E7" s="372" t="s">
        <v>124</v>
      </c>
      <c r="F7" s="372" t="s">
        <v>1160</v>
      </c>
      <c r="G7" s="372" t="s">
        <v>1532</v>
      </c>
      <c r="H7" s="372" t="s">
        <v>1147</v>
      </c>
      <c r="I7" s="372" t="s">
        <v>1161</v>
      </c>
      <c r="J7" s="372" t="s">
        <v>1148</v>
      </c>
      <c r="K7" s="372" t="s">
        <v>1162</v>
      </c>
      <c r="L7" s="372" t="s">
        <v>451</v>
      </c>
      <c r="M7" s="1037" t="s">
        <v>1181</v>
      </c>
    </row>
    <row r="8" spans="2:13" ht="14.25" x14ac:dyDescent="0.2">
      <c r="B8" s="1712" t="s">
        <v>2580</v>
      </c>
      <c r="C8" s="1713"/>
      <c r="D8" s="373"/>
      <c r="E8" s="374">
        <v>281</v>
      </c>
      <c r="F8" s="375">
        <v>0.37722419928825623</v>
      </c>
      <c r="G8" s="375">
        <v>1</v>
      </c>
      <c r="H8" s="376">
        <f>E8*F8*G8</f>
        <v>106</v>
      </c>
      <c r="I8" s="375"/>
      <c r="J8" s="376">
        <f t="shared" ref="J8:J43" si="0">(I8*E8)</f>
        <v>0</v>
      </c>
      <c r="K8" s="377"/>
      <c r="L8" s="378">
        <v>13.814946619217082</v>
      </c>
      <c r="M8" s="1038">
        <f t="shared" ref="M8:M43" si="1">ROUNDUP(L8*E8,0)</f>
        <v>3882</v>
      </c>
    </row>
    <row r="9" spans="2:13" ht="14.25" x14ac:dyDescent="0.2">
      <c r="B9" s="1712" t="s">
        <v>2430</v>
      </c>
      <c r="C9" s="1713"/>
      <c r="D9" s="373"/>
      <c r="E9" s="374">
        <v>0</v>
      </c>
      <c r="F9" s="375"/>
      <c r="G9" s="375">
        <v>1</v>
      </c>
      <c r="H9" s="376">
        <f t="shared" ref="H9:H43" si="2">E9*F9*G9</f>
        <v>0</v>
      </c>
      <c r="I9" s="375"/>
      <c r="J9" s="376">
        <f t="shared" si="0"/>
        <v>0</v>
      </c>
      <c r="K9" s="377"/>
      <c r="L9" s="378">
        <v>10</v>
      </c>
      <c r="M9" s="1038">
        <f t="shared" si="1"/>
        <v>0</v>
      </c>
    </row>
    <row r="10" spans="2:13" ht="14.25" x14ac:dyDescent="0.2">
      <c r="B10" s="1712" t="s">
        <v>2581</v>
      </c>
      <c r="C10" s="1713"/>
      <c r="D10" s="373"/>
      <c r="E10" s="374">
        <v>1</v>
      </c>
      <c r="F10" s="375">
        <v>2</v>
      </c>
      <c r="G10" s="375">
        <v>1</v>
      </c>
      <c r="H10" s="376">
        <f t="shared" si="2"/>
        <v>2</v>
      </c>
      <c r="I10" s="375"/>
      <c r="J10" s="376">
        <f t="shared" si="0"/>
        <v>0</v>
      </c>
      <c r="K10" s="377"/>
      <c r="L10" s="378"/>
      <c r="M10" s="1038">
        <f t="shared" si="1"/>
        <v>0</v>
      </c>
    </row>
    <row r="11" spans="2:13" ht="14.25" x14ac:dyDescent="0.2">
      <c r="B11" s="1712" t="s">
        <v>2582</v>
      </c>
      <c r="C11" s="1713"/>
      <c r="D11" s="373"/>
      <c r="E11" s="374">
        <v>1</v>
      </c>
      <c r="F11" s="375">
        <v>2</v>
      </c>
      <c r="G11" s="375">
        <v>1</v>
      </c>
      <c r="H11" s="376">
        <f t="shared" si="2"/>
        <v>2</v>
      </c>
      <c r="I11" s="375"/>
      <c r="J11" s="376">
        <f t="shared" si="0"/>
        <v>0</v>
      </c>
      <c r="K11" s="377"/>
      <c r="L11" s="378"/>
      <c r="M11" s="1038">
        <f t="shared" si="1"/>
        <v>0</v>
      </c>
    </row>
    <row r="12" spans="2:13" ht="14.25" x14ac:dyDescent="0.2">
      <c r="B12" s="1712" t="s">
        <v>2583</v>
      </c>
      <c r="C12" s="1713"/>
      <c r="D12" s="373"/>
      <c r="E12" s="374">
        <v>1</v>
      </c>
      <c r="F12" s="375">
        <v>2</v>
      </c>
      <c r="G12" s="375">
        <v>1</v>
      </c>
      <c r="H12" s="376">
        <f t="shared" si="2"/>
        <v>2</v>
      </c>
      <c r="I12" s="375"/>
      <c r="J12" s="376">
        <f t="shared" si="0"/>
        <v>0</v>
      </c>
      <c r="K12" s="377"/>
      <c r="L12" s="378"/>
      <c r="M12" s="1038">
        <f t="shared" si="1"/>
        <v>0</v>
      </c>
    </row>
    <row r="13" spans="2:13" ht="14.25" x14ac:dyDescent="0.2">
      <c r="B13" s="1712" t="s">
        <v>2584</v>
      </c>
      <c r="C13" s="1713"/>
      <c r="D13" s="373"/>
      <c r="E13" s="374">
        <v>1</v>
      </c>
      <c r="F13" s="375">
        <v>1</v>
      </c>
      <c r="G13" s="375">
        <v>1</v>
      </c>
      <c r="H13" s="376">
        <f t="shared" si="2"/>
        <v>1</v>
      </c>
      <c r="I13" s="375"/>
      <c r="J13" s="376">
        <f t="shared" si="0"/>
        <v>0</v>
      </c>
      <c r="K13" s="377"/>
      <c r="L13" s="378"/>
      <c r="M13" s="1038">
        <f t="shared" si="1"/>
        <v>0</v>
      </c>
    </row>
    <row r="14" spans="2:13" ht="14.25" x14ac:dyDescent="0.2">
      <c r="B14" s="1712"/>
      <c r="C14" s="1713"/>
      <c r="D14" s="373"/>
      <c r="E14" s="374"/>
      <c r="F14" s="375"/>
      <c r="G14" s="375">
        <v>1</v>
      </c>
      <c r="H14" s="376">
        <f t="shared" si="2"/>
        <v>0</v>
      </c>
      <c r="I14" s="375"/>
      <c r="J14" s="376">
        <f t="shared" si="0"/>
        <v>0</v>
      </c>
      <c r="K14" s="377"/>
      <c r="L14" s="378"/>
      <c r="M14" s="1038">
        <f t="shared" si="1"/>
        <v>0</v>
      </c>
    </row>
    <row r="15" spans="2:13" ht="14.25" x14ac:dyDescent="0.2">
      <c r="B15" s="1712"/>
      <c r="C15" s="1713"/>
      <c r="D15" s="373"/>
      <c r="E15" s="374"/>
      <c r="F15" s="375"/>
      <c r="G15" s="375">
        <v>1</v>
      </c>
      <c r="H15" s="376">
        <f t="shared" si="2"/>
        <v>0</v>
      </c>
      <c r="I15" s="375"/>
      <c r="J15" s="376">
        <f t="shared" si="0"/>
        <v>0</v>
      </c>
      <c r="K15" s="377"/>
      <c r="L15" s="378"/>
      <c r="M15" s="1038">
        <f t="shared" si="1"/>
        <v>0</v>
      </c>
    </row>
    <row r="16" spans="2:13" ht="14.25" x14ac:dyDescent="0.2">
      <c r="B16" s="1712"/>
      <c r="C16" s="1713"/>
      <c r="D16" s="373"/>
      <c r="E16" s="374"/>
      <c r="F16" s="375"/>
      <c r="G16" s="375">
        <v>1</v>
      </c>
      <c r="H16" s="376">
        <f t="shared" si="2"/>
        <v>0</v>
      </c>
      <c r="I16" s="375"/>
      <c r="J16" s="376">
        <f t="shared" si="0"/>
        <v>0</v>
      </c>
      <c r="K16" s="377"/>
      <c r="L16" s="378"/>
      <c r="M16" s="1038">
        <f t="shared" si="1"/>
        <v>0</v>
      </c>
    </row>
    <row r="17" spans="2:13" ht="14.25" x14ac:dyDescent="0.2">
      <c r="B17" s="1712"/>
      <c r="C17" s="1713"/>
      <c r="D17" s="373"/>
      <c r="E17" s="374"/>
      <c r="F17" s="375"/>
      <c r="G17" s="375">
        <v>1</v>
      </c>
      <c r="H17" s="376">
        <f t="shared" si="2"/>
        <v>0</v>
      </c>
      <c r="I17" s="375"/>
      <c r="J17" s="376">
        <f t="shared" si="0"/>
        <v>0</v>
      </c>
      <c r="K17" s="377"/>
      <c r="L17" s="378"/>
      <c r="M17" s="1038">
        <f t="shared" si="1"/>
        <v>0</v>
      </c>
    </row>
    <row r="18" spans="2:13" ht="14.25" x14ac:dyDescent="0.2">
      <c r="B18" s="1712"/>
      <c r="C18" s="1713"/>
      <c r="D18" s="373"/>
      <c r="E18" s="374"/>
      <c r="F18" s="375"/>
      <c r="G18" s="375">
        <v>1</v>
      </c>
      <c r="H18" s="376">
        <f t="shared" si="2"/>
        <v>0</v>
      </c>
      <c r="I18" s="375"/>
      <c r="J18" s="376">
        <f t="shared" si="0"/>
        <v>0</v>
      </c>
      <c r="K18" s="377"/>
      <c r="L18" s="378"/>
      <c r="M18" s="1038">
        <f t="shared" si="1"/>
        <v>0</v>
      </c>
    </row>
    <row r="19" spans="2:13" ht="14.25" x14ac:dyDescent="0.2">
      <c r="B19" s="1712"/>
      <c r="C19" s="1713"/>
      <c r="D19" s="373"/>
      <c r="E19" s="374"/>
      <c r="F19" s="375"/>
      <c r="G19" s="375">
        <v>1</v>
      </c>
      <c r="H19" s="376">
        <f t="shared" si="2"/>
        <v>0</v>
      </c>
      <c r="I19" s="375"/>
      <c r="J19" s="376">
        <f t="shared" si="0"/>
        <v>0</v>
      </c>
      <c r="K19" s="377"/>
      <c r="L19" s="378"/>
      <c r="M19" s="1038">
        <f t="shared" si="1"/>
        <v>0</v>
      </c>
    </row>
    <row r="20" spans="2:13" ht="14.25" x14ac:dyDescent="0.2">
      <c r="B20" s="1712"/>
      <c r="C20" s="1713"/>
      <c r="D20" s="373"/>
      <c r="E20" s="374"/>
      <c r="F20" s="375"/>
      <c r="G20" s="375">
        <v>1</v>
      </c>
      <c r="H20" s="376">
        <f t="shared" si="2"/>
        <v>0</v>
      </c>
      <c r="I20" s="375"/>
      <c r="J20" s="376">
        <f t="shared" si="0"/>
        <v>0</v>
      </c>
      <c r="K20" s="377"/>
      <c r="L20" s="378"/>
      <c r="M20" s="1038">
        <f t="shared" si="1"/>
        <v>0</v>
      </c>
    </row>
    <row r="21" spans="2:13" ht="14.25" x14ac:dyDescent="0.2">
      <c r="B21" s="1712"/>
      <c r="C21" s="1713"/>
      <c r="D21" s="373"/>
      <c r="E21" s="374"/>
      <c r="F21" s="375"/>
      <c r="G21" s="375">
        <v>1</v>
      </c>
      <c r="H21" s="376">
        <f t="shared" si="2"/>
        <v>0</v>
      </c>
      <c r="I21" s="375"/>
      <c r="J21" s="376">
        <f t="shared" si="0"/>
        <v>0</v>
      </c>
      <c r="K21" s="377"/>
      <c r="L21" s="378"/>
      <c r="M21" s="1038">
        <f t="shared" si="1"/>
        <v>0</v>
      </c>
    </row>
    <row r="22" spans="2:13" ht="14.25" x14ac:dyDescent="0.2">
      <c r="B22" s="1712"/>
      <c r="C22" s="1713"/>
      <c r="D22" s="373"/>
      <c r="E22" s="374"/>
      <c r="F22" s="375"/>
      <c r="G22" s="375">
        <v>1</v>
      </c>
      <c r="H22" s="376">
        <f t="shared" si="2"/>
        <v>0</v>
      </c>
      <c r="I22" s="375"/>
      <c r="J22" s="376">
        <f t="shared" si="0"/>
        <v>0</v>
      </c>
      <c r="K22" s="377"/>
      <c r="L22" s="378"/>
      <c r="M22" s="1038">
        <f t="shared" si="1"/>
        <v>0</v>
      </c>
    </row>
    <row r="23" spans="2:13" ht="14.25" x14ac:dyDescent="0.2">
      <c r="B23" s="1712"/>
      <c r="C23" s="1713"/>
      <c r="D23" s="373"/>
      <c r="E23" s="374"/>
      <c r="F23" s="375"/>
      <c r="G23" s="375">
        <v>1</v>
      </c>
      <c r="H23" s="376">
        <f t="shared" si="2"/>
        <v>0</v>
      </c>
      <c r="I23" s="375"/>
      <c r="J23" s="376">
        <f t="shared" si="0"/>
        <v>0</v>
      </c>
      <c r="K23" s="377"/>
      <c r="L23" s="378"/>
      <c r="M23" s="1038">
        <f t="shared" si="1"/>
        <v>0</v>
      </c>
    </row>
    <row r="24" spans="2:13" ht="14.25" x14ac:dyDescent="0.2">
      <c r="B24" s="1712"/>
      <c r="C24" s="1713"/>
      <c r="D24" s="373"/>
      <c r="E24" s="374"/>
      <c r="F24" s="375"/>
      <c r="G24" s="375">
        <v>1</v>
      </c>
      <c r="H24" s="376">
        <f t="shared" si="2"/>
        <v>0</v>
      </c>
      <c r="I24" s="375"/>
      <c r="J24" s="376">
        <f t="shared" si="0"/>
        <v>0</v>
      </c>
      <c r="K24" s="377"/>
      <c r="L24" s="378"/>
      <c r="M24" s="1038">
        <f t="shared" si="1"/>
        <v>0</v>
      </c>
    </row>
    <row r="25" spans="2:13" ht="14.25" x14ac:dyDescent="0.2">
      <c r="B25" s="1712"/>
      <c r="C25" s="1713"/>
      <c r="D25" s="373"/>
      <c r="E25" s="374"/>
      <c r="F25" s="375"/>
      <c r="G25" s="375">
        <v>1</v>
      </c>
      <c r="H25" s="376">
        <f t="shared" si="2"/>
        <v>0</v>
      </c>
      <c r="I25" s="375"/>
      <c r="J25" s="376">
        <f t="shared" si="0"/>
        <v>0</v>
      </c>
      <c r="K25" s="377"/>
      <c r="L25" s="378"/>
      <c r="M25" s="1038">
        <f t="shared" si="1"/>
        <v>0</v>
      </c>
    </row>
    <row r="26" spans="2:13" ht="14.25" x14ac:dyDescent="0.2">
      <c r="B26" s="1712"/>
      <c r="C26" s="1713"/>
      <c r="D26" s="373"/>
      <c r="E26" s="374"/>
      <c r="F26" s="375"/>
      <c r="G26" s="375">
        <v>1</v>
      </c>
      <c r="H26" s="376">
        <f t="shared" si="2"/>
        <v>0</v>
      </c>
      <c r="I26" s="375"/>
      <c r="J26" s="376">
        <f t="shared" si="0"/>
        <v>0</v>
      </c>
      <c r="K26" s="377"/>
      <c r="L26" s="378"/>
      <c r="M26" s="1038">
        <f t="shared" si="1"/>
        <v>0</v>
      </c>
    </row>
    <row r="27" spans="2:13" ht="14.25" x14ac:dyDescent="0.2">
      <c r="B27" s="1712"/>
      <c r="C27" s="1713"/>
      <c r="D27" s="373"/>
      <c r="E27" s="374"/>
      <c r="F27" s="375"/>
      <c r="G27" s="375">
        <v>1</v>
      </c>
      <c r="H27" s="376">
        <f t="shared" si="2"/>
        <v>0</v>
      </c>
      <c r="I27" s="375"/>
      <c r="J27" s="376">
        <f t="shared" si="0"/>
        <v>0</v>
      </c>
      <c r="K27" s="377"/>
      <c r="L27" s="378"/>
      <c r="M27" s="1038">
        <f t="shared" si="1"/>
        <v>0</v>
      </c>
    </row>
    <row r="28" spans="2:13" ht="14.25" x14ac:dyDescent="0.2">
      <c r="B28" s="1712"/>
      <c r="C28" s="1713"/>
      <c r="D28" s="373"/>
      <c r="E28" s="374"/>
      <c r="F28" s="375"/>
      <c r="G28" s="375">
        <v>1</v>
      </c>
      <c r="H28" s="376">
        <f t="shared" si="2"/>
        <v>0</v>
      </c>
      <c r="I28" s="375"/>
      <c r="J28" s="376">
        <f t="shared" si="0"/>
        <v>0</v>
      </c>
      <c r="K28" s="377"/>
      <c r="L28" s="378"/>
      <c r="M28" s="1038">
        <f t="shared" si="1"/>
        <v>0</v>
      </c>
    </row>
    <row r="29" spans="2:13" ht="14.25" x14ac:dyDescent="0.2">
      <c r="B29" s="1712"/>
      <c r="C29" s="1713"/>
      <c r="D29" s="373"/>
      <c r="E29" s="374"/>
      <c r="F29" s="375"/>
      <c r="G29" s="375">
        <v>1</v>
      </c>
      <c r="H29" s="376">
        <f t="shared" si="2"/>
        <v>0</v>
      </c>
      <c r="I29" s="375"/>
      <c r="J29" s="376">
        <f t="shared" si="0"/>
        <v>0</v>
      </c>
      <c r="K29" s="377"/>
      <c r="L29" s="378"/>
      <c r="M29" s="1038">
        <f t="shared" si="1"/>
        <v>0</v>
      </c>
    </row>
    <row r="30" spans="2:13" ht="14.25" x14ac:dyDescent="0.2">
      <c r="B30" s="1712"/>
      <c r="C30" s="1713"/>
      <c r="D30" s="373"/>
      <c r="E30" s="374"/>
      <c r="F30" s="375"/>
      <c r="G30" s="375">
        <v>1</v>
      </c>
      <c r="H30" s="376">
        <f t="shared" si="2"/>
        <v>0</v>
      </c>
      <c r="I30" s="375"/>
      <c r="J30" s="376">
        <f t="shared" si="0"/>
        <v>0</v>
      </c>
      <c r="K30" s="377"/>
      <c r="L30" s="378"/>
      <c r="M30" s="1038">
        <f t="shared" si="1"/>
        <v>0</v>
      </c>
    </row>
    <row r="31" spans="2:13" ht="14.25" x14ac:dyDescent="0.2">
      <c r="B31" s="1712"/>
      <c r="C31" s="1713"/>
      <c r="D31" s="373"/>
      <c r="E31" s="374"/>
      <c r="F31" s="375"/>
      <c r="G31" s="375">
        <v>1</v>
      </c>
      <c r="H31" s="376">
        <f t="shared" si="2"/>
        <v>0</v>
      </c>
      <c r="I31" s="375"/>
      <c r="J31" s="376">
        <f t="shared" si="0"/>
        <v>0</v>
      </c>
      <c r="K31" s="377"/>
      <c r="L31" s="378"/>
      <c r="M31" s="1038">
        <f t="shared" si="1"/>
        <v>0</v>
      </c>
    </row>
    <row r="32" spans="2:13" ht="14.25" x14ac:dyDescent="0.2">
      <c r="B32" s="1712"/>
      <c r="C32" s="1713"/>
      <c r="D32" s="373"/>
      <c r="E32" s="374"/>
      <c r="F32" s="375"/>
      <c r="G32" s="375">
        <v>1</v>
      </c>
      <c r="H32" s="376">
        <f t="shared" si="2"/>
        <v>0</v>
      </c>
      <c r="I32" s="375"/>
      <c r="J32" s="376">
        <f t="shared" si="0"/>
        <v>0</v>
      </c>
      <c r="K32" s="377"/>
      <c r="L32" s="378"/>
      <c r="M32" s="1038">
        <f t="shared" si="1"/>
        <v>0</v>
      </c>
    </row>
    <row r="33" spans="2:13" ht="14.25" x14ac:dyDescent="0.2">
      <c r="B33" s="1712"/>
      <c r="C33" s="1713"/>
      <c r="D33" s="373"/>
      <c r="E33" s="374"/>
      <c r="F33" s="375"/>
      <c r="G33" s="375">
        <v>1</v>
      </c>
      <c r="H33" s="376">
        <f t="shared" si="2"/>
        <v>0</v>
      </c>
      <c r="I33" s="375"/>
      <c r="J33" s="376">
        <f t="shared" si="0"/>
        <v>0</v>
      </c>
      <c r="K33" s="377"/>
      <c r="L33" s="378"/>
      <c r="M33" s="1038">
        <f t="shared" si="1"/>
        <v>0</v>
      </c>
    </row>
    <row r="34" spans="2:13" ht="14.25" x14ac:dyDescent="0.2">
      <c r="B34" s="1712"/>
      <c r="C34" s="1713"/>
      <c r="D34" s="373"/>
      <c r="E34" s="374"/>
      <c r="F34" s="375"/>
      <c r="G34" s="375">
        <v>1</v>
      </c>
      <c r="H34" s="376">
        <f t="shared" si="2"/>
        <v>0</v>
      </c>
      <c r="I34" s="375"/>
      <c r="J34" s="376">
        <f t="shared" si="0"/>
        <v>0</v>
      </c>
      <c r="K34" s="377"/>
      <c r="L34" s="378"/>
      <c r="M34" s="1038">
        <f t="shared" si="1"/>
        <v>0</v>
      </c>
    </row>
    <row r="35" spans="2:13" ht="14.25" x14ac:dyDescent="0.2">
      <c r="B35" s="1712"/>
      <c r="C35" s="1713"/>
      <c r="D35" s="373"/>
      <c r="E35" s="374"/>
      <c r="F35" s="375"/>
      <c r="G35" s="375">
        <v>1</v>
      </c>
      <c r="H35" s="376">
        <f t="shared" si="2"/>
        <v>0</v>
      </c>
      <c r="I35" s="375"/>
      <c r="J35" s="376">
        <f t="shared" si="0"/>
        <v>0</v>
      </c>
      <c r="K35" s="377"/>
      <c r="L35" s="378"/>
      <c r="M35" s="1038">
        <f t="shared" si="1"/>
        <v>0</v>
      </c>
    </row>
    <row r="36" spans="2:13" ht="14.25" x14ac:dyDescent="0.2">
      <c r="B36" s="1712"/>
      <c r="C36" s="1713"/>
      <c r="D36" s="373"/>
      <c r="E36" s="374"/>
      <c r="F36" s="375"/>
      <c r="G36" s="375">
        <v>1</v>
      </c>
      <c r="H36" s="376">
        <f t="shared" si="2"/>
        <v>0</v>
      </c>
      <c r="I36" s="375"/>
      <c r="J36" s="376">
        <f t="shared" si="0"/>
        <v>0</v>
      </c>
      <c r="K36" s="377"/>
      <c r="L36" s="378"/>
      <c r="M36" s="1038">
        <f t="shared" si="1"/>
        <v>0</v>
      </c>
    </row>
    <row r="37" spans="2:13" ht="14.25" x14ac:dyDescent="0.2">
      <c r="B37" s="1712"/>
      <c r="C37" s="1713"/>
      <c r="D37" s="373"/>
      <c r="E37" s="374"/>
      <c r="F37" s="375"/>
      <c r="G37" s="375">
        <v>1</v>
      </c>
      <c r="H37" s="376">
        <f t="shared" si="2"/>
        <v>0</v>
      </c>
      <c r="I37" s="375"/>
      <c r="J37" s="376">
        <f t="shared" si="0"/>
        <v>0</v>
      </c>
      <c r="K37" s="377"/>
      <c r="L37" s="378"/>
      <c r="M37" s="1038">
        <f t="shared" si="1"/>
        <v>0</v>
      </c>
    </row>
    <row r="38" spans="2:13" ht="14.25" x14ac:dyDescent="0.2">
      <c r="B38" s="1712"/>
      <c r="C38" s="1713"/>
      <c r="D38" s="373"/>
      <c r="E38" s="374"/>
      <c r="F38" s="375"/>
      <c r="G38" s="375">
        <v>1</v>
      </c>
      <c r="H38" s="376">
        <f t="shared" si="2"/>
        <v>0</v>
      </c>
      <c r="I38" s="375"/>
      <c r="J38" s="376">
        <f t="shared" si="0"/>
        <v>0</v>
      </c>
      <c r="K38" s="377"/>
      <c r="L38" s="378"/>
      <c r="M38" s="1038">
        <f t="shared" si="1"/>
        <v>0</v>
      </c>
    </row>
    <row r="39" spans="2:13" ht="14.25" x14ac:dyDescent="0.2">
      <c r="B39" s="1712"/>
      <c r="C39" s="1713"/>
      <c r="D39" s="373"/>
      <c r="E39" s="374"/>
      <c r="F39" s="375"/>
      <c r="G39" s="375">
        <v>1</v>
      </c>
      <c r="H39" s="376">
        <f t="shared" si="2"/>
        <v>0</v>
      </c>
      <c r="I39" s="375"/>
      <c r="J39" s="376">
        <f t="shared" si="0"/>
        <v>0</v>
      </c>
      <c r="K39" s="377"/>
      <c r="L39" s="378"/>
      <c r="M39" s="1038">
        <f t="shared" si="1"/>
        <v>0</v>
      </c>
    </row>
    <row r="40" spans="2:13" ht="14.25" x14ac:dyDescent="0.2">
      <c r="B40" s="1712"/>
      <c r="C40" s="1713"/>
      <c r="D40" s="373"/>
      <c r="E40" s="374"/>
      <c r="F40" s="375"/>
      <c r="G40" s="375">
        <v>1</v>
      </c>
      <c r="H40" s="376">
        <f t="shared" si="2"/>
        <v>0</v>
      </c>
      <c r="I40" s="375"/>
      <c r="J40" s="376">
        <f t="shared" si="0"/>
        <v>0</v>
      </c>
      <c r="K40" s="377"/>
      <c r="L40" s="378"/>
      <c r="M40" s="1038">
        <f t="shared" si="1"/>
        <v>0</v>
      </c>
    </row>
    <row r="41" spans="2:13" ht="14.25" x14ac:dyDescent="0.2">
      <c r="B41" s="1712"/>
      <c r="C41" s="1713"/>
      <c r="D41" s="373"/>
      <c r="E41" s="374"/>
      <c r="F41" s="375"/>
      <c r="G41" s="375">
        <v>1</v>
      </c>
      <c r="H41" s="376">
        <f t="shared" si="2"/>
        <v>0</v>
      </c>
      <c r="I41" s="375"/>
      <c r="J41" s="376">
        <f t="shared" si="0"/>
        <v>0</v>
      </c>
      <c r="K41" s="377"/>
      <c r="L41" s="378"/>
      <c r="M41" s="1038">
        <f t="shared" si="1"/>
        <v>0</v>
      </c>
    </row>
    <row r="42" spans="2:13" ht="14.25" x14ac:dyDescent="0.2">
      <c r="B42" s="1712"/>
      <c r="C42" s="1713"/>
      <c r="D42" s="373"/>
      <c r="E42" s="374"/>
      <c r="F42" s="375"/>
      <c r="G42" s="375">
        <v>1</v>
      </c>
      <c r="H42" s="376">
        <f t="shared" si="2"/>
        <v>0</v>
      </c>
      <c r="I42" s="375"/>
      <c r="J42" s="376">
        <f t="shared" si="0"/>
        <v>0</v>
      </c>
      <c r="K42" s="377"/>
      <c r="L42" s="378"/>
      <c r="M42" s="1038">
        <f t="shared" si="1"/>
        <v>0</v>
      </c>
    </row>
    <row r="43" spans="2:13" ht="14.25" x14ac:dyDescent="0.2">
      <c r="B43" s="1712"/>
      <c r="C43" s="1713"/>
      <c r="D43" s="373"/>
      <c r="E43" s="374"/>
      <c r="F43" s="375"/>
      <c r="G43" s="375">
        <v>1</v>
      </c>
      <c r="H43" s="376">
        <f t="shared" si="2"/>
        <v>0</v>
      </c>
      <c r="I43" s="375"/>
      <c r="J43" s="376">
        <f t="shared" si="0"/>
        <v>0</v>
      </c>
      <c r="K43" s="377"/>
      <c r="L43" s="378"/>
      <c r="M43" s="1038">
        <f t="shared" si="1"/>
        <v>0</v>
      </c>
    </row>
    <row r="44" spans="2:13" ht="14.25" x14ac:dyDescent="0.2">
      <c r="B44" s="1706"/>
      <c r="C44" s="1708"/>
      <c r="D44" s="380"/>
      <c r="E44" s="380"/>
      <c r="F44" s="381" t="s">
        <v>1149</v>
      </c>
      <c r="G44" s="381"/>
      <c r="H44" s="382">
        <f>SUM(H8:H43)</f>
        <v>113</v>
      </c>
      <c r="I44" s="383"/>
      <c r="J44" s="382">
        <f>SUM(J8:J43)</f>
        <v>0</v>
      </c>
      <c r="K44" s="384"/>
      <c r="L44" s="385"/>
      <c r="M44" s="1039">
        <f>SUM(M8:M43)</f>
        <v>3882</v>
      </c>
    </row>
    <row r="45" spans="2:13" ht="14.25" x14ac:dyDescent="0.2">
      <c r="B45" s="1040"/>
      <c r="C45" s="386"/>
      <c r="D45" s="386"/>
      <c r="E45" s="386"/>
      <c r="F45" s="387"/>
      <c r="G45" s="388"/>
      <c r="H45" s="388"/>
      <c r="I45" s="389"/>
      <c r="J45" s="389"/>
      <c r="K45" s="389"/>
      <c r="L45" s="390"/>
      <c r="M45" s="1041"/>
    </row>
    <row r="46" spans="2:13" ht="28.5" x14ac:dyDescent="0.2">
      <c r="B46" s="1706" t="s">
        <v>1163</v>
      </c>
      <c r="C46" s="1707"/>
      <c r="D46" s="1707"/>
      <c r="E46" s="1707"/>
      <c r="F46" s="1740" t="s">
        <v>198</v>
      </c>
      <c r="G46" s="1740"/>
      <c r="H46" s="1740"/>
      <c r="I46" s="1740"/>
      <c r="J46" s="1741"/>
      <c r="K46" s="372" t="s">
        <v>1164</v>
      </c>
      <c r="L46" s="380" t="s">
        <v>1150</v>
      </c>
      <c r="M46" s="1037" t="s">
        <v>1181</v>
      </c>
    </row>
    <row r="47" spans="2:13" ht="14.25" x14ac:dyDescent="0.2">
      <c r="B47" s="1742"/>
      <c r="C47" s="1743"/>
      <c r="D47" s="1743"/>
      <c r="E47" s="1744"/>
      <c r="F47" s="1748" t="s">
        <v>1165</v>
      </c>
      <c r="G47" s="1749"/>
      <c r="H47" s="1749"/>
      <c r="I47" s="1749"/>
      <c r="J47" s="1750"/>
      <c r="K47" s="391">
        <f>H44</f>
        <v>113</v>
      </c>
      <c r="L47" s="392">
        <f>'Project Cost Recap'!C67</f>
        <v>65</v>
      </c>
      <c r="M47" s="1038">
        <f>ROUNDUP(K47*L47,0)</f>
        <v>7345</v>
      </c>
    </row>
    <row r="48" spans="2:13" ht="14.25" x14ac:dyDescent="0.2">
      <c r="B48" s="1745"/>
      <c r="C48" s="1746"/>
      <c r="D48" s="1746"/>
      <c r="E48" s="1747"/>
      <c r="F48" s="1751" t="s">
        <v>1151</v>
      </c>
      <c r="G48" s="1752"/>
      <c r="H48" s="1752"/>
      <c r="I48" s="1752"/>
      <c r="J48" s="1753"/>
      <c r="K48" s="391">
        <f>J44</f>
        <v>0</v>
      </c>
      <c r="L48" s="393">
        <f>L47*1.15</f>
        <v>74.75</v>
      </c>
      <c r="M48" s="1038">
        <f>ROUNDUP(K48*L48,0)</f>
        <v>0</v>
      </c>
    </row>
    <row r="49" spans="2:13" ht="14.25" x14ac:dyDescent="0.2">
      <c r="B49" s="1745"/>
      <c r="C49" s="1746"/>
      <c r="D49" s="1746"/>
      <c r="E49" s="1747"/>
      <c r="F49" s="1751" t="s">
        <v>453</v>
      </c>
      <c r="G49" s="1752"/>
      <c r="H49" s="1752"/>
      <c r="I49" s="1752"/>
      <c r="J49" s="1753"/>
      <c r="K49" s="394">
        <f>M44</f>
        <v>3882</v>
      </c>
      <c r="L49" s="395"/>
      <c r="M49" s="1038">
        <f>ROUNDUP((M44+(M44*L49)),0)</f>
        <v>3882</v>
      </c>
    </row>
    <row r="50" spans="2:13" ht="14.25" x14ac:dyDescent="0.2">
      <c r="B50" s="1745"/>
      <c r="C50" s="1746"/>
      <c r="D50" s="1746"/>
      <c r="E50" s="1747"/>
      <c r="F50" s="1751" t="s">
        <v>1166</v>
      </c>
      <c r="G50" s="1752"/>
      <c r="H50" s="1752"/>
      <c r="I50" s="1752"/>
      <c r="J50" s="1753"/>
      <c r="K50" s="396"/>
      <c r="L50" s="395">
        <f>'PROJECT INFO'!H14</f>
        <v>8.8099999999999998E-2</v>
      </c>
      <c r="M50" s="1038">
        <f>L50*K49</f>
        <v>342.00419999999997</v>
      </c>
    </row>
    <row r="51" spans="2:13" ht="14.25" x14ac:dyDescent="0.2">
      <c r="B51" s="1714" t="s">
        <v>1167</v>
      </c>
      <c r="C51" s="1715"/>
      <c r="D51" s="1715"/>
      <c r="E51" s="1715"/>
      <c r="F51" s="1715"/>
      <c r="G51" s="1715"/>
      <c r="H51" s="1715"/>
      <c r="I51" s="1715"/>
      <c r="J51" s="1715"/>
      <c r="K51" s="1715"/>
      <c r="L51" s="1754"/>
      <c r="M51" s="1042">
        <f>SUM(M47:M50)</f>
        <v>11569.004199999999</v>
      </c>
    </row>
    <row r="52" spans="2:13" ht="14.25" x14ac:dyDescent="0.2">
      <c r="B52" s="1040"/>
      <c r="C52" s="386"/>
      <c r="D52" s="386"/>
      <c r="E52" s="386"/>
      <c r="F52" s="387"/>
      <c r="G52" s="388"/>
      <c r="H52" s="388"/>
      <c r="I52" s="389"/>
      <c r="J52" s="389"/>
      <c r="K52" s="389"/>
      <c r="L52" s="390"/>
      <c r="M52" s="1041"/>
    </row>
    <row r="53" spans="2:13" ht="28.5" x14ac:dyDescent="0.2">
      <c r="B53" s="1706" t="s">
        <v>1168</v>
      </c>
      <c r="C53" s="1707"/>
      <c r="D53" s="1707"/>
      <c r="E53" s="1740" t="s">
        <v>198</v>
      </c>
      <c r="F53" s="1740"/>
      <c r="G53" s="1740"/>
      <c r="H53" s="1740"/>
      <c r="I53" s="397" t="s">
        <v>1169</v>
      </c>
      <c r="J53" s="398" t="s">
        <v>1170</v>
      </c>
      <c r="K53" s="380" t="s">
        <v>1171</v>
      </c>
      <c r="L53" s="380" t="s">
        <v>1150</v>
      </c>
      <c r="M53" s="1037" t="s">
        <v>1181</v>
      </c>
    </row>
    <row r="54" spans="2:13" ht="14.25" x14ac:dyDescent="0.2">
      <c r="B54" s="1697"/>
      <c r="C54" s="1698"/>
      <c r="D54" s="1699"/>
      <c r="E54" s="1734" t="s">
        <v>1172</v>
      </c>
      <c r="F54" s="1735"/>
      <c r="G54" s="1735"/>
      <c r="H54" s="1735"/>
      <c r="I54" s="399">
        <f>K47</f>
        <v>113</v>
      </c>
      <c r="J54" s="450">
        <v>0.03</v>
      </c>
      <c r="K54" s="400">
        <f>$J$54*I54</f>
        <v>3.3899999999999997</v>
      </c>
      <c r="L54" s="393">
        <f>L47</f>
        <v>65</v>
      </c>
      <c r="M54" s="1038">
        <f>L54*K54</f>
        <v>220.34999999999997</v>
      </c>
    </row>
    <row r="55" spans="2:13" ht="14.25" x14ac:dyDescent="0.2">
      <c r="B55" s="1700"/>
      <c r="C55" s="1701"/>
      <c r="D55" s="1702"/>
      <c r="E55" s="1734" t="s">
        <v>1173</v>
      </c>
      <c r="F55" s="1735"/>
      <c r="G55" s="1735"/>
      <c r="H55" s="1735"/>
      <c r="I55" s="399">
        <f>K47</f>
        <v>113</v>
      </c>
      <c r="J55" s="450">
        <v>0.1</v>
      </c>
      <c r="K55" s="400">
        <f>$J$55*I55</f>
        <v>11.3</v>
      </c>
      <c r="L55" s="393">
        <f>L54*1.2</f>
        <v>78</v>
      </c>
      <c r="M55" s="1038">
        <f>L55*K55</f>
        <v>881.40000000000009</v>
      </c>
    </row>
    <row r="56" spans="2:13" ht="14.25" x14ac:dyDescent="0.2">
      <c r="B56" s="1700"/>
      <c r="C56" s="1701"/>
      <c r="D56" s="1702"/>
      <c r="E56" s="1734" t="s">
        <v>1174</v>
      </c>
      <c r="F56" s="1735"/>
      <c r="G56" s="1735"/>
      <c r="H56" s="1735"/>
      <c r="I56" s="399"/>
      <c r="J56" s="395">
        <v>0.01</v>
      </c>
      <c r="K56" s="1736"/>
      <c r="L56" s="1737"/>
      <c r="M56" s="1038">
        <f>J56*$M$47</f>
        <v>73.45</v>
      </c>
    </row>
    <row r="57" spans="2:13" ht="14.25" x14ac:dyDescent="0.2">
      <c r="B57" s="1703"/>
      <c r="C57" s="1704"/>
      <c r="D57" s="1705"/>
      <c r="E57" s="1734" t="s">
        <v>1175</v>
      </c>
      <c r="F57" s="1735"/>
      <c r="G57" s="1735"/>
      <c r="H57" s="1735"/>
      <c r="I57" s="399"/>
      <c r="J57" s="395">
        <v>0.03</v>
      </c>
      <c r="K57" s="1738"/>
      <c r="L57" s="1739"/>
      <c r="M57" s="1038">
        <f>J57*$M$47</f>
        <v>220.35</v>
      </c>
    </row>
    <row r="58" spans="2:13" ht="14.25" x14ac:dyDescent="0.2">
      <c r="B58" s="1706" t="s">
        <v>1176</v>
      </c>
      <c r="C58" s="1707"/>
      <c r="D58" s="1707"/>
      <c r="E58" s="1707"/>
      <c r="F58" s="1707"/>
      <c r="G58" s="1707"/>
      <c r="H58" s="1707"/>
      <c r="I58" s="1707"/>
      <c r="J58" s="1707"/>
      <c r="K58" s="1707"/>
      <c r="L58" s="1708"/>
      <c r="M58" s="1042">
        <f>SUM(M54:M57)</f>
        <v>1395.55</v>
      </c>
    </row>
    <row r="59" spans="2:13" ht="14.25" x14ac:dyDescent="0.2">
      <c r="B59" s="1040"/>
      <c r="C59" s="386"/>
      <c r="D59" s="386"/>
      <c r="E59" s="386"/>
      <c r="F59" s="387"/>
      <c r="G59" s="388"/>
      <c r="H59" s="388"/>
      <c r="I59" s="389"/>
      <c r="J59" s="389"/>
      <c r="K59" s="389"/>
      <c r="L59" s="390"/>
      <c r="M59" s="1041"/>
    </row>
    <row r="60" spans="2:13" ht="57" x14ac:dyDescent="0.2">
      <c r="B60" s="1706" t="s">
        <v>1177</v>
      </c>
      <c r="C60" s="1707"/>
      <c r="D60" s="1707"/>
      <c r="E60" s="1740" t="s">
        <v>198</v>
      </c>
      <c r="F60" s="1740"/>
      <c r="G60" s="1740"/>
      <c r="H60" s="1740"/>
      <c r="I60" s="397" t="s">
        <v>1146</v>
      </c>
      <c r="J60" s="397" t="s">
        <v>1178</v>
      </c>
      <c r="K60" s="401" t="s">
        <v>1179</v>
      </c>
      <c r="L60" s="402" t="s">
        <v>1180</v>
      </c>
      <c r="M60" s="1037" t="s">
        <v>1181</v>
      </c>
    </row>
    <row r="61" spans="2:13" ht="14.25" x14ac:dyDescent="0.2">
      <c r="B61" s="1742"/>
      <c r="C61" s="1743"/>
      <c r="D61" s="1744"/>
      <c r="E61" s="1748" t="s">
        <v>1182</v>
      </c>
      <c r="F61" s="1749"/>
      <c r="G61" s="1749"/>
      <c r="H61" s="1749"/>
      <c r="I61" s="399" t="s">
        <v>1183</v>
      </c>
      <c r="J61" s="403">
        <v>1</v>
      </c>
      <c r="K61" s="404">
        <v>0</v>
      </c>
      <c r="L61" s="871">
        <f>Rentals!B8</f>
        <v>2000</v>
      </c>
      <c r="M61" s="1043">
        <f>L61*K61*J61</f>
        <v>0</v>
      </c>
    </row>
    <row r="62" spans="2:13" ht="14.25" x14ac:dyDescent="0.2">
      <c r="B62" s="1745"/>
      <c r="C62" s="1746"/>
      <c r="D62" s="1747"/>
      <c r="E62" s="1751" t="s">
        <v>1184</v>
      </c>
      <c r="F62" s="1752"/>
      <c r="G62" s="1752"/>
      <c r="H62" s="1752"/>
      <c r="I62" s="1250" t="s">
        <v>2338</v>
      </c>
      <c r="J62" s="1231">
        <v>1</v>
      </c>
      <c r="K62" s="1231">
        <v>0</v>
      </c>
      <c r="L62" s="1251">
        <f>VLOOKUP(I62,Rentals!A$13:C$32,2,FALSE)</f>
        <v>0</v>
      </c>
      <c r="M62" s="1043">
        <f>L62*K62*J62</f>
        <v>0</v>
      </c>
    </row>
    <row r="63" spans="2:13" ht="14.25" x14ac:dyDescent="0.2">
      <c r="B63" s="1745"/>
      <c r="C63" s="1746"/>
      <c r="D63" s="1747"/>
      <c r="E63" s="1751" t="s">
        <v>2339</v>
      </c>
      <c r="F63" s="1752"/>
      <c r="G63" s="1752"/>
      <c r="H63" s="1752"/>
      <c r="I63" s="1250" t="str">
        <f>I62</f>
        <v>…............</v>
      </c>
      <c r="J63" s="403">
        <v>1</v>
      </c>
      <c r="K63" s="405">
        <v>0</v>
      </c>
      <c r="L63" s="871">
        <f>VLOOKUP(I63,Rentals!A$13:C$32,3,FALSE)</f>
        <v>0</v>
      </c>
      <c r="M63" s="1043">
        <f>L63*K63*J63</f>
        <v>0</v>
      </c>
    </row>
    <row r="64" spans="2:13" ht="14.25" x14ac:dyDescent="0.2">
      <c r="B64" s="1745"/>
      <c r="C64" s="1746"/>
      <c r="D64" s="1747"/>
      <c r="E64" s="1751" t="s">
        <v>1186</v>
      </c>
      <c r="F64" s="1752"/>
      <c r="G64" s="1752"/>
      <c r="H64" s="1752"/>
      <c r="I64" s="399" t="s">
        <v>1183</v>
      </c>
      <c r="J64" s="403">
        <v>1</v>
      </c>
      <c r="K64" s="404">
        <v>0</v>
      </c>
      <c r="L64" s="871">
        <f>Rentals!B39</f>
        <v>1000</v>
      </c>
      <c r="M64" s="1043">
        <f>L64*K64*J64</f>
        <v>0</v>
      </c>
    </row>
    <row r="65" spans="2:13" ht="14.25" x14ac:dyDescent="0.2">
      <c r="B65" s="1745"/>
      <c r="C65" s="1746"/>
      <c r="D65" s="1747"/>
      <c r="E65" s="1755" t="s">
        <v>176</v>
      </c>
      <c r="F65" s="1756"/>
      <c r="G65" s="1756"/>
      <c r="H65" s="1756"/>
      <c r="I65" s="406" t="s">
        <v>1183</v>
      </c>
      <c r="J65" s="403">
        <v>1</v>
      </c>
      <c r="K65" s="404">
        <v>0</v>
      </c>
      <c r="L65" s="871">
        <f>Rentals!B5</f>
        <v>5000</v>
      </c>
      <c r="M65" s="1043">
        <f>L65*K65*J65</f>
        <v>0</v>
      </c>
    </row>
    <row r="66" spans="2:13" ht="14.25" x14ac:dyDescent="0.2">
      <c r="B66" s="1758" t="s">
        <v>1187</v>
      </c>
      <c r="C66" s="1759"/>
      <c r="D66" s="1759"/>
      <c r="E66" s="1759"/>
      <c r="F66" s="1759"/>
      <c r="G66" s="1759"/>
      <c r="H66" s="1759"/>
      <c r="I66" s="1759"/>
      <c r="J66" s="1759"/>
      <c r="K66" s="1759"/>
      <c r="L66" s="1760"/>
      <c r="M66" s="1042">
        <f>SUM(M61:M65)</f>
        <v>0</v>
      </c>
    </row>
    <row r="67" spans="2:13" ht="14.25" x14ac:dyDescent="0.2">
      <c r="B67" s="1040"/>
      <c r="C67" s="386"/>
      <c r="D67" s="386"/>
      <c r="E67" s="386"/>
      <c r="F67" s="387"/>
      <c r="G67" s="388"/>
      <c r="H67" s="388"/>
      <c r="I67" s="389"/>
      <c r="J67" s="389"/>
      <c r="K67" s="389"/>
      <c r="L67" s="390"/>
      <c r="M67" s="1041"/>
    </row>
    <row r="68" spans="2:13" ht="14.25" x14ac:dyDescent="0.2">
      <c r="B68" s="1714" t="s">
        <v>1188</v>
      </c>
      <c r="C68" s="1715"/>
      <c r="D68" s="1715"/>
      <c r="E68" s="1715"/>
      <c r="F68" s="1715"/>
      <c r="G68" s="1715"/>
      <c r="H68" s="1715"/>
      <c r="I68" s="1715"/>
      <c r="J68" s="1715"/>
      <c r="K68" s="1715"/>
      <c r="L68" s="1715"/>
      <c r="M68" s="1716"/>
    </row>
    <row r="69" spans="2:13" ht="28.5" x14ac:dyDescent="0.2">
      <c r="B69" s="1761" t="s">
        <v>428</v>
      </c>
      <c r="C69" s="1762"/>
      <c r="D69" s="1762"/>
      <c r="E69" s="1762" t="s">
        <v>657</v>
      </c>
      <c r="F69" s="1762"/>
      <c r="G69" s="1762"/>
      <c r="H69" s="1762"/>
      <c r="I69" s="1762"/>
      <c r="J69" s="873" t="s">
        <v>1189</v>
      </c>
      <c r="K69" s="523" t="s">
        <v>1190</v>
      </c>
      <c r="L69" s="523" t="s">
        <v>1191</v>
      </c>
      <c r="M69" s="1044" t="s">
        <v>1181</v>
      </c>
    </row>
    <row r="70" spans="2:13" ht="14.25" x14ac:dyDescent="0.2">
      <c r="B70" s="1700" t="str">
        <f>'Project Cost Recap'!E23</f>
        <v>PINNACLE</v>
      </c>
      <c r="C70" s="1701"/>
      <c r="D70" s="1702"/>
      <c r="E70" s="1720" t="s">
        <v>580</v>
      </c>
      <c r="F70" s="1721"/>
      <c r="G70" s="1721"/>
      <c r="H70" s="1721"/>
      <c r="I70" s="1722"/>
      <c r="J70" s="407" t="s">
        <v>1192</v>
      </c>
      <c r="K70" s="408">
        <v>1</v>
      </c>
      <c r="L70" s="409">
        <f>Subs!$K$12</f>
        <v>0</v>
      </c>
      <c r="M70" s="1045">
        <f>L70*K70</f>
        <v>0</v>
      </c>
    </row>
    <row r="71" spans="2:13" ht="14.25" x14ac:dyDescent="0.2">
      <c r="B71" s="1700">
        <f>'Project Cost Recap'!E24</f>
        <v>0</v>
      </c>
      <c r="C71" s="1701"/>
      <c r="D71" s="1702"/>
      <c r="E71" s="1720" t="s">
        <v>425</v>
      </c>
      <c r="F71" s="1721"/>
      <c r="G71" s="1721"/>
      <c r="H71" s="1721"/>
      <c r="I71" s="1722"/>
      <c r="J71" s="407" t="s">
        <v>1192</v>
      </c>
      <c r="K71" s="408">
        <v>1</v>
      </c>
      <c r="L71" s="409">
        <f>Subs!$J$25</f>
        <v>0</v>
      </c>
      <c r="M71" s="1045">
        <f>L71*K71</f>
        <v>0</v>
      </c>
    </row>
    <row r="72" spans="2:13" ht="14.25" x14ac:dyDescent="0.2">
      <c r="B72" s="1700">
        <f>'Project Cost Recap'!E25</f>
        <v>0</v>
      </c>
      <c r="C72" s="1701"/>
      <c r="D72" s="1702"/>
      <c r="E72" s="1720" t="s">
        <v>422</v>
      </c>
      <c r="F72" s="1721"/>
      <c r="G72" s="1721"/>
      <c r="H72" s="1721"/>
      <c r="I72" s="1722"/>
      <c r="J72" s="407" t="s">
        <v>1193</v>
      </c>
      <c r="K72" s="408">
        <v>0</v>
      </c>
      <c r="L72" s="409">
        <v>0</v>
      </c>
      <c r="M72" s="1045">
        <f t="shared" ref="M72:M87" si="3">L72*K72</f>
        <v>0</v>
      </c>
    </row>
    <row r="73" spans="2:13" ht="14.25" x14ac:dyDescent="0.2">
      <c r="B73" s="1700">
        <f>'Project Cost Recap'!E26</f>
        <v>0</v>
      </c>
      <c r="C73" s="1701"/>
      <c r="D73" s="1702"/>
      <c r="E73" s="1720" t="s">
        <v>420</v>
      </c>
      <c r="F73" s="1721"/>
      <c r="G73" s="1721"/>
      <c r="H73" s="1721"/>
      <c r="I73" s="1722"/>
      <c r="J73" s="407" t="s">
        <v>1192</v>
      </c>
      <c r="K73" s="408">
        <v>1</v>
      </c>
      <c r="L73" s="409">
        <f>Subs!I51</f>
        <v>0</v>
      </c>
      <c r="M73" s="1045">
        <f t="shared" si="3"/>
        <v>0</v>
      </c>
    </row>
    <row r="74" spans="2:13" ht="14.25" x14ac:dyDescent="0.2">
      <c r="B74" s="1700" t="str">
        <f>'Project Cost Recap'!E27</f>
        <v>3 GEN EXCAVATION</v>
      </c>
      <c r="C74" s="1701"/>
      <c r="D74" s="1702"/>
      <c r="E74" s="1720" t="s">
        <v>417</v>
      </c>
      <c r="F74" s="1721"/>
      <c r="G74" s="1721"/>
      <c r="H74" s="1721"/>
      <c r="I74" s="1722"/>
      <c r="J74" s="407" t="s">
        <v>1192</v>
      </c>
      <c r="K74" s="408">
        <v>1</v>
      </c>
      <c r="L74" s="409">
        <f>Subs!N65</f>
        <v>0</v>
      </c>
      <c r="M74" s="1045">
        <f>L74*K74</f>
        <v>0</v>
      </c>
    </row>
    <row r="75" spans="2:13" ht="14.25" x14ac:dyDescent="0.2">
      <c r="B75" s="1700">
        <f>'Project Cost Recap'!E28</f>
        <v>0</v>
      </c>
      <c r="C75" s="1701"/>
      <c r="D75" s="1702"/>
      <c r="E75" s="1720" t="str">
        <f>'GO-NO-GO CHECKLIST'!B102</f>
        <v>FIRE PROTECTION</v>
      </c>
      <c r="F75" s="1721"/>
      <c r="G75" s="1721"/>
      <c r="H75" s="1721"/>
      <c r="I75" s="1722"/>
      <c r="J75" s="407" t="s">
        <v>1192</v>
      </c>
      <c r="K75" s="408">
        <v>1</v>
      </c>
      <c r="L75" s="409">
        <f>Subs!I77</f>
        <v>0</v>
      </c>
      <c r="M75" s="1045">
        <f t="shared" si="3"/>
        <v>0</v>
      </c>
    </row>
    <row r="76" spans="2:13" ht="14.25" x14ac:dyDescent="0.2">
      <c r="B76" s="1700">
        <f>'Project Cost Recap'!E29</f>
        <v>0</v>
      </c>
      <c r="C76" s="1701"/>
      <c r="D76" s="1702"/>
      <c r="E76" s="1720" t="str">
        <f>'GO-NO-GO CHECKLIST'!B110</f>
        <v>FIRE STOPPING</v>
      </c>
      <c r="F76" s="1721"/>
      <c r="G76" s="1721"/>
      <c r="H76" s="1721"/>
      <c r="I76" s="1722"/>
      <c r="J76" s="407" t="s">
        <v>1193</v>
      </c>
      <c r="K76" s="408">
        <v>0</v>
      </c>
      <c r="L76" s="409">
        <f>Subs!K89</f>
        <v>0</v>
      </c>
      <c r="M76" s="1045">
        <f t="shared" si="3"/>
        <v>0</v>
      </c>
    </row>
    <row r="77" spans="2:13" ht="14.25" x14ac:dyDescent="0.2">
      <c r="B77" s="1700">
        <f>'Project Cost Recap'!E30</f>
        <v>0</v>
      </c>
      <c r="C77" s="1701"/>
      <c r="D77" s="1702"/>
      <c r="E77" s="1720" t="s">
        <v>421</v>
      </c>
      <c r="F77" s="1721"/>
      <c r="G77" s="1721"/>
      <c r="H77" s="1721"/>
      <c r="I77" s="1722"/>
      <c r="J77" s="407" t="s">
        <v>1192</v>
      </c>
      <c r="K77" s="408">
        <v>1</v>
      </c>
      <c r="L77" s="409">
        <f>Subs!I101</f>
        <v>0</v>
      </c>
      <c r="M77" s="1045">
        <f t="shared" si="3"/>
        <v>0</v>
      </c>
    </row>
    <row r="78" spans="2:13" ht="14.25" x14ac:dyDescent="0.2">
      <c r="B78" s="1700" t="str">
        <f>'Project Cost Recap'!E31</f>
        <v>FORTUNATO</v>
      </c>
      <c r="C78" s="1701"/>
      <c r="D78" s="1702"/>
      <c r="E78" s="1720" t="s">
        <v>423</v>
      </c>
      <c r="F78" s="1721"/>
      <c r="G78" s="1721"/>
      <c r="H78" s="1721"/>
      <c r="I78" s="1722"/>
      <c r="J78" s="407" t="s">
        <v>1192</v>
      </c>
      <c r="K78" s="408">
        <v>1</v>
      </c>
      <c r="L78" s="409">
        <f>Subs!M115</f>
        <v>0</v>
      </c>
      <c r="M78" s="1045">
        <f t="shared" si="3"/>
        <v>0</v>
      </c>
    </row>
    <row r="79" spans="2:13" ht="14.25" x14ac:dyDescent="0.2">
      <c r="B79" s="1700">
        <f>'Project Cost Recap'!E32</f>
        <v>0</v>
      </c>
      <c r="C79" s="1701"/>
      <c r="D79" s="1702"/>
      <c r="E79" s="1720" t="s">
        <v>951</v>
      </c>
      <c r="F79" s="1721"/>
      <c r="G79" s="1721"/>
      <c r="H79" s="1721"/>
      <c r="I79" s="1722"/>
      <c r="J79" s="407" t="s">
        <v>1192</v>
      </c>
      <c r="K79" s="408">
        <v>1</v>
      </c>
      <c r="L79" s="409">
        <f>Subs!K127</f>
        <v>0</v>
      </c>
      <c r="M79" s="1045">
        <f t="shared" si="3"/>
        <v>0</v>
      </c>
    </row>
    <row r="80" spans="2:13" ht="14.25" x14ac:dyDescent="0.2">
      <c r="B80" s="1700">
        <f>'Project Cost Recap'!E33</f>
        <v>0</v>
      </c>
      <c r="C80" s="1701"/>
      <c r="D80" s="1702"/>
      <c r="E80" s="1720" t="s">
        <v>426</v>
      </c>
      <c r="F80" s="1721"/>
      <c r="G80" s="1721"/>
      <c r="H80" s="1721"/>
      <c r="I80" s="1722"/>
      <c r="J80" s="407" t="s">
        <v>1192</v>
      </c>
      <c r="K80" s="408">
        <v>1</v>
      </c>
      <c r="L80" s="409">
        <f>Subs!I139</f>
        <v>0</v>
      </c>
      <c r="M80" s="1045">
        <f t="shared" si="3"/>
        <v>0</v>
      </c>
    </row>
    <row r="81" spans="2:13" ht="14.25" x14ac:dyDescent="0.2">
      <c r="B81" s="1700">
        <f>'Project Cost Recap'!E34</f>
        <v>0</v>
      </c>
      <c r="C81" s="1701"/>
      <c r="D81" s="1702"/>
      <c r="E81" s="1720" t="s">
        <v>1725</v>
      </c>
      <c r="F81" s="1721"/>
      <c r="G81" s="1721"/>
      <c r="H81" s="1721"/>
      <c r="I81" s="1722"/>
      <c r="J81" s="407" t="s">
        <v>1192</v>
      </c>
      <c r="K81" s="408">
        <v>1</v>
      </c>
      <c r="L81" s="409">
        <f>Subs!I151</f>
        <v>0</v>
      </c>
      <c r="M81" s="1045">
        <f t="shared" si="3"/>
        <v>0</v>
      </c>
    </row>
    <row r="82" spans="2:13" ht="14.25" x14ac:dyDescent="0.2">
      <c r="B82" s="1700" t="str">
        <f>'Project Cost Recap'!E35</f>
        <v>AIR SYSTEMS</v>
      </c>
      <c r="C82" s="1701"/>
      <c r="D82" s="1702"/>
      <c r="E82" s="1720" t="s">
        <v>123</v>
      </c>
      <c r="F82" s="1721"/>
      <c r="G82" s="1721"/>
      <c r="H82" s="1721"/>
      <c r="I82" s="1722"/>
      <c r="J82" s="407" t="s">
        <v>1192</v>
      </c>
      <c r="K82" s="408">
        <v>1</v>
      </c>
      <c r="L82" s="409">
        <f>Subs!O163</f>
        <v>0</v>
      </c>
      <c r="M82" s="1045">
        <f t="shared" si="3"/>
        <v>0</v>
      </c>
    </row>
    <row r="83" spans="2:13" ht="14.25" x14ac:dyDescent="0.2">
      <c r="B83" s="1700">
        <f>'Project Cost Recap'!E36</f>
        <v>0</v>
      </c>
      <c r="C83" s="1701"/>
      <c r="D83" s="1702"/>
      <c r="E83" s="1720" t="s">
        <v>578</v>
      </c>
      <c r="F83" s="1721"/>
      <c r="G83" s="1721"/>
      <c r="H83" s="1721"/>
      <c r="I83" s="1722"/>
      <c r="J83" s="407" t="s">
        <v>1192</v>
      </c>
      <c r="K83" s="408">
        <v>1</v>
      </c>
      <c r="L83" s="409">
        <f>Subs!I175</f>
        <v>0</v>
      </c>
      <c r="M83" s="1045">
        <f t="shared" si="3"/>
        <v>0</v>
      </c>
    </row>
    <row r="84" spans="2:13" ht="14.25" x14ac:dyDescent="0.2">
      <c r="B84" s="1700" t="str">
        <f>'Project Cost Recap'!E37</f>
        <v>LONG BUILDING TECHNOLOGIES</v>
      </c>
      <c r="C84" s="1701"/>
      <c r="D84" s="1702"/>
      <c r="E84" s="1720" t="s">
        <v>419</v>
      </c>
      <c r="F84" s="1721"/>
      <c r="G84" s="1721"/>
      <c r="H84" s="1721"/>
      <c r="I84" s="1722"/>
      <c r="J84" s="407" t="s">
        <v>1192</v>
      </c>
      <c r="K84" s="408">
        <v>1</v>
      </c>
      <c r="L84" s="409">
        <f>Subs!I186</f>
        <v>0</v>
      </c>
      <c r="M84" s="1045">
        <f t="shared" si="3"/>
        <v>0</v>
      </c>
    </row>
    <row r="85" spans="2:13" ht="14.25" x14ac:dyDescent="0.2">
      <c r="B85" s="1700" t="str">
        <f>'Project Cost Recap'!E38</f>
        <v>FINN &amp; ASSOCIATES</v>
      </c>
      <c r="C85" s="1701"/>
      <c r="D85" s="1702"/>
      <c r="E85" s="1720" t="s">
        <v>418</v>
      </c>
      <c r="F85" s="1721"/>
      <c r="G85" s="1721"/>
      <c r="H85" s="1721"/>
      <c r="I85" s="1722"/>
      <c r="J85" s="407" t="s">
        <v>1192</v>
      </c>
      <c r="K85" s="408">
        <v>1</v>
      </c>
      <c r="L85" s="409">
        <f>Subs!M198</f>
        <v>0</v>
      </c>
      <c r="M85" s="1045">
        <f t="shared" si="3"/>
        <v>0</v>
      </c>
    </row>
    <row r="86" spans="2:13" ht="14.25" x14ac:dyDescent="0.2">
      <c r="B86" s="1700">
        <f>'Project Cost Recap'!E39</f>
        <v>0</v>
      </c>
      <c r="C86" s="1701"/>
      <c r="D86" s="1702"/>
      <c r="E86" s="1720" t="str">
        <f>'GO-NO-GO CHECKLIST'!B165</f>
        <v>MISCELLANEOUS (CHANGE TO SUIT)</v>
      </c>
      <c r="F86" s="1721"/>
      <c r="G86" s="1721"/>
      <c r="H86" s="1721"/>
      <c r="I86" s="1722"/>
      <c r="J86" s="407" t="s">
        <v>1192</v>
      </c>
      <c r="K86" s="408">
        <v>1</v>
      </c>
      <c r="L86" s="409">
        <f>Subs!I210</f>
        <v>0</v>
      </c>
      <c r="M86" s="1045">
        <f t="shared" si="3"/>
        <v>0</v>
      </c>
    </row>
    <row r="87" spans="2:13" ht="14.25" x14ac:dyDescent="0.2">
      <c r="B87" s="1700"/>
      <c r="C87" s="1701"/>
      <c r="D87" s="1702"/>
      <c r="E87" s="1717" t="s">
        <v>2585</v>
      </c>
      <c r="F87" s="1718"/>
      <c r="G87" s="1718"/>
      <c r="H87" s="1718"/>
      <c r="I87" s="1719"/>
      <c r="J87" s="407" t="s">
        <v>1192</v>
      </c>
      <c r="K87" s="408">
        <v>1</v>
      </c>
      <c r="L87" s="409">
        <v>1000</v>
      </c>
      <c r="M87" s="1045">
        <f t="shared" si="3"/>
        <v>1000</v>
      </c>
    </row>
    <row r="88" spans="2:13" ht="14.25" x14ac:dyDescent="0.2">
      <c r="B88" s="1046"/>
      <c r="C88" s="397"/>
      <c r="D88" s="397"/>
      <c r="E88" s="397"/>
      <c r="F88" s="410" t="s">
        <v>1724</v>
      </c>
      <c r="G88" s="397"/>
      <c r="H88" s="397"/>
      <c r="I88" s="411"/>
      <c r="J88" s="411"/>
      <c r="K88" s="411"/>
      <c r="L88" s="412"/>
      <c r="M88" s="1042">
        <f>SUM(M70:M87)</f>
        <v>1000</v>
      </c>
    </row>
    <row r="89" spans="2:13" ht="14.25" x14ac:dyDescent="0.2">
      <c r="B89" s="1040"/>
      <c r="C89" s="386"/>
      <c r="D89" s="386"/>
      <c r="E89" s="386"/>
      <c r="F89" s="387"/>
      <c r="G89" s="388"/>
      <c r="H89" s="388"/>
      <c r="I89" s="389"/>
      <c r="J89" s="389"/>
      <c r="K89" s="389"/>
      <c r="L89" s="390"/>
      <c r="M89" s="1041"/>
    </row>
    <row r="90" spans="2:13" ht="14.25" x14ac:dyDescent="0.2">
      <c r="B90" s="1202"/>
      <c r="C90" s="1203"/>
      <c r="D90" s="1030"/>
      <c r="E90" s="1204"/>
      <c r="F90" s="410" t="s">
        <v>1195</v>
      </c>
      <c r="G90" s="397"/>
      <c r="H90" s="397"/>
      <c r="I90" s="397" t="s">
        <v>198</v>
      </c>
      <c r="J90" s="397"/>
      <c r="K90" s="614"/>
      <c r="L90" s="380" t="s">
        <v>1150</v>
      </c>
      <c r="M90" s="1037" t="s">
        <v>1181</v>
      </c>
    </row>
    <row r="91" spans="2:13" ht="14.25" x14ac:dyDescent="0.2">
      <c r="B91" s="1205"/>
      <c r="C91" s="1206"/>
      <c r="D91" s="1030"/>
      <c r="E91" s="1204"/>
      <c r="F91" s="405"/>
      <c r="G91" s="1229"/>
      <c r="H91" s="1743" t="s">
        <v>1152</v>
      </c>
      <c r="I91" s="1743"/>
      <c r="J91" s="1743"/>
      <c r="K91" s="1744"/>
      <c r="L91" s="379"/>
      <c r="M91" s="1038">
        <f>M88+M66+M58+M51</f>
        <v>13964.554199999999</v>
      </c>
    </row>
    <row r="92" spans="2:13" ht="14.25" x14ac:dyDescent="0.2">
      <c r="B92" s="1207"/>
      <c r="C92" s="1208"/>
      <c r="D92" s="1209"/>
      <c r="E92" s="1204"/>
      <c r="F92" s="1230"/>
      <c r="G92" s="1231"/>
      <c r="H92" s="1746" t="s">
        <v>1153</v>
      </c>
      <c r="I92" s="1746"/>
      <c r="J92" s="1746"/>
      <c r="K92" s="1747"/>
      <c r="L92" s="413">
        <v>0.15</v>
      </c>
      <c r="M92" s="1038">
        <f>L92*M91</f>
        <v>2094.6831299999999</v>
      </c>
    </row>
    <row r="93" spans="2:13" ht="14.25" x14ac:dyDescent="0.2">
      <c r="B93" s="1270" t="s">
        <v>2353</v>
      </c>
      <c r="C93" s="1271" t="str">
        <f>'PROJECT INFO'!$H$12</f>
        <v>DENVER (COMBINED)</v>
      </c>
      <c r="D93" s="1757" t="s">
        <v>2352</v>
      </c>
      <c r="E93" s="1757"/>
      <c r="F93" s="1757"/>
      <c r="G93" s="1757"/>
      <c r="H93" s="1746" t="s">
        <v>2351</v>
      </c>
      <c r="I93" s="1746"/>
      <c r="J93" s="1746"/>
      <c r="K93" s="1747"/>
      <c r="L93" s="613">
        <f>'PROJECT INFO'!I15</f>
        <v>1</v>
      </c>
      <c r="M93" s="1339"/>
    </row>
    <row r="94" spans="2:13" ht="14.25" x14ac:dyDescent="0.2">
      <c r="B94" s="1207"/>
      <c r="C94" s="1206"/>
      <c r="D94" s="1030"/>
      <c r="E94" s="1204"/>
      <c r="F94" s="1230"/>
      <c r="G94" s="1231"/>
      <c r="H94" s="1746" t="s">
        <v>135</v>
      </c>
      <c r="I94" s="1746"/>
      <c r="J94" s="1746"/>
      <c r="K94" s="1747"/>
      <c r="L94" s="413">
        <v>0.1</v>
      </c>
      <c r="M94" s="1038">
        <f>(M91+M92+M93)*L94</f>
        <v>1605.9237329999999</v>
      </c>
    </row>
    <row r="95" spans="2:13" ht="14.25" x14ac:dyDescent="0.2">
      <c r="B95" s="1205"/>
      <c r="C95" s="1206"/>
      <c r="D95" s="1030"/>
      <c r="E95" s="1204"/>
      <c r="F95" s="1230"/>
      <c r="G95" s="1231"/>
      <c r="H95" s="1746" t="s">
        <v>1196</v>
      </c>
      <c r="I95" s="1746"/>
      <c r="J95" s="1746"/>
      <c r="K95" s="1747"/>
      <c r="L95" s="395"/>
      <c r="M95" s="1038">
        <f>SUM(M91:M94)</f>
        <v>17665.161063</v>
      </c>
    </row>
    <row r="96" spans="2:13" ht="14.25" x14ac:dyDescent="0.2">
      <c r="B96" s="1210"/>
      <c r="C96" s="1332" t="s">
        <v>1150</v>
      </c>
      <c r="D96" s="1332" t="s">
        <v>2162</v>
      </c>
      <c r="E96" s="1204" t="s">
        <v>2390</v>
      </c>
      <c r="F96" s="1232" t="s">
        <v>2391</v>
      </c>
      <c r="G96" s="1233"/>
      <c r="H96" s="1775" t="s">
        <v>1197</v>
      </c>
      <c r="I96" s="1775"/>
      <c r="J96" s="1775"/>
      <c r="K96" s="1776"/>
      <c r="L96" s="395">
        <f>'Project Cost Recap'!J48*'PROJECT INFO'!I17</f>
        <v>0</v>
      </c>
      <c r="M96" s="1038">
        <f>M95*L96</f>
        <v>0</v>
      </c>
    </row>
    <row r="97" spans="2:13" ht="14.25" x14ac:dyDescent="0.2">
      <c r="B97" s="1333"/>
      <c r="C97" s="1332">
        <f>'Project Cost Recap'!$D$53</f>
        <v>2.2000000000000001E-3</v>
      </c>
      <c r="D97" s="1334">
        <f>M95</f>
        <v>17665.161063</v>
      </c>
      <c r="E97" s="1335">
        <f>D97*C97</f>
        <v>38.863354338600004</v>
      </c>
      <c r="F97" s="1336">
        <f>'Project Cost Recap'!$K$53</f>
        <v>3750</v>
      </c>
      <c r="G97" s="1331"/>
      <c r="H97" s="1780" t="s">
        <v>248</v>
      </c>
      <c r="I97" s="1780"/>
      <c r="J97" s="1780"/>
      <c r="K97" s="1781"/>
      <c r="L97" s="1330"/>
      <c r="M97" s="1337">
        <f>IF($E97&lt;$F97,($C97*$D97),$F97)*'PROJECT INFO'!$I$21</f>
        <v>38.863354338600004</v>
      </c>
    </row>
    <row r="98" spans="2:13" ht="14.25" x14ac:dyDescent="0.2">
      <c r="B98" s="1333"/>
      <c r="C98" s="1332"/>
      <c r="D98" s="1334"/>
      <c r="E98" s="1335"/>
      <c r="F98" s="1336"/>
      <c r="G98" s="1331"/>
      <c r="H98" s="1780" t="s">
        <v>246</v>
      </c>
      <c r="I98" s="1780"/>
      <c r="J98" s="1780"/>
      <c r="K98" s="1781"/>
      <c r="L98" s="1330">
        <f>'Project Cost Recap'!$F$54</f>
        <v>0.05</v>
      </c>
      <c r="M98" s="1337">
        <f>M97*L98</f>
        <v>1.9431677169300003</v>
      </c>
    </row>
    <row r="99" spans="2:13" ht="14.25" x14ac:dyDescent="0.2">
      <c r="B99" s="1204"/>
      <c r="C99" s="1204"/>
      <c r="D99" s="1204"/>
      <c r="E99" s="1204"/>
      <c r="F99" s="1777"/>
      <c r="G99" s="1778"/>
      <c r="H99" s="1778"/>
      <c r="I99" s="1778"/>
      <c r="J99" s="1778"/>
      <c r="K99" s="1779"/>
      <c r="L99" s="410" t="s">
        <v>1198</v>
      </c>
      <c r="M99" s="1039">
        <f>M95+M96+M97+M98</f>
        <v>17705.967585055529</v>
      </c>
    </row>
    <row r="100" spans="2:13" ht="15" thickBot="1" x14ac:dyDescent="0.25">
      <c r="B100" s="1049"/>
      <c r="C100" s="1050"/>
      <c r="D100" s="1050"/>
      <c r="E100" s="1050"/>
      <c r="F100" s="1032"/>
      <c r="G100" s="1031"/>
      <c r="H100" s="1031"/>
      <c r="I100" s="1033"/>
      <c r="J100" s="1033"/>
      <c r="K100" s="1033"/>
      <c r="L100" s="1034"/>
      <c r="M100" s="1048"/>
    </row>
    <row r="101" spans="2:13" ht="20.25" x14ac:dyDescent="0.3">
      <c r="B101" s="1709" t="s">
        <v>2356</v>
      </c>
      <c r="C101" s="1710"/>
      <c r="D101" s="1710"/>
      <c r="E101" s="1710"/>
      <c r="F101" s="1710"/>
      <c r="G101" s="1710"/>
      <c r="H101" s="1710"/>
      <c r="I101" s="1710"/>
      <c r="J101" s="1710"/>
      <c r="K101" s="1710"/>
      <c r="L101" s="1710"/>
      <c r="M101" s="1711"/>
    </row>
    <row r="103" spans="2:13" ht="13.5" thickBot="1" x14ac:dyDescent="0.25">
      <c r="C103" s="1782" t="s">
        <v>2183</v>
      </c>
      <c r="D103" s="1783"/>
      <c r="F103" s="1237" t="s">
        <v>2168</v>
      </c>
      <c r="G103" s="1238"/>
      <c r="H103" s="1238"/>
      <c r="I103" s="1238"/>
      <c r="J103" s="1238"/>
      <c r="K103" s="1238"/>
      <c r="L103" s="1238"/>
      <c r="M103" s="1239"/>
    </row>
    <row r="104" spans="2:13" ht="13.5" customHeight="1" x14ac:dyDescent="0.2">
      <c r="C104" s="1784" t="s">
        <v>2177</v>
      </c>
      <c r="D104" s="1785"/>
      <c r="F104" s="1605" t="s">
        <v>2169</v>
      </c>
      <c r="G104" s="1605"/>
      <c r="H104" s="1188">
        <f>($M$91+1)</f>
        <v>13965.554199999999</v>
      </c>
      <c r="I104" s="1187"/>
      <c r="J104" s="1187"/>
      <c r="K104" s="1187"/>
      <c r="L104" s="1187"/>
      <c r="M104" s="1187"/>
    </row>
    <row r="105" spans="2:13" ht="38.25" customHeight="1" x14ac:dyDescent="0.2">
      <c r="B105" s="1196" t="s">
        <v>2184</v>
      </c>
      <c r="C105" s="1784"/>
      <c r="D105" s="1785"/>
      <c r="F105" s="1243" t="s">
        <v>2344</v>
      </c>
      <c r="G105" s="1244" t="s">
        <v>2170</v>
      </c>
      <c r="H105" s="1244" t="s">
        <v>2171</v>
      </c>
      <c r="I105" s="1244" t="s">
        <v>2172</v>
      </c>
      <c r="J105" s="1243" t="s">
        <v>2173</v>
      </c>
      <c r="K105" s="1245" t="s">
        <v>2175</v>
      </c>
      <c r="L105" s="1243" t="s">
        <v>2343</v>
      </c>
      <c r="M105" s="1243" t="s">
        <v>2176</v>
      </c>
    </row>
    <row r="106" spans="2:13" x14ac:dyDescent="0.2">
      <c r="B106" s="1198">
        <f>VLOOKUP(1,E106:M113,9,FALSE)</f>
        <v>131</v>
      </c>
      <c r="C106" s="1784"/>
      <c r="D106" s="1785"/>
      <c r="E106" s="1197">
        <f>IF(AND(F106&gt;=MIN(G106,H106),F106&lt;=MAX(G106,H106)),1,0)</f>
        <v>0</v>
      </c>
      <c r="F106" s="1188">
        <f>H104</f>
        <v>13965.554199999999</v>
      </c>
      <c r="G106" s="1189">
        <v>1</v>
      </c>
      <c r="H106" s="1189">
        <v>500</v>
      </c>
      <c r="I106" s="1189">
        <v>20</v>
      </c>
      <c r="J106" s="1190">
        <v>0</v>
      </c>
      <c r="K106" s="1187"/>
      <c r="L106" s="1191"/>
      <c r="M106" s="1189">
        <f>ROUNDUP(L106+I106,0)</f>
        <v>20</v>
      </c>
    </row>
    <row r="107" spans="2:13" x14ac:dyDescent="0.2">
      <c r="C107" s="1784"/>
      <c r="D107" s="1785"/>
      <c r="E107" s="1197">
        <f t="shared" ref="E107:E113" si="4">IF(AND(F107&gt;=MIN(G107,H107),F107&lt;=MAX(G107,H107)),1,0)</f>
        <v>0</v>
      </c>
      <c r="F107" s="1188">
        <f>F106</f>
        <v>13965.554199999999</v>
      </c>
      <c r="G107" s="1189">
        <v>501</v>
      </c>
      <c r="H107" s="1189">
        <v>2000</v>
      </c>
      <c r="I107" s="1189">
        <v>35</v>
      </c>
      <c r="J107" s="1190">
        <v>0</v>
      </c>
      <c r="K107" s="1187"/>
      <c r="L107" s="1191"/>
      <c r="M107" s="1189">
        <f t="shared" ref="M107:M112" si="5">ROUNDUP(L107+I107,0)</f>
        <v>35</v>
      </c>
    </row>
    <row r="108" spans="2:13" x14ac:dyDescent="0.2">
      <c r="C108" s="1784"/>
      <c r="D108" s="1785"/>
      <c r="E108" s="1197">
        <f t="shared" si="4"/>
        <v>1</v>
      </c>
      <c r="F108" s="1188">
        <f t="shared" ref="F108:F113" si="6">F107</f>
        <v>13965.554199999999</v>
      </c>
      <c r="G108" s="1189">
        <v>2001</v>
      </c>
      <c r="H108" s="1189">
        <v>25000</v>
      </c>
      <c r="I108" s="1189">
        <v>35</v>
      </c>
      <c r="J108" s="1190">
        <v>8</v>
      </c>
      <c r="K108" s="1192">
        <f>ROUNDUP((F108-2000)/1000,0)</f>
        <v>12</v>
      </c>
      <c r="L108" s="1189">
        <f t="shared" ref="L108:L113" si="7">K108*J108</f>
        <v>96</v>
      </c>
      <c r="M108" s="1189">
        <f t="shared" si="5"/>
        <v>131</v>
      </c>
    </row>
    <row r="109" spans="2:13" x14ac:dyDescent="0.2">
      <c r="C109" s="1784"/>
      <c r="D109" s="1785"/>
      <c r="E109" s="1197">
        <f t="shared" si="4"/>
        <v>0</v>
      </c>
      <c r="F109" s="1188">
        <f t="shared" si="6"/>
        <v>13965.554199999999</v>
      </c>
      <c r="G109" s="1189">
        <v>25001</v>
      </c>
      <c r="H109" s="1189">
        <v>50000</v>
      </c>
      <c r="I109" s="1189">
        <v>220</v>
      </c>
      <c r="J109" s="1190">
        <v>8</v>
      </c>
      <c r="K109" s="1192">
        <f>ROUNDUP((F109-25000)/1000,0)</f>
        <v>-12</v>
      </c>
      <c r="L109" s="1189">
        <f t="shared" si="7"/>
        <v>-96</v>
      </c>
      <c r="M109" s="1189">
        <f t="shared" si="5"/>
        <v>124</v>
      </c>
    </row>
    <row r="110" spans="2:13" x14ac:dyDescent="0.2">
      <c r="C110" s="1784"/>
      <c r="D110" s="1785"/>
      <c r="E110" s="1197">
        <f t="shared" si="4"/>
        <v>0</v>
      </c>
      <c r="F110" s="1188">
        <f t="shared" si="6"/>
        <v>13965.554199999999</v>
      </c>
      <c r="G110" s="1189">
        <v>50001</v>
      </c>
      <c r="H110" s="1189">
        <v>100000</v>
      </c>
      <c r="I110" s="1189">
        <v>420</v>
      </c>
      <c r="J110" s="1190">
        <v>7</v>
      </c>
      <c r="K110" s="1192">
        <f>ROUNDUP((F110-50000)/1000,0)</f>
        <v>-37</v>
      </c>
      <c r="L110" s="1189">
        <f t="shared" si="7"/>
        <v>-259</v>
      </c>
      <c r="M110" s="1189">
        <f t="shared" si="5"/>
        <v>161</v>
      </c>
    </row>
    <row r="111" spans="2:13" x14ac:dyDescent="0.2">
      <c r="C111" s="1784"/>
      <c r="D111" s="1785"/>
      <c r="E111" s="1197">
        <f t="shared" si="4"/>
        <v>0</v>
      </c>
      <c r="F111" s="1188">
        <f t="shared" si="6"/>
        <v>13965.554199999999</v>
      </c>
      <c r="G111" s="1189">
        <v>100001</v>
      </c>
      <c r="H111" s="1189">
        <v>500000</v>
      </c>
      <c r="I111" s="1189">
        <v>770</v>
      </c>
      <c r="J111" s="1190">
        <v>5.6</v>
      </c>
      <c r="K111" s="1192">
        <f>ROUNDUP((F111-100000)/1000,0)</f>
        <v>-87</v>
      </c>
      <c r="L111" s="1189">
        <f t="shared" si="7"/>
        <v>-487.2</v>
      </c>
      <c r="M111" s="1189">
        <f t="shared" si="5"/>
        <v>283</v>
      </c>
    </row>
    <row r="112" spans="2:13" x14ac:dyDescent="0.2">
      <c r="C112" s="1784"/>
      <c r="D112" s="1785"/>
      <c r="E112" s="1197">
        <f t="shared" si="4"/>
        <v>0</v>
      </c>
      <c r="F112" s="1188">
        <f t="shared" si="6"/>
        <v>13965.554199999999</v>
      </c>
      <c r="G112" s="1189">
        <v>500001</v>
      </c>
      <c r="H112" s="1189">
        <v>1000000</v>
      </c>
      <c r="I112" s="1189">
        <v>3010</v>
      </c>
      <c r="J112" s="1190">
        <v>4.75</v>
      </c>
      <c r="K112" s="1192">
        <f>ROUNDUP((F112-500000)/1000,0)</f>
        <v>-487</v>
      </c>
      <c r="L112" s="1189">
        <f t="shared" si="7"/>
        <v>-2313.25</v>
      </c>
      <c r="M112" s="1189">
        <f t="shared" si="5"/>
        <v>697</v>
      </c>
    </row>
    <row r="113" spans="2:13" x14ac:dyDescent="0.2">
      <c r="C113" s="1784"/>
      <c r="D113" s="1785"/>
      <c r="E113" s="1197">
        <f t="shared" si="4"/>
        <v>0</v>
      </c>
      <c r="F113" s="1188">
        <f t="shared" si="6"/>
        <v>13965.554199999999</v>
      </c>
      <c r="G113" s="1189">
        <v>1000001</v>
      </c>
      <c r="H113" s="1189">
        <v>50000000</v>
      </c>
      <c r="I113" s="1189">
        <v>5385</v>
      </c>
      <c r="J113" s="1190">
        <v>3.65</v>
      </c>
      <c r="K113" s="1192">
        <f>ROUNDUP((F113-1000000)/1000,0)</f>
        <v>-987</v>
      </c>
      <c r="L113" s="1189">
        <f t="shared" si="7"/>
        <v>-3602.5499999999997</v>
      </c>
      <c r="M113" s="1189">
        <f>ROUNDUP(L113+I113,0)</f>
        <v>1783</v>
      </c>
    </row>
    <row r="114" spans="2:13" ht="13.5" thickBot="1" x14ac:dyDescent="0.25">
      <c r="C114" s="1784"/>
      <c r="D114" s="1785"/>
    </row>
    <row r="115" spans="2:13" ht="13.5" thickBot="1" x14ac:dyDescent="0.25">
      <c r="C115" s="1786" t="s">
        <v>2182</v>
      </c>
      <c r="D115" s="1787"/>
      <c r="F115" s="1240" t="s">
        <v>2181</v>
      </c>
      <c r="G115" s="1241"/>
      <c r="H115" s="1241"/>
      <c r="I115" s="1241"/>
      <c r="J115" s="1241"/>
      <c r="K115" s="1241"/>
      <c r="L115" s="1241"/>
      <c r="M115" s="1242"/>
    </row>
    <row r="116" spans="2:13" ht="13.5" customHeight="1" x14ac:dyDescent="0.2">
      <c r="C116" s="1788" t="s">
        <v>2177</v>
      </c>
      <c r="D116" s="1789"/>
      <c r="F116" s="1605" t="s">
        <v>2169</v>
      </c>
      <c r="G116" s="1605"/>
      <c r="H116" s="1188">
        <f>($M$91+1)</f>
        <v>13965.554199999999</v>
      </c>
      <c r="I116" s="1187"/>
      <c r="J116" s="1187"/>
      <c r="K116" s="1187"/>
      <c r="L116" s="1187"/>
      <c r="M116" s="1187"/>
    </row>
    <row r="117" spans="2:13" ht="38.25" x14ac:dyDescent="0.2">
      <c r="B117" s="1196" t="s">
        <v>2185</v>
      </c>
      <c r="C117" s="1788"/>
      <c r="D117" s="1789"/>
      <c r="F117" s="1243" t="s">
        <v>2344</v>
      </c>
      <c r="G117" s="1244" t="s">
        <v>2170</v>
      </c>
      <c r="H117" s="1244" t="s">
        <v>2171</v>
      </c>
      <c r="I117" s="1244" t="s">
        <v>2172</v>
      </c>
      <c r="J117" s="1243" t="s">
        <v>2346</v>
      </c>
      <c r="K117" s="1245" t="s">
        <v>2347</v>
      </c>
      <c r="L117" s="1243" t="s">
        <v>2324</v>
      </c>
      <c r="M117" s="1243" t="s">
        <v>2176</v>
      </c>
    </row>
    <row r="118" spans="2:13" x14ac:dyDescent="0.2">
      <c r="B118" s="1199">
        <f>VLOOKUP(1,E118:M121,9,FALSE)</f>
        <v>515</v>
      </c>
      <c r="C118" s="1788"/>
      <c r="D118" s="1789"/>
      <c r="E118" s="1197">
        <f>IF(AND(F118&gt;=MIN(G118,H118),F118&lt;=MAX(G118,H118)),1,0)</f>
        <v>0</v>
      </c>
      <c r="F118" s="1188">
        <f>H116</f>
        <v>13965.554199999999</v>
      </c>
      <c r="G118" s="1189">
        <v>1</v>
      </c>
      <c r="H118" s="1189">
        <v>100</v>
      </c>
      <c r="I118" s="1191">
        <v>13.6</v>
      </c>
      <c r="J118" s="1190">
        <v>0</v>
      </c>
      <c r="K118" s="1187"/>
      <c r="L118" s="1191"/>
      <c r="M118" s="1189">
        <f>ROUNDUP(L118+I118,0)</f>
        <v>14</v>
      </c>
    </row>
    <row r="119" spans="2:13" x14ac:dyDescent="0.2">
      <c r="C119" s="1788"/>
      <c r="D119" s="1789"/>
      <c r="E119" s="1197">
        <f>IF(AND(F119&gt;=MIN(G119,H119),F119&lt;=MAX(G119,H119)),1,0)</f>
        <v>0</v>
      </c>
      <c r="F119" s="1188">
        <f>F118</f>
        <v>13965.554199999999</v>
      </c>
      <c r="G119" s="1189">
        <v>101</v>
      </c>
      <c r="H119" s="1189">
        <v>400</v>
      </c>
      <c r="I119" s="1200">
        <v>16.75</v>
      </c>
      <c r="J119" s="1190">
        <v>0</v>
      </c>
      <c r="K119" s="1192">
        <v>0</v>
      </c>
      <c r="L119" s="1189">
        <f>K119*J119</f>
        <v>0</v>
      </c>
      <c r="M119" s="1189">
        <f>ROUNDUP(L119+I119,0)</f>
        <v>17</v>
      </c>
    </row>
    <row r="120" spans="2:13" x14ac:dyDescent="0.2">
      <c r="C120" s="1788"/>
      <c r="D120" s="1789"/>
      <c r="E120" s="1197">
        <f>IF(AND(F120&gt;=MIN(G120,H120),F120&lt;=MAX(G120,H120)),1,0)</f>
        <v>0</v>
      </c>
      <c r="F120" s="1188">
        <f>F119</f>
        <v>13965.554199999999</v>
      </c>
      <c r="G120" s="1189">
        <v>401</v>
      </c>
      <c r="H120" s="1189">
        <v>800</v>
      </c>
      <c r="I120" s="1191">
        <v>19.899999999999999</v>
      </c>
      <c r="J120" s="1190">
        <v>0</v>
      </c>
      <c r="K120" s="1192">
        <v>0</v>
      </c>
      <c r="L120" s="1189">
        <f>K120*J120</f>
        <v>0</v>
      </c>
      <c r="M120" s="1189">
        <f>ROUNDUP(L120+I120,0)</f>
        <v>20</v>
      </c>
    </row>
    <row r="121" spans="2:13" ht="13.5" thickBot="1" x14ac:dyDescent="0.25">
      <c r="C121" s="1788"/>
      <c r="D121" s="1789"/>
      <c r="E121" s="1197">
        <f>IF(AND(F121&gt;=MIN(G121,H121),F121&lt;=MAX(G121,H121)),1,0)</f>
        <v>1</v>
      </c>
      <c r="F121" s="1188">
        <f>F120</f>
        <v>13965.554199999999</v>
      </c>
      <c r="G121" s="1189">
        <v>801</v>
      </c>
      <c r="H121" s="1189">
        <v>50000000</v>
      </c>
      <c r="I121" s="1191">
        <v>19.899999999999999</v>
      </c>
      <c r="J121" s="1190">
        <v>3.75</v>
      </c>
      <c r="K121" s="1192">
        <f>ROUNDUP((F121-800)/100,0)</f>
        <v>132</v>
      </c>
      <c r="L121" s="1189">
        <f>K121*J121</f>
        <v>495</v>
      </c>
      <c r="M121" s="1189">
        <f>ROUNDUP(L121+I121,0)</f>
        <v>515</v>
      </c>
    </row>
    <row r="122" spans="2:13" ht="13.5" thickBot="1" x14ac:dyDescent="0.25">
      <c r="C122" s="1689" t="s">
        <v>2042</v>
      </c>
      <c r="D122" s="1690"/>
      <c r="F122" s="1320" t="s">
        <v>2365</v>
      </c>
      <c r="G122" s="1321"/>
      <c r="H122" s="1321"/>
      <c r="I122" s="1321"/>
      <c r="J122" s="1321"/>
      <c r="K122" s="1321"/>
      <c r="L122" s="1321"/>
      <c r="M122" s="1322"/>
    </row>
    <row r="123" spans="2:13" x14ac:dyDescent="0.2">
      <c r="C123" s="1691" t="s">
        <v>2367</v>
      </c>
      <c r="D123" s="1692"/>
      <c r="F123" s="1605" t="s">
        <v>2169</v>
      </c>
      <c r="G123" s="1605"/>
      <c r="H123" s="1188">
        <f>($M$91+1)</f>
        <v>13965.554199999999</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301</v>
      </c>
      <c r="C125" s="1695"/>
      <c r="D125" s="1696"/>
      <c r="E125" s="1197">
        <f>IF(AND(F125&gt;=MIN(G125,H125),F125&lt;=MAX(G125,H125)),1,0)</f>
        <v>1</v>
      </c>
      <c r="F125" s="1188">
        <f>H123</f>
        <v>13965.554199999999</v>
      </c>
      <c r="G125" s="1189">
        <v>1</v>
      </c>
      <c r="H125" s="1189">
        <v>50000000</v>
      </c>
      <c r="I125" s="1191">
        <v>105</v>
      </c>
      <c r="J125" s="1190">
        <v>14</v>
      </c>
      <c r="K125" s="1192">
        <f>ROUNDUP(F125/1000,0)</f>
        <v>14</v>
      </c>
      <c r="L125" s="1189">
        <f>K125*J125</f>
        <v>196</v>
      </c>
      <c r="M125" s="1189">
        <f>ROUNDUP(L125+I125,0)</f>
        <v>301</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4:C34"/>
    <mergeCell ref="B35:C35"/>
    <mergeCell ref="B36:C36"/>
    <mergeCell ref="B37:C37"/>
    <mergeCell ref="B38:C38"/>
    <mergeCell ref="B39:C39"/>
    <mergeCell ref="B31:C31"/>
    <mergeCell ref="B32:C32"/>
    <mergeCell ref="B33:C33"/>
    <mergeCell ref="B19:C19"/>
    <mergeCell ref="B22:C22"/>
    <mergeCell ref="B23:C23"/>
    <mergeCell ref="B24:C24"/>
    <mergeCell ref="B25:C25"/>
    <mergeCell ref="B26:C26"/>
    <mergeCell ref="B27:C27"/>
    <mergeCell ref="B20:C20"/>
    <mergeCell ref="B21:C21"/>
    <mergeCell ref="C122:D122"/>
    <mergeCell ref="C123:D125"/>
    <mergeCell ref="F123:G123"/>
    <mergeCell ref="B2:M2"/>
    <mergeCell ref="D3:G3"/>
    <mergeCell ref="J3:M3"/>
    <mergeCell ref="D4:E4"/>
    <mergeCell ref="E5:G5"/>
    <mergeCell ref="H5:M6"/>
    <mergeCell ref="B13:C13"/>
    <mergeCell ref="B14:C14"/>
    <mergeCell ref="B15:C15"/>
    <mergeCell ref="B16:C16"/>
    <mergeCell ref="B17:C17"/>
    <mergeCell ref="B18:C18"/>
    <mergeCell ref="B7:C7"/>
    <mergeCell ref="B8:C8"/>
    <mergeCell ref="B9:C9"/>
    <mergeCell ref="B10:C10"/>
    <mergeCell ref="B11:C11"/>
    <mergeCell ref="B12:C12"/>
    <mergeCell ref="B28:C28"/>
    <mergeCell ref="B29:C29"/>
    <mergeCell ref="B30:C30"/>
  </mergeCells>
  <conditionalFormatting sqref="M93">
    <cfRule type="cellIs" dxfId="5"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59227BEE-F264-4BDF-AEED-5FA58AB033EE}">
          <x14:formula1>
            <xm:f>Rentals!$A$13:$A$35</xm:f>
          </x14:formula1>
          <xm:sqref>I62:I63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3"/>
  <sheetViews>
    <sheetView showGridLines="0" showZeros="0" zoomScaleNormal="100" zoomScaleSheetLayoutView="100" workbookViewId="0">
      <selection activeCell="H23" sqref="H23"/>
    </sheetView>
  </sheetViews>
  <sheetFormatPr defaultColWidth="9.140625" defaultRowHeight="12.75" x14ac:dyDescent="0.2"/>
  <cols>
    <col min="1" max="1" width="3.28515625" style="115" customWidth="1"/>
    <col min="2" max="2" width="7.140625" style="115" customWidth="1"/>
    <col min="3" max="3" width="1.5703125" style="115" customWidth="1"/>
    <col min="4" max="4" width="19.5703125" style="115" customWidth="1"/>
    <col min="5" max="5" width="46.28515625" style="148" customWidth="1"/>
    <col min="6" max="6" width="2.42578125" style="115" customWidth="1"/>
    <col min="7" max="7" width="24.140625" style="115" customWidth="1"/>
    <col min="8" max="8" width="33" style="148" customWidth="1"/>
    <col min="9" max="9" width="8.42578125" style="148" customWidth="1"/>
    <col min="10" max="10" width="3.5703125" style="115" customWidth="1"/>
    <col min="11" max="11" width="9.140625" style="115"/>
    <col min="12" max="13" width="9.140625" style="115" hidden="1" customWidth="1"/>
    <col min="14" max="16384" width="9.140625" style="115"/>
  </cols>
  <sheetData>
    <row r="1" spans="1:15" x14ac:dyDescent="0.2">
      <c r="A1" s="317"/>
      <c r="B1" s="317"/>
      <c r="C1" s="317"/>
      <c r="D1" s="317"/>
      <c r="E1" s="316"/>
      <c r="F1" s="317"/>
      <c r="G1" s="317"/>
      <c r="H1" s="316"/>
      <c r="I1" s="316"/>
      <c r="J1" s="317"/>
      <c r="K1" s="187" t="s">
        <v>2105</v>
      </c>
    </row>
    <row r="2" spans="1:15" ht="36.75" customHeight="1" x14ac:dyDescent="0.2">
      <c r="A2" s="317"/>
      <c r="D2" s="1507" t="s">
        <v>249</v>
      </c>
      <c r="E2" s="1507"/>
      <c r="F2" s="1507"/>
      <c r="G2" s="1507"/>
      <c r="H2" s="1507"/>
      <c r="I2" s="1507"/>
      <c r="J2" s="315"/>
      <c r="K2" s="147"/>
      <c r="L2" s="147"/>
      <c r="M2" s="147"/>
      <c r="N2" s="147"/>
      <c r="O2" s="147"/>
    </row>
    <row r="3" spans="1:15" ht="12.75" customHeight="1" x14ac:dyDescent="0.2">
      <c r="A3" s="317"/>
      <c r="B3" s="1024"/>
      <c r="C3" s="1023"/>
      <c r="D3" s="115" t="s">
        <v>250</v>
      </c>
      <c r="E3" s="1112" t="str">
        <f>'GO-NO-GO CHECKLIST'!E21</f>
        <v>300 University Boulevard</v>
      </c>
      <c r="G3" s="115" t="s">
        <v>251</v>
      </c>
      <c r="H3" s="1113">
        <f>'GO-NO-GO CHECKLIST'!D24</f>
        <v>44624</v>
      </c>
      <c r="I3" s="1508" t="s">
        <v>1208</v>
      </c>
      <c r="J3" s="317"/>
    </row>
    <row r="4" spans="1:15" x14ac:dyDescent="0.2">
      <c r="A4" s="317"/>
      <c r="B4" s="1024"/>
      <c r="C4" s="1023"/>
      <c r="D4" s="115" t="s">
        <v>252</v>
      </c>
      <c r="E4" s="1260" t="str">
        <f>'GO-NO-GO CHECKLIST'!I26</f>
        <v>5888</v>
      </c>
      <c r="G4" s="115" t="s">
        <v>253</v>
      </c>
      <c r="H4" s="1114">
        <f>'GO-NO-GO CHECKLIST'!I24</f>
        <v>0.5</v>
      </c>
      <c r="I4" s="1509"/>
      <c r="J4" s="317"/>
    </row>
    <row r="5" spans="1:15" x14ac:dyDescent="0.2">
      <c r="A5" s="317"/>
      <c r="B5" s="1024"/>
      <c r="C5" s="1023"/>
      <c r="D5" s="115" t="s">
        <v>254</v>
      </c>
      <c r="E5" s="1112" t="str">
        <f>'GO-NO-GO CHECKLIST'!E22</f>
        <v>300 University Boulevard</v>
      </c>
      <c r="G5" s="115" t="s">
        <v>255</v>
      </c>
      <c r="H5" s="996">
        <f>'GO-NO-GO CHECKLIST'!F28</f>
        <v>0</v>
      </c>
      <c r="I5" s="1509"/>
      <c r="J5" s="317"/>
    </row>
    <row r="6" spans="1:15" x14ac:dyDescent="0.2">
      <c r="A6" s="317"/>
      <c r="B6" s="1024"/>
      <c r="C6" s="1023"/>
      <c r="D6" s="187" t="s">
        <v>256</v>
      </c>
      <c r="E6" s="1112" t="str">
        <f>'GO-NO-GO CHECKLIST'!E23</f>
        <v>Denver, CO 80206</v>
      </c>
      <c r="G6" s="187" t="s">
        <v>748</v>
      </c>
      <c r="H6" s="316" t="s">
        <v>315</v>
      </c>
      <c r="I6" s="1509"/>
      <c r="J6" s="317"/>
    </row>
    <row r="7" spans="1:15" x14ac:dyDescent="0.2">
      <c r="A7" s="317"/>
      <c r="B7" s="1024"/>
      <c r="C7" s="1023"/>
      <c r="G7" s="115" t="s">
        <v>257</v>
      </c>
      <c r="H7" s="1115" t="s">
        <v>2459</v>
      </c>
      <c r="I7" s="1509"/>
      <c r="J7" s="317"/>
    </row>
    <row r="8" spans="1:15" ht="12.75" customHeight="1" x14ac:dyDescent="0.2">
      <c r="A8" s="317"/>
      <c r="B8" s="1511" t="s">
        <v>1995</v>
      </c>
      <c r="C8" s="1023"/>
      <c r="D8" s="115" t="s">
        <v>259</v>
      </c>
      <c r="E8" s="1020" t="str">
        <f>'GO-NO-GO CHECKLIST'!B31</f>
        <v>GE JOHNSON CONSTRUCTION COMPANY</v>
      </c>
      <c r="G8" s="115" t="s">
        <v>258</v>
      </c>
      <c r="H8" s="996" t="s">
        <v>346</v>
      </c>
      <c r="I8" s="1509"/>
      <c r="J8" s="317"/>
    </row>
    <row r="9" spans="1:15" x14ac:dyDescent="0.2">
      <c r="A9" s="317"/>
      <c r="B9" s="1512"/>
      <c r="C9" s="1023"/>
      <c r="D9" s="115" t="s">
        <v>262</v>
      </c>
      <c r="E9" s="1000"/>
      <c r="G9" s="115" t="s">
        <v>260</v>
      </c>
      <c r="H9" s="996" t="s">
        <v>346</v>
      </c>
      <c r="I9" s="1509"/>
      <c r="J9" s="317"/>
    </row>
    <row r="10" spans="1:15" x14ac:dyDescent="0.2">
      <c r="A10" s="317"/>
      <c r="B10" s="1512"/>
      <c r="C10" s="1023"/>
      <c r="D10" s="115" t="s">
        <v>264</v>
      </c>
      <c r="E10" s="448"/>
      <c r="G10" s="115" t="s">
        <v>263</v>
      </c>
      <c r="H10" s="996" t="s">
        <v>346</v>
      </c>
      <c r="I10" s="1509"/>
      <c r="J10" s="317"/>
    </row>
    <row r="11" spans="1:15" x14ac:dyDescent="0.2">
      <c r="A11" s="317"/>
      <c r="B11" s="1512"/>
      <c r="C11" s="1023"/>
      <c r="D11" s="115" t="s">
        <v>254</v>
      </c>
      <c r="E11" s="1020" t="str">
        <f>VLOOKUP(E8,DATA!A5:C157,2,FALSE)</f>
        <v>5613 DTC PARKWAY, #450</v>
      </c>
      <c r="G11" s="187" t="s">
        <v>1971</v>
      </c>
      <c r="H11" s="997" t="s">
        <v>346</v>
      </c>
      <c r="I11" s="1509"/>
      <c r="J11" s="317"/>
    </row>
    <row r="12" spans="1:15" ht="13.5" thickBot="1" x14ac:dyDescent="0.25">
      <c r="A12" s="317"/>
      <c r="B12" s="1512"/>
      <c r="C12" s="1023"/>
      <c r="D12" s="115" t="s">
        <v>256</v>
      </c>
      <c r="E12" s="1020" t="str">
        <f>VLOOKUP(E8,DATA!A5:C157,3,FALSE)</f>
        <v>GREENWOOD VILLAGE, CO 80111</v>
      </c>
      <c r="G12" s="115" t="s">
        <v>265</v>
      </c>
      <c r="H12" s="1227" t="s">
        <v>2151</v>
      </c>
      <c r="I12" s="1510"/>
      <c r="J12" s="317"/>
    </row>
    <row r="13" spans="1:15" ht="13.5" customHeight="1" thickBot="1" x14ac:dyDescent="0.25">
      <c r="A13" s="317"/>
      <c r="B13" s="1512"/>
      <c r="C13" s="1023"/>
      <c r="G13" s="115" t="s">
        <v>266</v>
      </c>
      <c r="H13" s="998" t="s">
        <v>346</v>
      </c>
      <c r="I13" s="284">
        <f>IF(H13="Yes", 0,1)</f>
        <v>1</v>
      </c>
      <c r="J13" s="317"/>
      <c r="M13" s="187" t="s">
        <v>346</v>
      </c>
    </row>
    <row r="14" spans="1:15" ht="13.5" thickBot="1" x14ac:dyDescent="0.25">
      <c r="A14" s="317"/>
      <c r="B14" s="1512"/>
      <c r="C14" s="1023"/>
      <c r="D14" s="115" t="s">
        <v>267</v>
      </c>
      <c r="E14" s="1020">
        <f>'GO-NO-GO CHECKLIST'!B32</f>
        <v>0</v>
      </c>
      <c r="G14" s="187" t="s">
        <v>1795</v>
      </c>
      <c r="H14" s="186">
        <f>VLOOKUP(H12,'Taxes&amp;Permits'!A2:'Taxes&amp;Permits'!B223,2,FALSE)*I14</f>
        <v>8.8099999999999998E-2</v>
      </c>
      <c r="I14" s="284">
        <f>I13</f>
        <v>1</v>
      </c>
      <c r="J14" s="317"/>
      <c r="M14" s="187" t="s">
        <v>1207</v>
      </c>
    </row>
    <row r="15" spans="1:15" ht="13.5" thickBot="1" x14ac:dyDescent="0.25">
      <c r="A15" s="317"/>
      <c r="B15" s="1512"/>
      <c r="C15" s="1023"/>
      <c r="D15" s="115" t="s">
        <v>262</v>
      </c>
      <c r="E15" s="1000"/>
      <c r="G15" s="115" t="s">
        <v>268</v>
      </c>
      <c r="H15" s="998" t="s">
        <v>1207</v>
      </c>
      <c r="I15" s="284">
        <f>IF(H15="Yes", 1,0)</f>
        <v>1</v>
      </c>
      <c r="J15" s="317"/>
    </row>
    <row r="16" spans="1:15" ht="13.5" thickBot="1" x14ac:dyDescent="0.25">
      <c r="A16" s="317"/>
      <c r="B16" s="1512"/>
      <c r="C16" s="1023"/>
      <c r="D16" s="115" t="s">
        <v>264</v>
      </c>
      <c r="E16" s="448"/>
      <c r="G16" s="187" t="s">
        <v>1976</v>
      </c>
      <c r="H16" s="998" t="s">
        <v>346</v>
      </c>
      <c r="I16" s="284"/>
      <c r="J16" s="317"/>
    </row>
    <row r="17" spans="1:10" ht="13.5" thickBot="1" x14ac:dyDescent="0.25">
      <c r="A17" s="317"/>
      <c r="B17" s="1512"/>
      <c r="C17" s="1023"/>
      <c r="D17" s="115" t="s">
        <v>254</v>
      </c>
      <c r="E17" s="1020" t="e">
        <f>VLOOKUP(E14,DATA!A5:C153,2,FALSE)</f>
        <v>#N/A</v>
      </c>
      <c r="G17" s="187" t="s">
        <v>1975</v>
      </c>
      <c r="H17" s="998" t="s">
        <v>346</v>
      </c>
      <c r="I17" s="284">
        <f>IF(H17="Yes", 1,0)</f>
        <v>0</v>
      </c>
      <c r="J17" s="317"/>
    </row>
    <row r="18" spans="1:10" x14ac:dyDescent="0.2">
      <c r="A18" s="317"/>
      <c r="B18" s="1512"/>
      <c r="C18" s="1023"/>
      <c r="D18" s="115" t="s">
        <v>256</v>
      </c>
      <c r="E18" s="1020" t="e">
        <f>VLOOKUP(E14,DATA!A5:C154,3)</f>
        <v>#N/A</v>
      </c>
      <c r="G18" s="115" t="s">
        <v>269</v>
      </c>
      <c r="H18" s="997" t="s">
        <v>346</v>
      </c>
      <c r="I18" s="284"/>
      <c r="J18" s="317"/>
    </row>
    <row r="19" spans="1:10" ht="13.5" thickBot="1" x14ac:dyDescent="0.25">
      <c r="A19" s="317"/>
      <c r="B19" s="1512"/>
      <c r="C19" s="1023"/>
      <c r="G19" s="115" t="s">
        <v>270</v>
      </c>
      <c r="H19" s="997" t="s">
        <v>346</v>
      </c>
      <c r="I19" s="284"/>
      <c r="J19" s="317"/>
    </row>
    <row r="20" spans="1:10" ht="13.5" thickBot="1" x14ac:dyDescent="0.25">
      <c r="A20" s="317"/>
      <c r="B20" s="1512"/>
      <c r="C20" s="1023"/>
      <c r="D20" s="115" t="s">
        <v>272</v>
      </c>
      <c r="E20" s="1020">
        <f>'GO-NO-GO CHECKLIST'!B33</f>
        <v>0</v>
      </c>
      <c r="G20" s="115" t="s">
        <v>271</v>
      </c>
      <c r="H20" s="998" t="s">
        <v>346</v>
      </c>
      <c r="I20" s="284"/>
      <c r="J20" s="317"/>
    </row>
    <row r="21" spans="1:10" ht="13.5" thickBot="1" x14ac:dyDescent="0.25">
      <c r="A21" s="317"/>
      <c r="B21" s="1512"/>
      <c r="C21" s="1023"/>
      <c r="D21" s="115" t="s">
        <v>262</v>
      </c>
      <c r="E21" s="1000"/>
      <c r="G21" s="187" t="s">
        <v>752</v>
      </c>
      <c r="H21" s="998" t="s">
        <v>1207</v>
      </c>
      <c r="I21" s="284">
        <f>IF(H21="Yes", 1,0)</f>
        <v>1</v>
      </c>
      <c r="J21" s="317"/>
    </row>
    <row r="22" spans="1:10" ht="13.5" thickBot="1" x14ac:dyDescent="0.25">
      <c r="A22" s="317"/>
      <c r="B22" s="1512"/>
      <c r="C22" s="1023"/>
      <c r="D22" s="115" t="s">
        <v>264</v>
      </c>
      <c r="E22" s="448"/>
      <c r="G22" s="187" t="s">
        <v>1210</v>
      </c>
      <c r="H22" s="998" t="s">
        <v>1207</v>
      </c>
      <c r="I22" s="284">
        <f>IF(H22="Yes", 1,0)</f>
        <v>1</v>
      </c>
      <c r="J22" s="317"/>
    </row>
    <row r="23" spans="1:10" ht="13.5" thickBot="1" x14ac:dyDescent="0.25">
      <c r="A23" s="317"/>
      <c r="B23" s="1512"/>
      <c r="C23" s="1023"/>
      <c r="D23" s="115" t="s">
        <v>254</v>
      </c>
      <c r="E23" s="1020" t="e">
        <f>VLOOKUP(E20,DATA!A5:C159,2,FALSE)</f>
        <v>#N/A</v>
      </c>
      <c r="G23" s="115" t="s">
        <v>1974</v>
      </c>
      <c r="H23" s="998" t="s">
        <v>346</v>
      </c>
      <c r="I23" s="284">
        <f>IF(H23="Yes", 1,0)</f>
        <v>0</v>
      </c>
      <c r="J23" s="317"/>
    </row>
    <row r="24" spans="1:10" x14ac:dyDescent="0.2">
      <c r="A24" s="317"/>
      <c r="B24" s="1512"/>
      <c r="C24" s="1023"/>
      <c r="D24" s="115" t="s">
        <v>256</v>
      </c>
      <c r="E24" s="1020" t="e">
        <f>VLOOKUP(E20,DATA!A5:C160,3)</f>
        <v>#N/A</v>
      </c>
      <c r="G24" s="115" t="s">
        <v>273</v>
      </c>
      <c r="H24" s="1110">
        <f>'GO-NO-GO CHECKLIST'!E25</f>
        <v>44757</v>
      </c>
      <c r="I24" s="149"/>
      <c r="J24" s="317"/>
    </row>
    <row r="25" spans="1:10" x14ac:dyDescent="0.2">
      <c r="A25" s="317"/>
      <c r="B25" s="1512"/>
      <c r="C25" s="1023"/>
      <c r="G25" s="115" t="s">
        <v>274</v>
      </c>
      <c r="H25" s="1110">
        <f>'GO-NO-GO CHECKLIST'!J25</f>
        <v>45056</v>
      </c>
      <c r="I25" s="149"/>
      <c r="J25" s="317"/>
    </row>
    <row r="26" spans="1:10" x14ac:dyDescent="0.2">
      <c r="A26" s="317"/>
      <c r="B26" s="1512"/>
      <c r="C26" s="1023"/>
      <c r="D26" s="115" t="s">
        <v>277</v>
      </c>
      <c r="E26" s="1020">
        <f>'GO-NO-GO CHECKLIST'!B34</f>
        <v>0</v>
      </c>
      <c r="G26" s="115" t="s">
        <v>275</v>
      </c>
      <c r="H26" s="1111">
        <f>(H25-H24)/30</f>
        <v>9.9666666666666668</v>
      </c>
      <c r="I26" s="149"/>
      <c r="J26" s="317"/>
    </row>
    <row r="27" spans="1:10" x14ac:dyDescent="0.2">
      <c r="A27" s="317"/>
      <c r="B27" s="1512"/>
      <c r="C27" s="1023"/>
      <c r="D27" s="115" t="s">
        <v>262</v>
      </c>
      <c r="E27" s="1000"/>
      <c r="G27" s="115" t="s">
        <v>276</v>
      </c>
      <c r="H27" s="1111">
        <f>(H25-H24)/7</f>
        <v>42.714285714285715</v>
      </c>
      <c r="I27" s="149"/>
      <c r="J27" s="317"/>
    </row>
    <row r="28" spans="1:10" x14ac:dyDescent="0.2">
      <c r="A28" s="317"/>
      <c r="B28" s="1512"/>
      <c r="C28" s="1023"/>
      <c r="D28" s="115" t="s">
        <v>264</v>
      </c>
      <c r="E28" s="448"/>
      <c r="G28" s="187" t="s">
        <v>625</v>
      </c>
      <c r="H28" s="1111">
        <f>H27*7</f>
        <v>299</v>
      </c>
      <c r="I28" s="149"/>
      <c r="J28" s="317"/>
    </row>
    <row r="29" spans="1:10" x14ac:dyDescent="0.2">
      <c r="A29" s="317"/>
      <c r="B29" s="1512"/>
      <c r="C29" s="1023"/>
      <c r="D29" s="115" t="s">
        <v>254</v>
      </c>
      <c r="E29" s="1020" t="e">
        <f>VLOOKUP(E26,DATA!A5:C165,2,FALSE)</f>
        <v>#N/A</v>
      </c>
      <c r="G29" s="187" t="s">
        <v>626</v>
      </c>
      <c r="H29" s="1111">
        <f>H27*5</f>
        <v>213.57142857142858</v>
      </c>
      <c r="I29" s="149"/>
      <c r="J29" s="317"/>
    </row>
    <row r="30" spans="1:10" x14ac:dyDescent="0.2">
      <c r="A30" s="317"/>
      <c r="B30" s="1512"/>
      <c r="C30" s="1023"/>
      <c r="D30" s="115" t="s">
        <v>256</v>
      </c>
      <c r="E30" s="1020" t="e">
        <f>VLOOKUP(E26,DATA!A5:C166,3,FALSE)</f>
        <v>#N/A</v>
      </c>
      <c r="I30" s="149"/>
      <c r="J30" s="317"/>
    </row>
    <row r="31" spans="1:10" x14ac:dyDescent="0.2">
      <c r="A31" s="317"/>
      <c r="B31" s="1512"/>
      <c r="C31" s="1023"/>
      <c r="G31" s="115" t="s">
        <v>278</v>
      </c>
      <c r="H31" s="316"/>
      <c r="I31" s="149"/>
      <c r="J31" s="317"/>
    </row>
    <row r="32" spans="1:10" x14ac:dyDescent="0.2">
      <c r="A32" s="317"/>
      <c r="B32" s="1512"/>
      <c r="C32" s="1023"/>
      <c r="D32" s="115" t="s">
        <v>283</v>
      </c>
      <c r="E32" s="1020">
        <f>'GO-NO-GO CHECKLIST'!B35</f>
        <v>0</v>
      </c>
      <c r="G32" s="115" t="s">
        <v>664</v>
      </c>
      <c r="H32" s="1002">
        <f>'GO-NO-GO CHECKLIST'!K21</f>
        <v>106000</v>
      </c>
      <c r="I32" s="149"/>
      <c r="J32" s="317"/>
    </row>
    <row r="33" spans="1:10" x14ac:dyDescent="0.2">
      <c r="A33" s="317"/>
      <c r="B33" s="1512"/>
      <c r="C33" s="1023"/>
      <c r="D33" s="115" t="s">
        <v>262</v>
      </c>
      <c r="E33" s="1000"/>
      <c r="G33" s="115" t="s">
        <v>665</v>
      </c>
      <c r="H33" s="1003">
        <v>0</v>
      </c>
      <c r="I33" s="149"/>
      <c r="J33" s="317"/>
    </row>
    <row r="34" spans="1:10" x14ac:dyDescent="0.2">
      <c r="A34" s="317"/>
      <c r="B34" s="1512"/>
      <c r="C34" s="1023"/>
      <c r="D34" s="115" t="s">
        <v>264</v>
      </c>
      <c r="E34" s="448"/>
      <c r="G34" s="187" t="s">
        <v>750</v>
      </c>
      <c r="H34" s="579">
        <f>H33+H32</f>
        <v>106000</v>
      </c>
      <c r="I34" s="149"/>
      <c r="J34" s="317"/>
    </row>
    <row r="35" spans="1:10" x14ac:dyDescent="0.2">
      <c r="A35" s="317"/>
      <c r="B35" s="1512"/>
      <c r="C35" s="1023"/>
      <c r="D35" s="115" t="s">
        <v>254</v>
      </c>
      <c r="E35" s="1020" t="e">
        <f>VLOOKUP(E32,DATA!A5:C164,2)</f>
        <v>#N/A</v>
      </c>
      <c r="G35" s="115" t="s">
        <v>279</v>
      </c>
      <c r="H35" s="490"/>
      <c r="I35" s="149"/>
      <c r="J35" s="317"/>
    </row>
    <row r="36" spans="1:10" x14ac:dyDescent="0.2">
      <c r="A36" s="317"/>
      <c r="B36" s="1512"/>
      <c r="C36" s="1023"/>
      <c r="D36" s="115" t="s">
        <v>256</v>
      </c>
      <c r="E36" s="1020" t="e">
        <f>VLOOKUP(E32,DATA!A11:C172,3)</f>
        <v>#N/A</v>
      </c>
      <c r="G36" s="115" t="s">
        <v>280</v>
      </c>
      <c r="H36" s="490"/>
      <c r="I36" s="149"/>
      <c r="J36" s="317"/>
    </row>
    <row r="37" spans="1:10" x14ac:dyDescent="0.2">
      <c r="A37" s="317"/>
      <c r="G37" s="115" t="s">
        <v>281</v>
      </c>
      <c r="H37" s="490"/>
      <c r="I37" s="149"/>
      <c r="J37" s="317"/>
    </row>
    <row r="38" spans="1:10" x14ac:dyDescent="0.2">
      <c r="A38" s="317"/>
      <c r="D38" s="115" t="s">
        <v>288</v>
      </c>
      <c r="E38" s="1117" t="str">
        <f>'GO-NO-GO CHECKLIST'!F29</f>
        <v>M-E Engineers, Inc.</v>
      </c>
      <c r="G38" s="115" t="s">
        <v>282</v>
      </c>
      <c r="H38" s="997" t="s">
        <v>346</v>
      </c>
      <c r="I38" s="149"/>
      <c r="J38" s="317"/>
    </row>
    <row r="39" spans="1:10" x14ac:dyDescent="0.2">
      <c r="A39" s="317"/>
      <c r="D39" s="115" t="s">
        <v>290</v>
      </c>
      <c r="E39" s="1110">
        <f>'GO-NO-GO CHECKLIST'!I28</f>
        <v>44603</v>
      </c>
      <c r="G39" s="115" t="s">
        <v>157</v>
      </c>
      <c r="H39" s="316"/>
      <c r="I39" s="149"/>
      <c r="J39" s="317"/>
    </row>
    <row r="40" spans="1:10" x14ac:dyDescent="0.2">
      <c r="A40" s="317"/>
      <c r="D40" s="115" t="s">
        <v>291</v>
      </c>
      <c r="E40" s="1000" t="s">
        <v>2012</v>
      </c>
      <c r="G40" s="115" t="s">
        <v>284</v>
      </c>
      <c r="H40" s="316" t="s">
        <v>358</v>
      </c>
      <c r="I40" s="149"/>
      <c r="J40" s="317"/>
    </row>
    <row r="41" spans="1:10" x14ac:dyDescent="0.2">
      <c r="A41" s="317"/>
      <c r="D41" s="115" t="s">
        <v>292</v>
      </c>
      <c r="E41" s="1000" t="s">
        <v>1183</v>
      </c>
      <c r="I41" s="149"/>
      <c r="J41" s="317"/>
    </row>
    <row r="42" spans="1:10" x14ac:dyDescent="0.2">
      <c r="A42" s="317"/>
      <c r="E42" s="1144" t="s">
        <v>2157</v>
      </c>
      <c r="G42" s="115" t="s">
        <v>285</v>
      </c>
      <c r="H42" s="997" t="s">
        <v>346</v>
      </c>
      <c r="I42" s="149"/>
      <c r="J42" s="317"/>
    </row>
    <row r="43" spans="1:10" x14ac:dyDescent="0.2">
      <c r="A43" s="317"/>
      <c r="D43" s="115" t="s">
        <v>166</v>
      </c>
      <c r="E43" s="469"/>
      <c r="G43" s="115" t="s">
        <v>286</v>
      </c>
      <c r="H43" s="997" t="s">
        <v>346</v>
      </c>
      <c r="I43" s="149"/>
      <c r="J43" s="317"/>
    </row>
    <row r="44" spans="1:10" x14ac:dyDescent="0.2">
      <c r="A44" s="317"/>
      <c r="E44" s="449"/>
      <c r="G44" s="115" t="s">
        <v>287</v>
      </c>
      <c r="H44" s="997" t="s">
        <v>346</v>
      </c>
      <c r="I44" s="149"/>
      <c r="J44" s="317"/>
    </row>
    <row r="45" spans="1:10" x14ac:dyDescent="0.2">
      <c r="A45" s="317"/>
      <c r="E45" s="316"/>
      <c r="G45" s="115" t="s">
        <v>289</v>
      </c>
      <c r="H45" s="994"/>
      <c r="I45" s="149"/>
      <c r="J45" s="317"/>
    </row>
    <row r="46" spans="1:10" ht="12.75" customHeight="1" x14ac:dyDescent="0.3">
      <c r="A46" s="317"/>
      <c r="E46" s="449"/>
      <c r="F46" s="1109"/>
      <c r="G46" s="116" t="s">
        <v>409</v>
      </c>
      <c r="H46" s="994"/>
      <c r="I46" s="149"/>
      <c r="J46" s="317"/>
    </row>
    <row r="47" spans="1:10" ht="12.75" customHeight="1" x14ac:dyDescent="0.3">
      <c r="A47" s="317"/>
      <c r="E47" s="449"/>
      <c r="F47" s="1109"/>
      <c r="G47" s="116" t="s">
        <v>380</v>
      </c>
      <c r="H47" s="994"/>
      <c r="I47" s="149"/>
      <c r="J47" s="317"/>
    </row>
    <row r="48" spans="1:10" ht="12.75" customHeight="1" x14ac:dyDescent="0.3">
      <c r="A48" s="317"/>
      <c r="E48" s="449"/>
      <c r="F48" s="1109"/>
      <c r="G48" s="187" t="s">
        <v>1961</v>
      </c>
      <c r="H48" s="997" t="s">
        <v>346</v>
      </c>
      <c r="I48" s="149"/>
      <c r="J48" s="317"/>
    </row>
    <row r="49" spans="1:10" x14ac:dyDescent="0.2">
      <c r="A49" s="317"/>
      <c r="G49" s="187" t="s">
        <v>769</v>
      </c>
      <c r="H49" s="997" t="s">
        <v>1969</v>
      </c>
      <c r="I49" s="149"/>
      <c r="J49" s="317"/>
    </row>
    <row r="50" spans="1:10" x14ac:dyDescent="0.2">
      <c r="A50" s="317"/>
      <c r="D50" s="115" t="s">
        <v>1586</v>
      </c>
      <c r="E50" s="316"/>
      <c r="G50" s="187" t="s">
        <v>2087</v>
      </c>
      <c r="H50" s="1116" t="str">
        <f>'GO-NO-GO CHECKLIST'!E26</f>
        <v>One Year</v>
      </c>
      <c r="I50" s="149"/>
      <c r="J50" s="317"/>
    </row>
    <row r="51" spans="1:10" x14ac:dyDescent="0.2">
      <c r="A51" s="317"/>
      <c r="D51" s="115" t="s">
        <v>1587</v>
      </c>
      <c r="E51" s="316"/>
      <c r="G51" s="187"/>
      <c r="H51" s="149"/>
      <c r="I51" s="149"/>
      <c r="J51" s="317"/>
    </row>
    <row r="52" spans="1:10" x14ac:dyDescent="0.2">
      <c r="A52" s="317"/>
      <c r="E52" s="489"/>
      <c r="G52" s="187" t="s">
        <v>1654</v>
      </c>
      <c r="H52" s="565" t="s">
        <v>2086</v>
      </c>
      <c r="I52" s="574" t="s">
        <v>1653</v>
      </c>
      <c r="J52" s="317"/>
    </row>
    <row r="53" spans="1:10" x14ac:dyDescent="0.2">
      <c r="A53" s="317"/>
      <c r="G53" s="115" t="s">
        <v>293</v>
      </c>
      <c r="H53" s="1021"/>
      <c r="I53" s="149">
        <f>'GO-NO-GO CHECKLIST'!J38</f>
        <v>0</v>
      </c>
      <c r="J53" s="317"/>
    </row>
    <row r="54" spans="1:10" x14ac:dyDescent="0.2">
      <c r="A54" s="317"/>
      <c r="G54" s="115" t="s">
        <v>294</v>
      </c>
      <c r="H54" s="1021"/>
      <c r="I54" s="149">
        <f>'GO-NO-GO CHECKLIST'!J39</f>
        <v>0</v>
      </c>
      <c r="J54" s="317"/>
    </row>
    <row r="55" spans="1:10" x14ac:dyDescent="0.2">
      <c r="A55" s="317"/>
      <c r="G55" s="115" t="s">
        <v>295</v>
      </c>
      <c r="H55" s="1021"/>
      <c r="I55" s="149">
        <f>'GO-NO-GO CHECKLIST'!J40</f>
        <v>0</v>
      </c>
      <c r="J55" s="317"/>
    </row>
    <row r="56" spans="1:10" x14ac:dyDescent="0.2">
      <c r="A56" s="317"/>
      <c r="G56" s="115" t="s">
        <v>296</v>
      </c>
      <c r="H56" s="1021"/>
      <c r="I56" s="149">
        <f>'GO-NO-GO CHECKLIST'!J41</f>
        <v>0</v>
      </c>
      <c r="J56" s="317"/>
    </row>
    <row r="57" spans="1:10" x14ac:dyDescent="0.2">
      <c r="A57" s="317"/>
      <c r="G57" s="115" t="s">
        <v>297</v>
      </c>
      <c r="H57" s="1021"/>
      <c r="I57" s="149">
        <f>'GO-NO-GO CHECKLIST'!J42</f>
        <v>0</v>
      </c>
      <c r="J57" s="317"/>
    </row>
    <row r="58" spans="1:10" x14ac:dyDescent="0.2">
      <c r="A58" s="317"/>
      <c r="G58" s="115" t="s">
        <v>298</v>
      </c>
      <c r="H58" s="1021"/>
      <c r="I58" s="149">
        <f>'GO-NO-GO CHECKLIST'!J43</f>
        <v>0</v>
      </c>
      <c r="J58" s="317"/>
    </row>
    <row r="59" spans="1:10" x14ac:dyDescent="0.2">
      <c r="A59" s="317"/>
      <c r="B59" s="317"/>
      <c r="C59" s="317"/>
      <c r="D59" s="317"/>
      <c r="E59" s="316"/>
      <c r="F59" s="317"/>
      <c r="G59" s="317"/>
      <c r="H59" s="316"/>
      <c r="I59" s="316"/>
      <c r="J59" s="317"/>
    </row>
    <row r="61" spans="1:10" x14ac:dyDescent="0.2">
      <c r="B61" s="1015" t="s">
        <v>1992</v>
      </c>
      <c r="C61" s="1015"/>
      <c r="D61" s="1015"/>
      <c r="E61" s="1016"/>
      <c r="F61" s="117"/>
      <c r="G61" s="1018" t="s">
        <v>1994</v>
      </c>
      <c r="H61" s="1019"/>
      <c r="I61" s="1019"/>
      <c r="J61" s="1018"/>
    </row>
    <row r="62" spans="1:10" x14ac:dyDescent="0.2">
      <c r="B62" s="117"/>
      <c r="C62" s="117"/>
      <c r="D62" s="117"/>
      <c r="E62" s="1017"/>
      <c r="F62" s="117"/>
      <c r="G62" s="117"/>
      <c r="H62" s="1017"/>
      <c r="I62" s="1017"/>
      <c r="J62" s="117"/>
    </row>
    <row r="63" spans="1:10" x14ac:dyDescent="0.2">
      <c r="B63" s="1022" t="s">
        <v>1993</v>
      </c>
      <c r="C63" s="1022"/>
      <c r="D63" s="317"/>
      <c r="E63" s="316"/>
    </row>
  </sheetData>
  <sheetProtection selectLockedCells="1"/>
  <customSheetViews>
    <customSheetView guid="{C88CD669-B349-4A86-8041-5686C62E698E}" showGridLines="0" zeroValues="0" fitToPage="1" hiddenColumns="1">
      <pageMargins left="0" right="0" top="0" bottom="0" header="0.5" footer="0.5"/>
      <printOptions horizontalCentered="1" verticalCentered="1"/>
      <pageSetup scale="74" pageOrder="overThenDown" orientation="portrait" horizontalDpi="300" verticalDpi="4294967292" r:id="rId1"/>
      <headerFooter alignWithMargins="0"/>
    </customSheetView>
    <customSheetView guid="{14A9C729-6567-47B0-B521-30EFFF4E950A}" showPageBreaks="1" showGridLines="0" zeroValues="0" fitToPage="1" hiddenColumns="1" view="pageBreakPreview">
      <selection activeCell="D25" sqref="D25"/>
      <pageMargins left="0" right="0" top="0" bottom="0" header="0.5" footer="0.5"/>
      <printOptions horizontalCentered="1" verticalCentered="1"/>
      <pageSetup scale="74" pageOrder="overThenDown" orientation="portrait" horizontalDpi="300" verticalDpi="4294967292" r:id="rId2"/>
      <headerFooter alignWithMargins="0"/>
    </customSheetView>
    <customSheetView guid="{198460B7-6D23-4AED-A971-BF824A975991}" showPageBreaks="1" showGridLines="0" zeroValues="0" fitToPage="1" hiddenColumns="1" view="pageBreakPreview">
      <selection activeCell="D4" sqref="D4"/>
      <pageMargins left="0" right="0" top="0" bottom="0" header="0.5" footer="0.5"/>
      <printOptions horizontalCentered="1" verticalCentered="1"/>
      <pageSetup scale="73" pageOrder="overThenDown" orientation="portrait" horizontalDpi="300" verticalDpi="4294967292" r:id="rId3"/>
      <headerFooter alignWithMargins="0"/>
    </customSheetView>
  </customSheetViews>
  <mergeCells count="3">
    <mergeCell ref="D2:I2"/>
    <mergeCell ref="I3:I12"/>
    <mergeCell ref="B8:B36"/>
  </mergeCells>
  <conditionalFormatting sqref="I52:I58">
    <cfRule type="containsText" dxfId="177" priority="7" operator="containsText" text="No">
      <formula>NOT(ISERROR(SEARCH("No",I52)))</formula>
    </cfRule>
  </conditionalFormatting>
  <conditionalFormatting sqref="H5">
    <cfRule type="containsText" dxfId="176" priority="6" operator="containsText" text="No">
      <formula>NOT(ISERROR(SEARCH("No",H5)))</formula>
    </cfRule>
  </conditionalFormatting>
  <conditionalFormatting sqref="H17">
    <cfRule type="containsText" dxfId="175" priority="5" operator="containsText" text="No">
      <formula>NOT(ISERROR(SEARCH("No",H17)))</formula>
    </cfRule>
  </conditionalFormatting>
  <conditionalFormatting sqref="H15">
    <cfRule type="containsText" dxfId="174" priority="4" operator="containsText" text="No">
      <formula>NOT(ISERROR(SEARCH("No",H15)))</formula>
    </cfRule>
  </conditionalFormatting>
  <conditionalFormatting sqref="H21:H23">
    <cfRule type="containsText" dxfId="173" priority="3" operator="containsText" text="No">
      <formula>NOT(ISERROR(SEARCH("No",H21)))</formula>
    </cfRule>
  </conditionalFormatting>
  <conditionalFormatting sqref="H13">
    <cfRule type="containsText" dxfId="172" priority="2" operator="containsText" text="No">
      <formula>NOT(ISERROR(SEARCH("No",H13)))</formula>
    </cfRule>
  </conditionalFormatting>
  <conditionalFormatting sqref="H20">
    <cfRule type="containsText" dxfId="171" priority="1" operator="containsText" text="No">
      <formula>NOT(ISERROR(SEARCH("No",H20)))</formula>
    </cfRule>
  </conditionalFormatting>
  <dataValidations count="1">
    <dataValidation type="list" allowBlank="1" showInputMessage="1" showErrorMessage="1" sqref="H20:H23 H15:H17 H13" xr:uid="{00000000-0002-0000-0100-000000000000}">
      <formula1>$M$13:$M$14</formula1>
    </dataValidation>
  </dataValidations>
  <printOptions horizontalCentered="1" verticalCentered="1" gridLinesSet="0"/>
  <pageMargins left="0" right="0" top="0" bottom="0" header="0.5" footer="0.5"/>
  <pageSetup scale="74" pageOrder="overThenDown" orientation="portrait" horizontalDpi="300" verticalDpi="4294967292" r:id="rId4"/>
  <headerFooter alignWithMargins="0"/>
  <legacyDrawing r:id="rId5"/>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100-000002000000}">
          <x14:formula1>
            <xm:f>DATA!$E$15:$E$17</xm:f>
          </x14:formula1>
          <xm:sqref>H8:H10 E50:E51</xm:sqref>
        </x14:dataValidation>
        <x14:dataValidation type="list" allowBlank="1" showInputMessage="1" xr:uid="{00000000-0002-0000-0100-000003000000}">
          <x14:formula1>
            <xm:f>DATA!$H$9:$H$31</xm:f>
          </x14:formula1>
          <xm:sqref>H4</xm:sqref>
        </x14:dataValidation>
        <x14:dataValidation type="list" allowBlank="1" showInputMessage="1" xr:uid="{00000000-0002-0000-0100-000004000000}">
          <x14:formula1>
            <xm:f>DATA!$F$34:$F$43</xm:f>
          </x14:formula1>
          <xm:sqref>H7</xm:sqref>
        </x14:dataValidation>
        <x14:dataValidation type="list" allowBlank="1" showInputMessage="1" xr:uid="{00000000-0002-0000-0100-000005000000}">
          <x14:formula1>
            <xm:f>DATA!$I$4:$I$9</xm:f>
          </x14:formula1>
          <xm:sqref>H50</xm:sqref>
        </x14:dataValidation>
        <x14:dataValidation type="list" allowBlank="1" showInputMessage="1" showErrorMessage="1" xr:uid="{00000000-0002-0000-0100-000006000000}">
          <x14:formula1>
            <xm:f>DATA!$D$34:$D$39</xm:f>
          </x14:formula1>
          <xm:sqref>H40</xm:sqref>
        </x14:dataValidation>
        <x14:dataValidation type="list" allowBlank="1" showInputMessage="1" showErrorMessage="1" xr:uid="{00000000-0002-0000-0100-000007000000}">
          <x14:formula1>
            <xm:f>DATA!$L$4:$L$86</xm:f>
          </x14:formula1>
          <xm:sqref>H31</xm:sqref>
        </x14:dataValidation>
        <x14:dataValidation type="list" allowBlank="1" showInputMessage="1" showErrorMessage="1" xr:uid="{00000000-0002-0000-0100-000008000000}">
          <x14:formula1>
            <xm:f>DATA!$E$4:$E$11</xm:f>
          </x14:formula1>
          <xm:sqref>H6</xm:sqref>
        </x14:dataValidation>
        <x14:dataValidation type="list" allowBlank="1" showInputMessage="1" showErrorMessage="1" xr:uid="{00000000-0002-0000-0100-000009000000}">
          <x14:formula1>
            <xm:f>DATA!$M$4:$M$11</xm:f>
          </x14:formula1>
          <xm:sqref>H39</xm:sqref>
        </x14:dataValidation>
        <x14:dataValidation type="list" allowBlank="1" showInputMessage="1" xr:uid="{00000000-0002-0000-0100-00000A000000}">
          <x14:formula1>
            <xm:f>DATA!$D$4:$D$32</xm:f>
          </x14:formula1>
          <xm:sqref>E38</xm:sqref>
        </x14:dataValidation>
        <x14:dataValidation type="list" allowBlank="1" showInputMessage="1" showErrorMessage="1" xr:uid="{00000000-0002-0000-0100-00000C000000}">
          <x14:formula1>
            <xm:f>'Taxes&amp;Permits'!$A$2:$A$223</xm:f>
          </x14:formula1>
          <xm:sqref>H12</xm:sqref>
        </x14:dataValidation>
        <x14:dataValidation type="list" allowBlank="1" showInputMessage="1" xr:uid="{00000000-0002-0000-0100-00000F000000}">
          <x14:formula1>
            <xm:f>DATA!$E$15:$E$17</xm:f>
          </x14:formula1>
          <xm:sqref>H5 H11 H38 H42:H48 H18:H19</xm:sqref>
        </x14:dataValidation>
        <x14:dataValidation type="list" allowBlank="1" showInputMessage="1" xr:uid="{00000000-0002-0000-0100-000010000000}">
          <x14:formula1>
            <xm:f>DATA!$O$98:$O$102</xm:f>
          </x14:formula1>
          <xm:sqref>H49</xm:sqref>
        </x14:dataValidation>
        <x14:dataValidation type="list" allowBlank="1" showInputMessage="1" xr:uid="{00000000-0002-0000-0100-000011000000}">
          <x14:formula1>
            <xm:f>DATA!$O$92:$O$95</xm:f>
          </x14:formula1>
          <xm:sqref>E40:E41</xm:sqref>
        </x14:dataValidation>
        <x14:dataValidation type="list" allowBlank="1" showInputMessage="1" xr:uid="{58CE35DB-A720-4005-A545-B61BD8116A57}">
          <x14:formula1>
            <xm:f>DATA!$A$4:$A$165</xm:f>
          </x14:formula1>
          <xm:sqref>E8 E14 E20 E26 E32</xm:sqref>
        </x14:dataValidation>
        <x14:dataValidation type="list" allowBlank="1" showInputMessage="1" xr:uid="{B9646D58-3101-460C-88E0-5E39C5181540}">
          <x14:formula1>
            <xm:f>DATA!$F$4:$F$31</xm:f>
          </x14:formula1>
          <xm:sqref>H53:H58</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M125"/>
  <sheetViews>
    <sheetView topLeftCell="A33" zoomScale="70" zoomScaleNormal="70" workbookViewId="0">
      <selection activeCell="L95" sqref="L95"/>
    </sheetView>
  </sheetViews>
  <sheetFormatPr defaultRowHeight="12.75" x14ac:dyDescent="0.2"/>
  <cols>
    <col min="1" max="1" width="2.140625" customWidth="1"/>
    <col min="2" max="2" width="10.5703125" customWidth="1"/>
    <col min="3" max="3" width="30.7109375" customWidth="1"/>
    <col min="4" max="4" width="12.7109375" customWidth="1"/>
    <col min="5" max="5" width="15.42578125" customWidth="1"/>
    <col min="6" max="7" width="12.7109375" customWidth="1"/>
    <col min="8" max="8" width="12.5703125" customWidth="1"/>
    <col min="9" max="9" width="12.7109375" customWidth="1"/>
    <col min="10" max="10" width="14.28515625" customWidth="1"/>
    <col min="11" max="11" width="12.7109375" customWidth="1"/>
    <col min="12" max="12" width="14.42578125" customWidth="1"/>
    <col min="13" max="13" width="15.5703125" customWidth="1"/>
    <col min="14" max="14" width="2.140625" customWidth="1"/>
  </cols>
  <sheetData>
    <row r="1" spans="2:13" ht="7.5" customHeight="1" thickBot="1" x14ac:dyDescent="0.25"/>
    <row r="2" spans="2:13" ht="14.25" x14ac:dyDescent="0.2">
      <c r="B2" s="1723" t="s">
        <v>1154</v>
      </c>
      <c r="C2" s="1724"/>
      <c r="D2" s="1724"/>
      <c r="E2" s="1724"/>
      <c r="F2" s="1724"/>
      <c r="G2" s="1724"/>
      <c r="H2" s="1724"/>
      <c r="I2" s="1724"/>
      <c r="J2" s="1724"/>
      <c r="K2" s="1724"/>
      <c r="L2" s="1724"/>
      <c r="M2" s="1725"/>
    </row>
    <row r="3" spans="2:13" ht="14.25" x14ac:dyDescent="0.2">
      <c r="B3" s="1035" t="s">
        <v>1155</v>
      </c>
      <c r="C3" s="1328"/>
      <c r="D3" s="1730" t="str">
        <f>'PROJECT INFO'!E3</f>
        <v>300 University Boulevard</v>
      </c>
      <c r="E3" s="1730"/>
      <c r="F3" s="1730"/>
      <c r="G3" s="1730"/>
      <c r="H3" s="368" t="s">
        <v>1156</v>
      </c>
      <c r="I3" s="1328"/>
      <c r="J3" s="1732"/>
      <c r="K3" s="1732"/>
      <c r="L3" s="1732"/>
      <c r="M3" s="1733"/>
    </row>
    <row r="4" spans="2:13" ht="14.25" x14ac:dyDescent="0.2">
      <c r="B4" s="1035" t="s">
        <v>1157</v>
      </c>
      <c r="C4" s="1328"/>
      <c r="D4" s="1730" t="str">
        <f>'PROJECT INFO'!E4</f>
        <v>5888</v>
      </c>
      <c r="E4" s="1730"/>
      <c r="F4" s="369"/>
      <c r="G4" s="369"/>
      <c r="H4" s="369"/>
      <c r="I4" s="369"/>
      <c r="J4" s="369"/>
      <c r="K4" s="369"/>
      <c r="L4" s="369"/>
      <c r="M4" s="1036"/>
    </row>
    <row r="5" spans="2:13" ht="14.25" x14ac:dyDescent="0.2">
      <c r="B5" s="1035" t="s">
        <v>1158</v>
      </c>
      <c r="C5" s="1328"/>
      <c r="D5" s="1328" t="str">
        <f>'Project Cost Recap'!B68</f>
        <v>#4</v>
      </c>
      <c r="E5" s="1731" t="s">
        <v>91</v>
      </c>
      <c r="F5" s="1731"/>
      <c r="G5" s="1731"/>
      <c r="H5" s="1726" t="str">
        <f>'Project Cost Recap'!E68</f>
        <v>Garage san storm AG PVC</v>
      </c>
      <c r="I5" s="1726"/>
      <c r="J5" s="1726"/>
      <c r="K5" s="1726"/>
      <c r="L5" s="1726"/>
      <c r="M5" s="1727"/>
    </row>
    <row r="6" spans="2:13" ht="14.25" x14ac:dyDescent="0.2">
      <c r="B6" s="1035" t="s">
        <v>1085</v>
      </c>
      <c r="C6" s="370">
        <f ca="1">NOW()</f>
        <v>44718.519324884262</v>
      </c>
      <c r="D6" s="371"/>
      <c r="E6" s="371"/>
      <c r="F6" s="369"/>
      <c r="G6" s="369"/>
      <c r="H6" s="1726"/>
      <c r="I6" s="1726"/>
      <c r="J6" s="1726"/>
      <c r="K6" s="1726"/>
      <c r="L6" s="1726"/>
      <c r="M6" s="1727"/>
    </row>
    <row r="7" spans="2:13" ht="42.75" x14ac:dyDescent="0.2">
      <c r="B7" s="1728" t="s">
        <v>1159</v>
      </c>
      <c r="C7" s="1729"/>
      <c r="D7" s="372" t="s">
        <v>1146</v>
      </c>
      <c r="E7" s="372" t="s">
        <v>124</v>
      </c>
      <c r="F7" s="372" t="s">
        <v>1160</v>
      </c>
      <c r="G7" s="372" t="s">
        <v>1532</v>
      </c>
      <c r="H7" s="372" t="s">
        <v>1147</v>
      </c>
      <c r="I7" s="372" t="s">
        <v>1161</v>
      </c>
      <c r="J7" s="372" t="s">
        <v>1148</v>
      </c>
      <c r="K7" s="372" t="s">
        <v>1162</v>
      </c>
      <c r="L7" s="372" t="s">
        <v>451</v>
      </c>
      <c r="M7" s="1037" t="s">
        <v>1181</v>
      </c>
    </row>
    <row r="8" spans="2:13" ht="14.25" x14ac:dyDescent="0.2">
      <c r="B8" s="1712" t="s">
        <v>2590</v>
      </c>
      <c r="C8" s="1713"/>
      <c r="D8" s="373"/>
      <c r="E8" s="374">
        <v>-1</v>
      </c>
      <c r="F8" s="375">
        <v>134</v>
      </c>
      <c r="G8" s="375">
        <v>1</v>
      </c>
      <c r="H8" s="376">
        <f>E8*F8*G8</f>
        <v>-134</v>
      </c>
      <c r="I8" s="375"/>
      <c r="J8" s="376">
        <f t="shared" ref="J8:J43" si="0">(I8*E8)</f>
        <v>0</v>
      </c>
      <c r="K8" s="377"/>
      <c r="L8" s="378">
        <v>8116</v>
      </c>
      <c r="M8" s="1038">
        <f t="shared" ref="M8:M43" si="1">ROUNDUP(L8*E8,0)</f>
        <v>-8116</v>
      </c>
    </row>
    <row r="9" spans="2:13" ht="14.25" x14ac:dyDescent="0.2">
      <c r="B9" s="1712" t="s">
        <v>2591</v>
      </c>
      <c r="C9" s="1713"/>
      <c r="D9" s="373"/>
      <c r="E9" s="374">
        <v>1</v>
      </c>
      <c r="F9" s="375">
        <v>172</v>
      </c>
      <c r="G9" s="375">
        <v>1</v>
      </c>
      <c r="H9" s="376">
        <f t="shared" ref="H9:H43" si="2">E9*F9*G9</f>
        <v>172</v>
      </c>
      <c r="I9" s="375"/>
      <c r="J9" s="376">
        <f t="shared" si="0"/>
        <v>0</v>
      </c>
      <c r="K9" s="377"/>
      <c r="L9" s="378">
        <v>7342</v>
      </c>
      <c r="M9" s="1038">
        <f t="shared" si="1"/>
        <v>7342</v>
      </c>
    </row>
    <row r="10" spans="2:13" ht="14.25" x14ac:dyDescent="0.2">
      <c r="B10" s="1712" t="s">
        <v>2592</v>
      </c>
      <c r="C10" s="1713"/>
      <c r="D10" s="373"/>
      <c r="E10" s="374">
        <v>-1</v>
      </c>
      <c r="F10" s="375">
        <v>498</v>
      </c>
      <c r="G10" s="375">
        <v>1</v>
      </c>
      <c r="H10" s="376">
        <f t="shared" si="2"/>
        <v>-498</v>
      </c>
      <c r="I10" s="375"/>
      <c r="J10" s="376">
        <f t="shared" si="0"/>
        <v>0</v>
      </c>
      <c r="K10" s="377"/>
      <c r="L10" s="378">
        <v>24532</v>
      </c>
      <c r="M10" s="1038">
        <f t="shared" si="1"/>
        <v>-24532</v>
      </c>
    </row>
    <row r="11" spans="2:13" ht="14.25" x14ac:dyDescent="0.2">
      <c r="B11" s="1712" t="s">
        <v>2593</v>
      </c>
      <c r="C11" s="1713"/>
      <c r="D11" s="373"/>
      <c r="E11" s="374">
        <v>1</v>
      </c>
      <c r="F11" s="375">
        <v>444</v>
      </c>
      <c r="G11" s="375">
        <v>1</v>
      </c>
      <c r="H11" s="376">
        <f t="shared" si="2"/>
        <v>444</v>
      </c>
      <c r="I11" s="375"/>
      <c r="J11" s="376">
        <f t="shared" si="0"/>
        <v>0</v>
      </c>
      <c r="K11" s="377"/>
      <c r="L11" s="378">
        <v>14982</v>
      </c>
      <c r="M11" s="1038">
        <f t="shared" si="1"/>
        <v>14982</v>
      </c>
    </row>
    <row r="12" spans="2:13" ht="14.25" x14ac:dyDescent="0.2">
      <c r="B12" s="1712"/>
      <c r="C12" s="1713"/>
      <c r="D12" s="373"/>
      <c r="E12" s="374"/>
      <c r="F12" s="375"/>
      <c r="G12" s="375">
        <v>1</v>
      </c>
      <c r="H12" s="376">
        <f t="shared" si="2"/>
        <v>0</v>
      </c>
      <c r="I12" s="375"/>
      <c r="J12" s="376">
        <f t="shared" si="0"/>
        <v>0</v>
      </c>
      <c r="K12" s="377"/>
      <c r="L12" s="378"/>
      <c r="M12" s="1038">
        <f t="shared" si="1"/>
        <v>0</v>
      </c>
    </row>
    <row r="13" spans="2:13" ht="14.25" x14ac:dyDescent="0.2">
      <c r="B13" s="1712"/>
      <c r="C13" s="1713"/>
      <c r="D13" s="373"/>
      <c r="E13" s="374"/>
      <c r="F13" s="375"/>
      <c r="G13" s="375">
        <v>1</v>
      </c>
      <c r="H13" s="376">
        <f t="shared" si="2"/>
        <v>0</v>
      </c>
      <c r="I13" s="375"/>
      <c r="J13" s="376">
        <f t="shared" si="0"/>
        <v>0</v>
      </c>
      <c r="K13" s="377"/>
      <c r="L13" s="378"/>
      <c r="M13" s="1038">
        <f t="shared" si="1"/>
        <v>0</v>
      </c>
    </row>
    <row r="14" spans="2:13" ht="14.25" x14ac:dyDescent="0.2">
      <c r="B14" s="1712"/>
      <c r="C14" s="1713"/>
      <c r="D14" s="373"/>
      <c r="E14" s="374"/>
      <c r="F14" s="375"/>
      <c r="G14" s="375">
        <v>1</v>
      </c>
      <c r="H14" s="376">
        <f t="shared" si="2"/>
        <v>0</v>
      </c>
      <c r="I14" s="375"/>
      <c r="J14" s="376">
        <f t="shared" si="0"/>
        <v>0</v>
      </c>
      <c r="K14" s="377"/>
      <c r="L14" s="378"/>
      <c r="M14" s="1038">
        <f t="shared" si="1"/>
        <v>0</v>
      </c>
    </row>
    <row r="15" spans="2:13" ht="14.25" x14ac:dyDescent="0.2">
      <c r="B15" s="1712"/>
      <c r="C15" s="1713"/>
      <c r="D15" s="373"/>
      <c r="E15" s="374"/>
      <c r="F15" s="375"/>
      <c r="G15" s="375">
        <v>1</v>
      </c>
      <c r="H15" s="376">
        <f t="shared" si="2"/>
        <v>0</v>
      </c>
      <c r="I15" s="375"/>
      <c r="J15" s="376">
        <f t="shared" si="0"/>
        <v>0</v>
      </c>
      <c r="K15" s="377"/>
      <c r="L15" s="378"/>
      <c r="M15" s="1038">
        <f t="shared" si="1"/>
        <v>0</v>
      </c>
    </row>
    <row r="16" spans="2:13" ht="14.25" x14ac:dyDescent="0.2">
      <c r="B16" s="1712"/>
      <c r="C16" s="1713"/>
      <c r="D16" s="373"/>
      <c r="E16" s="374"/>
      <c r="F16" s="375"/>
      <c r="G16" s="375">
        <v>1</v>
      </c>
      <c r="H16" s="376">
        <f t="shared" si="2"/>
        <v>0</v>
      </c>
      <c r="I16" s="375"/>
      <c r="J16" s="376">
        <f t="shared" si="0"/>
        <v>0</v>
      </c>
      <c r="K16" s="377"/>
      <c r="L16" s="378"/>
      <c r="M16" s="1038">
        <f t="shared" si="1"/>
        <v>0</v>
      </c>
    </row>
    <row r="17" spans="2:13" ht="14.25" x14ac:dyDescent="0.2">
      <c r="B17" s="1712"/>
      <c r="C17" s="1713"/>
      <c r="D17" s="373"/>
      <c r="E17" s="374"/>
      <c r="F17" s="375"/>
      <c r="G17" s="375">
        <v>1</v>
      </c>
      <c r="H17" s="376">
        <f t="shared" si="2"/>
        <v>0</v>
      </c>
      <c r="I17" s="375"/>
      <c r="J17" s="376">
        <f t="shared" si="0"/>
        <v>0</v>
      </c>
      <c r="K17" s="377"/>
      <c r="L17" s="378"/>
      <c r="M17" s="1038">
        <f t="shared" si="1"/>
        <v>0</v>
      </c>
    </row>
    <row r="18" spans="2:13" ht="14.25" x14ac:dyDescent="0.2">
      <c r="B18" s="1712"/>
      <c r="C18" s="1713"/>
      <c r="D18" s="373"/>
      <c r="E18" s="374"/>
      <c r="F18" s="375"/>
      <c r="G18" s="375">
        <v>1</v>
      </c>
      <c r="H18" s="376">
        <f t="shared" si="2"/>
        <v>0</v>
      </c>
      <c r="I18" s="375"/>
      <c r="J18" s="376">
        <f t="shared" si="0"/>
        <v>0</v>
      </c>
      <c r="K18" s="377"/>
      <c r="L18" s="378"/>
      <c r="M18" s="1038">
        <f t="shared" si="1"/>
        <v>0</v>
      </c>
    </row>
    <row r="19" spans="2:13" ht="14.25" x14ac:dyDescent="0.2">
      <c r="B19" s="1712"/>
      <c r="C19" s="1713"/>
      <c r="D19" s="373"/>
      <c r="E19" s="374"/>
      <c r="F19" s="375"/>
      <c r="G19" s="375">
        <v>1</v>
      </c>
      <c r="H19" s="376">
        <f t="shared" si="2"/>
        <v>0</v>
      </c>
      <c r="I19" s="375"/>
      <c r="J19" s="376">
        <f t="shared" si="0"/>
        <v>0</v>
      </c>
      <c r="K19" s="377"/>
      <c r="L19" s="378"/>
      <c r="M19" s="1038">
        <f t="shared" si="1"/>
        <v>0</v>
      </c>
    </row>
    <row r="20" spans="2:13" ht="14.25" x14ac:dyDescent="0.2">
      <c r="B20" s="1712"/>
      <c r="C20" s="1713"/>
      <c r="D20" s="373"/>
      <c r="E20" s="374"/>
      <c r="F20" s="375"/>
      <c r="G20" s="375">
        <v>1</v>
      </c>
      <c r="H20" s="376">
        <f t="shared" si="2"/>
        <v>0</v>
      </c>
      <c r="I20" s="375"/>
      <c r="J20" s="376">
        <f t="shared" si="0"/>
        <v>0</v>
      </c>
      <c r="K20" s="377"/>
      <c r="L20" s="378"/>
      <c r="M20" s="1038">
        <f t="shared" si="1"/>
        <v>0</v>
      </c>
    </row>
    <row r="21" spans="2:13" ht="14.25" x14ac:dyDescent="0.2">
      <c r="B21" s="1712"/>
      <c r="C21" s="1713"/>
      <c r="D21" s="373"/>
      <c r="E21" s="374"/>
      <c r="F21" s="375"/>
      <c r="G21" s="375">
        <v>1</v>
      </c>
      <c r="H21" s="376">
        <f t="shared" si="2"/>
        <v>0</v>
      </c>
      <c r="I21" s="375"/>
      <c r="J21" s="376">
        <f t="shared" si="0"/>
        <v>0</v>
      </c>
      <c r="K21" s="377"/>
      <c r="L21" s="378"/>
      <c r="M21" s="1038">
        <f t="shared" si="1"/>
        <v>0</v>
      </c>
    </row>
    <row r="22" spans="2:13" ht="14.25" x14ac:dyDescent="0.2">
      <c r="B22" s="1712"/>
      <c r="C22" s="1713"/>
      <c r="D22" s="373"/>
      <c r="E22" s="374"/>
      <c r="F22" s="375"/>
      <c r="G22" s="375">
        <v>1</v>
      </c>
      <c r="H22" s="376">
        <f t="shared" si="2"/>
        <v>0</v>
      </c>
      <c r="I22" s="375"/>
      <c r="J22" s="376">
        <f t="shared" si="0"/>
        <v>0</v>
      </c>
      <c r="K22" s="377"/>
      <c r="L22" s="378"/>
      <c r="M22" s="1038">
        <f t="shared" si="1"/>
        <v>0</v>
      </c>
    </row>
    <row r="23" spans="2:13" ht="14.25" x14ac:dyDescent="0.2">
      <c r="B23" s="1712"/>
      <c r="C23" s="1713"/>
      <c r="D23" s="373"/>
      <c r="E23" s="374"/>
      <c r="F23" s="375"/>
      <c r="G23" s="375">
        <v>1</v>
      </c>
      <c r="H23" s="376">
        <f t="shared" si="2"/>
        <v>0</v>
      </c>
      <c r="I23" s="375"/>
      <c r="J23" s="376">
        <f t="shared" si="0"/>
        <v>0</v>
      </c>
      <c r="K23" s="377"/>
      <c r="L23" s="378"/>
      <c r="M23" s="1038">
        <f t="shared" si="1"/>
        <v>0</v>
      </c>
    </row>
    <row r="24" spans="2:13" ht="14.25" x14ac:dyDescent="0.2">
      <c r="B24" s="1712"/>
      <c r="C24" s="1713"/>
      <c r="D24" s="373"/>
      <c r="E24" s="374"/>
      <c r="F24" s="375"/>
      <c r="G24" s="375">
        <v>1</v>
      </c>
      <c r="H24" s="376">
        <f t="shared" si="2"/>
        <v>0</v>
      </c>
      <c r="I24" s="375"/>
      <c r="J24" s="376">
        <f t="shared" si="0"/>
        <v>0</v>
      </c>
      <c r="K24" s="377"/>
      <c r="L24" s="378"/>
      <c r="M24" s="1038">
        <f t="shared" si="1"/>
        <v>0</v>
      </c>
    </row>
    <row r="25" spans="2:13" ht="14.25" x14ac:dyDescent="0.2">
      <c r="B25" s="1712"/>
      <c r="C25" s="1713"/>
      <c r="D25" s="373"/>
      <c r="E25" s="374"/>
      <c r="F25" s="375"/>
      <c r="G25" s="375">
        <v>1</v>
      </c>
      <c r="H25" s="376">
        <f t="shared" si="2"/>
        <v>0</v>
      </c>
      <c r="I25" s="375"/>
      <c r="J25" s="376">
        <f t="shared" si="0"/>
        <v>0</v>
      </c>
      <c r="K25" s="377"/>
      <c r="L25" s="378"/>
      <c r="M25" s="1038">
        <f t="shared" si="1"/>
        <v>0</v>
      </c>
    </row>
    <row r="26" spans="2:13" ht="14.25" x14ac:dyDescent="0.2">
      <c r="B26" s="1712"/>
      <c r="C26" s="1713"/>
      <c r="D26" s="373"/>
      <c r="E26" s="374"/>
      <c r="F26" s="375"/>
      <c r="G26" s="375">
        <v>1</v>
      </c>
      <c r="H26" s="376">
        <f t="shared" si="2"/>
        <v>0</v>
      </c>
      <c r="I26" s="375"/>
      <c r="J26" s="376">
        <f t="shared" si="0"/>
        <v>0</v>
      </c>
      <c r="K26" s="377"/>
      <c r="L26" s="378"/>
      <c r="M26" s="1038">
        <f t="shared" si="1"/>
        <v>0</v>
      </c>
    </row>
    <row r="27" spans="2:13" ht="14.25" x14ac:dyDescent="0.2">
      <c r="B27" s="1712"/>
      <c r="C27" s="1713"/>
      <c r="D27" s="373"/>
      <c r="E27" s="374"/>
      <c r="F27" s="375"/>
      <c r="G27" s="375">
        <v>1</v>
      </c>
      <c r="H27" s="376">
        <f t="shared" si="2"/>
        <v>0</v>
      </c>
      <c r="I27" s="375"/>
      <c r="J27" s="376">
        <f t="shared" si="0"/>
        <v>0</v>
      </c>
      <c r="K27" s="377"/>
      <c r="L27" s="378"/>
      <c r="M27" s="1038">
        <f t="shared" si="1"/>
        <v>0</v>
      </c>
    </row>
    <row r="28" spans="2:13" ht="14.25" x14ac:dyDescent="0.2">
      <c r="B28" s="1712"/>
      <c r="C28" s="1713"/>
      <c r="D28" s="373"/>
      <c r="E28" s="374"/>
      <c r="F28" s="375"/>
      <c r="G28" s="375">
        <v>1</v>
      </c>
      <c r="H28" s="376">
        <f t="shared" si="2"/>
        <v>0</v>
      </c>
      <c r="I28" s="375"/>
      <c r="J28" s="376">
        <f t="shared" si="0"/>
        <v>0</v>
      </c>
      <c r="K28" s="377"/>
      <c r="L28" s="378"/>
      <c r="M28" s="1038">
        <f t="shared" si="1"/>
        <v>0</v>
      </c>
    </row>
    <row r="29" spans="2:13" ht="14.25" x14ac:dyDescent="0.2">
      <c r="B29" s="1712"/>
      <c r="C29" s="1713"/>
      <c r="D29" s="373"/>
      <c r="E29" s="374"/>
      <c r="F29" s="375"/>
      <c r="G29" s="375">
        <v>1</v>
      </c>
      <c r="H29" s="376">
        <f t="shared" si="2"/>
        <v>0</v>
      </c>
      <c r="I29" s="375"/>
      <c r="J29" s="376">
        <f t="shared" si="0"/>
        <v>0</v>
      </c>
      <c r="K29" s="377"/>
      <c r="L29" s="378"/>
      <c r="M29" s="1038">
        <f t="shared" si="1"/>
        <v>0</v>
      </c>
    </row>
    <row r="30" spans="2:13" ht="14.25" x14ac:dyDescent="0.2">
      <c r="B30" s="1712"/>
      <c r="C30" s="1713"/>
      <c r="D30" s="373"/>
      <c r="E30" s="374"/>
      <c r="F30" s="375"/>
      <c r="G30" s="375">
        <v>1</v>
      </c>
      <c r="H30" s="376">
        <f t="shared" si="2"/>
        <v>0</v>
      </c>
      <c r="I30" s="375"/>
      <c r="J30" s="376">
        <f t="shared" si="0"/>
        <v>0</v>
      </c>
      <c r="K30" s="377"/>
      <c r="L30" s="378"/>
      <c r="M30" s="1038">
        <f t="shared" si="1"/>
        <v>0</v>
      </c>
    </row>
    <row r="31" spans="2:13" ht="14.25" x14ac:dyDescent="0.2">
      <c r="B31" s="1712"/>
      <c r="C31" s="1713"/>
      <c r="D31" s="373"/>
      <c r="E31" s="374"/>
      <c r="F31" s="375"/>
      <c r="G31" s="375">
        <v>1</v>
      </c>
      <c r="H31" s="376">
        <f t="shared" si="2"/>
        <v>0</v>
      </c>
      <c r="I31" s="375"/>
      <c r="J31" s="376">
        <f t="shared" si="0"/>
        <v>0</v>
      </c>
      <c r="K31" s="377"/>
      <c r="L31" s="378"/>
      <c r="M31" s="1038">
        <f t="shared" si="1"/>
        <v>0</v>
      </c>
    </row>
    <row r="32" spans="2:13" ht="14.25" x14ac:dyDescent="0.2">
      <c r="B32" s="1712"/>
      <c r="C32" s="1713"/>
      <c r="D32" s="373"/>
      <c r="E32" s="374"/>
      <c r="F32" s="375"/>
      <c r="G32" s="375">
        <v>1</v>
      </c>
      <c r="H32" s="376">
        <f t="shared" si="2"/>
        <v>0</v>
      </c>
      <c r="I32" s="375"/>
      <c r="J32" s="376">
        <f t="shared" si="0"/>
        <v>0</v>
      </c>
      <c r="K32" s="377"/>
      <c r="L32" s="378"/>
      <c r="M32" s="1038">
        <f t="shared" si="1"/>
        <v>0</v>
      </c>
    </row>
    <row r="33" spans="2:13" ht="14.25" x14ac:dyDescent="0.2">
      <c r="B33" s="1712"/>
      <c r="C33" s="1713"/>
      <c r="D33" s="373"/>
      <c r="E33" s="374"/>
      <c r="F33" s="375"/>
      <c r="G33" s="375">
        <v>1</v>
      </c>
      <c r="H33" s="376">
        <f t="shared" si="2"/>
        <v>0</v>
      </c>
      <c r="I33" s="375"/>
      <c r="J33" s="376">
        <f t="shared" si="0"/>
        <v>0</v>
      </c>
      <c r="K33" s="377"/>
      <c r="L33" s="378"/>
      <c r="M33" s="1038">
        <f t="shared" si="1"/>
        <v>0</v>
      </c>
    </row>
    <row r="34" spans="2:13" ht="14.25" x14ac:dyDescent="0.2">
      <c r="B34" s="1712"/>
      <c r="C34" s="1713"/>
      <c r="D34" s="373"/>
      <c r="E34" s="374"/>
      <c r="F34" s="375"/>
      <c r="G34" s="375">
        <v>1</v>
      </c>
      <c r="H34" s="376">
        <f t="shared" si="2"/>
        <v>0</v>
      </c>
      <c r="I34" s="375"/>
      <c r="J34" s="376">
        <f t="shared" si="0"/>
        <v>0</v>
      </c>
      <c r="K34" s="377"/>
      <c r="L34" s="378"/>
      <c r="M34" s="1038">
        <f t="shared" si="1"/>
        <v>0</v>
      </c>
    </row>
    <row r="35" spans="2:13" ht="14.25" x14ac:dyDescent="0.2">
      <c r="B35" s="1712"/>
      <c r="C35" s="1713"/>
      <c r="D35" s="373"/>
      <c r="E35" s="374"/>
      <c r="F35" s="375"/>
      <c r="G35" s="375">
        <v>1</v>
      </c>
      <c r="H35" s="376">
        <f t="shared" si="2"/>
        <v>0</v>
      </c>
      <c r="I35" s="375"/>
      <c r="J35" s="376">
        <f t="shared" si="0"/>
        <v>0</v>
      </c>
      <c r="K35" s="377"/>
      <c r="L35" s="378"/>
      <c r="M35" s="1038">
        <f t="shared" si="1"/>
        <v>0</v>
      </c>
    </row>
    <row r="36" spans="2:13" ht="14.25" x14ac:dyDescent="0.2">
      <c r="B36" s="1712"/>
      <c r="C36" s="1713"/>
      <c r="D36" s="373"/>
      <c r="E36" s="374"/>
      <c r="F36" s="375"/>
      <c r="G36" s="375">
        <v>1</v>
      </c>
      <c r="H36" s="376">
        <f t="shared" si="2"/>
        <v>0</v>
      </c>
      <c r="I36" s="375"/>
      <c r="J36" s="376">
        <f t="shared" si="0"/>
        <v>0</v>
      </c>
      <c r="K36" s="377"/>
      <c r="L36" s="378"/>
      <c r="M36" s="1038">
        <f t="shared" si="1"/>
        <v>0</v>
      </c>
    </row>
    <row r="37" spans="2:13" ht="14.25" x14ac:dyDescent="0.2">
      <c r="B37" s="1712"/>
      <c r="C37" s="1713"/>
      <c r="D37" s="373"/>
      <c r="E37" s="374"/>
      <c r="F37" s="375"/>
      <c r="G37" s="375">
        <v>1</v>
      </c>
      <c r="H37" s="376">
        <f t="shared" si="2"/>
        <v>0</v>
      </c>
      <c r="I37" s="375"/>
      <c r="J37" s="376">
        <f t="shared" si="0"/>
        <v>0</v>
      </c>
      <c r="K37" s="377"/>
      <c r="L37" s="378"/>
      <c r="M37" s="1038">
        <f t="shared" si="1"/>
        <v>0</v>
      </c>
    </row>
    <row r="38" spans="2:13" ht="14.25" x14ac:dyDescent="0.2">
      <c r="B38" s="1712"/>
      <c r="C38" s="1713"/>
      <c r="D38" s="373"/>
      <c r="E38" s="374"/>
      <c r="F38" s="375"/>
      <c r="G38" s="375">
        <v>1</v>
      </c>
      <c r="H38" s="376">
        <f t="shared" si="2"/>
        <v>0</v>
      </c>
      <c r="I38" s="375"/>
      <c r="J38" s="376">
        <f t="shared" si="0"/>
        <v>0</v>
      </c>
      <c r="K38" s="377"/>
      <c r="L38" s="378"/>
      <c r="M38" s="1038">
        <f t="shared" si="1"/>
        <v>0</v>
      </c>
    </row>
    <row r="39" spans="2:13" ht="14.25" x14ac:dyDescent="0.2">
      <c r="B39" s="1712"/>
      <c r="C39" s="1713"/>
      <c r="D39" s="373"/>
      <c r="E39" s="374"/>
      <c r="F39" s="375"/>
      <c r="G39" s="375">
        <v>1</v>
      </c>
      <c r="H39" s="376">
        <f t="shared" si="2"/>
        <v>0</v>
      </c>
      <c r="I39" s="375"/>
      <c r="J39" s="376">
        <f t="shared" si="0"/>
        <v>0</v>
      </c>
      <c r="K39" s="377"/>
      <c r="L39" s="378"/>
      <c r="M39" s="1038">
        <f t="shared" si="1"/>
        <v>0</v>
      </c>
    </row>
    <row r="40" spans="2:13" ht="14.25" x14ac:dyDescent="0.2">
      <c r="B40" s="1712"/>
      <c r="C40" s="1713"/>
      <c r="D40" s="373"/>
      <c r="E40" s="374"/>
      <c r="F40" s="375"/>
      <c r="G40" s="375">
        <v>1</v>
      </c>
      <c r="H40" s="376">
        <f t="shared" si="2"/>
        <v>0</v>
      </c>
      <c r="I40" s="375"/>
      <c r="J40" s="376">
        <f t="shared" si="0"/>
        <v>0</v>
      </c>
      <c r="K40" s="377"/>
      <c r="L40" s="378"/>
      <c r="M40" s="1038">
        <f t="shared" si="1"/>
        <v>0</v>
      </c>
    </row>
    <row r="41" spans="2:13" ht="14.25" x14ac:dyDescent="0.2">
      <c r="B41" s="1712"/>
      <c r="C41" s="1713"/>
      <c r="D41" s="373"/>
      <c r="E41" s="374"/>
      <c r="F41" s="375"/>
      <c r="G41" s="375">
        <v>1</v>
      </c>
      <c r="H41" s="376">
        <f t="shared" si="2"/>
        <v>0</v>
      </c>
      <c r="I41" s="375"/>
      <c r="J41" s="376">
        <f t="shared" si="0"/>
        <v>0</v>
      </c>
      <c r="K41" s="377"/>
      <c r="L41" s="378"/>
      <c r="M41" s="1038">
        <f t="shared" si="1"/>
        <v>0</v>
      </c>
    </row>
    <row r="42" spans="2:13" ht="14.25" x14ac:dyDescent="0.2">
      <c r="B42" s="1712"/>
      <c r="C42" s="1713"/>
      <c r="D42" s="373"/>
      <c r="E42" s="374"/>
      <c r="F42" s="375"/>
      <c r="G42" s="375">
        <v>1</v>
      </c>
      <c r="H42" s="376">
        <f t="shared" si="2"/>
        <v>0</v>
      </c>
      <c r="I42" s="375"/>
      <c r="J42" s="376">
        <f t="shared" si="0"/>
        <v>0</v>
      </c>
      <c r="K42" s="377"/>
      <c r="L42" s="378"/>
      <c r="M42" s="1038">
        <f t="shared" si="1"/>
        <v>0</v>
      </c>
    </row>
    <row r="43" spans="2:13" ht="14.25" x14ac:dyDescent="0.2">
      <c r="B43" s="1712"/>
      <c r="C43" s="1713"/>
      <c r="D43" s="373"/>
      <c r="E43" s="374"/>
      <c r="F43" s="375"/>
      <c r="G43" s="375">
        <v>1</v>
      </c>
      <c r="H43" s="376">
        <f t="shared" si="2"/>
        <v>0</v>
      </c>
      <c r="I43" s="375"/>
      <c r="J43" s="376">
        <f t="shared" si="0"/>
        <v>0</v>
      </c>
      <c r="K43" s="377"/>
      <c r="L43" s="378"/>
      <c r="M43" s="1038">
        <f t="shared" si="1"/>
        <v>0</v>
      </c>
    </row>
    <row r="44" spans="2:13" ht="14.25" x14ac:dyDescent="0.2">
      <c r="B44" s="1706"/>
      <c r="C44" s="1708"/>
      <c r="D44" s="380"/>
      <c r="E44" s="380"/>
      <c r="F44" s="381" t="s">
        <v>1149</v>
      </c>
      <c r="G44" s="381"/>
      <c r="H44" s="382">
        <f>SUM(H8:H43)</f>
        <v>-16</v>
      </c>
      <c r="I44" s="383"/>
      <c r="J44" s="382">
        <f>SUM(J8:J43)</f>
        <v>0</v>
      </c>
      <c r="K44" s="384"/>
      <c r="L44" s="385"/>
      <c r="M44" s="1039">
        <f>SUM(M8:M43)</f>
        <v>-10324</v>
      </c>
    </row>
    <row r="45" spans="2:13" ht="14.25" x14ac:dyDescent="0.2">
      <c r="B45" s="1040"/>
      <c r="C45" s="386"/>
      <c r="D45" s="386"/>
      <c r="E45" s="386"/>
      <c r="F45" s="387"/>
      <c r="G45" s="388"/>
      <c r="H45" s="388"/>
      <c r="I45" s="389"/>
      <c r="J45" s="389"/>
      <c r="K45" s="389"/>
      <c r="L45" s="390"/>
      <c r="M45" s="1041"/>
    </row>
    <row r="46" spans="2:13" ht="42.75" x14ac:dyDescent="0.2">
      <c r="B46" s="1706" t="s">
        <v>1163</v>
      </c>
      <c r="C46" s="1707"/>
      <c r="D46" s="1707"/>
      <c r="E46" s="1707"/>
      <c r="F46" s="1740" t="s">
        <v>198</v>
      </c>
      <c r="G46" s="1740"/>
      <c r="H46" s="1740"/>
      <c r="I46" s="1740"/>
      <c r="J46" s="1741"/>
      <c r="K46" s="372" t="s">
        <v>1164</v>
      </c>
      <c r="L46" s="380" t="s">
        <v>1150</v>
      </c>
      <c r="M46" s="1037" t="s">
        <v>1181</v>
      </c>
    </row>
    <row r="47" spans="2:13" ht="14.25" x14ac:dyDescent="0.2">
      <c r="B47" s="1742"/>
      <c r="C47" s="1743"/>
      <c r="D47" s="1743"/>
      <c r="E47" s="1744"/>
      <c r="F47" s="1748" t="s">
        <v>1165</v>
      </c>
      <c r="G47" s="1749"/>
      <c r="H47" s="1749"/>
      <c r="I47" s="1749"/>
      <c r="J47" s="1750"/>
      <c r="K47" s="391">
        <f>H44</f>
        <v>-16</v>
      </c>
      <c r="L47" s="392">
        <f>'Project Cost Recap'!C68</f>
        <v>65</v>
      </c>
      <c r="M47" s="1038">
        <f>ROUNDUP(K47*L47,0)</f>
        <v>-1040</v>
      </c>
    </row>
    <row r="48" spans="2:13" ht="14.25" x14ac:dyDescent="0.2">
      <c r="B48" s="1745"/>
      <c r="C48" s="1746"/>
      <c r="D48" s="1746"/>
      <c r="E48" s="1747"/>
      <c r="F48" s="1751" t="s">
        <v>1151</v>
      </c>
      <c r="G48" s="1752"/>
      <c r="H48" s="1752"/>
      <c r="I48" s="1752"/>
      <c r="J48" s="1753"/>
      <c r="K48" s="391">
        <f>J44</f>
        <v>0</v>
      </c>
      <c r="L48" s="393">
        <f>L47*1.15</f>
        <v>74.75</v>
      </c>
      <c r="M48" s="1038">
        <f>ROUNDUP(K48*L48,0)</f>
        <v>0</v>
      </c>
    </row>
    <row r="49" spans="2:13" ht="14.25" x14ac:dyDescent="0.2">
      <c r="B49" s="1745"/>
      <c r="C49" s="1746"/>
      <c r="D49" s="1746"/>
      <c r="E49" s="1747"/>
      <c r="F49" s="1751" t="s">
        <v>453</v>
      </c>
      <c r="G49" s="1752"/>
      <c r="H49" s="1752"/>
      <c r="I49" s="1752"/>
      <c r="J49" s="1753"/>
      <c r="K49" s="394">
        <f>M44</f>
        <v>-10324</v>
      </c>
      <c r="L49" s="395"/>
      <c r="M49" s="1038">
        <f>ROUNDUP((M44+(M44*L49)),0)</f>
        <v>-10324</v>
      </c>
    </row>
    <row r="50" spans="2:13" ht="14.25" x14ac:dyDescent="0.2">
      <c r="B50" s="1745"/>
      <c r="C50" s="1746"/>
      <c r="D50" s="1746"/>
      <c r="E50" s="1747"/>
      <c r="F50" s="1751" t="s">
        <v>1166</v>
      </c>
      <c r="G50" s="1752"/>
      <c r="H50" s="1752"/>
      <c r="I50" s="1752"/>
      <c r="J50" s="1753"/>
      <c r="K50" s="396"/>
      <c r="L50" s="395">
        <f>'PROJECT INFO'!H14</f>
        <v>8.8099999999999998E-2</v>
      </c>
      <c r="M50" s="1038">
        <f>L50*K49</f>
        <v>-909.5444</v>
      </c>
    </row>
    <row r="51" spans="2:13" ht="14.25" x14ac:dyDescent="0.2">
      <c r="B51" s="1714" t="s">
        <v>1167</v>
      </c>
      <c r="C51" s="1715"/>
      <c r="D51" s="1715"/>
      <c r="E51" s="1715"/>
      <c r="F51" s="1715"/>
      <c r="G51" s="1715"/>
      <c r="H51" s="1715"/>
      <c r="I51" s="1715"/>
      <c r="J51" s="1715"/>
      <c r="K51" s="1715"/>
      <c r="L51" s="1754"/>
      <c r="M51" s="1042">
        <f>SUM(M47:M50)</f>
        <v>-12273.544400000001</v>
      </c>
    </row>
    <row r="52" spans="2:13" ht="14.25" x14ac:dyDescent="0.2">
      <c r="B52" s="1040"/>
      <c r="C52" s="386"/>
      <c r="D52" s="386"/>
      <c r="E52" s="386"/>
      <c r="F52" s="387"/>
      <c r="G52" s="388"/>
      <c r="H52" s="388"/>
      <c r="I52" s="389"/>
      <c r="J52" s="389"/>
      <c r="K52" s="389"/>
      <c r="L52" s="390"/>
      <c r="M52" s="1041"/>
    </row>
    <row r="53" spans="2:13" ht="28.5" x14ac:dyDescent="0.2">
      <c r="B53" s="1706" t="s">
        <v>1168</v>
      </c>
      <c r="C53" s="1707"/>
      <c r="D53" s="1707"/>
      <c r="E53" s="1740" t="s">
        <v>198</v>
      </c>
      <c r="F53" s="1740"/>
      <c r="G53" s="1740"/>
      <c r="H53" s="1740"/>
      <c r="I53" s="397" t="s">
        <v>1169</v>
      </c>
      <c r="J53" s="398" t="s">
        <v>1170</v>
      </c>
      <c r="K53" s="380" t="s">
        <v>1171</v>
      </c>
      <c r="L53" s="380" t="s">
        <v>1150</v>
      </c>
      <c r="M53" s="1037" t="s">
        <v>1181</v>
      </c>
    </row>
    <row r="54" spans="2:13" ht="14.25" x14ac:dyDescent="0.2">
      <c r="B54" s="1697"/>
      <c r="C54" s="1698"/>
      <c r="D54" s="1699"/>
      <c r="E54" s="1734" t="s">
        <v>1172</v>
      </c>
      <c r="F54" s="1735"/>
      <c r="G54" s="1735"/>
      <c r="H54" s="1735"/>
      <c r="I54" s="399">
        <f>K47</f>
        <v>-16</v>
      </c>
      <c r="J54" s="450">
        <v>0.03</v>
      </c>
      <c r="K54" s="400">
        <f>$J$54*I54</f>
        <v>-0.48</v>
      </c>
      <c r="L54" s="393">
        <f>L47</f>
        <v>65</v>
      </c>
      <c r="M54" s="1038">
        <f>L54*K54</f>
        <v>-31.2</v>
      </c>
    </row>
    <row r="55" spans="2:13" ht="14.25" x14ac:dyDescent="0.2">
      <c r="B55" s="1700"/>
      <c r="C55" s="1701"/>
      <c r="D55" s="1702"/>
      <c r="E55" s="1734" t="s">
        <v>1173</v>
      </c>
      <c r="F55" s="1735"/>
      <c r="G55" s="1735"/>
      <c r="H55" s="1735"/>
      <c r="I55" s="399">
        <f>K47</f>
        <v>-16</v>
      </c>
      <c r="J55" s="450">
        <v>0.1</v>
      </c>
      <c r="K55" s="400">
        <f>$J$55*I55</f>
        <v>-1.6</v>
      </c>
      <c r="L55" s="393">
        <f>L54*1.2</f>
        <v>78</v>
      </c>
      <c r="M55" s="1038">
        <f>L55*K55</f>
        <v>-124.80000000000001</v>
      </c>
    </row>
    <row r="56" spans="2:13" ht="14.25" x14ac:dyDescent="0.2">
      <c r="B56" s="1700"/>
      <c r="C56" s="1701"/>
      <c r="D56" s="1702"/>
      <c r="E56" s="1734" t="s">
        <v>1174</v>
      </c>
      <c r="F56" s="1735"/>
      <c r="G56" s="1735"/>
      <c r="H56" s="1735"/>
      <c r="I56" s="399"/>
      <c r="J56" s="395">
        <v>0.01</v>
      </c>
      <c r="K56" s="1736"/>
      <c r="L56" s="1737"/>
      <c r="M56" s="1038">
        <f>J56*$M$47</f>
        <v>-10.4</v>
      </c>
    </row>
    <row r="57" spans="2:13" ht="14.25" x14ac:dyDescent="0.2">
      <c r="B57" s="1703"/>
      <c r="C57" s="1704"/>
      <c r="D57" s="1705"/>
      <c r="E57" s="1734" t="s">
        <v>1175</v>
      </c>
      <c r="F57" s="1735"/>
      <c r="G57" s="1735"/>
      <c r="H57" s="1735"/>
      <c r="I57" s="399"/>
      <c r="J57" s="395">
        <v>0.03</v>
      </c>
      <c r="K57" s="1738"/>
      <c r="L57" s="1739"/>
      <c r="M57" s="1038">
        <f>J57*$M$47</f>
        <v>-31.2</v>
      </c>
    </row>
    <row r="58" spans="2:13" ht="14.25" x14ac:dyDescent="0.2">
      <c r="B58" s="1706" t="s">
        <v>1176</v>
      </c>
      <c r="C58" s="1707"/>
      <c r="D58" s="1707"/>
      <c r="E58" s="1707"/>
      <c r="F58" s="1707"/>
      <c r="G58" s="1707"/>
      <c r="H58" s="1707"/>
      <c r="I58" s="1707"/>
      <c r="J58" s="1707"/>
      <c r="K58" s="1707"/>
      <c r="L58" s="1708"/>
      <c r="M58" s="1042">
        <f>SUM(M54:M57)*0</f>
        <v>0</v>
      </c>
    </row>
    <row r="59" spans="2:13" ht="14.25" x14ac:dyDescent="0.2">
      <c r="B59" s="1040"/>
      <c r="C59" s="386"/>
      <c r="D59" s="386"/>
      <c r="E59" s="386"/>
      <c r="F59" s="387"/>
      <c r="G59" s="388"/>
      <c r="H59" s="388"/>
      <c r="I59" s="389"/>
      <c r="J59" s="389"/>
      <c r="K59" s="389"/>
      <c r="L59" s="390"/>
      <c r="M59" s="1041"/>
    </row>
    <row r="60" spans="2:13" ht="57" x14ac:dyDescent="0.2">
      <c r="B60" s="1706" t="s">
        <v>1177</v>
      </c>
      <c r="C60" s="1707"/>
      <c r="D60" s="1707"/>
      <c r="E60" s="1740" t="s">
        <v>198</v>
      </c>
      <c r="F60" s="1740"/>
      <c r="G60" s="1740"/>
      <c r="H60" s="1740"/>
      <c r="I60" s="397" t="s">
        <v>1146</v>
      </c>
      <c r="J60" s="397" t="s">
        <v>1178</v>
      </c>
      <c r="K60" s="401" t="s">
        <v>1179</v>
      </c>
      <c r="L60" s="402" t="s">
        <v>1180</v>
      </c>
      <c r="M60" s="1037" t="s">
        <v>1181</v>
      </c>
    </row>
    <row r="61" spans="2:13" ht="14.25" x14ac:dyDescent="0.2">
      <c r="B61" s="1742"/>
      <c r="C61" s="1743"/>
      <c r="D61" s="1744"/>
      <c r="E61" s="1748" t="s">
        <v>1182</v>
      </c>
      <c r="F61" s="1749"/>
      <c r="G61" s="1749"/>
      <c r="H61" s="1749"/>
      <c r="I61" s="399" t="s">
        <v>1183</v>
      </c>
      <c r="J61" s="403">
        <v>1</v>
      </c>
      <c r="K61" s="404">
        <v>0</v>
      </c>
      <c r="L61" s="871">
        <f>Rentals!B8</f>
        <v>2000</v>
      </c>
      <c r="M61" s="1043">
        <f>L61*K61*J61</f>
        <v>0</v>
      </c>
    </row>
    <row r="62" spans="2:13" ht="14.25" x14ac:dyDescent="0.2">
      <c r="B62" s="1745"/>
      <c r="C62" s="1746"/>
      <c r="D62" s="1747"/>
      <c r="E62" s="1751" t="s">
        <v>1184</v>
      </c>
      <c r="F62" s="1752"/>
      <c r="G62" s="1752"/>
      <c r="H62" s="1752"/>
      <c r="I62" s="1250" t="s">
        <v>2338</v>
      </c>
      <c r="J62" s="1231">
        <v>1</v>
      </c>
      <c r="K62" s="1231">
        <v>0</v>
      </c>
      <c r="L62" s="1251">
        <f>VLOOKUP(I62,Rentals!A$13:C$32,2,FALSE)</f>
        <v>0</v>
      </c>
      <c r="M62" s="1043">
        <f>L62*K62*J62</f>
        <v>0</v>
      </c>
    </row>
    <row r="63" spans="2:13" ht="14.25" x14ac:dyDescent="0.2">
      <c r="B63" s="1745"/>
      <c r="C63" s="1746"/>
      <c r="D63" s="1747"/>
      <c r="E63" s="1751" t="s">
        <v>2339</v>
      </c>
      <c r="F63" s="1752"/>
      <c r="G63" s="1752"/>
      <c r="H63" s="1752"/>
      <c r="I63" s="1250" t="str">
        <f>I62</f>
        <v>…............</v>
      </c>
      <c r="J63" s="403">
        <v>1</v>
      </c>
      <c r="K63" s="405">
        <v>0</v>
      </c>
      <c r="L63" s="871">
        <f>VLOOKUP(I63,Rentals!A$13:C$32,3,FALSE)</f>
        <v>0</v>
      </c>
      <c r="M63" s="1043">
        <f>L63*K63*J63</f>
        <v>0</v>
      </c>
    </row>
    <row r="64" spans="2:13" ht="14.25" x14ac:dyDescent="0.2">
      <c r="B64" s="1745"/>
      <c r="C64" s="1746"/>
      <c r="D64" s="1747"/>
      <c r="E64" s="1751" t="s">
        <v>1186</v>
      </c>
      <c r="F64" s="1752"/>
      <c r="G64" s="1752"/>
      <c r="H64" s="1752"/>
      <c r="I64" s="399" t="s">
        <v>1183</v>
      </c>
      <c r="J64" s="403">
        <v>1</v>
      </c>
      <c r="K64" s="404">
        <v>0</v>
      </c>
      <c r="L64" s="871">
        <f>Rentals!B39</f>
        <v>1000</v>
      </c>
      <c r="M64" s="1043">
        <f>L64*K64*J64</f>
        <v>0</v>
      </c>
    </row>
    <row r="65" spans="2:13" ht="14.25" x14ac:dyDescent="0.2">
      <c r="B65" s="1745"/>
      <c r="C65" s="1746"/>
      <c r="D65" s="1747"/>
      <c r="E65" s="1755" t="s">
        <v>176</v>
      </c>
      <c r="F65" s="1756"/>
      <c r="G65" s="1756"/>
      <c r="H65" s="1756"/>
      <c r="I65" s="406" t="s">
        <v>1183</v>
      </c>
      <c r="J65" s="403">
        <v>1</v>
      </c>
      <c r="K65" s="404">
        <v>0</v>
      </c>
      <c r="L65" s="871">
        <f>Rentals!B5</f>
        <v>5000</v>
      </c>
      <c r="M65" s="1043">
        <f>L65*K65*J65</f>
        <v>0</v>
      </c>
    </row>
    <row r="66" spans="2:13" ht="14.25" x14ac:dyDescent="0.2">
      <c r="B66" s="1758" t="s">
        <v>1187</v>
      </c>
      <c r="C66" s="1759"/>
      <c r="D66" s="1759"/>
      <c r="E66" s="1759"/>
      <c r="F66" s="1759"/>
      <c r="G66" s="1759"/>
      <c r="H66" s="1759"/>
      <c r="I66" s="1759"/>
      <c r="J66" s="1759"/>
      <c r="K66" s="1759"/>
      <c r="L66" s="1760"/>
      <c r="M66" s="1042">
        <f>SUM(M61:M65)</f>
        <v>0</v>
      </c>
    </row>
    <row r="67" spans="2:13" ht="14.25" x14ac:dyDescent="0.2">
      <c r="B67" s="1040"/>
      <c r="C67" s="386"/>
      <c r="D67" s="386"/>
      <c r="E67" s="386"/>
      <c r="F67" s="387"/>
      <c r="G67" s="388"/>
      <c r="H67" s="388"/>
      <c r="I67" s="389"/>
      <c r="J67" s="389"/>
      <c r="K67" s="389"/>
      <c r="L67" s="390"/>
      <c r="M67" s="1041"/>
    </row>
    <row r="68" spans="2:13" ht="14.25" x14ac:dyDescent="0.2">
      <c r="B68" s="1714" t="s">
        <v>1188</v>
      </c>
      <c r="C68" s="1715"/>
      <c r="D68" s="1715"/>
      <c r="E68" s="1715"/>
      <c r="F68" s="1715"/>
      <c r="G68" s="1715"/>
      <c r="H68" s="1715"/>
      <c r="I68" s="1715"/>
      <c r="J68" s="1715"/>
      <c r="K68" s="1715"/>
      <c r="L68" s="1715"/>
      <c r="M68" s="1716"/>
    </row>
    <row r="69" spans="2:13" ht="42.75" x14ac:dyDescent="0.2">
      <c r="B69" s="1761" t="s">
        <v>428</v>
      </c>
      <c r="C69" s="1762"/>
      <c r="D69" s="1762"/>
      <c r="E69" s="1762" t="s">
        <v>657</v>
      </c>
      <c r="F69" s="1762"/>
      <c r="G69" s="1762"/>
      <c r="H69" s="1762"/>
      <c r="I69" s="1762"/>
      <c r="J69" s="1329" t="s">
        <v>1189</v>
      </c>
      <c r="K69" s="523" t="s">
        <v>1190</v>
      </c>
      <c r="L69" s="523" t="s">
        <v>1191</v>
      </c>
      <c r="M69" s="1044" t="s">
        <v>1181</v>
      </c>
    </row>
    <row r="70" spans="2:13" ht="14.25" x14ac:dyDescent="0.2">
      <c r="B70" s="1700" t="str">
        <f>'Project Cost Recap'!E23</f>
        <v>PINNACLE</v>
      </c>
      <c r="C70" s="1701"/>
      <c r="D70" s="1702"/>
      <c r="E70" s="1720" t="s">
        <v>580</v>
      </c>
      <c r="F70" s="1721"/>
      <c r="G70" s="1721"/>
      <c r="H70" s="1721"/>
      <c r="I70" s="1722"/>
      <c r="J70" s="407" t="s">
        <v>1192</v>
      </c>
      <c r="K70" s="408">
        <v>1</v>
      </c>
      <c r="L70" s="409">
        <f>Subs!$L$12</f>
        <v>0</v>
      </c>
      <c r="M70" s="1045">
        <f>L70*K70</f>
        <v>0</v>
      </c>
    </row>
    <row r="71" spans="2:13" ht="14.25" x14ac:dyDescent="0.2">
      <c r="B71" s="1700">
        <f>'Project Cost Recap'!E24</f>
        <v>0</v>
      </c>
      <c r="C71" s="1701"/>
      <c r="D71" s="1702"/>
      <c r="E71" s="1720" t="s">
        <v>425</v>
      </c>
      <c r="F71" s="1721"/>
      <c r="G71" s="1721"/>
      <c r="H71" s="1721"/>
      <c r="I71" s="1722"/>
      <c r="J71" s="407" t="s">
        <v>1192</v>
      </c>
      <c r="K71" s="408">
        <v>1</v>
      </c>
      <c r="L71" s="409">
        <f>Subs!$K$25</f>
        <v>0</v>
      </c>
      <c r="M71" s="1045">
        <f>L71*K71</f>
        <v>0</v>
      </c>
    </row>
    <row r="72" spans="2:13" ht="14.25" x14ac:dyDescent="0.2">
      <c r="B72" s="1700">
        <f>'Project Cost Recap'!E25</f>
        <v>0</v>
      </c>
      <c r="C72" s="1701"/>
      <c r="D72" s="1702"/>
      <c r="E72" s="1720" t="s">
        <v>422</v>
      </c>
      <c r="F72" s="1721"/>
      <c r="G72" s="1721"/>
      <c r="H72" s="1721"/>
      <c r="I72" s="1722"/>
      <c r="J72" s="407" t="s">
        <v>1193</v>
      </c>
      <c r="K72" s="408">
        <v>0</v>
      </c>
      <c r="L72" s="409">
        <v>0</v>
      </c>
      <c r="M72" s="1045">
        <f t="shared" ref="M72:M87" si="3">L72*K72</f>
        <v>0</v>
      </c>
    </row>
    <row r="73" spans="2:13" ht="14.25" x14ac:dyDescent="0.2">
      <c r="B73" s="1700">
        <f>'Project Cost Recap'!E26</f>
        <v>0</v>
      </c>
      <c r="C73" s="1701"/>
      <c r="D73" s="1702"/>
      <c r="E73" s="1720" t="s">
        <v>420</v>
      </c>
      <c r="F73" s="1721"/>
      <c r="G73" s="1721"/>
      <c r="H73" s="1721"/>
      <c r="I73" s="1722"/>
      <c r="J73" s="407" t="s">
        <v>1192</v>
      </c>
      <c r="K73" s="408">
        <v>1</v>
      </c>
      <c r="L73" s="409">
        <f>Subs!J51</f>
        <v>0</v>
      </c>
      <c r="M73" s="1045">
        <f t="shared" si="3"/>
        <v>0</v>
      </c>
    </row>
    <row r="74" spans="2:13" ht="14.25" x14ac:dyDescent="0.2">
      <c r="B74" s="1700" t="str">
        <f>'Project Cost Recap'!E27</f>
        <v>3 GEN EXCAVATION</v>
      </c>
      <c r="C74" s="1701"/>
      <c r="D74" s="1702"/>
      <c r="E74" s="1720" t="s">
        <v>417</v>
      </c>
      <c r="F74" s="1721"/>
      <c r="G74" s="1721"/>
      <c r="H74" s="1721"/>
      <c r="I74" s="1722"/>
      <c r="J74" s="407" t="s">
        <v>1192</v>
      </c>
      <c r="K74" s="408">
        <v>1</v>
      </c>
      <c r="L74" s="409">
        <f>Subs!O65</f>
        <v>0</v>
      </c>
      <c r="M74" s="1045">
        <f>L74*K74</f>
        <v>0</v>
      </c>
    </row>
    <row r="75" spans="2:13" ht="14.25" x14ac:dyDescent="0.2">
      <c r="B75" s="1700">
        <f>'Project Cost Recap'!E28</f>
        <v>0</v>
      </c>
      <c r="C75" s="1701"/>
      <c r="D75" s="1702"/>
      <c r="E75" s="1720" t="str">
        <f>'GO-NO-GO CHECKLIST'!B102</f>
        <v>FIRE PROTECTION</v>
      </c>
      <c r="F75" s="1721"/>
      <c r="G75" s="1721"/>
      <c r="H75" s="1721"/>
      <c r="I75" s="1722"/>
      <c r="J75" s="407" t="s">
        <v>1192</v>
      </c>
      <c r="K75" s="408">
        <v>1</v>
      </c>
      <c r="L75" s="409">
        <f>Subs!J77</f>
        <v>0</v>
      </c>
      <c r="M75" s="1045">
        <f t="shared" si="3"/>
        <v>0</v>
      </c>
    </row>
    <row r="76" spans="2:13" ht="14.25" x14ac:dyDescent="0.2">
      <c r="B76" s="1700">
        <f>'Project Cost Recap'!E29</f>
        <v>0</v>
      </c>
      <c r="C76" s="1701"/>
      <c r="D76" s="1702"/>
      <c r="E76" s="1720" t="str">
        <f>'GO-NO-GO CHECKLIST'!B110</f>
        <v>FIRE STOPPING</v>
      </c>
      <c r="F76" s="1721"/>
      <c r="G76" s="1721"/>
      <c r="H76" s="1721"/>
      <c r="I76" s="1722"/>
      <c r="J76" s="407" t="s">
        <v>1193</v>
      </c>
      <c r="K76" s="408">
        <v>0</v>
      </c>
      <c r="L76" s="409">
        <f>Subs!L89</f>
        <v>0</v>
      </c>
      <c r="M76" s="1045">
        <f t="shared" si="3"/>
        <v>0</v>
      </c>
    </row>
    <row r="77" spans="2:13" ht="14.25" x14ac:dyDescent="0.2">
      <c r="B77" s="1700">
        <f>'Project Cost Recap'!E30</f>
        <v>0</v>
      </c>
      <c r="C77" s="1701"/>
      <c r="D77" s="1702"/>
      <c r="E77" s="1720" t="s">
        <v>421</v>
      </c>
      <c r="F77" s="1721"/>
      <c r="G77" s="1721"/>
      <c r="H77" s="1721"/>
      <c r="I77" s="1722"/>
      <c r="J77" s="407" t="s">
        <v>1192</v>
      </c>
      <c r="K77" s="408">
        <v>1</v>
      </c>
      <c r="L77" s="409">
        <f>Subs!J101</f>
        <v>0</v>
      </c>
      <c r="M77" s="1045">
        <f t="shared" si="3"/>
        <v>0</v>
      </c>
    </row>
    <row r="78" spans="2:13" ht="14.25" x14ac:dyDescent="0.2">
      <c r="B78" s="1700" t="str">
        <f>'Project Cost Recap'!E31</f>
        <v>FORTUNATO</v>
      </c>
      <c r="C78" s="1701"/>
      <c r="D78" s="1702"/>
      <c r="E78" s="1720" t="s">
        <v>423</v>
      </c>
      <c r="F78" s="1721"/>
      <c r="G78" s="1721"/>
      <c r="H78" s="1721"/>
      <c r="I78" s="1722"/>
      <c r="J78" s="407" t="s">
        <v>1192</v>
      </c>
      <c r="K78" s="408">
        <v>1</v>
      </c>
      <c r="L78" s="409">
        <f>Subs!N115</f>
        <v>0</v>
      </c>
      <c r="M78" s="1045">
        <f t="shared" si="3"/>
        <v>0</v>
      </c>
    </row>
    <row r="79" spans="2:13" ht="14.25" x14ac:dyDescent="0.2">
      <c r="B79" s="1700">
        <f>'Project Cost Recap'!E32</f>
        <v>0</v>
      </c>
      <c r="C79" s="1701"/>
      <c r="D79" s="1702"/>
      <c r="E79" s="1720" t="s">
        <v>951</v>
      </c>
      <c r="F79" s="1721"/>
      <c r="G79" s="1721"/>
      <c r="H79" s="1721"/>
      <c r="I79" s="1722"/>
      <c r="J79" s="407" t="s">
        <v>1192</v>
      </c>
      <c r="K79" s="408">
        <v>1</v>
      </c>
      <c r="L79" s="409">
        <f>Subs!L127</f>
        <v>0</v>
      </c>
      <c r="M79" s="1045">
        <f t="shared" si="3"/>
        <v>0</v>
      </c>
    </row>
    <row r="80" spans="2:13" ht="14.25" x14ac:dyDescent="0.2">
      <c r="B80" s="1700">
        <f>'Project Cost Recap'!E33</f>
        <v>0</v>
      </c>
      <c r="C80" s="1701"/>
      <c r="D80" s="1702"/>
      <c r="E80" s="1720" t="s">
        <v>426</v>
      </c>
      <c r="F80" s="1721"/>
      <c r="G80" s="1721"/>
      <c r="H80" s="1721"/>
      <c r="I80" s="1722"/>
      <c r="J80" s="407" t="s">
        <v>1192</v>
      </c>
      <c r="K80" s="408">
        <v>1</v>
      </c>
      <c r="L80" s="409">
        <f>Subs!J139</f>
        <v>0</v>
      </c>
      <c r="M80" s="1045">
        <f t="shared" si="3"/>
        <v>0</v>
      </c>
    </row>
    <row r="81" spans="2:13" ht="14.25" x14ac:dyDescent="0.2">
      <c r="B81" s="1700">
        <f>'Project Cost Recap'!E34</f>
        <v>0</v>
      </c>
      <c r="C81" s="1701"/>
      <c r="D81" s="1702"/>
      <c r="E81" s="1720" t="s">
        <v>1725</v>
      </c>
      <c r="F81" s="1721"/>
      <c r="G81" s="1721"/>
      <c r="H81" s="1721"/>
      <c r="I81" s="1722"/>
      <c r="J81" s="407" t="s">
        <v>1192</v>
      </c>
      <c r="K81" s="408">
        <v>1</v>
      </c>
      <c r="L81" s="409">
        <f>Subs!J151</f>
        <v>0</v>
      </c>
      <c r="M81" s="1045">
        <f t="shared" si="3"/>
        <v>0</v>
      </c>
    </row>
    <row r="82" spans="2:13" ht="14.25" x14ac:dyDescent="0.2">
      <c r="B82" s="1700" t="str">
        <f>'Project Cost Recap'!E35</f>
        <v>AIR SYSTEMS</v>
      </c>
      <c r="C82" s="1701"/>
      <c r="D82" s="1702"/>
      <c r="E82" s="1720" t="s">
        <v>123</v>
      </c>
      <c r="F82" s="1721"/>
      <c r="G82" s="1721"/>
      <c r="H82" s="1721"/>
      <c r="I82" s="1722"/>
      <c r="J82" s="407" t="s">
        <v>1192</v>
      </c>
      <c r="K82" s="408">
        <v>1</v>
      </c>
      <c r="L82" s="409">
        <f>Subs!P163</f>
        <v>0</v>
      </c>
      <c r="M82" s="1045">
        <f t="shared" si="3"/>
        <v>0</v>
      </c>
    </row>
    <row r="83" spans="2:13" ht="14.25" x14ac:dyDescent="0.2">
      <c r="B83" s="1700">
        <f>'Project Cost Recap'!E36</f>
        <v>0</v>
      </c>
      <c r="C83" s="1701"/>
      <c r="D83" s="1702"/>
      <c r="E83" s="1720" t="s">
        <v>578</v>
      </c>
      <c r="F83" s="1721"/>
      <c r="G83" s="1721"/>
      <c r="H83" s="1721"/>
      <c r="I83" s="1722"/>
      <c r="J83" s="407" t="s">
        <v>1192</v>
      </c>
      <c r="K83" s="408">
        <v>1</v>
      </c>
      <c r="L83" s="409">
        <f>Subs!J175</f>
        <v>0</v>
      </c>
      <c r="M83" s="1045">
        <f t="shared" si="3"/>
        <v>0</v>
      </c>
    </row>
    <row r="84" spans="2:13" ht="14.25" x14ac:dyDescent="0.2">
      <c r="B84" s="1700" t="str">
        <f>'Project Cost Recap'!E37</f>
        <v>LONG BUILDING TECHNOLOGIES</v>
      </c>
      <c r="C84" s="1701"/>
      <c r="D84" s="1702"/>
      <c r="E84" s="1720" t="s">
        <v>419</v>
      </c>
      <c r="F84" s="1721"/>
      <c r="G84" s="1721"/>
      <c r="H84" s="1721"/>
      <c r="I84" s="1722"/>
      <c r="J84" s="407" t="s">
        <v>1192</v>
      </c>
      <c r="K84" s="408">
        <v>1</v>
      </c>
      <c r="L84" s="409">
        <f>Subs!J186</f>
        <v>0</v>
      </c>
      <c r="M84" s="1045">
        <f t="shared" si="3"/>
        <v>0</v>
      </c>
    </row>
    <row r="85" spans="2:13" ht="14.25" x14ac:dyDescent="0.2">
      <c r="B85" s="1700" t="str">
        <f>'Project Cost Recap'!E38</f>
        <v>FINN &amp; ASSOCIATES</v>
      </c>
      <c r="C85" s="1701"/>
      <c r="D85" s="1702"/>
      <c r="E85" s="1720" t="s">
        <v>418</v>
      </c>
      <c r="F85" s="1721"/>
      <c r="G85" s="1721"/>
      <c r="H85" s="1721"/>
      <c r="I85" s="1722"/>
      <c r="J85" s="407" t="s">
        <v>1192</v>
      </c>
      <c r="K85" s="408">
        <v>1</v>
      </c>
      <c r="L85" s="409">
        <f>Subs!N198</f>
        <v>0</v>
      </c>
      <c r="M85" s="1045">
        <f t="shared" si="3"/>
        <v>0</v>
      </c>
    </row>
    <row r="86" spans="2:13" ht="14.25" x14ac:dyDescent="0.2">
      <c r="B86" s="1700">
        <f>'Project Cost Recap'!E39</f>
        <v>0</v>
      </c>
      <c r="C86" s="1701"/>
      <c r="D86" s="1702"/>
      <c r="E86" s="1720" t="str">
        <f>'GO-NO-GO CHECKLIST'!B165</f>
        <v>MISCELLANEOUS (CHANGE TO SUIT)</v>
      </c>
      <c r="F86" s="1721"/>
      <c r="G86" s="1721"/>
      <c r="H86" s="1721"/>
      <c r="I86" s="1722"/>
      <c r="J86" s="407" t="s">
        <v>1192</v>
      </c>
      <c r="K86" s="408">
        <v>1</v>
      </c>
      <c r="L86" s="409">
        <f>Subs!J210</f>
        <v>0</v>
      </c>
      <c r="M86" s="1045">
        <f t="shared" si="3"/>
        <v>0</v>
      </c>
    </row>
    <row r="87" spans="2:13" ht="14.25" x14ac:dyDescent="0.2">
      <c r="B87" s="1700"/>
      <c r="C87" s="1701"/>
      <c r="D87" s="1702"/>
      <c r="E87" s="1717" t="s">
        <v>1194</v>
      </c>
      <c r="F87" s="1718"/>
      <c r="G87" s="1718"/>
      <c r="H87" s="1718"/>
      <c r="I87" s="1719"/>
      <c r="J87" s="407" t="s">
        <v>1192</v>
      </c>
      <c r="K87" s="408">
        <v>1</v>
      </c>
      <c r="L87" s="409">
        <v>0</v>
      </c>
      <c r="M87" s="1045">
        <f t="shared" si="3"/>
        <v>0</v>
      </c>
    </row>
    <row r="88" spans="2:13" ht="14.25" x14ac:dyDescent="0.2">
      <c r="B88" s="1046"/>
      <c r="C88" s="397"/>
      <c r="D88" s="397"/>
      <c r="E88" s="397"/>
      <c r="F88" s="410" t="s">
        <v>1724</v>
      </c>
      <c r="G88" s="397"/>
      <c r="H88" s="397"/>
      <c r="I88" s="411"/>
      <c r="J88" s="411"/>
      <c r="K88" s="411"/>
      <c r="L88" s="412"/>
      <c r="M88" s="1042">
        <f>SUM(M70:M87)</f>
        <v>0</v>
      </c>
    </row>
    <row r="89" spans="2:13" ht="14.25" x14ac:dyDescent="0.2">
      <c r="B89" s="1040"/>
      <c r="C89" s="386"/>
      <c r="D89" s="386"/>
      <c r="E89" s="386"/>
      <c r="F89" s="387"/>
      <c r="G89" s="388"/>
      <c r="H89" s="388"/>
      <c r="I89" s="389"/>
      <c r="J89" s="389"/>
      <c r="K89" s="389"/>
      <c r="L89" s="390"/>
      <c r="M89" s="1041"/>
    </row>
    <row r="90" spans="2:13" ht="14.25" x14ac:dyDescent="0.2">
      <c r="B90" s="1361"/>
      <c r="C90" s="1203"/>
      <c r="D90" s="1030"/>
      <c r="E90" s="1204"/>
      <c r="F90" s="410" t="s">
        <v>1195</v>
      </c>
      <c r="G90" s="397"/>
      <c r="H90" s="397"/>
      <c r="I90" s="397" t="s">
        <v>198</v>
      </c>
      <c r="J90" s="397"/>
      <c r="K90" s="614"/>
      <c r="L90" s="380" t="s">
        <v>1150</v>
      </c>
      <c r="M90" s="1037" t="s">
        <v>1181</v>
      </c>
    </row>
    <row r="91" spans="2:13" ht="14.25" x14ac:dyDescent="0.2">
      <c r="B91" s="1362"/>
      <c r="C91" s="1206"/>
      <c r="D91" s="1030"/>
      <c r="E91" s="1204"/>
      <c r="F91" s="405"/>
      <c r="G91" s="1229"/>
      <c r="H91" s="1743" t="s">
        <v>1152</v>
      </c>
      <c r="I91" s="1743"/>
      <c r="J91" s="1743"/>
      <c r="K91" s="1744"/>
      <c r="L91" s="379"/>
      <c r="M91" s="1038">
        <f>M88+M66+M58+M51</f>
        <v>-12273.544400000001</v>
      </c>
    </row>
    <row r="92" spans="2:13" ht="14.25" x14ac:dyDescent="0.2">
      <c r="B92" s="1363"/>
      <c r="C92" s="1208"/>
      <c r="D92" s="1209"/>
      <c r="E92" s="1204"/>
      <c r="F92" s="1230"/>
      <c r="G92" s="1231"/>
      <c r="H92" s="1746" t="s">
        <v>1153</v>
      </c>
      <c r="I92" s="1746"/>
      <c r="J92" s="1746"/>
      <c r="K92" s="1747"/>
      <c r="L92" s="413">
        <v>0</v>
      </c>
      <c r="M92" s="1038">
        <f>L92*M91</f>
        <v>0</v>
      </c>
    </row>
    <row r="93" spans="2:13" ht="14.25" x14ac:dyDescent="0.2">
      <c r="B93" s="1364" t="s">
        <v>2353</v>
      </c>
      <c r="C93" s="1271" t="str">
        <f>'PROJECT INFO'!$H$12</f>
        <v>DENVER (COMBINED)</v>
      </c>
      <c r="D93" s="1757" t="s">
        <v>2352</v>
      </c>
      <c r="E93" s="1757"/>
      <c r="F93" s="1757"/>
      <c r="G93" s="1757"/>
      <c r="H93" s="1746" t="s">
        <v>2351</v>
      </c>
      <c r="I93" s="1746"/>
      <c r="J93" s="1746"/>
      <c r="K93" s="1747"/>
      <c r="L93" s="613">
        <f>'PROJECT INFO'!I15</f>
        <v>1</v>
      </c>
      <c r="M93" s="1339">
        <v>0</v>
      </c>
    </row>
    <row r="94" spans="2:13" ht="14.25" x14ac:dyDescent="0.2">
      <c r="B94" s="1363"/>
      <c r="C94" s="1206"/>
      <c r="D94" s="1030"/>
      <c r="E94" s="1204"/>
      <c r="F94" s="1230"/>
      <c r="G94" s="1231"/>
      <c r="H94" s="1746" t="s">
        <v>135</v>
      </c>
      <c r="I94" s="1746"/>
      <c r="J94" s="1746"/>
      <c r="K94" s="1747"/>
      <c r="L94" s="413">
        <v>0</v>
      </c>
      <c r="M94" s="1038">
        <f>(M91+M92+M93)*L94</f>
        <v>0</v>
      </c>
    </row>
    <row r="95" spans="2:13" ht="14.25" x14ac:dyDescent="0.2">
      <c r="B95" s="1362"/>
      <c r="C95" s="1206"/>
      <c r="D95" s="1030"/>
      <c r="E95" s="1204"/>
      <c r="F95" s="1230"/>
      <c r="G95" s="1231"/>
      <c r="H95" s="1746" t="s">
        <v>1196</v>
      </c>
      <c r="I95" s="1746"/>
      <c r="J95" s="1746"/>
      <c r="K95" s="1747"/>
      <c r="L95" s="395"/>
      <c r="M95" s="1038">
        <f>SUM(M91:M94)</f>
        <v>-12273.544400000001</v>
      </c>
    </row>
    <row r="96" spans="2:13" ht="14.25" x14ac:dyDescent="0.2">
      <c r="B96" s="1365"/>
      <c r="C96" s="1332" t="s">
        <v>1150</v>
      </c>
      <c r="D96" s="1332" t="s">
        <v>2162</v>
      </c>
      <c r="E96" s="1204" t="s">
        <v>2390</v>
      </c>
      <c r="F96" s="1232" t="s">
        <v>2391</v>
      </c>
      <c r="G96" s="1233"/>
      <c r="H96" s="1775" t="s">
        <v>1197</v>
      </c>
      <c r="I96" s="1775"/>
      <c r="J96" s="1775"/>
      <c r="K96" s="1776"/>
      <c r="L96" s="395">
        <f>'Project Cost Recap'!J48*'PROJECT INFO'!I17</f>
        <v>0</v>
      </c>
      <c r="M96" s="1038">
        <f>M95*L96</f>
        <v>0</v>
      </c>
    </row>
    <row r="97" spans="2:13" ht="14.25" x14ac:dyDescent="0.2">
      <c r="B97" s="1366"/>
      <c r="C97" s="1332">
        <f>'Project Cost Recap'!$D$53</f>
        <v>2.2000000000000001E-3</v>
      </c>
      <c r="D97" s="1334">
        <f>M95</f>
        <v>-12273.544400000001</v>
      </c>
      <c r="E97" s="1335">
        <f>D97*C97</f>
        <v>-27.001797680000003</v>
      </c>
      <c r="F97" s="1336">
        <f>'Project Cost Recap'!$K$53</f>
        <v>3750</v>
      </c>
      <c r="G97" s="1331"/>
      <c r="H97" s="1780" t="s">
        <v>248</v>
      </c>
      <c r="I97" s="1780"/>
      <c r="J97" s="1780"/>
      <c r="K97" s="1781"/>
      <c r="L97" s="1330"/>
      <c r="M97" s="1337">
        <f>IF($E97&lt;$F97,($C97*$D97),$F97)*'PROJECT INFO'!$I$21</f>
        <v>-27.001797680000003</v>
      </c>
    </row>
    <row r="98" spans="2:13" ht="14.25" x14ac:dyDescent="0.2">
      <c r="B98" s="1366"/>
      <c r="C98" s="1332"/>
      <c r="D98" s="1334"/>
      <c r="E98" s="1335"/>
      <c r="F98" s="1336"/>
      <c r="G98" s="1331"/>
      <c r="H98" s="1780" t="s">
        <v>246</v>
      </c>
      <c r="I98" s="1780"/>
      <c r="J98" s="1780"/>
      <c r="K98" s="1781"/>
      <c r="L98" s="1330">
        <f>'Project Cost Recap'!$F$54</f>
        <v>0.05</v>
      </c>
      <c r="M98" s="1337">
        <f>M97*L98</f>
        <v>-1.3500898840000002</v>
      </c>
    </row>
    <row r="99" spans="2:13" ht="14.25" x14ac:dyDescent="0.2">
      <c r="B99" s="1367"/>
      <c r="C99" s="1204"/>
      <c r="D99" s="1204"/>
      <c r="E99" s="1204"/>
      <c r="F99" s="1777"/>
      <c r="G99" s="1778"/>
      <c r="H99" s="1778"/>
      <c r="I99" s="1778"/>
      <c r="J99" s="1778"/>
      <c r="K99" s="1779"/>
      <c r="L99" s="410" t="s">
        <v>1198</v>
      </c>
      <c r="M99" s="1039">
        <f>M95+M96+M97+M98</f>
        <v>-12301.896287564001</v>
      </c>
    </row>
    <row r="100" spans="2:13" ht="15" thickBot="1" x14ac:dyDescent="0.25">
      <c r="B100" s="1047"/>
      <c r="C100" s="1031"/>
      <c r="D100" s="1031"/>
      <c r="E100" s="1031"/>
      <c r="F100" s="1032"/>
      <c r="G100" s="1031"/>
      <c r="H100" s="1031"/>
      <c r="I100" s="1033"/>
      <c r="J100" s="1033"/>
      <c r="K100" s="1033"/>
      <c r="L100" s="1034"/>
      <c r="M100" s="1048"/>
    </row>
    <row r="101" spans="2:13" ht="21" thickBot="1" x14ac:dyDescent="0.35">
      <c r="B101" s="1790" t="s">
        <v>2356</v>
      </c>
      <c r="C101" s="1791"/>
      <c r="D101" s="1791"/>
      <c r="E101" s="1791"/>
      <c r="F101" s="1791"/>
      <c r="G101" s="1791"/>
      <c r="H101" s="1791"/>
      <c r="I101" s="1791"/>
      <c r="J101" s="1791"/>
      <c r="K101" s="1791"/>
      <c r="L101" s="1791"/>
      <c r="M101" s="1792"/>
    </row>
    <row r="102" spans="2:13" ht="13.5" thickBot="1" x14ac:dyDescent="0.25"/>
    <row r="103" spans="2:13" ht="13.5" thickBot="1" x14ac:dyDescent="0.25">
      <c r="C103" s="1782" t="s">
        <v>2183</v>
      </c>
      <c r="D103" s="1783"/>
      <c r="F103" s="1237" t="s">
        <v>2168</v>
      </c>
      <c r="G103" s="1238"/>
      <c r="H103" s="1238"/>
      <c r="I103" s="1238"/>
      <c r="J103" s="1238"/>
      <c r="K103" s="1238"/>
      <c r="L103" s="1238"/>
      <c r="M103" s="1239"/>
    </row>
    <row r="104" spans="2:13" ht="13.5" customHeight="1" x14ac:dyDescent="0.2">
      <c r="C104" s="1784" t="s">
        <v>2177</v>
      </c>
      <c r="D104" s="1785"/>
      <c r="F104" s="1605" t="s">
        <v>2169</v>
      </c>
      <c r="G104" s="1605"/>
      <c r="H104" s="1188">
        <f>($M$91+1)</f>
        <v>-12272.544400000001</v>
      </c>
      <c r="I104" s="1187"/>
      <c r="J104" s="1187"/>
      <c r="K104" s="1187"/>
      <c r="L104" s="1187"/>
      <c r="M104" s="1187"/>
    </row>
    <row r="105" spans="2:13" ht="38.25" customHeight="1" x14ac:dyDescent="0.2">
      <c r="B105" s="1196" t="s">
        <v>2184</v>
      </c>
      <c r="C105" s="1784"/>
      <c r="D105" s="1785"/>
      <c r="F105" s="1243" t="s">
        <v>2344</v>
      </c>
      <c r="G105" s="1244" t="s">
        <v>2170</v>
      </c>
      <c r="H105" s="1244" t="s">
        <v>2171</v>
      </c>
      <c r="I105" s="1244" t="s">
        <v>2172</v>
      </c>
      <c r="J105" s="1243" t="s">
        <v>2173</v>
      </c>
      <c r="K105" s="1245" t="s">
        <v>2175</v>
      </c>
      <c r="L105" s="1243" t="s">
        <v>2343</v>
      </c>
      <c r="M105" s="1243" t="s">
        <v>2176</v>
      </c>
    </row>
    <row r="106" spans="2:13" x14ac:dyDescent="0.2">
      <c r="B106" s="1198" t="e">
        <f>VLOOKUP(1,E106:M113,9,FALSE)</f>
        <v>#N/A</v>
      </c>
      <c r="C106" s="1784"/>
      <c r="D106" s="1785"/>
      <c r="E106" s="1197">
        <f>IF(AND(F106&gt;=MIN(G106,H106),F106&lt;=MAX(G106,H106)),1,0)</f>
        <v>0</v>
      </c>
      <c r="F106" s="1188">
        <f>H104</f>
        <v>-12272.544400000001</v>
      </c>
      <c r="G106" s="1189">
        <v>1</v>
      </c>
      <c r="H106" s="1189">
        <v>500</v>
      </c>
      <c r="I106" s="1189">
        <v>20</v>
      </c>
      <c r="J106" s="1190">
        <v>0</v>
      </c>
      <c r="K106" s="1187"/>
      <c r="L106" s="1191"/>
      <c r="M106" s="1189">
        <f>ROUNDUP(L106+I106,0)</f>
        <v>20</v>
      </c>
    </row>
    <row r="107" spans="2:13" x14ac:dyDescent="0.2">
      <c r="C107" s="1784"/>
      <c r="D107" s="1785"/>
      <c r="E107" s="1197">
        <f t="shared" ref="E107:E113" si="4">IF(AND(F107&gt;=MIN(G107,H107),F107&lt;=MAX(G107,H107)),1,0)</f>
        <v>0</v>
      </c>
      <c r="F107" s="1188">
        <f>F106</f>
        <v>-12272.544400000001</v>
      </c>
      <c r="G107" s="1189">
        <v>501</v>
      </c>
      <c r="H107" s="1189">
        <v>2000</v>
      </c>
      <c r="I107" s="1189">
        <v>35</v>
      </c>
      <c r="J107" s="1190">
        <v>0</v>
      </c>
      <c r="K107" s="1187"/>
      <c r="L107" s="1191"/>
      <c r="M107" s="1189">
        <f t="shared" ref="M107:M112" si="5">ROUNDUP(L107+I107,0)</f>
        <v>35</v>
      </c>
    </row>
    <row r="108" spans="2:13" x14ac:dyDescent="0.2">
      <c r="C108" s="1784"/>
      <c r="D108" s="1785"/>
      <c r="E108" s="1197">
        <f t="shared" si="4"/>
        <v>0</v>
      </c>
      <c r="F108" s="1188">
        <f t="shared" ref="F108:F113" si="6">F107</f>
        <v>-12272.544400000001</v>
      </c>
      <c r="G108" s="1189">
        <v>2001</v>
      </c>
      <c r="H108" s="1189">
        <v>25000</v>
      </c>
      <c r="I108" s="1189">
        <v>35</v>
      </c>
      <c r="J108" s="1190">
        <v>8</v>
      </c>
      <c r="K108" s="1192">
        <f>ROUNDUP((F108-2000)/1000,0)</f>
        <v>-15</v>
      </c>
      <c r="L108" s="1189">
        <f t="shared" ref="L108:L113" si="7">K108*J108</f>
        <v>-120</v>
      </c>
      <c r="M108" s="1189">
        <f t="shared" si="5"/>
        <v>-85</v>
      </c>
    </row>
    <row r="109" spans="2:13" x14ac:dyDescent="0.2">
      <c r="C109" s="1784"/>
      <c r="D109" s="1785"/>
      <c r="E109" s="1197">
        <f t="shared" si="4"/>
        <v>0</v>
      </c>
      <c r="F109" s="1188">
        <f t="shared" si="6"/>
        <v>-12272.544400000001</v>
      </c>
      <c r="G109" s="1189">
        <v>25001</v>
      </c>
      <c r="H109" s="1189">
        <v>50000</v>
      </c>
      <c r="I109" s="1189">
        <v>220</v>
      </c>
      <c r="J109" s="1190">
        <v>8</v>
      </c>
      <c r="K109" s="1192">
        <f>ROUNDUP((F109-25000)/1000,0)</f>
        <v>-38</v>
      </c>
      <c r="L109" s="1189">
        <f t="shared" si="7"/>
        <v>-304</v>
      </c>
      <c r="M109" s="1189">
        <f t="shared" si="5"/>
        <v>-84</v>
      </c>
    </row>
    <row r="110" spans="2:13" x14ac:dyDescent="0.2">
      <c r="C110" s="1784"/>
      <c r="D110" s="1785"/>
      <c r="E110" s="1197">
        <f t="shared" si="4"/>
        <v>0</v>
      </c>
      <c r="F110" s="1188">
        <f t="shared" si="6"/>
        <v>-12272.544400000001</v>
      </c>
      <c r="G110" s="1189">
        <v>50001</v>
      </c>
      <c r="H110" s="1189">
        <v>100000</v>
      </c>
      <c r="I110" s="1189">
        <v>420</v>
      </c>
      <c r="J110" s="1190">
        <v>7</v>
      </c>
      <c r="K110" s="1192">
        <f>ROUNDUP((F110-50000)/1000,0)</f>
        <v>-63</v>
      </c>
      <c r="L110" s="1189">
        <f t="shared" si="7"/>
        <v>-441</v>
      </c>
      <c r="M110" s="1189">
        <f t="shared" si="5"/>
        <v>-21</v>
      </c>
    </row>
    <row r="111" spans="2:13" x14ac:dyDescent="0.2">
      <c r="C111" s="1784"/>
      <c r="D111" s="1785"/>
      <c r="E111" s="1197">
        <f t="shared" si="4"/>
        <v>0</v>
      </c>
      <c r="F111" s="1188">
        <f t="shared" si="6"/>
        <v>-12272.544400000001</v>
      </c>
      <c r="G111" s="1189">
        <v>100001</v>
      </c>
      <c r="H111" s="1189">
        <v>500000</v>
      </c>
      <c r="I111" s="1189">
        <v>770</v>
      </c>
      <c r="J111" s="1190">
        <v>5.6</v>
      </c>
      <c r="K111" s="1192">
        <f>ROUNDUP((F111-100000)/1000,0)</f>
        <v>-113</v>
      </c>
      <c r="L111" s="1189">
        <f t="shared" si="7"/>
        <v>-632.79999999999995</v>
      </c>
      <c r="M111" s="1189">
        <f t="shared" si="5"/>
        <v>138</v>
      </c>
    </row>
    <row r="112" spans="2:13" x14ac:dyDescent="0.2">
      <c r="C112" s="1784"/>
      <c r="D112" s="1785"/>
      <c r="E112" s="1197">
        <f t="shared" si="4"/>
        <v>0</v>
      </c>
      <c r="F112" s="1188">
        <f t="shared" si="6"/>
        <v>-12272.544400000001</v>
      </c>
      <c r="G112" s="1189">
        <v>500001</v>
      </c>
      <c r="H112" s="1189">
        <v>1000000</v>
      </c>
      <c r="I112" s="1189">
        <v>3010</v>
      </c>
      <c r="J112" s="1190">
        <v>4.75</v>
      </c>
      <c r="K112" s="1192">
        <f>ROUNDUP((F112-500000)/1000,0)</f>
        <v>-513</v>
      </c>
      <c r="L112" s="1189">
        <f t="shared" si="7"/>
        <v>-2436.75</v>
      </c>
      <c r="M112" s="1189">
        <f t="shared" si="5"/>
        <v>574</v>
      </c>
    </row>
    <row r="113" spans="2:13" x14ac:dyDescent="0.2">
      <c r="C113" s="1784"/>
      <c r="D113" s="1785"/>
      <c r="E113" s="1197">
        <f t="shared" si="4"/>
        <v>0</v>
      </c>
      <c r="F113" s="1188">
        <f t="shared" si="6"/>
        <v>-12272.544400000001</v>
      </c>
      <c r="G113" s="1189">
        <v>1000001</v>
      </c>
      <c r="H113" s="1189">
        <v>50000000</v>
      </c>
      <c r="I113" s="1189">
        <v>5385</v>
      </c>
      <c r="J113" s="1190">
        <v>3.65</v>
      </c>
      <c r="K113" s="1192">
        <f>ROUNDUP((F113-1000000)/1000,0)</f>
        <v>-1013</v>
      </c>
      <c r="L113" s="1189">
        <f t="shared" si="7"/>
        <v>-3697.45</v>
      </c>
      <c r="M113" s="1189">
        <f>ROUNDUP(L113+I113,0)</f>
        <v>1688</v>
      </c>
    </row>
    <row r="114" spans="2:13" ht="13.5" thickBot="1" x14ac:dyDescent="0.25">
      <c r="C114" s="1784"/>
      <c r="D114" s="1785"/>
    </row>
    <row r="115" spans="2:13" ht="13.5" thickBot="1" x14ac:dyDescent="0.25">
      <c r="C115" s="1786" t="s">
        <v>2182</v>
      </c>
      <c r="D115" s="1787"/>
      <c r="F115" s="1240" t="s">
        <v>2181</v>
      </c>
      <c r="G115" s="1241"/>
      <c r="H115" s="1241"/>
      <c r="I115" s="1241"/>
      <c r="J115" s="1241"/>
      <c r="K115" s="1241"/>
      <c r="L115" s="1241"/>
      <c r="M115" s="1242"/>
    </row>
    <row r="116" spans="2:13" ht="13.5" customHeight="1" x14ac:dyDescent="0.2">
      <c r="C116" s="1788" t="s">
        <v>2177</v>
      </c>
      <c r="D116" s="1789"/>
      <c r="F116" s="1605" t="s">
        <v>2169</v>
      </c>
      <c r="G116" s="1605"/>
      <c r="H116" s="1188">
        <f>($M$91+1)</f>
        <v>-12272.544400000001</v>
      </c>
      <c r="I116" s="1187"/>
      <c r="J116" s="1187"/>
      <c r="K116" s="1187"/>
      <c r="L116" s="1187"/>
      <c r="M116" s="1187"/>
    </row>
    <row r="117" spans="2:13" ht="38.25" x14ac:dyDescent="0.2">
      <c r="B117" s="1196" t="s">
        <v>2185</v>
      </c>
      <c r="C117" s="1788"/>
      <c r="D117" s="1789"/>
      <c r="F117" s="1243" t="s">
        <v>2344</v>
      </c>
      <c r="G117" s="1244" t="s">
        <v>2170</v>
      </c>
      <c r="H117" s="1244" t="s">
        <v>2171</v>
      </c>
      <c r="I117" s="1244" t="s">
        <v>2172</v>
      </c>
      <c r="J117" s="1243" t="s">
        <v>2346</v>
      </c>
      <c r="K117" s="1245" t="s">
        <v>2347</v>
      </c>
      <c r="L117" s="1243" t="s">
        <v>2324</v>
      </c>
      <c r="M117" s="1243" t="s">
        <v>2176</v>
      </c>
    </row>
    <row r="118" spans="2:13" x14ac:dyDescent="0.2">
      <c r="B118" s="1199" t="e">
        <f>VLOOKUP(1,E118:M121,9,FALSE)</f>
        <v>#N/A</v>
      </c>
      <c r="C118" s="1788"/>
      <c r="D118" s="1789"/>
      <c r="E118" s="1197">
        <f>IF(AND(F118&gt;=MIN(G118,H118),F118&lt;=MAX(G118,H118)),1,0)</f>
        <v>0</v>
      </c>
      <c r="F118" s="1188">
        <f>H116</f>
        <v>-12272.544400000001</v>
      </c>
      <c r="G118" s="1189">
        <v>1</v>
      </c>
      <c r="H118" s="1189">
        <v>100</v>
      </c>
      <c r="I118" s="1191">
        <v>13.6</v>
      </c>
      <c r="J118" s="1190">
        <v>0</v>
      </c>
      <c r="K118" s="1187"/>
      <c r="L118" s="1191"/>
      <c r="M118" s="1189">
        <f>ROUNDUP(L118+I118,0)</f>
        <v>14</v>
      </c>
    </row>
    <row r="119" spans="2:13" x14ac:dyDescent="0.2">
      <c r="C119" s="1788"/>
      <c r="D119" s="1789"/>
      <c r="E119" s="1197">
        <f>IF(AND(F119&gt;=MIN(G119,H119),F119&lt;=MAX(G119,H119)),1,0)</f>
        <v>0</v>
      </c>
      <c r="F119" s="1188">
        <f>F118</f>
        <v>-12272.544400000001</v>
      </c>
      <c r="G119" s="1189">
        <v>101</v>
      </c>
      <c r="H119" s="1189">
        <v>400</v>
      </c>
      <c r="I119" s="1200">
        <v>16.75</v>
      </c>
      <c r="J119" s="1190">
        <v>0</v>
      </c>
      <c r="K119" s="1192">
        <v>0</v>
      </c>
      <c r="L119" s="1189">
        <f>K119*J119</f>
        <v>0</v>
      </c>
      <c r="M119" s="1189">
        <f>ROUNDUP(L119+I119,0)</f>
        <v>17</v>
      </c>
    </row>
    <row r="120" spans="2:13" x14ac:dyDescent="0.2">
      <c r="C120" s="1788"/>
      <c r="D120" s="1789"/>
      <c r="E120" s="1197">
        <f>IF(AND(F120&gt;=MIN(G120,H120),F120&lt;=MAX(G120,H120)),1,0)</f>
        <v>0</v>
      </c>
      <c r="F120" s="1188">
        <f>F119</f>
        <v>-12272.544400000001</v>
      </c>
      <c r="G120" s="1189">
        <v>401</v>
      </c>
      <c r="H120" s="1189">
        <v>800</v>
      </c>
      <c r="I120" s="1191">
        <v>19.899999999999999</v>
      </c>
      <c r="J120" s="1190">
        <v>0</v>
      </c>
      <c r="K120" s="1192">
        <v>0</v>
      </c>
      <c r="L120" s="1189">
        <f>K120*J120</f>
        <v>0</v>
      </c>
      <c r="M120" s="1189">
        <f>ROUNDUP(L120+I120,0)</f>
        <v>20</v>
      </c>
    </row>
    <row r="121" spans="2:13" ht="13.5" thickBot="1" x14ac:dyDescent="0.25">
      <c r="C121" s="1788"/>
      <c r="D121" s="1789"/>
      <c r="E121" s="1197">
        <f>IF(AND(F121&gt;=MIN(G121,H121),F121&lt;=MAX(G121,H121)),1,0)</f>
        <v>0</v>
      </c>
      <c r="F121" s="1188">
        <f>F120</f>
        <v>-12272.544400000001</v>
      </c>
      <c r="G121" s="1189">
        <v>801</v>
      </c>
      <c r="H121" s="1189">
        <v>50000000</v>
      </c>
      <c r="I121" s="1191">
        <v>19.899999999999999</v>
      </c>
      <c r="J121" s="1190">
        <v>3.75</v>
      </c>
      <c r="K121" s="1192">
        <f>ROUNDUP((F121-800)/100,0)</f>
        <v>-131</v>
      </c>
      <c r="L121" s="1189">
        <f>K121*J121</f>
        <v>-491.25</v>
      </c>
      <c r="M121" s="1189">
        <f>ROUNDUP(L121+I121,0)</f>
        <v>-472</v>
      </c>
    </row>
    <row r="122" spans="2:13" ht="13.5" thickBot="1" x14ac:dyDescent="0.25">
      <c r="C122" s="1689" t="s">
        <v>2042</v>
      </c>
      <c r="D122" s="1690"/>
      <c r="F122" s="1320" t="s">
        <v>2365</v>
      </c>
      <c r="G122" s="1321"/>
      <c r="H122" s="1321"/>
      <c r="I122" s="1321"/>
      <c r="J122" s="1321"/>
      <c r="K122" s="1321"/>
      <c r="L122" s="1321"/>
      <c r="M122" s="1322"/>
    </row>
    <row r="123" spans="2:13" x14ac:dyDescent="0.2">
      <c r="C123" s="1691" t="s">
        <v>2367</v>
      </c>
      <c r="D123" s="1692"/>
      <c r="F123" s="1605" t="s">
        <v>2169</v>
      </c>
      <c r="G123" s="1605"/>
      <c r="H123" s="1188">
        <f>($M$91+1)</f>
        <v>-12272.544400000001</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-77</v>
      </c>
      <c r="C125" s="1695"/>
      <c r="D125" s="1696"/>
      <c r="E125" s="1197">
        <f>IF(AND(F125&gt;=MIN(G125,H125),F125&lt;=MAX(G125,H125)),1,0)</f>
        <v>0</v>
      </c>
      <c r="F125" s="1188">
        <f>H123</f>
        <v>-12272.544400000001</v>
      </c>
      <c r="G125" s="1189">
        <v>1</v>
      </c>
      <c r="H125" s="1189">
        <v>50000000</v>
      </c>
      <c r="I125" s="1191">
        <v>105</v>
      </c>
      <c r="J125" s="1190">
        <v>14</v>
      </c>
      <c r="K125" s="1192">
        <f>ROUNDUP(F125/1000,0)</f>
        <v>-13</v>
      </c>
      <c r="L125" s="1189">
        <f>K125*J125</f>
        <v>-182</v>
      </c>
      <c r="M125" s="1189">
        <f>ROUNDUP(L125+I125,0)</f>
        <v>-77</v>
      </c>
    </row>
  </sheetData>
  <customSheetViews>
    <customSheetView guid="{C88CD669-B349-4A86-8041-5686C62E698E}" fitToPage="1">
      <selection activeCell="O46" sqref="O46"/>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1:C41"/>
    <mergeCell ref="B42:C42"/>
    <mergeCell ref="B43:C43"/>
    <mergeCell ref="B44:C44"/>
    <mergeCell ref="B46:E46"/>
    <mergeCell ref="B35:C35"/>
    <mergeCell ref="B36:C36"/>
    <mergeCell ref="B37:C37"/>
    <mergeCell ref="B38:C38"/>
    <mergeCell ref="B39:C39"/>
    <mergeCell ref="B40:C40"/>
    <mergeCell ref="B32:C32"/>
    <mergeCell ref="B33:C33"/>
    <mergeCell ref="B34:C34"/>
    <mergeCell ref="B19:C19"/>
    <mergeCell ref="B20:C20"/>
    <mergeCell ref="B21:C21"/>
    <mergeCell ref="B22:C22"/>
    <mergeCell ref="B23:C23"/>
    <mergeCell ref="B25:C25"/>
    <mergeCell ref="B26:C26"/>
    <mergeCell ref="B27:C27"/>
    <mergeCell ref="B28:C28"/>
    <mergeCell ref="B24:C24"/>
    <mergeCell ref="C122:D122"/>
    <mergeCell ref="C123:D125"/>
    <mergeCell ref="F123:G123"/>
    <mergeCell ref="B2:M2"/>
    <mergeCell ref="D3:G3"/>
    <mergeCell ref="J3:M3"/>
    <mergeCell ref="D4:E4"/>
    <mergeCell ref="E5:G5"/>
    <mergeCell ref="H5:M6"/>
    <mergeCell ref="B13:C13"/>
    <mergeCell ref="B14:C14"/>
    <mergeCell ref="B15:C15"/>
    <mergeCell ref="B16:C16"/>
    <mergeCell ref="B17:C17"/>
    <mergeCell ref="B18:C18"/>
    <mergeCell ref="B7:C7"/>
    <mergeCell ref="B8:C8"/>
    <mergeCell ref="B9:C9"/>
    <mergeCell ref="B10:C10"/>
    <mergeCell ref="B11:C11"/>
    <mergeCell ref="B12:C12"/>
    <mergeCell ref="B29:C29"/>
    <mergeCell ref="B30:C30"/>
    <mergeCell ref="B31:C31"/>
  </mergeCells>
  <conditionalFormatting sqref="M93">
    <cfRule type="cellIs" dxfId="4"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D2A39FB-42EF-4FF9-89B1-2F1687315C5A}">
          <x14:formula1>
            <xm:f>Rentals!$A$13:$A$35</xm:f>
          </x14:formula1>
          <xm:sqref>I62:I63</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M125"/>
  <sheetViews>
    <sheetView topLeftCell="A64" zoomScaleNormal="100" workbookViewId="0">
      <selection activeCell="L97" sqref="L97"/>
    </sheetView>
  </sheetViews>
  <sheetFormatPr defaultRowHeight="12.75" x14ac:dyDescent="0.2"/>
  <cols>
    <col min="1" max="1" width="2.42578125" customWidth="1"/>
    <col min="2" max="2" width="11" customWidth="1"/>
    <col min="3" max="3" width="30.7109375" customWidth="1"/>
    <col min="4" max="4" width="12.7109375" customWidth="1"/>
    <col min="5" max="5" width="15.42578125" customWidth="1"/>
    <col min="6" max="9" width="12.7109375" customWidth="1"/>
    <col min="10" max="10" width="14.28515625" customWidth="1"/>
    <col min="11" max="11" width="12.7109375" customWidth="1"/>
    <col min="12" max="12" width="14.42578125" customWidth="1"/>
    <col min="13" max="13" width="15.5703125" customWidth="1"/>
  </cols>
  <sheetData>
    <row r="1" spans="2:13" ht="14.25" x14ac:dyDescent="0.2">
      <c r="B1" s="1793" t="s">
        <v>1154</v>
      </c>
      <c r="C1" s="1794"/>
      <c r="D1" s="1794"/>
      <c r="E1" s="1794"/>
      <c r="F1" s="1794"/>
      <c r="G1" s="1794"/>
      <c r="H1" s="1794"/>
      <c r="I1" s="1794"/>
      <c r="J1" s="1794"/>
      <c r="K1" s="1794"/>
      <c r="L1" s="1794"/>
      <c r="M1" s="1795"/>
    </row>
    <row r="2" spans="2:13" ht="14.25" x14ac:dyDescent="0.2">
      <c r="B2" s="1340" t="s">
        <v>1155</v>
      </c>
      <c r="C2" s="1328"/>
      <c r="D2" s="1730" t="str">
        <f>'PROJECT INFO'!E3</f>
        <v>300 University Boulevard</v>
      </c>
      <c r="E2" s="1730"/>
      <c r="F2" s="1730"/>
      <c r="G2" s="1730"/>
      <c r="H2" s="368" t="s">
        <v>1156</v>
      </c>
      <c r="I2" s="1328"/>
      <c r="J2" s="1732"/>
      <c r="K2" s="1732"/>
      <c r="L2" s="1732"/>
      <c r="M2" s="1796"/>
    </row>
    <row r="3" spans="2:13" ht="14.25" x14ac:dyDescent="0.2">
      <c r="B3" s="1340" t="s">
        <v>1157</v>
      </c>
      <c r="C3" s="1328"/>
      <c r="D3" s="1730" t="str">
        <f>'PROJECT INFO'!E4</f>
        <v>5888</v>
      </c>
      <c r="E3" s="1730"/>
      <c r="F3" s="369"/>
      <c r="G3" s="369"/>
      <c r="H3" s="369"/>
      <c r="I3" s="369"/>
      <c r="J3" s="369"/>
      <c r="K3" s="369"/>
      <c r="L3" s="369"/>
      <c r="M3" s="1341"/>
    </row>
    <row r="4" spans="2:13" ht="14.25" x14ac:dyDescent="0.2">
      <c r="B4" s="1340" t="s">
        <v>1158</v>
      </c>
      <c r="C4" s="1328"/>
      <c r="D4" s="1328" t="str">
        <f>'Project Cost Recap'!B69</f>
        <v>#5</v>
      </c>
      <c r="E4" s="1731" t="s">
        <v>91</v>
      </c>
      <c r="F4" s="1731"/>
      <c r="G4" s="1731"/>
      <c r="H4" s="1726" t="str">
        <f>'Project Cost Recap'!E69</f>
        <v>Description of Alternate in this location</v>
      </c>
      <c r="I4" s="1726"/>
      <c r="J4" s="1726"/>
      <c r="K4" s="1726"/>
      <c r="L4" s="1726"/>
      <c r="M4" s="1797"/>
    </row>
    <row r="5" spans="2:13" ht="14.25" x14ac:dyDescent="0.2">
      <c r="B5" s="1340" t="s">
        <v>1085</v>
      </c>
      <c r="C5" s="370">
        <f ca="1">NOW()</f>
        <v>44718.519324884262</v>
      </c>
      <c r="D5" s="371"/>
      <c r="E5" s="371"/>
      <c r="F5" s="369"/>
      <c r="G5" s="369"/>
      <c r="H5" s="1726"/>
      <c r="I5" s="1726"/>
      <c r="J5" s="1726"/>
      <c r="K5" s="1726"/>
      <c r="L5" s="1726"/>
      <c r="M5" s="1797"/>
    </row>
    <row r="6" spans="2:13" ht="42.75" x14ac:dyDescent="0.2">
      <c r="B6" s="1799" t="s">
        <v>1159</v>
      </c>
      <c r="C6" s="1729"/>
      <c r="D6" s="372" t="s">
        <v>1146</v>
      </c>
      <c r="E6" s="372" t="s">
        <v>124</v>
      </c>
      <c r="F6" s="372" t="s">
        <v>1160</v>
      </c>
      <c r="G6" s="372" t="s">
        <v>1532</v>
      </c>
      <c r="H6" s="372" t="s">
        <v>1147</v>
      </c>
      <c r="I6" s="372" t="s">
        <v>1161</v>
      </c>
      <c r="J6" s="372" t="s">
        <v>1148</v>
      </c>
      <c r="K6" s="372" t="s">
        <v>1162</v>
      </c>
      <c r="L6" s="372" t="s">
        <v>451</v>
      </c>
      <c r="M6" s="1342" t="s">
        <v>1181</v>
      </c>
    </row>
    <row r="7" spans="2:13" ht="14.25" x14ac:dyDescent="0.2">
      <c r="B7" s="1798"/>
      <c r="C7" s="1713"/>
      <c r="D7" s="373"/>
      <c r="E7" s="374"/>
      <c r="F7" s="375"/>
      <c r="G7" s="375">
        <v>1</v>
      </c>
      <c r="H7" s="376">
        <f>E7*F7*G7</f>
        <v>0</v>
      </c>
      <c r="I7" s="375"/>
      <c r="J7" s="376">
        <f t="shared" ref="J7:J43" si="0">(I7*E7)</f>
        <v>0</v>
      </c>
      <c r="K7" s="377"/>
      <c r="L7" s="378"/>
      <c r="M7" s="1343">
        <f t="shared" ref="M7:M43" si="1">ROUNDUP(L7*E7,0)</f>
        <v>0</v>
      </c>
    </row>
    <row r="8" spans="2:13" ht="14.25" x14ac:dyDescent="0.2">
      <c r="B8" s="1798"/>
      <c r="C8" s="1713"/>
      <c r="D8" s="373"/>
      <c r="E8" s="374"/>
      <c r="F8" s="375"/>
      <c r="G8" s="375">
        <v>1</v>
      </c>
      <c r="H8" s="376">
        <f t="shared" ref="H8:H43" si="2">E8*F8*G8</f>
        <v>0</v>
      </c>
      <c r="I8" s="375"/>
      <c r="J8" s="376">
        <f t="shared" si="0"/>
        <v>0</v>
      </c>
      <c r="K8" s="377"/>
      <c r="L8" s="378"/>
      <c r="M8" s="1343">
        <f t="shared" si="1"/>
        <v>0</v>
      </c>
    </row>
    <row r="9" spans="2:13" ht="14.25" x14ac:dyDescent="0.2">
      <c r="B9" s="1798"/>
      <c r="C9" s="1713"/>
      <c r="D9" s="373"/>
      <c r="E9" s="374"/>
      <c r="F9" s="375"/>
      <c r="G9" s="375">
        <v>1</v>
      </c>
      <c r="H9" s="376">
        <f t="shared" si="2"/>
        <v>0</v>
      </c>
      <c r="I9" s="375"/>
      <c r="J9" s="376">
        <f t="shared" si="0"/>
        <v>0</v>
      </c>
      <c r="K9" s="377"/>
      <c r="L9" s="378"/>
      <c r="M9" s="1343">
        <f t="shared" si="1"/>
        <v>0</v>
      </c>
    </row>
    <row r="10" spans="2:13" ht="14.25" x14ac:dyDescent="0.2">
      <c r="B10" s="1798"/>
      <c r="C10" s="1713"/>
      <c r="D10" s="373"/>
      <c r="E10" s="374"/>
      <c r="F10" s="375"/>
      <c r="G10" s="375">
        <v>1</v>
      </c>
      <c r="H10" s="376">
        <f t="shared" si="2"/>
        <v>0</v>
      </c>
      <c r="I10" s="375"/>
      <c r="J10" s="376">
        <f t="shared" si="0"/>
        <v>0</v>
      </c>
      <c r="K10" s="377"/>
      <c r="L10" s="378"/>
      <c r="M10" s="1343">
        <f t="shared" si="1"/>
        <v>0</v>
      </c>
    </row>
    <row r="11" spans="2:13" ht="14.25" x14ac:dyDescent="0.2">
      <c r="B11" s="1798"/>
      <c r="C11" s="1713"/>
      <c r="D11" s="373"/>
      <c r="E11" s="374"/>
      <c r="F11" s="375"/>
      <c r="G11" s="375">
        <v>1</v>
      </c>
      <c r="H11" s="376">
        <f t="shared" si="2"/>
        <v>0</v>
      </c>
      <c r="I11" s="375"/>
      <c r="J11" s="376">
        <f t="shared" si="0"/>
        <v>0</v>
      </c>
      <c r="K11" s="377"/>
      <c r="L11" s="378"/>
      <c r="M11" s="1343">
        <f t="shared" si="1"/>
        <v>0</v>
      </c>
    </row>
    <row r="12" spans="2:13" ht="14.25" x14ac:dyDescent="0.2">
      <c r="B12" s="1798"/>
      <c r="C12" s="1713"/>
      <c r="D12" s="373"/>
      <c r="E12" s="374"/>
      <c r="F12" s="375"/>
      <c r="G12" s="375">
        <v>1</v>
      </c>
      <c r="H12" s="376">
        <f t="shared" si="2"/>
        <v>0</v>
      </c>
      <c r="I12" s="375"/>
      <c r="J12" s="376">
        <f t="shared" si="0"/>
        <v>0</v>
      </c>
      <c r="K12" s="377"/>
      <c r="L12" s="378"/>
      <c r="M12" s="1343">
        <f t="shared" si="1"/>
        <v>0</v>
      </c>
    </row>
    <row r="13" spans="2:13" ht="14.25" x14ac:dyDescent="0.2">
      <c r="B13" s="1798"/>
      <c r="C13" s="1713"/>
      <c r="D13" s="373"/>
      <c r="E13" s="374"/>
      <c r="F13" s="375"/>
      <c r="G13" s="375">
        <v>1</v>
      </c>
      <c r="H13" s="376">
        <f t="shared" si="2"/>
        <v>0</v>
      </c>
      <c r="I13" s="375"/>
      <c r="J13" s="376">
        <f t="shared" si="0"/>
        <v>0</v>
      </c>
      <c r="K13" s="377"/>
      <c r="L13" s="378"/>
      <c r="M13" s="1343">
        <f t="shared" si="1"/>
        <v>0</v>
      </c>
    </row>
    <row r="14" spans="2:13" ht="14.25" x14ac:dyDescent="0.2">
      <c r="B14" s="1798"/>
      <c r="C14" s="1713"/>
      <c r="D14" s="373"/>
      <c r="E14" s="374"/>
      <c r="F14" s="375"/>
      <c r="G14" s="375">
        <v>1</v>
      </c>
      <c r="H14" s="376">
        <f t="shared" si="2"/>
        <v>0</v>
      </c>
      <c r="I14" s="375"/>
      <c r="J14" s="376">
        <f t="shared" si="0"/>
        <v>0</v>
      </c>
      <c r="K14" s="377"/>
      <c r="L14" s="378"/>
      <c r="M14" s="1343">
        <f t="shared" si="1"/>
        <v>0</v>
      </c>
    </row>
    <row r="15" spans="2:13" ht="14.25" x14ac:dyDescent="0.2">
      <c r="B15" s="1798"/>
      <c r="C15" s="1713"/>
      <c r="D15" s="373"/>
      <c r="E15" s="374"/>
      <c r="F15" s="375"/>
      <c r="G15" s="375">
        <v>1</v>
      </c>
      <c r="H15" s="376">
        <f t="shared" si="2"/>
        <v>0</v>
      </c>
      <c r="I15" s="375"/>
      <c r="J15" s="376">
        <f t="shared" si="0"/>
        <v>0</v>
      </c>
      <c r="K15" s="377"/>
      <c r="L15" s="378"/>
      <c r="M15" s="1343">
        <f t="shared" si="1"/>
        <v>0</v>
      </c>
    </row>
    <row r="16" spans="2:13" ht="14.25" x14ac:dyDescent="0.2">
      <c r="B16" s="1798"/>
      <c r="C16" s="1713"/>
      <c r="D16" s="373"/>
      <c r="E16" s="374"/>
      <c r="F16" s="375"/>
      <c r="G16" s="375">
        <v>1</v>
      </c>
      <c r="H16" s="376">
        <f t="shared" si="2"/>
        <v>0</v>
      </c>
      <c r="I16" s="375"/>
      <c r="J16" s="376">
        <f t="shared" si="0"/>
        <v>0</v>
      </c>
      <c r="K16" s="377"/>
      <c r="L16" s="378"/>
      <c r="M16" s="1343">
        <f t="shared" si="1"/>
        <v>0</v>
      </c>
    </row>
    <row r="17" spans="2:13" ht="14.25" x14ac:dyDescent="0.2">
      <c r="B17" s="1798"/>
      <c r="C17" s="1713"/>
      <c r="D17" s="373"/>
      <c r="E17" s="374"/>
      <c r="F17" s="375"/>
      <c r="G17" s="375">
        <v>1</v>
      </c>
      <c r="H17" s="376">
        <f t="shared" si="2"/>
        <v>0</v>
      </c>
      <c r="I17" s="375"/>
      <c r="J17" s="376">
        <f t="shared" si="0"/>
        <v>0</v>
      </c>
      <c r="K17" s="377"/>
      <c r="L17" s="378"/>
      <c r="M17" s="1343">
        <f t="shared" si="1"/>
        <v>0</v>
      </c>
    </row>
    <row r="18" spans="2:13" ht="14.25" x14ac:dyDescent="0.2">
      <c r="B18" s="1798"/>
      <c r="C18" s="1713"/>
      <c r="D18" s="373"/>
      <c r="E18" s="374"/>
      <c r="F18" s="375"/>
      <c r="G18" s="375">
        <v>1</v>
      </c>
      <c r="H18" s="376">
        <f t="shared" si="2"/>
        <v>0</v>
      </c>
      <c r="I18" s="375"/>
      <c r="J18" s="376">
        <f t="shared" si="0"/>
        <v>0</v>
      </c>
      <c r="K18" s="377"/>
      <c r="L18" s="378"/>
      <c r="M18" s="1343">
        <f t="shared" si="1"/>
        <v>0</v>
      </c>
    </row>
    <row r="19" spans="2:13" ht="14.25" x14ac:dyDescent="0.2">
      <c r="B19" s="1798"/>
      <c r="C19" s="1713"/>
      <c r="D19" s="373"/>
      <c r="E19" s="374"/>
      <c r="F19" s="375"/>
      <c r="G19" s="375">
        <v>1</v>
      </c>
      <c r="H19" s="376">
        <f t="shared" si="2"/>
        <v>0</v>
      </c>
      <c r="I19" s="375"/>
      <c r="J19" s="376">
        <f t="shared" si="0"/>
        <v>0</v>
      </c>
      <c r="K19" s="377"/>
      <c r="L19" s="378"/>
      <c r="M19" s="1343">
        <f t="shared" si="1"/>
        <v>0</v>
      </c>
    </row>
    <row r="20" spans="2:13" ht="14.25" x14ac:dyDescent="0.2">
      <c r="B20" s="1798"/>
      <c r="C20" s="1713"/>
      <c r="D20" s="373"/>
      <c r="E20" s="374"/>
      <c r="F20" s="375"/>
      <c r="G20" s="375">
        <v>1</v>
      </c>
      <c r="H20" s="376">
        <f t="shared" si="2"/>
        <v>0</v>
      </c>
      <c r="I20" s="375"/>
      <c r="J20" s="376">
        <f t="shared" si="0"/>
        <v>0</v>
      </c>
      <c r="K20" s="377"/>
      <c r="L20" s="378"/>
      <c r="M20" s="1343">
        <f t="shared" si="1"/>
        <v>0</v>
      </c>
    </row>
    <row r="21" spans="2:13" ht="14.25" x14ac:dyDescent="0.2">
      <c r="B21" s="1798"/>
      <c r="C21" s="1713"/>
      <c r="D21" s="373"/>
      <c r="E21" s="374"/>
      <c r="F21" s="375"/>
      <c r="G21" s="375">
        <v>1</v>
      </c>
      <c r="H21" s="376">
        <f t="shared" si="2"/>
        <v>0</v>
      </c>
      <c r="I21" s="375"/>
      <c r="J21" s="376">
        <f t="shared" si="0"/>
        <v>0</v>
      </c>
      <c r="K21" s="377"/>
      <c r="L21" s="378"/>
      <c r="M21" s="1343">
        <f t="shared" si="1"/>
        <v>0</v>
      </c>
    </row>
    <row r="22" spans="2:13" ht="14.25" x14ac:dyDescent="0.2">
      <c r="B22" s="1798"/>
      <c r="C22" s="1713"/>
      <c r="D22" s="373"/>
      <c r="E22" s="374"/>
      <c r="F22" s="375"/>
      <c r="G22" s="375">
        <v>1</v>
      </c>
      <c r="H22" s="376">
        <f t="shared" si="2"/>
        <v>0</v>
      </c>
      <c r="I22" s="375"/>
      <c r="J22" s="376">
        <f t="shared" si="0"/>
        <v>0</v>
      </c>
      <c r="K22" s="377"/>
      <c r="L22" s="378"/>
      <c r="M22" s="1343">
        <f t="shared" si="1"/>
        <v>0</v>
      </c>
    </row>
    <row r="23" spans="2:13" ht="14.25" x14ac:dyDescent="0.2">
      <c r="B23" s="1798"/>
      <c r="C23" s="1713"/>
      <c r="D23" s="373"/>
      <c r="E23" s="374"/>
      <c r="F23" s="375"/>
      <c r="G23" s="375">
        <v>1</v>
      </c>
      <c r="H23" s="376">
        <f t="shared" si="2"/>
        <v>0</v>
      </c>
      <c r="I23" s="375"/>
      <c r="J23" s="376">
        <f t="shared" si="0"/>
        <v>0</v>
      </c>
      <c r="K23" s="377"/>
      <c r="L23" s="378"/>
      <c r="M23" s="1343">
        <f t="shared" si="1"/>
        <v>0</v>
      </c>
    </row>
    <row r="24" spans="2:13" ht="14.25" x14ac:dyDescent="0.2">
      <c r="B24" s="1798"/>
      <c r="C24" s="1713"/>
      <c r="D24" s="373"/>
      <c r="E24" s="374"/>
      <c r="F24" s="375"/>
      <c r="G24" s="375">
        <v>1</v>
      </c>
      <c r="H24" s="376">
        <f t="shared" si="2"/>
        <v>0</v>
      </c>
      <c r="I24" s="375"/>
      <c r="J24" s="376">
        <f t="shared" si="0"/>
        <v>0</v>
      </c>
      <c r="K24" s="377"/>
      <c r="L24" s="378"/>
      <c r="M24" s="1343">
        <f t="shared" si="1"/>
        <v>0</v>
      </c>
    </row>
    <row r="25" spans="2:13" ht="14.25" x14ac:dyDescent="0.2">
      <c r="B25" s="1798"/>
      <c r="C25" s="1713"/>
      <c r="D25" s="373"/>
      <c r="E25" s="374"/>
      <c r="F25" s="375"/>
      <c r="G25" s="375">
        <v>1</v>
      </c>
      <c r="H25" s="376">
        <f t="shared" si="2"/>
        <v>0</v>
      </c>
      <c r="I25" s="375"/>
      <c r="J25" s="376">
        <f t="shared" si="0"/>
        <v>0</v>
      </c>
      <c r="K25" s="377"/>
      <c r="L25" s="378"/>
      <c r="M25" s="1343">
        <f t="shared" si="1"/>
        <v>0</v>
      </c>
    </row>
    <row r="26" spans="2:13" ht="14.25" x14ac:dyDescent="0.2">
      <c r="B26" s="1798"/>
      <c r="C26" s="1713"/>
      <c r="D26" s="373"/>
      <c r="E26" s="374"/>
      <c r="F26" s="375"/>
      <c r="G26" s="375">
        <v>1</v>
      </c>
      <c r="H26" s="376">
        <f t="shared" si="2"/>
        <v>0</v>
      </c>
      <c r="I26" s="375"/>
      <c r="J26" s="376">
        <f t="shared" si="0"/>
        <v>0</v>
      </c>
      <c r="K26" s="377"/>
      <c r="L26" s="378"/>
      <c r="M26" s="1343">
        <f t="shared" si="1"/>
        <v>0</v>
      </c>
    </row>
    <row r="27" spans="2:13" ht="14.25" x14ac:dyDescent="0.2">
      <c r="B27" s="1798"/>
      <c r="C27" s="1713"/>
      <c r="D27" s="373"/>
      <c r="E27" s="374"/>
      <c r="F27" s="375"/>
      <c r="G27" s="375">
        <v>1</v>
      </c>
      <c r="H27" s="376">
        <f t="shared" si="2"/>
        <v>0</v>
      </c>
      <c r="I27" s="375"/>
      <c r="J27" s="376">
        <f t="shared" si="0"/>
        <v>0</v>
      </c>
      <c r="K27" s="377"/>
      <c r="L27" s="378"/>
      <c r="M27" s="1343">
        <f t="shared" si="1"/>
        <v>0</v>
      </c>
    </row>
    <row r="28" spans="2:13" ht="14.25" x14ac:dyDescent="0.2">
      <c r="B28" s="1798"/>
      <c r="C28" s="1713"/>
      <c r="D28" s="373"/>
      <c r="E28" s="374"/>
      <c r="F28" s="375"/>
      <c r="G28" s="375">
        <v>1</v>
      </c>
      <c r="H28" s="376">
        <f t="shared" si="2"/>
        <v>0</v>
      </c>
      <c r="I28" s="375"/>
      <c r="J28" s="376">
        <f t="shared" si="0"/>
        <v>0</v>
      </c>
      <c r="K28" s="377"/>
      <c r="L28" s="378"/>
      <c r="M28" s="1343">
        <f t="shared" si="1"/>
        <v>0</v>
      </c>
    </row>
    <row r="29" spans="2:13" ht="14.25" x14ac:dyDescent="0.2">
      <c r="B29" s="1798"/>
      <c r="C29" s="1713"/>
      <c r="D29" s="373"/>
      <c r="E29" s="374"/>
      <c r="F29" s="375"/>
      <c r="G29" s="375">
        <v>1</v>
      </c>
      <c r="H29" s="376">
        <f t="shared" si="2"/>
        <v>0</v>
      </c>
      <c r="I29" s="375"/>
      <c r="J29" s="376">
        <f t="shared" si="0"/>
        <v>0</v>
      </c>
      <c r="K29" s="377"/>
      <c r="L29" s="378"/>
      <c r="M29" s="1343">
        <f t="shared" si="1"/>
        <v>0</v>
      </c>
    </row>
    <row r="30" spans="2:13" ht="14.25" x14ac:dyDescent="0.2">
      <c r="B30" s="1798"/>
      <c r="C30" s="1713"/>
      <c r="D30" s="373"/>
      <c r="E30" s="374"/>
      <c r="F30" s="375"/>
      <c r="G30" s="375">
        <v>1</v>
      </c>
      <c r="H30" s="376">
        <f t="shared" si="2"/>
        <v>0</v>
      </c>
      <c r="I30" s="375"/>
      <c r="J30" s="376">
        <f t="shared" si="0"/>
        <v>0</v>
      </c>
      <c r="K30" s="377"/>
      <c r="L30" s="378"/>
      <c r="M30" s="1343">
        <f t="shared" si="1"/>
        <v>0</v>
      </c>
    </row>
    <row r="31" spans="2:13" ht="14.25" x14ac:dyDescent="0.2">
      <c r="B31" s="1798"/>
      <c r="C31" s="1713"/>
      <c r="D31" s="373"/>
      <c r="E31" s="374"/>
      <c r="F31" s="375"/>
      <c r="G31" s="375">
        <v>1</v>
      </c>
      <c r="H31" s="376">
        <f t="shared" si="2"/>
        <v>0</v>
      </c>
      <c r="I31" s="375"/>
      <c r="J31" s="376">
        <f t="shared" si="0"/>
        <v>0</v>
      </c>
      <c r="K31" s="377"/>
      <c r="L31" s="378"/>
      <c r="M31" s="1343">
        <f t="shared" si="1"/>
        <v>0</v>
      </c>
    </row>
    <row r="32" spans="2:13" ht="14.25" x14ac:dyDescent="0.2">
      <c r="B32" s="1798"/>
      <c r="C32" s="1713"/>
      <c r="D32" s="373"/>
      <c r="E32" s="374"/>
      <c r="F32" s="375"/>
      <c r="G32" s="375">
        <v>1</v>
      </c>
      <c r="H32" s="376">
        <f t="shared" si="2"/>
        <v>0</v>
      </c>
      <c r="I32" s="375"/>
      <c r="J32" s="376">
        <f t="shared" si="0"/>
        <v>0</v>
      </c>
      <c r="K32" s="377"/>
      <c r="L32" s="378"/>
      <c r="M32" s="1343">
        <f t="shared" si="1"/>
        <v>0</v>
      </c>
    </row>
    <row r="33" spans="2:13" ht="14.25" x14ac:dyDescent="0.2">
      <c r="B33" s="1798"/>
      <c r="C33" s="1713"/>
      <c r="D33" s="373"/>
      <c r="E33" s="374"/>
      <c r="F33" s="375"/>
      <c r="G33" s="375">
        <v>1</v>
      </c>
      <c r="H33" s="376">
        <f t="shared" si="2"/>
        <v>0</v>
      </c>
      <c r="I33" s="375"/>
      <c r="J33" s="376">
        <f t="shared" si="0"/>
        <v>0</v>
      </c>
      <c r="K33" s="377"/>
      <c r="L33" s="378"/>
      <c r="M33" s="1343">
        <f t="shared" si="1"/>
        <v>0</v>
      </c>
    </row>
    <row r="34" spans="2:13" ht="14.25" x14ac:dyDescent="0.2">
      <c r="B34" s="1798"/>
      <c r="C34" s="1713"/>
      <c r="D34" s="373"/>
      <c r="E34" s="374"/>
      <c r="F34" s="375"/>
      <c r="G34" s="375">
        <v>1</v>
      </c>
      <c r="H34" s="376">
        <f t="shared" si="2"/>
        <v>0</v>
      </c>
      <c r="I34" s="375"/>
      <c r="J34" s="376">
        <f t="shared" si="0"/>
        <v>0</v>
      </c>
      <c r="K34" s="377"/>
      <c r="L34" s="378"/>
      <c r="M34" s="1343">
        <f t="shared" si="1"/>
        <v>0</v>
      </c>
    </row>
    <row r="35" spans="2:13" ht="14.25" x14ac:dyDescent="0.2">
      <c r="B35" s="1798"/>
      <c r="C35" s="1713"/>
      <c r="D35" s="373"/>
      <c r="E35" s="374"/>
      <c r="F35" s="375"/>
      <c r="G35" s="375">
        <v>1</v>
      </c>
      <c r="H35" s="376">
        <f t="shared" si="2"/>
        <v>0</v>
      </c>
      <c r="I35" s="375"/>
      <c r="J35" s="376">
        <f t="shared" si="0"/>
        <v>0</v>
      </c>
      <c r="K35" s="377"/>
      <c r="L35" s="378"/>
      <c r="M35" s="1343">
        <f t="shared" si="1"/>
        <v>0</v>
      </c>
    </row>
    <row r="36" spans="2:13" ht="14.25" x14ac:dyDescent="0.2">
      <c r="B36" s="1798"/>
      <c r="C36" s="1713"/>
      <c r="D36" s="373"/>
      <c r="E36" s="374"/>
      <c r="F36" s="375"/>
      <c r="G36" s="375">
        <v>1</v>
      </c>
      <c r="H36" s="376">
        <f t="shared" si="2"/>
        <v>0</v>
      </c>
      <c r="I36" s="375"/>
      <c r="J36" s="376">
        <f t="shared" si="0"/>
        <v>0</v>
      </c>
      <c r="K36" s="377"/>
      <c r="L36" s="378"/>
      <c r="M36" s="1343">
        <f t="shared" si="1"/>
        <v>0</v>
      </c>
    </row>
    <row r="37" spans="2:13" ht="14.25" x14ac:dyDescent="0.2">
      <c r="B37" s="1798"/>
      <c r="C37" s="1713"/>
      <c r="D37" s="373"/>
      <c r="E37" s="374"/>
      <c r="F37" s="375"/>
      <c r="G37" s="375">
        <v>1</v>
      </c>
      <c r="H37" s="376">
        <f t="shared" si="2"/>
        <v>0</v>
      </c>
      <c r="I37" s="375"/>
      <c r="J37" s="376">
        <f t="shared" si="0"/>
        <v>0</v>
      </c>
      <c r="K37" s="377"/>
      <c r="L37" s="378"/>
      <c r="M37" s="1343">
        <f t="shared" si="1"/>
        <v>0</v>
      </c>
    </row>
    <row r="38" spans="2:13" ht="14.25" x14ac:dyDescent="0.2">
      <c r="B38" s="1798"/>
      <c r="C38" s="1713"/>
      <c r="D38" s="373"/>
      <c r="E38" s="374"/>
      <c r="F38" s="375"/>
      <c r="G38" s="375">
        <v>1</v>
      </c>
      <c r="H38" s="376">
        <f t="shared" si="2"/>
        <v>0</v>
      </c>
      <c r="I38" s="375"/>
      <c r="J38" s="376">
        <f t="shared" si="0"/>
        <v>0</v>
      </c>
      <c r="K38" s="377"/>
      <c r="L38" s="378"/>
      <c r="M38" s="1343">
        <f t="shared" si="1"/>
        <v>0</v>
      </c>
    </row>
    <row r="39" spans="2:13" ht="14.25" x14ac:dyDescent="0.2">
      <c r="B39" s="1798"/>
      <c r="C39" s="1713"/>
      <c r="D39" s="373"/>
      <c r="E39" s="374"/>
      <c r="F39" s="375"/>
      <c r="G39" s="375">
        <v>1</v>
      </c>
      <c r="H39" s="376">
        <f t="shared" si="2"/>
        <v>0</v>
      </c>
      <c r="I39" s="375"/>
      <c r="J39" s="376">
        <f t="shared" si="0"/>
        <v>0</v>
      </c>
      <c r="K39" s="377"/>
      <c r="L39" s="378"/>
      <c r="M39" s="1343">
        <f t="shared" si="1"/>
        <v>0</v>
      </c>
    </row>
    <row r="40" spans="2:13" ht="14.25" x14ac:dyDescent="0.2">
      <c r="B40" s="1798"/>
      <c r="C40" s="1713"/>
      <c r="D40" s="373"/>
      <c r="E40" s="374"/>
      <c r="F40" s="375"/>
      <c r="G40" s="375">
        <v>1</v>
      </c>
      <c r="H40" s="376">
        <f t="shared" si="2"/>
        <v>0</v>
      </c>
      <c r="I40" s="375"/>
      <c r="J40" s="376">
        <f t="shared" si="0"/>
        <v>0</v>
      </c>
      <c r="K40" s="377"/>
      <c r="L40" s="378"/>
      <c r="M40" s="1343">
        <f t="shared" si="1"/>
        <v>0</v>
      </c>
    </row>
    <row r="41" spans="2:13" ht="14.25" x14ac:dyDescent="0.2">
      <c r="B41" s="1798"/>
      <c r="C41" s="1713"/>
      <c r="D41" s="373"/>
      <c r="E41" s="374"/>
      <c r="F41" s="375"/>
      <c r="G41" s="375">
        <v>1</v>
      </c>
      <c r="H41" s="376">
        <f t="shared" si="2"/>
        <v>0</v>
      </c>
      <c r="I41" s="375"/>
      <c r="J41" s="376">
        <f t="shared" si="0"/>
        <v>0</v>
      </c>
      <c r="K41" s="377"/>
      <c r="L41" s="378"/>
      <c r="M41" s="1343">
        <f t="shared" si="1"/>
        <v>0</v>
      </c>
    </row>
    <row r="42" spans="2:13" ht="14.25" x14ac:dyDescent="0.2">
      <c r="B42" s="1798"/>
      <c r="C42" s="1713"/>
      <c r="D42" s="373"/>
      <c r="E42" s="374"/>
      <c r="F42" s="375"/>
      <c r="G42" s="375">
        <v>1</v>
      </c>
      <c r="H42" s="376">
        <f t="shared" si="2"/>
        <v>0</v>
      </c>
      <c r="I42" s="375"/>
      <c r="J42" s="376">
        <f t="shared" si="0"/>
        <v>0</v>
      </c>
      <c r="K42" s="377"/>
      <c r="L42" s="378"/>
      <c r="M42" s="1343">
        <f t="shared" si="1"/>
        <v>0</v>
      </c>
    </row>
    <row r="43" spans="2:13" ht="14.25" x14ac:dyDescent="0.2">
      <c r="B43" s="1798"/>
      <c r="C43" s="1713"/>
      <c r="D43" s="373"/>
      <c r="E43" s="374"/>
      <c r="F43" s="375"/>
      <c r="G43" s="375">
        <v>1</v>
      </c>
      <c r="H43" s="376">
        <f t="shared" si="2"/>
        <v>0</v>
      </c>
      <c r="I43" s="375"/>
      <c r="J43" s="376">
        <f t="shared" si="0"/>
        <v>0</v>
      </c>
      <c r="K43" s="377"/>
      <c r="L43" s="378"/>
      <c r="M43" s="1343">
        <f t="shared" si="1"/>
        <v>0</v>
      </c>
    </row>
    <row r="44" spans="2:13" ht="14.25" x14ac:dyDescent="0.2">
      <c r="B44" s="1800"/>
      <c r="C44" s="1708"/>
      <c r="D44" s="380"/>
      <c r="E44" s="380"/>
      <c r="F44" s="381" t="s">
        <v>1149</v>
      </c>
      <c r="G44" s="381"/>
      <c r="H44" s="382">
        <f>SUM(H7:H43)</f>
        <v>0</v>
      </c>
      <c r="I44" s="383"/>
      <c r="J44" s="382">
        <f>SUM(J7:J43)</f>
        <v>0</v>
      </c>
      <c r="K44" s="384"/>
      <c r="L44" s="385"/>
      <c r="M44" s="1344">
        <f>SUM(M7:M43)</f>
        <v>0</v>
      </c>
    </row>
    <row r="45" spans="2:13" ht="14.25" x14ac:dyDescent="0.2">
      <c r="B45" s="1345"/>
      <c r="C45" s="386"/>
      <c r="D45" s="386"/>
      <c r="E45" s="386"/>
      <c r="F45" s="387"/>
      <c r="G45" s="388"/>
      <c r="H45" s="388"/>
      <c r="I45" s="389"/>
      <c r="J45" s="389"/>
      <c r="K45" s="389"/>
      <c r="L45" s="390"/>
      <c r="M45" s="1346"/>
    </row>
    <row r="46" spans="2:13" ht="42.75" x14ac:dyDescent="0.2">
      <c r="B46" s="1800" t="s">
        <v>1163</v>
      </c>
      <c r="C46" s="1707"/>
      <c r="D46" s="1707"/>
      <c r="E46" s="1707"/>
      <c r="F46" s="1740" t="s">
        <v>198</v>
      </c>
      <c r="G46" s="1740"/>
      <c r="H46" s="1740"/>
      <c r="I46" s="1740"/>
      <c r="J46" s="1741"/>
      <c r="K46" s="372" t="s">
        <v>1164</v>
      </c>
      <c r="L46" s="380" t="s">
        <v>1150</v>
      </c>
      <c r="M46" s="1342" t="s">
        <v>1181</v>
      </c>
    </row>
    <row r="47" spans="2:13" ht="14.25" x14ac:dyDescent="0.2">
      <c r="B47" s="1805"/>
      <c r="C47" s="1743"/>
      <c r="D47" s="1743"/>
      <c r="E47" s="1744"/>
      <c r="F47" s="1748" t="s">
        <v>1165</v>
      </c>
      <c r="G47" s="1749"/>
      <c r="H47" s="1749"/>
      <c r="I47" s="1749"/>
      <c r="J47" s="1750"/>
      <c r="K47" s="391">
        <f>H44</f>
        <v>0</v>
      </c>
      <c r="L47" s="392">
        <f>'Project Cost Recap'!C69</f>
        <v>65</v>
      </c>
      <c r="M47" s="1343">
        <f>ROUNDUP(K47*L47,0)</f>
        <v>0</v>
      </c>
    </row>
    <row r="48" spans="2:13" ht="14.25" x14ac:dyDescent="0.2">
      <c r="B48" s="1806"/>
      <c r="C48" s="1746"/>
      <c r="D48" s="1746"/>
      <c r="E48" s="1747"/>
      <c r="F48" s="1751" t="s">
        <v>1151</v>
      </c>
      <c r="G48" s="1752"/>
      <c r="H48" s="1752"/>
      <c r="I48" s="1752"/>
      <c r="J48" s="1753"/>
      <c r="K48" s="391">
        <f>J44</f>
        <v>0</v>
      </c>
      <c r="L48" s="393">
        <f>L47*1.15</f>
        <v>74.75</v>
      </c>
      <c r="M48" s="1343">
        <f>ROUNDUP(K48*L48,0)</f>
        <v>0</v>
      </c>
    </row>
    <row r="49" spans="2:13" ht="14.25" x14ac:dyDescent="0.2">
      <c r="B49" s="1806"/>
      <c r="C49" s="1746"/>
      <c r="D49" s="1746"/>
      <c r="E49" s="1747"/>
      <c r="F49" s="1751" t="s">
        <v>453</v>
      </c>
      <c r="G49" s="1752"/>
      <c r="H49" s="1752"/>
      <c r="I49" s="1752"/>
      <c r="J49" s="1753"/>
      <c r="K49" s="394">
        <f>M44</f>
        <v>0</v>
      </c>
      <c r="L49" s="395"/>
      <c r="M49" s="1343">
        <f>ROUNDUP((M44+(M44*L49)),0)</f>
        <v>0</v>
      </c>
    </row>
    <row r="50" spans="2:13" ht="14.25" x14ac:dyDescent="0.2">
      <c r="B50" s="1806"/>
      <c r="C50" s="1746"/>
      <c r="D50" s="1746"/>
      <c r="E50" s="1747"/>
      <c r="F50" s="1751" t="s">
        <v>1166</v>
      </c>
      <c r="G50" s="1752"/>
      <c r="H50" s="1752"/>
      <c r="I50" s="1752"/>
      <c r="J50" s="1753"/>
      <c r="K50" s="396"/>
      <c r="L50" s="395">
        <f>'PROJECT INFO'!H14</f>
        <v>8.8099999999999998E-2</v>
      </c>
      <c r="M50" s="1343">
        <f>L50*K49</f>
        <v>0</v>
      </c>
    </row>
    <row r="51" spans="2:13" ht="14.25" x14ac:dyDescent="0.2">
      <c r="B51" s="1801" t="s">
        <v>1167</v>
      </c>
      <c r="C51" s="1715"/>
      <c r="D51" s="1715"/>
      <c r="E51" s="1715"/>
      <c r="F51" s="1715"/>
      <c r="G51" s="1715"/>
      <c r="H51" s="1715"/>
      <c r="I51" s="1715"/>
      <c r="J51" s="1715"/>
      <c r="K51" s="1715"/>
      <c r="L51" s="1754"/>
      <c r="M51" s="1347">
        <f>SUM(M47:M50)</f>
        <v>0</v>
      </c>
    </row>
    <row r="52" spans="2:13" ht="14.25" x14ac:dyDescent="0.2">
      <c r="B52" s="1345"/>
      <c r="C52" s="386"/>
      <c r="D52" s="386"/>
      <c r="E52" s="386"/>
      <c r="F52" s="387"/>
      <c r="G52" s="388"/>
      <c r="H52" s="388"/>
      <c r="I52" s="389"/>
      <c r="J52" s="389"/>
      <c r="K52" s="389"/>
      <c r="L52" s="390"/>
      <c r="M52" s="1346"/>
    </row>
    <row r="53" spans="2:13" ht="28.5" x14ac:dyDescent="0.2">
      <c r="B53" s="1800" t="s">
        <v>1168</v>
      </c>
      <c r="C53" s="1707"/>
      <c r="D53" s="1707"/>
      <c r="E53" s="1740" t="s">
        <v>198</v>
      </c>
      <c r="F53" s="1740"/>
      <c r="G53" s="1740"/>
      <c r="H53" s="1740"/>
      <c r="I53" s="397" t="s">
        <v>1169</v>
      </c>
      <c r="J53" s="398" t="s">
        <v>1170</v>
      </c>
      <c r="K53" s="380" t="s">
        <v>1171</v>
      </c>
      <c r="L53" s="380" t="s">
        <v>1150</v>
      </c>
      <c r="M53" s="1342" t="s">
        <v>1181</v>
      </c>
    </row>
    <row r="54" spans="2:13" ht="14.25" x14ac:dyDescent="0.2">
      <c r="B54" s="1802"/>
      <c r="C54" s="1698"/>
      <c r="D54" s="1699"/>
      <c r="E54" s="1734" t="s">
        <v>1172</v>
      </c>
      <c r="F54" s="1735"/>
      <c r="G54" s="1735"/>
      <c r="H54" s="1735"/>
      <c r="I54" s="399">
        <f>K47</f>
        <v>0</v>
      </c>
      <c r="J54" s="450">
        <v>0.03</v>
      </c>
      <c r="K54" s="400">
        <f>$J$54*I54</f>
        <v>0</v>
      </c>
      <c r="L54" s="393">
        <f>L47</f>
        <v>65</v>
      </c>
      <c r="M54" s="1343">
        <f>L54*K54</f>
        <v>0</v>
      </c>
    </row>
    <row r="55" spans="2:13" ht="14.25" x14ac:dyDescent="0.2">
      <c r="B55" s="1803"/>
      <c r="C55" s="1701"/>
      <c r="D55" s="1702"/>
      <c r="E55" s="1734" t="s">
        <v>1173</v>
      </c>
      <c r="F55" s="1735"/>
      <c r="G55" s="1735"/>
      <c r="H55" s="1735"/>
      <c r="I55" s="399">
        <f>K47</f>
        <v>0</v>
      </c>
      <c r="J55" s="450">
        <v>0.1</v>
      </c>
      <c r="K55" s="400">
        <f>$J$55*I55</f>
        <v>0</v>
      </c>
      <c r="L55" s="393">
        <f>L54*1.2</f>
        <v>78</v>
      </c>
      <c r="M55" s="1343">
        <f>L55*K55</f>
        <v>0</v>
      </c>
    </row>
    <row r="56" spans="2:13" ht="14.25" x14ac:dyDescent="0.2">
      <c r="B56" s="1803"/>
      <c r="C56" s="1701"/>
      <c r="D56" s="1702"/>
      <c r="E56" s="1734" t="s">
        <v>1174</v>
      </c>
      <c r="F56" s="1735"/>
      <c r="G56" s="1735"/>
      <c r="H56" s="1735"/>
      <c r="I56" s="399"/>
      <c r="J56" s="395">
        <v>0.01</v>
      </c>
      <c r="K56" s="1736"/>
      <c r="L56" s="1737"/>
      <c r="M56" s="1343">
        <f>J56*$M$47</f>
        <v>0</v>
      </c>
    </row>
    <row r="57" spans="2:13" ht="14.25" x14ac:dyDescent="0.2">
      <c r="B57" s="1804"/>
      <c r="C57" s="1704"/>
      <c r="D57" s="1705"/>
      <c r="E57" s="1734" t="s">
        <v>1175</v>
      </c>
      <c r="F57" s="1735"/>
      <c r="G57" s="1735"/>
      <c r="H57" s="1735"/>
      <c r="I57" s="399"/>
      <c r="J57" s="395">
        <v>0.03</v>
      </c>
      <c r="K57" s="1738"/>
      <c r="L57" s="1739"/>
      <c r="M57" s="1343">
        <f>J57*$M$47</f>
        <v>0</v>
      </c>
    </row>
    <row r="58" spans="2:13" ht="14.25" x14ac:dyDescent="0.2">
      <c r="B58" s="1800" t="s">
        <v>1176</v>
      </c>
      <c r="C58" s="1707"/>
      <c r="D58" s="1707"/>
      <c r="E58" s="1707"/>
      <c r="F58" s="1707"/>
      <c r="G58" s="1707"/>
      <c r="H58" s="1707"/>
      <c r="I58" s="1707"/>
      <c r="J58" s="1707"/>
      <c r="K58" s="1707"/>
      <c r="L58" s="1708"/>
      <c r="M58" s="1347">
        <f>SUM(M54:M57)</f>
        <v>0</v>
      </c>
    </row>
    <row r="59" spans="2:13" ht="14.25" x14ac:dyDescent="0.2">
      <c r="B59" s="1345"/>
      <c r="C59" s="386"/>
      <c r="D59" s="386"/>
      <c r="E59" s="386"/>
      <c r="F59" s="387"/>
      <c r="G59" s="388"/>
      <c r="H59" s="388"/>
      <c r="I59" s="389"/>
      <c r="J59" s="389"/>
      <c r="K59" s="389"/>
      <c r="L59" s="390"/>
      <c r="M59" s="1346"/>
    </row>
    <row r="60" spans="2:13" ht="57" x14ac:dyDescent="0.2">
      <c r="B60" s="1800" t="s">
        <v>1177</v>
      </c>
      <c r="C60" s="1707"/>
      <c r="D60" s="1707"/>
      <c r="E60" s="1740" t="s">
        <v>198</v>
      </c>
      <c r="F60" s="1740"/>
      <c r="G60" s="1740"/>
      <c r="H60" s="1740"/>
      <c r="I60" s="397" t="s">
        <v>1146</v>
      </c>
      <c r="J60" s="397" t="s">
        <v>1178</v>
      </c>
      <c r="K60" s="401" t="s">
        <v>1179</v>
      </c>
      <c r="L60" s="402" t="s">
        <v>1180</v>
      </c>
      <c r="M60" s="1342" t="s">
        <v>1181</v>
      </c>
    </row>
    <row r="61" spans="2:13" ht="14.25" x14ac:dyDescent="0.2">
      <c r="B61" s="1805"/>
      <c r="C61" s="1743"/>
      <c r="D61" s="1744"/>
      <c r="E61" s="1748" t="s">
        <v>1182</v>
      </c>
      <c r="F61" s="1749"/>
      <c r="G61" s="1749"/>
      <c r="H61" s="1749"/>
      <c r="I61" s="399" t="s">
        <v>1183</v>
      </c>
      <c r="J61" s="403">
        <v>1</v>
      </c>
      <c r="K61" s="404">
        <v>0</v>
      </c>
      <c r="L61" s="871">
        <f>Rentals!B8</f>
        <v>2000</v>
      </c>
      <c r="M61" s="1348">
        <f>L61*K61*J61</f>
        <v>0</v>
      </c>
    </row>
    <row r="62" spans="2:13" ht="14.25" x14ac:dyDescent="0.2">
      <c r="B62" s="1806"/>
      <c r="C62" s="1746"/>
      <c r="D62" s="1747"/>
      <c r="E62" s="1751" t="s">
        <v>1184</v>
      </c>
      <c r="F62" s="1752"/>
      <c r="G62" s="1752"/>
      <c r="H62" s="1752"/>
      <c r="I62" s="1250" t="s">
        <v>2338</v>
      </c>
      <c r="J62" s="1231">
        <v>1</v>
      </c>
      <c r="K62" s="1231">
        <v>0</v>
      </c>
      <c r="L62" s="1251">
        <f>VLOOKUP(I62,Rentals!A$13:C$32,2,FALSE)</f>
        <v>0</v>
      </c>
      <c r="M62" s="1349">
        <f>L62*K62*J62</f>
        <v>0</v>
      </c>
    </row>
    <row r="63" spans="2:13" ht="14.25" x14ac:dyDescent="0.2">
      <c r="B63" s="1806"/>
      <c r="C63" s="1746"/>
      <c r="D63" s="1747"/>
      <c r="E63" s="1751" t="s">
        <v>2339</v>
      </c>
      <c r="F63" s="1752"/>
      <c r="G63" s="1752"/>
      <c r="H63" s="1752"/>
      <c r="I63" s="1250" t="str">
        <f>I62</f>
        <v>…............</v>
      </c>
      <c r="J63" s="403">
        <v>1</v>
      </c>
      <c r="K63" s="405">
        <v>0</v>
      </c>
      <c r="L63" s="871">
        <f>VLOOKUP(I63,Rentals!A$13:C$32,3,FALSE)</f>
        <v>0</v>
      </c>
      <c r="M63" s="1348">
        <f>L63*K63*J63</f>
        <v>0</v>
      </c>
    </row>
    <row r="64" spans="2:13" ht="14.25" x14ac:dyDescent="0.2">
      <c r="B64" s="1806"/>
      <c r="C64" s="1746"/>
      <c r="D64" s="1747"/>
      <c r="E64" s="1751" t="s">
        <v>1186</v>
      </c>
      <c r="F64" s="1752"/>
      <c r="G64" s="1752"/>
      <c r="H64" s="1752"/>
      <c r="I64" s="399" t="s">
        <v>1183</v>
      </c>
      <c r="J64" s="403">
        <v>1</v>
      </c>
      <c r="K64" s="404">
        <v>0</v>
      </c>
      <c r="L64" s="871">
        <f>Rentals!B39</f>
        <v>1000</v>
      </c>
      <c r="M64" s="1348">
        <f>L64*K64*J64</f>
        <v>0</v>
      </c>
    </row>
    <row r="65" spans="2:13" ht="14.25" x14ac:dyDescent="0.2">
      <c r="B65" s="1806"/>
      <c r="C65" s="1746"/>
      <c r="D65" s="1747"/>
      <c r="E65" s="1755" t="s">
        <v>176</v>
      </c>
      <c r="F65" s="1756"/>
      <c r="G65" s="1756"/>
      <c r="H65" s="1756"/>
      <c r="I65" s="406" t="s">
        <v>1183</v>
      </c>
      <c r="J65" s="403">
        <v>1</v>
      </c>
      <c r="K65" s="404">
        <v>0</v>
      </c>
      <c r="L65" s="871">
        <f>Rentals!B5</f>
        <v>5000</v>
      </c>
      <c r="M65" s="1348">
        <f>L65*K65*J65</f>
        <v>0</v>
      </c>
    </row>
    <row r="66" spans="2:13" ht="14.25" x14ac:dyDescent="0.2">
      <c r="B66" s="1807" t="s">
        <v>1187</v>
      </c>
      <c r="C66" s="1759"/>
      <c r="D66" s="1759"/>
      <c r="E66" s="1759"/>
      <c r="F66" s="1759"/>
      <c r="G66" s="1759"/>
      <c r="H66" s="1759"/>
      <c r="I66" s="1759"/>
      <c r="J66" s="1759"/>
      <c r="K66" s="1759"/>
      <c r="L66" s="1760"/>
      <c r="M66" s="1347">
        <f>SUM(M61:M65)</f>
        <v>0</v>
      </c>
    </row>
    <row r="67" spans="2:13" ht="14.25" x14ac:dyDescent="0.2">
      <c r="B67" s="1345"/>
      <c r="C67" s="386"/>
      <c r="D67" s="386"/>
      <c r="E67" s="386"/>
      <c r="F67" s="387"/>
      <c r="G67" s="388"/>
      <c r="H67" s="388"/>
      <c r="I67" s="389"/>
      <c r="J67" s="389"/>
      <c r="K67" s="389"/>
      <c r="L67" s="390"/>
      <c r="M67" s="1346"/>
    </row>
    <row r="68" spans="2:13" ht="14.25" x14ac:dyDescent="0.2">
      <c r="B68" s="1801" t="s">
        <v>1188</v>
      </c>
      <c r="C68" s="1715"/>
      <c r="D68" s="1715"/>
      <c r="E68" s="1715"/>
      <c r="F68" s="1715"/>
      <c r="G68" s="1715"/>
      <c r="H68" s="1715"/>
      <c r="I68" s="1715"/>
      <c r="J68" s="1715"/>
      <c r="K68" s="1715"/>
      <c r="L68" s="1715"/>
      <c r="M68" s="1808"/>
    </row>
    <row r="69" spans="2:13" ht="42.75" x14ac:dyDescent="0.2">
      <c r="B69" s="1809" t="s">
        <v>428</v>
      </c>
      <c r="C69" s="1762"/>
      <c r="D69" s="1762"/>
      <c r="E69" s="1762" t="s">
        <v>657</v>
      </c>
      <c r="F69" s="1762"/>
      <c r="G69" s="1762"/>
      <c r="H69" s="1762"/>
      <c r="I69" s="1762"/>
      <c r="J69" s="1329" t="s">
        <v>1189</v>
      </c>
      <c r="K69" s="523" t="s">
        <v>1190</v>
      </c>
      <c r="L69" s="523" t="s">
        <v>1191</v>
      </c>
      <c r="M69" s="1350" t="s">
        <v>1181</v>
      </c>
    </row>
    <row r="70" spans="2:13" ht="14.25" x14ac:dyDescent="0.2">
      <c r="B70" s="1803" t="str">
        <f>'Project Cost Recap'!E23</f>
        <v>PINNACLE</v>
      </c>
      <c r="C70" s="1701"/>
      <c r="D70" s="1702"/>
      <c r="E70" s="1720" t="s">
        <v>580</v>
      </c>
      <c r="F70" s="1721"/>
      <c r="G70" s="1721"/>
      <c r="H70" s="1721"/>
      <c r="I70" s="1722"/>
      <c r="J70" s="407" t="s">
        <v>1192</v>
      </c>
      <c r="K70" s="408">
        <v>1</v>
      </c>
      <c r="L70" s="409">
        <f>Subs!$M$12</f>
        <v>0</v>
      </c>
      <c r="M70" s="1349">
        <f>L70*K70</f>
        <v>0</v>
      </c>
    </row>
    <row r="71" spans="2:13" ht="14.25" x14ac:dyDescent="0.2">
      <c r="B71" s="1803">
        <f>'Project Cost Recap'!E24</f>
        <v>0</v>
      </c>
      <c r="C71" s="1701"/>
      <c r="D71" s="1702"/>
      <c r="E71" s="1720" t="s">
        <v>425</v>
      </c>
      <c r="F71" s="1721"/>
      <c r="G71" s="1721"/>
      <c r="H71" s="1721"/>
      <c r="I71" s="1722"/>
      <c r="J71" s="407" t="s">
        <v>1192</v>
      </c>
      <c r="K71" s="408">
        <v>1</v>
      </c>
      <c r="L71" s="409">
        <f>Subs!$L$25</f>
        <v>0</v>
      </c>
      <c r="M71" s="1349">
        <f>L71*K71</f>
        <v>0</v>
      </c>
    </row>
    <row r="72" spans="2:13" ht="14.25" x14ac:dyDescent="0.2">
      <c r="B72" s="1803">
        <f>'Project Cost Recap'!E25</f>
        <v>0</v>
      </c>
      <c r="C72" s="1701"/>
      <c r="D72" s="1702"/>
      <c r="E72" s="1720" t="s">
        <v>422</v>
      </c>
      <c r="F72" s="1721"/>
      <c r="G72" s="1721"/>
      <c r="H72" s="1721"/>
      <c r="I72" s="1722"/>
      <c r="J72" s="407" t="s">
        <v>1193</v>
      </c>
      <c r="K72" s="408">
        <v>0</v>
      </c>
      <c r="L72" s="409">
        <v>0</v>
      </c>
      <c r="M72" s="1349">
        <f t="shared" ref="M72:M87" si="3">L72*K72</f>
        <v>0</v>
      </c>
    </row>
    <row r="73" spans="2:13" ht="14.25" x14ac:dyDescent="0.2">
      <c r="B73" s="1803">
        <f>'Project Cost Recap'!E26</f>
        <v>0</v>
      </c>
      <c r="C73" s="1701"/>
      <c r="D73" s="1702"/>
      <c r="E73" s="1720" t="s">
        <v>420</v>
      </c>
      <c r="F73" s="1721"/>
      <c r="G73" s="1721"/>
      <c r="H73" s="1721"/>
      <c r="I73" s="1722"/>
      <c r="J73" s="407" t="s">
        <v>1192</v>
      </c>
      <c r="K73" s="408">
        <v>1</v>
      </c>
      <c r="L73" s="409">
        <f>Subs!K51</f>
        <v>0</v>
      </c>
      <c r="M73" s="1349">
        <f t="shared" si="3"/>
        <v>0</v>
      </c>
    </row>
    <row r="74" spans="2:13" ht="14.25" x14ac:dyDescent="0.2">
      <c r="B74" s="1803" t="str">
        <f>'Project Cost Recap'!E27</f>
        <v>3 GEN EXCAVATION</v>
      </c>
      <c r="C74" s="1701"/>
      <c r="D74" s="1702"/>
      <c r="E74" s="1720" t="s">
        <v>417</v>
      </c>
      <c r="F74" s="1721"/>
      <c r="G74" s="1721"/>
      <c r="H74" s="1721"/>
      <c r="I74" s="1722"/>
      <c r="J74" s="407" t="s">
        <v>1192</v>
      </c>
      <c r="K74" s="408">
        <v>1</v>
      </c>
      <c r="L74" s="409">
        <f>Subs!P65</f>
        <v>0</v>
      </c>
      <c r="M74" s="1349">
        <f>L74*K74</f>
        <v>0</v>
      </c>
    </row>
    <row r="75" spans="2:13" ht="14.25" x14ac:dyDescent="0.2">
      <c r="B75" s="1803">
        <f>'Project Cost Recap'!E28</f>
        <v>0</v>
      </c>
      <c r="C75" s="1701"/>
      <c r="D75" s="1702"/>
      <c r="E75" s="1720" t="str">
        <f>'GO-NO-GO CHECKLIST'!B102</f>
        <v>FIRE PROTECTION</v>
      </c>
      <c r="F75" s="1721"/>
      <c r="G75" s="1721"/>
      <c r="H75" s="1721"/>
      <c r="I75" s="1722"/>
      <c r="J75" s="407" t="s">
        <v>1192</v>
      </c>
      <c r="K75" s="408">
        <v>1</v>
      </c>
      <c r="L75" s="409">
        <f>Subs!K77</f>
        <v>0</v>
      </c>
      <c r="M75" s="1349">
        <f t="shared" si="3"/>
        <v>0</v>
      </c>
    </row>
    <row r="76" spans="2:13" ht="14.25" x14ac:dyDescent="0.2">
      <c r="B76" s="1803">
        <f>'Project Cost Recap'!E29</f>
        <v>0</v>
      </c>
      <c r="C76" s="1701"/>
      <c r="D76" s="1702"/>
      <c r="E76" s="1720" t="str">
        <f>'GO-NO-GO CHECKLIST'!B110</f>
        <v>FIRE STOPPING</v>
      </c>
      <c r="F76" s="1721"/>
      <c r="G76" s="1721"/>
      <c r="H76" s="1721"/>
      <c r="I76" s="1722"/>
      <c r="J76" s="407" t="s">
        <v>1193</v>
      </c>
      <c r="K76" s="408">
        <v>0</v>
      </c>
      <c r="L76" s="409">
        <f>Subs!M89</f>
        <v>0</v>
      </c>
      <c r="M76" s="1349">
        <f t="shared" si="3"/>
        <v>0</v>
      </c>
    </row>
    <row r="77" spans="2:13" ht="14.25" x14ac:dyDescent="0.2">
      <c r="B77" s="1803">
        <f>'Project Cost Recap'!E30</f>
        <v>0</v>
      </c>
      <c r="C77" s="1701"/>
      <c r="D77" s="1702"/>
      <c r="E77" s="1720" t="s">
        <v>421</v>
      </c>
      <c r="F77" s="1721"/>
      <c r="G77" s="1721"/>
      <c r="H77" s="1721"/>
      <c r="I77" s="1722"/>
      <c r="J77" s="407" t="s">
        <v>1192</v>
      </c>
      <c r="K77" s="408">
        <v>1</v>
      </c>
      <c r="L77" s="409">
        <f>Subs!K101</f>
        <v>0</v>
      </c>
      <c r="M77" s="1349">
        <f t="shared" si="3"/>
        <v>0</v>
      </c>
    </row>
    <row r="78" spans="2:13" ht="14.25" x14ac:dyDescent="0.2">
      <c r="B78" s="1803" t="str">
        <f>'Project Cost Recap'!E31</f>
        <v>FORTUNATO</v>
      </c>
      <c r="C78" s="1701"/>
      <c r="D78" s="1702"/>
      <c r="E78" s="1720" t="s">
        <v>423</v>
      </c>
      <c r="F78" s="1721"/>
      <c r="G78" s="1721"/>
      <c r="H78" s="1721"/>
      <c r="I78" s="1722"/>
      <c r="J78" s="407" t="s">
        <v>1192</v>
      </c>
      <c r="K78" s="408">
        <v>1</v>
      </c>
      <c r="L78" s="409">
        <f>Subs!O115</f>
        <v>0</v>
      </c>
      <c r="M78" s="1349">
        <f t="shared" si="3"/>
        <v>0</v>
      </c>
    </row>
    <row r="79" spans="2:13" ht="14.25" x14ac:dyDescent="0.2">
      <c r="B79" s="1803">
        <f>'Project Cost Recap'!E32</f>
        <v>0</v>
      </c>
      <c r="C79" s="1701"/>
      <c r="D79" s="1702"/>
      <c r="E79" s="1720" t="s">
        <v>951</v>
      </c>
      <c r="F79" s="1721"/>
      <c r="G79" s="1721"/>
      <c r="H79" s="1721"/>
      <c r="I79" s="1722"/>
      <c r="J79" s="407" t="s">
        <v>1192</v>
      </c>
      <c r="K79" s="408">
        <v>1</v>
      </c>
      <c r="L79" s="409">
        <f>Subs!M127</f>
        <v>0</v>
      </c>
      <c r="M79" s="1349">
        <f t="shared" si="3"/>
        <v>0</v>
      </c>
    </row>
    <row r="80" spans="2:13" ht="14.25" x14ac:dyDescent="0.2">
      <c r="B80" s="1803">
        <f>'Project Cost Recap'!E33</f>
        <v>0</v>
      </c>
      <c r="C80" s="1701"/>
      <c r="D80" s="1702"/>
      <c r="E80" s="1720" t="s">
        <v>426</v>
      </c>
      <c r="F80" s="1721"/>
      <c r="G80" s="1721"/>
      <c r="H80" s="1721"/>
      <c r="I80" s="1722"/>
      <c r="J80" s="407" t="s">
        <v>1192</v>
      </c>
      <c r="K80" s="408">
        <v>1</v>
      </c>
      <c r="L80" s="409">
        <f>Subs!K139</f>
        <v>0</v>
      </c>
      <c r="M80" s="1349">
        <f t="shared" si="3"/>
        <v>0</v>
      </c>
    </row>
    <row r="81" spans="2:13" ht="14.25" x14ac:dyDescent="0.2">
      <c r="B81" s="1803">
        <f>'Project Cost Recap'!E34</f>
        <v>0</v>
      </c>
      <c r="C81" s="1701"/>
      <c r="D81" s="1702"/>
      <c r="E81" s="1720" t="s">
        <v>1725</v>
      </c>
      <c r="F81" s="1721"/>
      <c r="G81" s="1721"/>
      <c r="H81" s="1721"/>
      <c r="I81" s="1722"/>
      <c r="J81" s="407" t="s">
        <v>1192</v>
      </c>
      <c r="K81" s="408">
        <v>1</v>
      </c>
      <c r="L81" s="409">
        <f>Subs!K151</f>
        <v>0</v>
      </c>
      <c r="M81" s="1349">
        <f t="shared" si="3"/>
        <v>0</v>
      </c>
    </row>
    <row r="82" spans="2:13" ht="14.25" x14ac:dyDescent="0.2">
      <c r="B82" s="1803" t="str">
        <f>'Project Cost Recap'!E35</f>
        <v>AIR SYSTEMS</v>
      </c>
      <c r="C82" s="1701"/>
      <c r="D82" s="1702"/>
      <c r="E82" s="1720" t="s">
        <v>123</v>
      </c>
      <c r="F82" s="1721"/>
      <c r="G82" s="1721"/>
      <c r="H82" s="1721"/>
      <c r="I82" s="1722"/>
      <c r="J82" s="407" t="s">
        <v>1192</v>
      </c>
      <c r="K82" s="408">
        <v>1</v>
      </c>
      <c r="L82" s="409">
        <f>Subs!Q163</f>
        <v>0</v>
      </c>
      <c r="M82" s="1349">
        <f t="shared" si="3"/>
        <v>0</v>
      </c>
    </row>
    <row r="83" spans="2:13" ht="14.25" x14ac:dyDescent="0.2">
      <c r="B83" s="1803">
        <f>'Project Cost Recap'!E36</f>
        <v>0</v>
      </c>
      <c r="C83" s="1701"/>
      <c r="D83" s="1702"/>
      <c r="E83" s="1720" t="s">
        <v>578</v>
      </c>
      <c r="F83" s="1721"/>
      <c r="G83" s="1721"/>
      <c r="H83" s="1721"/>
      <c r="I83" s="1722"/>
      <c r="J83" s="407" t="s">
        <v>1192</v>
      </c>
      <c r="K83" s="408">
        <v>1</v>
      </c>
      <c r="L83" s="409">
        <f>Subs!K175</f>
        <v>0</v>
      </c>
      <c r="M83" s="1349">
        <f t="shared" si="3"/>
        <v>0</v>
      </c>
    </row>
    <row r="84" spans="2:13" ht="14.25" x14ac:dyDescent="0.2">
      <c r="B84" s="1803" t="str">
        <f>'Project Cost Recap'!E37</f>
        <v>LONG BUILDING TECHNOLOGIES</v>
      </c>
      <c r="C84" s="1701"/>
      <c r="D84" s="1702"/>
      <c r="E84" s="1720" t="s">
        <v>419</v>
      </c>
      <c r="F84" s="1721"/>
      <c r="G84" s="1721"/>
      <c r="H84" s="1721"/>
      <c r="I84" s="1722"/>
      <c r="J84" s="407" t="s">
        <v>1192</v>
      </c>
      <c r="K84" s="408">
        <v>1</v>
      </c>
      <c r="L84" s="409">
        <f>Subs!K186</f>
        <v>0</v>
      </c>
      <c r="M84" s="1349">
        <f t="shared" si="3"/>
        <v>0</v>
      </c>
    </row>
    <row r="85" spans="2:13" ht="14.25" x14ac:dyDescent="0.2">
      <c r="B85" s="1803" t="str">
        <f>'Project Cost Recap'!E38</f>
        <v>FINN &amp; ASSOCIATES</v>
      </c>
      <c r="C85" s="1701"/>
      <c r="D85" s="1702"/>
      <c r="E85" s="1720" t="s">
        <v>418</v>
      </c>
      <c r="F85" s="1721"/>
      <c r="G85" s="1721"/>
      <c r="H85" s="1721"/>
      <c r="I85" s="1722"/>
      <c r="J85" s="407" t="s">
        <v>1192</v>
      </c>
      <c r="K85" s="408">
        <v>1</v>
      </c>
      <c r="L85" s="409">
        <f>Subs!O198</f>
        <v>0</v>
      </c>
      <c r="M85" s="1349">
        <f t="shared" si="3"/>
        <v>0</v>
      </c>
    </row>
    <row r="86" spans="2:13" ht="14.25" x14ac:dyDescent="0.2">
      <c r="B86" s="1803">
        <f>'Project Cost Recap'!E39</f>
        <v>0</v>
      </c>
      <c r="C86" s="1701"/>
      <c r="D86" s="1702"/>
      <c r="E86" s="1720" t="str">
        <f>'GO-NO-GO CHECKLIST'!B165</f>
        <v>MISCELLANEOUS (CHANGE TO SUIT)</v>
      </c>
      <c r="F86" s="1721"/>
      <c r="G86" s="1721"/>
      <c r="H86" s="1721"/>
      <c r="I86" s="1722"/>
      <c r="J86" s="407" t="s">
        <v>1192</v>
      </c>
      <c r="K86" s="408">
        <v>1</v>
      </c>
      <c r="L86" s="409">
        <f>Subs!K210</f>
        <v>0</v>
      </c>
      <c r="M86" s="1349">
        <f t="shared" si="3"/>
        <v>0</v>
      </c>
    </row>
    <row r="87" spans="2:13" ht="14.25" x14ac:dyDescent="0.2">
      <c r="B87" s="1803"/>
      <c r="C87" s="1701"/>
      <c r="D87" s="1702"/>
      <c r="E87" s="1717" t="s">
        <v>1194</v>
      </c>
      <c r="F87" s="1718"/>
      <c r="G87" s="1718"/>
      <c r="H87" s="1718"/>
      <c r="I87" s="1719"/>
      <c r="J87" s="407" t="s">
        <v>1192</v>
      </c>
      <c r="K87" s="408">
        <v>1</v>
      </c>
      <c r="L87" s="409">
        <v>0</v>
      </c>
      <c r="M87" s="1349">
        <f t="shared" si="3"/>
        <v>0</v>
      </c>
    </row>
    <row r="88" spans="2:13" ht="14.25" x14ac:dyDescent="0.2">
      <c r="B88" s="1351"/>
      <c r="C88" s="397"/>
      <c r="D88" s="397"/>
      <c r="E88" s="397"/>
      <c r="F88" s="410" t="s">
        <v>1724</v>
      </c>
      <c r="G88" s="397"/>
      <c r="H88" s="397"/>
      <c r="I88" s="411"/>
      <c r="J88" s="411"/>
      <c r="K88" s="411"/>
      <c r="L88" s="412"/>
      <c r="M88" s="1347">
        <f>SUM(M70:M87)</f>
        <v>0</v>
      </c>
    </row>
    <row r="89" spans="2:13" ht="14.25" x14ac:dyDescent="0.2">
      <c r="B89" s="1345"/>
      <c r="C89" s="386"/>
      <c r="D89" s="386"/>
      <c r="E89" s="386"/>
      <c r="F89" s="387"/>
      <c r="G89" s="388"/>
      <c r="H89" s="388"/>
      <c r="I89" s="389"/>
      <c r="J89" s="389"/>
      <c r="K89" s="389"/>
      <c r="L89" s="390"/>
      <c r="M89" s="1346"/>
    </row>
    <row r="90" spans="2:13" ht="14.25" x14ac:dyDescent="0.2">
      <c r="B90" s="1352"/>
      <c r="C90" s="1203"/>
      <c r="D90" s="1030"/>
      <c r="E90" s="1204"/>
      <c r="F90" s="410" t="s">
        <v>1195</v>
      </c>
      <c r="G90" s="397"/>
      <c r="H90" s="397"/>
      <c r="I90" s="397" t="s">
        <v>198</v>
      </c>
      <c r="J90" s="397"/>
      <c r="K90" s="614"/>
      <c r="L90" s="380" t="s">
        <v>1150</v>
      </c>
      <c r="M90" s="1342" t="s">
        <v>1181</v>
      </c>
    </row>
    <row r="91" spans="2:13" ht="14.25" x14ac:dyDescent="0.2">
      <c r="B91" s="1353"/>
      <c r="C91" s="1206"/>
      <c r="D91" s="1030"/>
      <c r="E91" s="1204"/>
      <c r="F91" s="405"/>
      <c r="G91" s="1229"/>
      <c r="H91" s="1743" t="s">
        <v>1152</v>
      </c>
      <c r="I91" s="1743"/>
      <c r="J91" s="1743"/>
      <c r="K91" s="1744"/>
      <c r="L91" s="379"/>
      <c r="M91" s="1343">
        <f>M88+M66+M58+M51</f>
        <v>0</v>
      </c>
    </row>
    <row r="92" spans="2:13" ht="14.25" x14ac:dyDescent="0.2">
      <c r="B92" s="1354"/>
      <c r="C92" s="1208"/>
      <c r="D92" s="1209"/>
      <c r="E92" s="1204"/>
      <c r="F92" s="1230"/>
      <c r="G92" s="1231"/>
      <c r="H92" s="1746" t="s">
        <v>1153</v>
      </c>
      <c r="I92" s="1746"/>
      <c r="J92" s="1746"/>
      <c r="K92" s="1747"/>
      <c r="L92" s="413">
        <v>0.1</v>
      </c>
      <c r="M92" s="1343">
        <f>L92*M91</f>
        <v>0</v>
      </c>
    </row>
    <row r="93" spans="2:13" ht="14.25" x14ac:dyDescent="0.2">
      <c r="B93" s="1355" t="s">
        <v>2353</v>
      </c>
      <c r="C93" s="1271" t="str">
        <f>'PROJECT INFO'!$H$12</f>
        <v>DENVER (COMBINED)</v>
      </c>
      <c r="D93" s="1757" t="s">
        <v>2352</v>
      </c>
      <c r="E93" s="1757"/>
      <c r="F93" s="1757"/>
      <c r="G93" s="1757"/>
      <c r="H93" s="1746" t="s">
        <v>2351</v>
      </c>
      <c r="I93" s="1746"/>
      <c r="J93" s="1746"/>
      <c r="K93" s="1747"/>
      <c r="L93" s="613">
        <f>'PROJECT INFO'!I15</f>
        <v>1</v>
      </c>
      <c r="M93" s="1356">
        <f>IF('PROJECT INFO'!$H$15="Yes",VLOOKUP('PROJECT INFO'!$H$12,'Taxes&amp;Permits'!$A$4:$Q$223,13,FALSE),0)</f>
        <v>20</v>
      </c>
    </row>
    <row r="94" spans="2:13" ht="14.25" x14ac:dyDescent="0.2">
      <c r="B94" s="1354"/>
      <c r="C94" s="1206"/>
      <c r="D94" s="1030"/>
      <c r="E94" s="1204"/>
      <c r="F94" s="1230"/>
      <c r="G94" s="1231"/>
      <c r="H94" s="1746" t="s">
        <v>135</v>
      </c>
      <c r="I94" s="1746"/>
      <c r="J94" s="1746"/>
      <c r="K94" s="1747"/>
      <c r="L94" s="413">
        <v>0.05</v>
      </c>
      <c r="M94" s="1343">
        <f>(M91+M92+M93)*L94</f>
        <v>1</v>
      </c>
    </row>
    <row r="95" spans="2:13" ht="14.25" x14ac:dyDescent="0.2">
      <c r="B95" s="1353"/>
      <c r="C95" s="1206"/>
      <c r="D95" s="1030"/>
      <c r="E95" s="1204"/>
      <c r="F95" s="1230"/>
      <c r="G95" s="1231"/>
      <c r="H95" s="1746" t="s">
        <v>1196</v>
      </c>
      <c r="I95" s="1746"/>
      <c r="J95" s="1746"/>
      <c r="K95" s="1747"/>
      <c r="L95" s="395"/>
      <c r="M95" s="1343">
        <f>SUM(M91:M94)</f>
        <v>21</v>
      </c>
    </row>
    <row r="96" spans="2:13" ht="14.25" x14ac:dyDescent="0.2">
      <c r="B96" s="1357"/>
      <c r="C96" s="1332" t="s">
        <v>1150</v>
      </c>
      <c r="D96" s="1332" t="s">
        <v>2162</v>
      </c>
      <c r="E96" s="1204" t="s">
        <v>2390</v>
      </c>
      <c r="F96" s="1232" t="s">
        <v>2391</v>
      </c>
      <c r="G96" s="1233"/>
      <c r="H96" s="1775" t="s">
        <v>1197</v>
      </c>
      <c r="I96" s="1775"/>
      <c r="J96" s="1775"/>
      <c r="K96" s="1776"/>
      <c r="L96" s="395">
        <f>'Project Cost Recap'!J48*'PROJECT INFO'!I17</f>
        <v>0</v>
      </c>
      <c r="M96" s="1343">
        <f>M95*L96</f>
        <v>0</v>
      </c>
    </row>
    <row r="97" spans="2:13" ht="14.25" x14ac:dyDescent="0.2">
      <c r="B97" s="1358"/>
      <c r="C97" s="1332">
        <f>'Project Cost Recap'!$D$53</f>
        <v>2.2000000000000001E-3</v>
      </c>
      <c r="D97" s="1334">
        <f>M95</f>
        <v>21</v>
      </c>
      <c r="E97" s="1335">
        <f>D97*C97</f>
        <v>4.6200000000000005E-2</v>
      </c>
      <c r="F97" s="1336">
        <f>'Project Cost Recap'!$K$53</f>
        <v>3750</v>
      </c>
      <c r="G97" s="1331"/>
      <c r="H97" s="1780" t="s">
        <v>248</v>
      </c>
      <c r="I97" s="1780"/>
      <c r="J97" s="1780"/>
      <c r="K97" s="1781"/>
      <c r="L97" s="1330"/>
      <c r="M97" s="1359">
        <f>IF($E97&lt;$F97,($C97*$D97),$F97)*'PROJECT INFO'!$I$21</f>
        <v>4.6200000000000005E-2</v>
      </c>
    </row>
    <row r="98" spans="2:13" ht="14.25" x14ac:dyDescent="0.2">
      <c r="B98" s="1358"/>
      <c r="C98" s="1332"/>
      <c r="D98" s="1334"/>
      <c r="E98" s="1335"/>
      <c r="F98" s="1336"/>
      <c r="G98" s="1331"/>
      <c r="H98" s="1780" t="s">
        <v>246</v>
      </c>
      <c r="I98" s="1780"/>
      <c r="J98" s="1780"/>
      <c r="K98" s="1781"/>
      <c r="L98" s="1330">
        <f>'Project Cost Recap'!$F$54</f>
        <v>0.05</v>
      </c>
      <c r="M98" s="1359">
        <f>M97*L98</f>
        <v>2.3100000000000004E-3</v>
      </c>
    </row>
    <row r="99" spans="2:13" ht="14.25" x14ac:dyDescent="0.2">
      <c r="B99" s="1367"/>
      <c r="C99" s="1204"/>
      <c r="D99" s="1204"/>
      <c r="E99" s="1204"/>
      <c r="F99" s="1777"/>
      <c r="G99" s="1778"/>
      <c r="H99" s="1778"/>
      <c r="I99" s="1778"/>
      <c r="J99" s="1778"/>
      <c r="K99" s="1779"/>
      <c r="L99" s="410" t="s">
        <v>1198</v>
      </c>
      <c r="M99" s="1039">
        <f>M95+M96+M97+M98</f>
        <v>21.04851</v>
      </c>
    </row>
    <row r="100" spans="2:13" ht="14.25" x14ac:dyDescent="0.2">
      <c r="B100" s="1345"/>
      <c r="C100" s="386"/>
      <c r="D100" s="386"/>
      <c r="E100" s="386"/>
      <c r="F100" s="387"/>
      <c r="G100" s="388"/>
      <c r="H100" s="388"/>
      <c r="I100" s="389"/>
      <c r="J100" s="389"/>
      <c r="K100" s="389"/>
      <c r="L100" s="390"/>
      <c r="M100" s="1346"/>
    </row>
    <row r="101" spans="2:13" ht="21" thickBot="1" x14ac:dyDescent="0.35">
      <c r="B101" s="1810" t="s">
        <v>2356</v>
      </c>
      <c r="C101" s="1811"/>
      <c r="D101" s="1811"/>
      <c r="E101" s="1811"/>
      <c r="F101" s="1811"/>
      <c r="G101" s="1811"/>
      <c r="H101" s="1811"/>
      <c r="I101" s="1811"/>
      <c r="J101" s="1811"/>
      <c r="K101" s="1811"/>
      <c r="L101" s="1811"/>
      <c r="M101" s="1812"/>
    </row>
    <row r="102" spans="2:13" ht="13.5" thickBot="1" x14ac:dyDescent="0.25"/>
    <row r="103" spans="2:13" ht="13.5" thickBot="1" x14ac:dyDescent="0.25">
      <c r="C103" s="1782" t="s">
        <v>2183</v>
      </c>
      <c r="D103" s="1783"/>
      <c r="F103" s="1237" t="s">
        <v>2168</v>
      </c>
      <c r="G103" s="1238"/>
      <c r="H103" s="1238"/>
      <c r="I103" s="1238"/>
      <c r="J103" s="1238"/>
      <c r="K103" s="1238"/>
      <c r="L103" s="1238"/>
      <c r="M103" s="1239"/>
    </row>
    <row r="104" spans="2:13" ht="13.5" customHeight="1" x14ac:dyDescent="0.2">
      <c r="C104" s="1784" t="s">
        <v>2177</v>
      </c>
      <c r="D104" s="1785"/>
      <c r="F104" s="1605" t="s">
        <v>2169</v>
      </c>
      <c r="G104" s="1605"/>
      <c r="H104" s="1188">
        <f>($M$91+1)</f>
        <v>1</v>
      </c>
      <c r="I104" s="1187"/>
      <c r="J104" s="1187"/>
      <c r="K104" s="1187"/>
      <c r="L104" s="1187"/>
      <c r="M104" s="1187"/>
    </row>
    <row r="105" spans="2:13" ht="38.25" customHeight="1" x14ac:dyDescent="0.2">
      <c r="B105" s="1196" t="s">
        <v>2184</v>
      </c>
      <c r="C105" s="1784"/>
      <c r="D105" s="1785"/>
      <c r="F105" s="1243" t="s">
        <v>2344</v>
      </c>
      <c r="G105" s="1244" t="s">
        <v>2170</v>
      </c>
      <c r="H105" s="1244" t="s">
        <v>2171</v>
      </c>
      <c r="I105" s="1244" t="s">
        <v>2172</v>
      </c>
      <c r="J105" s="1243" t="s">
        <v>2173</v>
      </c>
      <c r="K105" s="1245" t="s">
        <v>2175</v>
      </c>
      <c r="L105" s="1243" t="s">
        <v>2343</v>
      </c>
      <c r="M105" s="1243" t="s">
        <v>2176</v>
      </c>
    </row>
    <row r="106" spans="2:13" x14ac:dyDescent="0.2">
      <c r="B106" s="1198">
        <f>VLOOKUP(1,E106:M113,9,FALSE)</f>
        <v>20</v>
      </c>
      <c r="C106" s="1784"/>
      <c r="D106" s="1785"/>
      <c r="E106" s="1197">
        <f>IF(AND(F106&gt;=MIN(G106,H106),F106&lt;=MAX(G106,H106)),1,0)</f>
        <v>1</v>
      </c>
      <c r="F106" s="1188">
        <f>H104</f>
        <v>1</v>
      </c>
      <c r="G106" s="1189">
        <v>1</v>
      </c>
      <c r="H106" s="1189">
        <v>500</v>
      </c>
      <c r="I106" s="1189">
        <v>20</v>
      </c>
      <c r="J106" s="1190">
        <v>0</v>
      </c>
      <c r="K106" s="1187"/>
      <c r="L106" s="1191"/>
      <c r="M106" s="1189">
        <f>ROUNDUP(L106+I106,0)</f>
        <v>20</v>
      </c>
    </row>
    <row r="107" spans="2:13" x14ac:dyDescent="0.2">
      <c r="C107" s="1784"/>
      <c r="D107" s="1785"/>
      <c r="E107" s="1197">
        <f t="shared" ref="E107:E113" si="4">IF(AND(F107&gt;=MIN(G107,H107),F107&lt;=MAX(G107,H107)),1,0)</f>
        <v>0</v>
      </c>
      <c r="F107" s="1188">
        <f>F106</f>
        <v>1</v>
      </c>
      <c r="G107" s="1189">
        <v>501</v>
      </c>
      <c r="H107" s="1189">
        <v>2000</v>
      </c>
      <c r="I107" s="1189">
        <v>35</v>
      </c>
      <c r="J107" s="1190">
        <v>0</v>
      </c>
      <c r="K107" s="1187"/>
      <c r="L107" s="1191"/>
      <c r="M107" s="1189">
        <f t="shared" ref="M107:M112" si="5">ROUNDUP(L107+I107,0)</f>
        <v>35</v>
      </c>
    </row>
    <row r="108" spans="2:13" x14ac:dyDescent="0.2">
      <c r="C108" s="1784"/>
      <c r="D108" s="1785"/>
      <c r="E108" s="1197">
        <f t="shared" si="4"/>
        <v>0</v>
      </c>
      <c r="F108" s="1188">
        <f t="shared" ref="F108:F113" si="6">F107</f>
        <v>1</v>
      </c>
      <c r="G108" s="1189">
        <v>2001</v>
      </c>
      <c r="H108" s="1189">
        <v>25000</v>
      </c>
      <c r="I108" s="1189">
        <v>35</v>
      </c>
      <c r="J108" s="1190">
        <v>8</v>
      </c>
      <c r="K108" s="1192">
        <f>ROUNDUP((F108-2000)/1000,0)</f>
        <v>-2</v>
      </c>
      <c r="L108" s="1189">
        <f t="shared" ref="L108:L113" si="7">K108*J108</f>
        <v>-16</v>
      </c>
      <c r="M108" s="1189">
        <f t="shared" si="5"/>
        <v>19</v>
      </c>
    </row>
    <row r="109" spans="2:13" x14ac:dyDescent="0.2">
      <c r="C109" s="1784"/>
      <c r="D109" s="1785"/>
      <c r="E109" s="1197">
        <f t="shared" si="4"/>
        <v>0</v>
      </c>
      <c r="F109" s="1188">
        <f t="shared" si="6"/>
        <v>1</v>
      </c>
      <c r="G109" s="1189">
        <v>25001</v>
      </c>
      <c r="H109" s="1189">
        <v>50000</v>
      </c>
      <c r="I109" s="1189">
        <v>220</v>
      </c>
      <c r="J109" s="1190">
        <v>8</v>
      </c>
      <c r="K109" s="1192">
        <f>ROUNDUP((F109-25000)/1000,0)</f>
        <v>-25</v>
      </c>
      <c r="L109" s="1189">
        <f t="shared" si="7"/>
        <v>-200</v>
      </c>
      <c r="M109" s="1189">
        <f t="shared" si="5"/>
        <v>20</v>
      </c>
    </row>
    <row r="110" spans="2:13" x14ac:dyDescent="0.2">
      <c r="C110" s="1784"/>
      <c r="D110" s="1785"/>
      <c r="E110" s="1197">
        <f t="shared" si="4"/>
        <v>0</v>
      </c>
      <c r="F110" s="1188">
        <f t="shared" si="6"/>
        <v>1</v>
      </c>
      <c r="G110" s="1189">
        <v>50001</v>
      </c>
      <c r="H110" s="1189">
        <v>100000</v>
      </c>
      <c r="I110" s="1189">
        <v>420</v>
      </c>
      <c r="J110" s="1190">
        <v>7</v>
      </c>
      <c r="K110" s="1192">
        <f>ROUNDUP((F110-50000)/1000,0)</f>
        <v>-50</v>
      </c>
      <c r="L110" s="1189">
        <f t="shared" si="7"/>
        <v>-350</v>
      </c>
      <c r="M110" s="1189">
        <f t="shared" si="5"/>
        <v>70</v>
      </c>
    </row>
    <row r="111" spans="2:13" x14ac:dyDescent="0.2">
      <c r="C111" s="1784"/>
      <c r="D111" s="1785"/>
      <c r="E111" s="1197">
        <f t="shared" si="4"/>
        <v>0</v>
      </c>
      <c r="F111" s="1188">
        <f t="shared" si="6"/>
        <v>1</v>
      </c>
      <c r="G111" s="1189">
        <v>100001</v>
      </c>
      <c r="H111" s="1189">
        <v>500000</v>
      </c>
      <c r="I111" s="1189">
        <v>770</v>
      </c>
      <c r="J111" s="1190">
        <v>5.6</v>
      </c>
      <c r="K111" s="1192">
        <f>ROUNDUP((F111-100000)/1000,0)</f>
        <v>-100</v>
      </c>
      <c r="L111" s="1189">
        <f t="shared" si="7"/>
        <v>-560</v>
      </c>
      <c r="M111" s="1189">
        <f t="shared" si="5"/>
        <v>210</v>
      </c>
    </row>
    <row r="112" spans="2:13" x14ac:dyDescent="0.2">
      <c r="C112" s="1784"/>
      <c r="D112" s="1785"/>
      <c r="E112" s="1197">
        <f t="shared" si="4"/>
        <v>0</v>
      </c>
      <c r="F112" s="1188">
        <f t="shared" si="6"/>
        <v>1</v>
      </c>
      <c r="G112" s="1189">
        <v>500001</v>
      </c>
      <c r="H112" s="1189">
        <v>1000000</v>
      </c>
      <c r="I112" s="1189">
        <v>3010</v>
      </c>
      <c r="J112" s="1190">
        <v>4.75</v>
      </c>
      <c r="K112" s="1192">
        <f>ROUNDUP((F112-500000)/1000,0)</f>
        <v>-500</v>
      </c>
      <c r="L112" s="1189">
        <f t="shared" si="7"/>
        <v>-2375</v>
      </c>
      <c r="M112" s="1189">
        <f t="shared" si="5"/>
        <v>635</v>
      </c>
    </row>
    <row r="113" spans="2:13" x14ac:dyDescent="0.2">
      <c r="C113" s="1784"/>
      <c r="D113" s="1785"/>
      <c r="E113" s="1197">
        <f t="shared" si="4"/>
        <v>0</v>
      </c>
      <c r="F113" s="1188">
        <f t="shared" si="6"/>
        <v>1</v>
      </c>
      <c r="G113" s="1189">
        <v>1000001</v>
      </c>
      <c r="H113" s="1189">
        <v>50000000</v>
      </c>
      <c r="I113" s="1189">
        <v>5385</v>
      </c>
      <c r="J113" s="1190">
        <v>3.65</v>
      </c>
      <c r="K113" s="1192">
        <f>ROUNDUP((F113-1000000)/1000,0)</f>
        <v>-1000</v>
      </c>
      <c r="L113" s="1189">
        <f t="shared" si="7"/>
        <v>-3650</v>
      </c>
      <c r="M113" s="1189">
        <f>ROUNDUP(L113+I113,0)</f>
        <v>1735</v>
      </c>
    </row>
    <row r="114" spans="2:13" ht="13.5" thickBot="1" x14ac:dyDescent="0.25">
      <c r="C114" s="1784"/>
      <c r="D114" s="1785"/>
    </row>
    <row r="115" spans="2:13" ht="13.5" thickBot="1" x14ac:dyDescent="0.25">
      <c r="C115" s="1786" t="s">
        <v>2182</v>
      </c>
      <c r="D115" s="1787"/>
      <c r="F115" s="1240" t="s">
        <v>2181</v>
      </c>
      <c r="G115" s="1241"/>
      <c r="H115" s="1241"/>
      <c r="I115" s="1241"/>
      <c r="J115" s="1241"/>
      <c r="K115" s="1241"/>
      <c r="L115" s="1241"/>
      <c r="M115" s="1242"/>
    </row>
    <row r="116" spans="2:13" ht="13.5" customHeight="1" x14ac:dyDescent="0.2">
      <c r="C116" s="1788" t="s">
        <v>2177</v>
      </c>
      <c r="D116" s="1789"/>
      <c r="F116" s="1605" t="s">
        <v>2169</v>
      </c>
      <c r="G116" s="1605"/>
      <c r="H116" s="1188">
        <f>($M$91+1)</f>
        <v>1</v>
      </c>
      <c r="I116" s="1187"/>
      <c r="J116" s="1187"/>
      <c r="K116" s="1187"/>
      <c r="L116" s="1187"/>
      <c r="M116" s="1187"/>
    </row>
    <row r="117" spans="2:13" ht="38.25" x14ac:dyDescent="0.2">
      <c r="B117" s="1196" t="s">
        <v>2185</v>
      </c>
      <c r="C117" s="1788"/>
      <c r="D117" s="1789"/>
      <c r="F117" s="1243" t="s">
        <v>2344</v>
      </c>
      <c r="G117" s="1244" t="s">
        <v>2170</v>
      </c>
      <c r="H117" s="1244" t="s">
        <v>2171</v>
      </c>
      <c r="I117" s="1244" t="s">
        <v>2172</v>
      </c>
      <c r="J117" s="1243" t="s">
        <v>2346</v>
      </c>
      <c r="K117" s="1245" t="s">
        <v>2347</v>
      </c>
      <c r="L117" s="1243" t="s">
        <v>2324</v>
      </c>
      <c r="M117" s="1243" t="s">
        <v>2176</v>
      </c>
    </row>
    <row r="118" spans="2:13" x14ac:dyDescent="0.2">
      <c r="B118" s="1199">
        <f>VLOOKUP(1,E118:M121,9,FALSE)</f>
        <v>14</v>
      </c>
      <c r="C118" s="1788"/>
      <c r="D118" s="1789"/>
      <c r="E118" s="1197">
        <f>IF(AND(F118&gt;=MIN(G118,H118),F118&lt;=MAX(G118,H118)),1,0)</f>
        <v>1</v>
      </c>
      <c r="F118" s="1188">
        <f>H116</f>
        <v>1</v>
      </c>
      <c r="G118" s="1189">
        <v>1</v>
      </c>
      <c r="H118" s="1189">
        <v>100</v>
      </c>
      <c r="I118" s="1191">
        <v>13.6</v>
      </c>
      <c r="J118" s="1190">
        <v>0</v>
      </c>
      <c r="K118" s="1187"/>
      <c r="L118" s="1191"/>
      <c r="M118" s="1189">
        <f>ROUNDUP(L118+I118,0)</f>
        <v>14</v>
      </c>
    </row>
    <row r="119" spans="2:13" x14ac:dyDescent="0.2">
      <c r="C119" s="1788"/>
      <c r="D119" s="1789"/>
      <c r="E119" s="1197">
        <f>IF(AND(F119&gt;=MIN(G119,H119),F119&lt;=MAX(G119,H119)),1,0)</f>
        <v>0</v>
      </c>
      <c r="F119" s="1188">
        <f>F118</f>
        <v>1</v>
      </c>
      <c r="G119" s="1189">
        <v>101</v>
      </c>
      <c r="H119" s="1189">
        <v>400</v>
      </c>
      <c r="I119" s="1200">
        <v>16.75</v>
      </c>
      <c r="J119" s="1190">
        <v>0</v>
      </c>
      <c r="K119" s="1192">
        <v>0</v>
      </c>
      <c r="L119" s="1189">
        <f>K119*J119</f>
        <v>0</v>
      </c>
      <c r="M119" s="1189">
        <f>ROUNDUP(L119+I119,0)</f>
        <v>17</v>
      </c>
    </row>
    <row r="120" spans="2:13" x14ac:dyDescent="0.2">
      <c r="C120" s="1788"/>
      <c r="D120" s="1789"/>
      <c r="E120" s="1197">
        <f>IF(AND(F120&gt;=MIN(G120,H120),F120&lt;=MAX(G120,H120)),1,0)</f>
        <v>0</v>
      </c>
      <c r="F120" s="1188">
        <f>F119</f>
        <v>1</v>
      </c>
      <c r="G120" s="1189">
        <v>401</v>
      </c>
      <c r="H120" s="1189">
        <v>800</v>
      </c>
      <c r="I120" s="1191">
        <v>19.899999999999999</v>
      </c>
      <c r="J120" s="1190">
        <v>0</v>
      </c>
      <c r="K120" s="1192">
        <v>0</v>
      </c>
      <c r="L120" s="1189">
        <f>K120*J120</f>
        <v>0</v>
      </c>
      <c r="M120" s="1189">
        <f>ROUNDUP(L120+I120,0)</f>
        <v>20</v>
      </c>
    </row>
    <row r="121" spans="2:13" ht="13.5" thickBot="1" x14ac:dyDescent="0.25">
      <c r="C121" s="1788"/>
      <c r="D121" s="1789"/>
      <c r="E121" s="1197">
        <f>IF(AND(F121&gt;=MIN(G121,H121),F121&lt;=MAX(G121,H121)),1,0)</f>
        <v>0</v>
      </c>
      <c r="F121" s="1188">
        <f>F120</f>
        <v>1</v>
      </c>
      <c r="G121" s="1189">
        <v>801</v>
      </c>
      <c r="H121" s="1189">
        <v>50000000</v>
      </c>
      <c r="I121" s="1191">
        <v>19.899999999999999</v>
      </c>
      <c r="J121" s="1190">
        <v>3.75</v>
      </c>
      <c r="K121" s="1192">
        <f>ROUNDUP((F121-800)/100,0)</f>
        <v>-8</v>
      </c>
      <c r="L121" s="1189">
        <f>K121*J121</f>
        <v>-30</v>
      </c>
      <c r="M121" s="1189">
        <f>ROUNDUP(L121+I121,0)</f>
        <v>-11</v>
      </c>
    </row>
    <row r="122" spans="2:13" ht="13.5" thickBot="1" x14ac:dyDescent="0.25">
      <c r="C122" s="1689" t="s">
        <v>2042</v>
      </c>
      <c r="D122" s="1690"/>
      <c r="F122" s="1320" t="s">
        <v>2365</v>
      </c>
      <c r="G122" s="1321"/>
      <c r="H122" s="1321"/>
      <c r="I122" s="1321"/>
      <c r="J122" s="1321"/>
      <c r="K122" s="1321"/>
      <c r="L122" s="1321"/>
      <c r="M122" s="1322"/>
    </row>
    <row r="123" spans="2:13" x14ac:dyDescent="0.2">
      <c r="C123" s="1691" t="s">
        <v>2367</v>
      </c>
      <c r="D123" s="1692"/>
      <c r="F123" s="1605" t="s">
        <v>2169</v>
      </c>
      <c r="G123" s="1605"/>
      <c r="H123" s="1188">
        <f>($M$91+1)</f>
        <v>1</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119</v>
      </c>
      <c r="C125" s="1695"/>
      <c r="D125" s="1696"/>
      <c r="E125" s="1197">
        <f>IF(AND(F125&gt;=MIN(G125,H125),F125&lt;=MAX(G125,H125)),1,0)</f>
        <v>1</v>
      </c>
      <c r="F125" s="1188">
        <f>H123</f>
        <v>1</v>
      </c>
      <c r="G125" s="1189">
        <v>1</v>
      </c>
      <c r="H125" s="1189">
        <v>50000000</v>
      </c>
      <c r="I125" s="1191">
        <v>105</v>
      </c>
      <c r="J125" s="1190">
        <v>14</v>
      </c>
      <c r="K125" s="1192">
        <f>ROUNDUP(F125/1000,0)</f>
        <v>1</v>
      </c>
      <c r="L125" s="1189">
        <f>K125*J125</f>
        <v>14</v>
      </c>
      <c r="M125" s="118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9:C39"/>
    <mergeCell ref="B35:C35"/>
    <mergeCell ref="B36:C36"/>
    <mergeCell ref="B37:C37"/>
    <mergeCell ref="B38:C38"/>
    <mergeCell ref="B15:C15"/>
    <mergeCell ref="B16:C16"/>
    <mergeCell ref="B17:C17"/>
    <mergeCell ref="B29:C29"/>
    <mergeCell ref="B30:C30"/>
    <mergeCell ref="B31:C31"/>
    <mergeCell ref="B32:C32"/>
    <mergeCell ref="B33:C33"/>
    <mergeCell ref="B34:C34"/>
    <mergeCell ref="B27:C27"/>
    <mergeCell ref="B28:C28"/>
    <mergeCell ref="B24:C24"/>
    <mergeCell ref="B25:C25"/>
    <mergeCell ref="B26:C26"/>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3"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5485E24-D276-4C4B-A84D-98A2164B11A4}">
          <x14:formula1>
            <xm:f>Rentals!$A$13:$A$35</xm:f>
          </x14:formula1>
          <xm:sqref>I62:I63</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M125"/>
  <sheetViews>
    <sheetView topLeftCell="A73" zoomScaleNormal="100" workbookViewId="0">
      <selection activeCell="L97" sqref="L97"/>
    </sheetView>
  </sheetViews>
  <sheetFormatPr defaultRowHeight="12.75" x14ac:dyDescent="0.2"/>
  <cols>
    <col min="1" max="1" width="1.85546875" customWidth="1"/>
    <col min="2" max="2" width="10.140625" customWidth="1"/>
    <col min="3" max="3" width="30.7109375" customWidth="1"/>
    <col min="4" max="4" width="14" customWidth="1"/>
    <col min="5" max="5" width="15.42578125" customWidth="1"/>
    <col min="6" max="7" width="12.7109375" customWidth="1"/>
    <col min="8" max="8" width="13.7109375"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723" t="s">
        <v>1154</v>
      </c>
      <c r="C1" s="1724"/>
      <c r="D1" s="1724"/>
      <c r="E1" s="1724"/>
      <c r="F1" s="1724"/>
      <c r="G1" s="1724"/>
      <c r="H1" s="1724"/>
      <c r="I1" s="1724"/>
      <c r="J1" s="1724"/>
      <c r="K1" s="1724"/>
      <c r="L1" s="1724"/>
      <c r="M1" s="1725"/>
    </row>
    <row r="2" spans="2:13" ht="14.25" x14ac:dyDescent="0.2">
      <c r="B2" s="1035" t="s">
        <v>1155</v>
      </c>
      <c r="C2" s="1328"/>
      <c r="D2" s="1730" t="str">
        <f>'PROJECT INFO'!E3</f>
        <v>300 University Boulevard</v>
      </c>
      <c r="E2" s="1730"/>
      <c r="F2" s="1730"/>
      <c r="G2" s="1730"/>
      <c r="H2" s="368" t="s">
        <v>1156</v>
      </c>
      <c r="I2" s="1328"/>
      <c r="J2" s="1732"/>
      <c r="K2" s="1732"/>
      <c r="L2" s="1732"/>
      <c r="M2" s="1733"/>
    </row>
    <row r="3" spans="2:13" ht="14.25" x14ac:dyDescent="0.2">
      <c r="B3" s="1035" t="s">
        <v>1157</v>
      </c>
      <c r="C3" s="1328"/>
      <c r="D3" s="1730" t="str">
        <f>'PROJECT INFO'!E4</f>
        <v>5888</v>
      </c>
      <c r="E3" s="1730"/>
      <c r="F3" s="369"/>
      <c r="G3" s="369"/>
      <c r="H3" s="369"/>
      <c r="I3" s="369"/>
      <c r="J3" s="369"/>
      <c r="K3" s="369"/>
      <c r="L3" s="369"/>
      <c r="M3" s="1036"/>
    </row>
    <row r="4" spans="2:13" ht="14.25" x14ac:dyDescent="0.2">
      <c r="B4" s="1035" t="s">
        <v>1158</v>
      </c>
      <c r="C4" s="1328"/>
      <c r="D4" s="1328" t="str">
        <f>'Project Cost Recap'!B70</f>
        <v>#6</v>
      </c>
      <c r="E4" s="1731" t="s">
        <v>91</v>
      </c>
      <c r="F4" s="1731"/>
      <c r="G4" s="1731"/>
      <c r="H4" s="1726" t="str">
        <f>'Project Cost Recap'!E70</f>
        <v>Description of Alternate in this location</v>
      </c>
      <c r="I4" s="1726"/>
      <c r="J4" s="1726"/>
      <c r="K4" s="1726"/>
      <c r="L4" s="1726"/>
      <c r="M4" s="1727"/>
    </row>
    <row r="5" spans="2:13" ht="14.25" x14ac:dyDescent="0.2">
      <c r="B5" s="1035" t="s">
        <v>1085</v>
      </c>
      <c r="C5" s="370">
        <f ca="1">NOW()</f>
        <v>44718.519324884262</v>
      </c>
      <c r="D5" s="371"/>
      <c r="E5" s="371"/>
      <c r="F5" s="369"/>
      <c r="G5" s="369"/>
      <c r="H5" s="1726"/>
      <c r="I5" s="1726"/>
      <c r="J5" s="1726"/>
      <c r="K5" s="1726"/>
      <c r="L5" s="1726"/>
      <c r="M5" s="1727"/>
    </row>
    <row r="6" spans="2:13" ht="42.75" x14ac:dyDescent="0.2">
      <c r="B6" s="1728" t="s">
        <v>1159</v>
      </c>
      <c r="C6" s="1729"/>
      <c r="D6" s="372" t="s">
        <v>1146</v>
      </c>
      <c r="E6" s="372" t="s">
        <v>124</v>
      </c>
      <c r="F6" s="372" t="s">
        <v>1160</v>
      </c>
      <c r="G6" s="372" t="s">
        <v>1532</v>
      </c>
      <c r="H6" s="372" t="s">
        <v>1147</v>
      </c>
      <c r="I6" s="372" t="s">
        <v>1161</v>
      </c>
      <c r="J6" s="372" t="s">
        <v>1148</v>
      </c>
      <c r="K6" s="372" t="s">
        <v>1162</v>
      </c>
      <c r="L6" s="372" t="s">
        <v>451</v>
      </c>
      <c r="M6" s="1037" t="s">
        <v>1181</v>
      </c>
    </row>
    <row r="7" spans="2:13" ht="14.25" x14ac:dyDescent="0.2">
      <c r="B7" s="1712"/>
      <c r="C7" s="1713"/>
      <c r="D7" s="373"/>
      <c r="E7" s="374"/>
      <c r="F7" s="375"/>
      <c r="G7" s="375">
        <v>1</v>
      </c>
      <c r="H7" s="376">
        <f>E7*F7*G7</f>
        <v>0</v>
      </c>
      <c r="I7" s="375"/>
      <c r="J7" s="376">
        <f t="shared" ref="J7:J43" si="0">(I7*E7)</f>
        <v>0</v>
      </c>
      <c r="K7" s="377"/>
      <c r="L7" s="378"/>
      <c r="M7" s="1038">
        <f t="shared" ref="M7:M43" si="1">ROUNDUP(L7*E7,0)</f>
        <v>0</v>
      </c>
    </row>
    <row r="8" spans="2:13" ht="14.25" x14ac:dyDescent="0.2">
      <c r="B8" s="1712"/>
      <c r="C8" s="1713"/>
      <c r="D8" s="373"/>
      <c r="E8" s="374"/>
      <c r="F8" s="375"/>
      <c r="G8" s="375">
        <v>1</v>
      </c>
      <c r="H8" s="376">
        <f t="shared" ref="H8:H43" si="2">E8*F8*G8</f>
        <v>0</v>
      </c>
      <c r="I8" s="375"/>
      <c r="J8" s="376">
        <f t="shared" si="0"/>
        <v>0</v>
      </c>
      <c r="K8" s="377"/>
      <c r="L8" s="378"/>
      <c r="M8" s="1038">
        <f t="shared" si="1"/>
        <v>0</v>
      </c>
    </row>
    <row r="9" spans="2:13" ht="14.25" x14ac:dyDescent="0.2">
      <c r="B9" s="1712"/>
      <c r="C9" s="1713"/>
      <c r="D9" s="373"/>
      <c r="E9" s="374"/>
      <c r="F9" s="375"/>
      <c r="G9" s="375">
        <v>1</v>
      </c>
      <c r="H9" s="376">
        <f t="shared" si="2"/>
        <v>0</v>
      </c>
      <c r="I9" s="375"/>
      <c r="J9" s="376">
        <f t="shared" si="0"/>
        <v>0</v>
      </c>
      <c r="K9" s="377"/>
      <c r="L9" s="378"/>
      <c r="M9" s="1038">
        <f t="shared" si="1"/>
        <v>0</v>
      </c>
    </row>
    <row r="10" spans="2:13" ht="14.25" x14ac:dyDescent="0.2">
      <c r="B10" s="1712"/>
      <c r="C10" s="1713"/>
      <c r="D10" s="373"/>
      <c r="E10" s="374"/>
      <c r="F10" s="375"/>
      <c r="G10" s="375">
        <v>1</v>
      </c>
      <c r="H10" s="376">
        <f t="shared" si="2"/>
        <v>0</v>
      </c>
      <c r="I10" s="375"/>
      <c r="J10" s="376">
        <f t="shared" si="0"/>
        <v>0</v>
      </c>
      <c r="K10" s="377"/>
      <c r="L10" s="378"/>
      <c r="M10" s="1038">
        <f t="shared" si="1"/>
        <v>0</v>
      </c>
    </row>
    <row r="11" spans="2:13" ht="14.25" x14ac:dyDescent="0.2">
      <c r="B11" s="1712"/>
      <c r="C11" s="1713"/>
      <c r="D11" s="373"/>
      <c r="E11" s="374"/>
      <c r="F11" s="375"/>
      <c r="G11" s="375">
        <v>1</v>
      </c>
      <c r="H11" s="376">
        <f t="shared" si="2"/>
        <v>0</v>
      </c>
      <c r="I11" s="375"/>
      <c r="J11" s="376">
        <f t="shared" si="0"/>
        <v>0</v>
      </c>
      <c r="K11" s="377"/>
      <c r="L11" s="378"/>
      <c r="M11" s="1038">
        <f t="shared" si="1"/>
        <v>0</v>
      </c>
    </row>
    <row r="12" spans="2:13" ht="14.25" x14ac:dyDescent="0.2">
      <c r="B12" s="1712"/>
      <c r="C12" s="1713"/>
      <c r="D12" s="373"/>
      <c r="E12" s="374"/>
      <c r="F12" s="375"/>
      <c r="G12" s="375">
        <v>1</v>
      </c>
      <c r="H12" s="376">
        <f t="shared" si="2"/>
        <v>0</v>
      </c>
      <c r="I12" s="375"/>
      <c r="J12" s="376">
        <f t="shared" si="0"/>
        <v>0</v>
      </c>
      <c r="K12" s="377"/>
      <c r="L12" s="378"/>
      <c r="M12" s="1038">
        <f t="shared" si="1"/>
        <v>0</v>
      </c>
    </row>
    <row r="13" spans="2:13" ht="14.25" x14ac:dyDescent="0.2">
      <c r="B13" s="1712"/>
      <c r="C13" s="1713"/>
      <c r="D13" s="373"/>
      <c r="E13" s="374"/>
      <c r="F13" s="375"/>
      <c r="G13" s="375">
        <v>1</v>
      </c>
      <c r="H13" s="376">
        <f t="shared" si="2"/>
        <v>0</v>
      </c>
      <c r="I13" s="375"/>
      <c r="J13" s="376">
        <f t="shared" si="0"/>
        <v>0</v>
      </c>
      <c r="K13" s="377"/>
      <c r="L13" s="378"/>
      <c r="M13" s="1038">
        <f t="shared" si="1"/>
        <v>0</v>
      </c>
    </row>
    <row r="14" spans="2:13" ht="14.25" x14ac:dyDescent="0.2">
      <c r="B14" s="1712"/>
      <c r="C14" s="1713"/>
      <c r="D14" s="373"/>
      <c r="E14" s="374"/>
      <c r="F14" s="375"/>
      <c r="G14" s="375">
        <v>1</v>
      </c>
      <c r="H14" s="376">
        <f t="shared" si="2"/>
        <v>0</v>
      </c>
      <c r="I14" s="375"/>
      <c r="J14" s="376">
        <f t="shared" si="0"/>
        <v>0</v>
      </c>
      <c r="K14" s="377"/>
      <c r="L14" s="378"/>
      <c r="M14" s="1038">
        <f t="shared" si="1"/>
        <v>0</v>
      </c>
    </row>
    <row r="15" spans="2:13" ht="14.25" x14ac:dyDescent="0.2">
      <c r="B15" s="1712"/>
      <c r="C15" s="1713"/>
      <c r="D15" s="373"/>
      <c r="E15" s="374"/>
      <c r="F15" s="375"/>
      <c r="G15" s="375">
        <v>1</v>
      </c>
      <c r="H15" s="376">
        <f t="shared" si="2"/>
        <v>0</v>
      </c>
      <c r="I15" s="375"/>
      <c r="J15" s="376">
        <f t="shared" si="0"/>
        <v>0</v>
      </c>
      <c r="K15" s="377"/>
      <c r="L15" s="378"/>
      <c r="M15" s="1038">
        <f t="shared" si="1"/>
        <v>0</v>
      </c>
    </row>
    <row r="16" spans="2:13" ht="14.25" x14ac:dyDescent="0.2">
      <c r="B16" s="1712"/>
      <c r="C16" s="1713"/>
      <c r="D16" s="373"/>
      <c r="E16" s="374"/>
      <c r="F16" s="375"/>
      <c r="G16" s="375">
        <v>1</v>
      </c>
      <c r="H16" s="376">
        <f t="shared" si="2"/>
        <v>0</v>
      </c>
      <c r="I16" s="375"/>
      <c r="J16" s="376">
        <f t="shared" si="0"/>
        <v>0</v>
      </c>
      <c r="K16" s="377"/>
      <c r="L16" s="378"/>
      <c r="M16" s="1038">
        <f t="shared" si="1"/>
        <v>0</v>
      </c>
    </row>
    <row r="17" spans="2:13" ht="14.25" x14ac:dyDescent="0.2">
      <c r="B17" s="1712"/>
      <c r="C17" s="1713"/>
      <c r="D17" s="373"/>
      <c r="E17" s="374"/>
      <c r="F17" s="375"/>
      <c r="G17" s="375">
        <v>1</v>
      </c>
      <c r="H17" s="376">
        <f t="shared" si="2"/>
        <v>0</v>
      </c>
      <c r="I17" s="375"/>
      <c r="J17" s="376">
        <f t="shared" si="0"/>
        <v>0</v>
      </c>
      <c r="K17" s="377"/>
      <c r="L17" s="378"/>
      <c r="M17" s="1038">
        <f t="shared" si="1"/>
        <v>0</v>
      </c>
    </row>
    <row r="18" spans="2:13" ht="14.25" x14ac:dyDescent="0.2">
      <c r="B18" s="1712"/>
      <c r="C18" s="1713"/>
      <c r="D18" s="373"/>
      <c r="E18" s="374"/>
      <c r="F18" s="375"/>
      <c r="G18" s="375">
        <v>1</v>
      </c>
      <c r="H18" s="376">
        <f t="shared" si="2"/>
        <v>0</v>
      </c>
      <c r="I18" s="375"/>
      <c r="J18" s="376">
        <f t="shared" si="0"/>
        <v>0</v>
      </c>
      <c r="K18" s="377"/>
      <c r="L18" s="378"/>
      <c r="M18" s="1038">
        <f t="shared" si="1"/>
        <v>0</v>
      </c>
    </row>
    <row r="19" spans="2:13" ht="14.25" x14ac:dyDescent="0.2">
      <c r="B19" s="1712"/>
      <c r="C19" s="1713"/>
      <c r="D19" s="373"/>
      <c r="E19" s="374"/>
      <c r="F19" s="375"/>
      <c r="G19" s="375">
        <v>1</v>
      </c>
      <c r="H19" s="376">
        <f t="shared" si="2"/>
        <v>0</v>
      </c>
      <c r="I19" s="375"/>
      <c r="J19" s="376">
        <f t="shared" si="0"/>
        <v>0</v>
      </c>
      <c r="K19" s="377"/>
      <c r="L19" s="378"/>
      <c r="M19" s="1038">
        <f t="shared" si="1"/>
        <v>0</v>
      </c>
    </row>
    <row r="20" spans="2:13" ht="14.25" x14ac:dyDescent="0.2">
      <c r="B20" s="1712"/>
      <c r="C20" s="1713"/>
      <c r="D20" s="373"/>
      <c r="E20" s="374"/>
      <c r="F20" s="375"/>
      <c r="G20" s="375">
        <v>1</v>
      </c>
      <c r="H20" s="376">
        <f t="shared" si="2"/>
        <v>0</v>
      </c>
      <c r="I20" s="375"/>
      <c r="J20" s="376">
        <f t="shared" si="0"/>
        <v>0</v>
      </c>
      <c r="K20" s="377"/>
      <c r="L20" s="378"/>
      <c r="M20" s="1038">
        <f t="shared" si="1"/>
        <v>0</v>
      </c>
    </row>
    <row r="21" spans="2:13" ht="14.25" x14ac:dyDescent="0.2">
      <c r="B21" s="1712"/>
      <c r="C21" s="1713"/>
      <c r="D21" s="373"/>
      <c r="E21" s="374"/>
      <c r="F21" s="375"/>
      <c r="G21" s="375">
        <v>1</v>
      </c>
      <c r="H21" s="376">
        <f t="shared" si="2"/>
        <v>0</v>
      </c>
      <c r="I21" s="375"/>
      <c r="J21" s="376">
        <f t="shared" si="0"/>
        <v>0</v>
      </c>
      <c r="K21" s="377"/>
      <c r="L21" s="378"/>
      <c r="M21" s="1038">
        <f t="shared" si="1"/>
        <v>0</v>
      </c>
    </row>
    <row r="22" spans="2:13" ht="14.25" x14ac:dyDescent="0.2">
      <c r="B22" s="1712"/>
      <c r="C22" s="1713"/>
      <c r="D22" s="373"/>
      <c r="E22" s="374"/>
      <c r="F22" s="375"/>
      <c r="G22" s="375">
        <v>1</v>
      </c>
      <c r="H22" s="376">
        <f t="shared" si="2"/>
        <v>0</v>
      </c>
      <c r="I22" s="375"/>
      <c r="J22" s="376">
        <f t="shared" si="0"/>
        <v>0</v>
      </c>
      <c r="K22" s="377"/>
      <c r="L22" s="378"/>
      <c r="M22" s="1038">
        <f t="shared" si="1"/>
        <v>0</v>
      </c>
    </row>
    <row r="23" spans="2:13" ht="14.25" x14ac:dyDescent="0.2">
      <c r="B23" s="1712"/>
      <c r="C23" s="1713"/>
      <c r="D23" s="373"/>
      <c r="E23" s="374"/>
      <c r="F23" s="375"/>
      <c r="G23" s="375">
        <v>1</v>
      </c>
      <c r="H23" s="376">
        <f t="shared" si="2"/>
        <v>0</v>
      </c>
      <c r="I23" s="375"/>
      <c r="J23" s="376">
        <f t="shared" si="0"/>
        <v>0</v>
      </c>
      <c r="K23" s="377"/>
      <c r="L23" s="378"/>
      <c r="M23" s="1038">
        <f t="shared" si="1"/>
        <v>0</v>
      </c>
    </row>
    <row r="24" spans="2:13" ht="14.25" x14ac:dyDescent="0.2">
      <c r="B24" s="1712"/>
      <c r="C24" s="1713"/>
      <c r="D24" s="373"/>
      <c r="E24" s="374"/>
      <c r="F24" s="375"/>
      <c r="G24" s="375">
        <v>1</v>
      </c>
      <c r="H24" s="376">
        <f t="shared" si="2"/>
        <v>0</v>
      </c>
      <c r="I24" s="375"/>
      <c r="J24" s="376">
        <f t="shared" si="0"/>
        <v>0</v>
      </c>
      <c r="K24" s="377"/>
      <c r="L24" s="378"/>
      <c r="M24" s="1038">
        <f t="shared" si="1"/>
        <v>0</v>
      </c>
    </row>
    <row r="25" spans="2:13" ht="14.25" x14ac:dyDescent="0.2">
      <c r="B25" s="1712"/>
      <c r="C25" s="1713"/>
      <c r="D25" s="373"/>
      <c r="E25" s="374"/>
      <c r="F25" s="375"/>
      <c r="G25" s="375">
        <v>1</v>
      </c>
      <c r="H25" s="376">
        <f t="shared" si="2"/>
        <v>0</v>
      </c>
      <c r="I25" s="375"/>
      <c r="J25" s="376">
        <f t="shared" si="0"/>
        <v>0</v>
      </c>
      <c r="K25" s="377"/>
      <c r="L25" s="378"/>
      <c r="M25" s="1038">
        <f t="shared" si="1"/>
        <v>0</v>
      </c>
    </row>
    <row r="26" spans="2:13" ht="14.25" x14ac:dyDescent="0.2">
      <c r="B26" s="1712"/>
      <c r="C26" s="1713"/>
      <c r="D26" s="373"/>
      <c r="E26" s="374"/>
      <c r="F26" s="375"/>
      <c r="G26" s="375">
        <v>1</v>
      </c>
      <c r="H26" s="376">
        <f t="shared" si="2"/>
        <v>0</v>
      </c>
      <c r="I26" s="375"/>
      <c r="J26" s="376">
        <f t="shared" si="0"/>
        <v>0</v>
      </c>
      <c r="K26" s="377"/>
      <c r="L26" s="378"/>
      <c r="M26" s="1038">
        <f t="shared" si="1"/>
        <v>0</v>
      </c>
    </row>
    <row r="27" spans="2:13" ht="14.25" x14ac:dyDescent="0.2">
      <c r="B27" s="1712"/>
      <c r="C27" s="1713"/>
      <c r="D27" s="373"/>
      <c r="E27" s="374"/>
      <c r="F27" s="375"/>
      <c r="G27" s="375">
        <v>1</v>
      </c>
      <c r="H27" s="376">
        <f t="shared" si="2"/>
        <v>0</v>
      </c>
      <c r="I27" s="375"/>
      <c r="J27" s="376">
        <f t="shared" si="0"/>
        <v>0</v>
      </c>
      <c r="K27" s="377"/>
      <c r="L27" s="378"/>
      <c r="M27" s="1038">
        <f t="shared" si="1"/>
        <v>0</v>
      </c>
    </row>
    <row r="28" spans="2:13" ht="14.25" x14ac:dyDescent="0.2">
      <c r="B28" s="1712"/>
      <c r="C28" s="1713"/>
      <c r="D28" s="373"/>
      <c r="E28" s="374"/>
      <c r="F28" s="375"/>
      <c r="G28" s="375">
        <v>1</v>
      </c>
      <c r="H28" s="376">
        <f t="shared" si="2"/>
        <v>0</v>
      </c>
      <c r="I28" s="375"/>
      <c r="J28" s="376">
        <f t="shared" si="0"/>
        <v>0</v>
      </c>
      <c r="K28" s="377"/>
      <c r="L28" s="378"/>
      <c r="M28" s="1038">
        <f t="shared" si="1"/>
        <v>0</v>
      </c>
    </row>
    <row r="29" spans="2:13" ht="14.25" x14ac:dyDescent="0.2">
      <c r="B29" s="1712"/>
      <c r="C29" s="1713"/>
      <c r="D29" s="373"/>
      <c r="E29" s="374"/>
      <c r="F29" s="375"/>
      <c r="G29" s="375">
        <v>1</v>
      </c>
      <c r="H29" s="376">
        <f t="shared" si="2"/>
        <v>0</v>
      </c>
      <c r="I29" s="375"/>
      <c r="J29" s="376">
        <f t="shared" si="0"/>
        <v>0</v>
      </c>
      <c r="K29" s="377"/>
      <c r="L29" s="378"/>
      <c r="M29" s="1038">
        <f t="shared" si="1"/>
        <v>0</v>
      </c>
    </row>
    <row r="30" spans="2:13" ht="14.25" x14ac:dyDescent="0.2">
      <c r="B30" s="1712"/>
      <c r="C30" s="1713"/>
      <c r="D30" s="373"/>
      <c r="E30" s="374"/>
      <c r="F30" s="375"/>
      <c r="G30" s="375">
        <v>1</v>
      </c>
      <c r="H30" s="376">
        <f t="shared" si="2"/>
        <v>0</v>
      </c>
      <c r="I30" s="375"/>
      <c r="J30" s="376">
        <f t="shared" si="0"/>
        <v>0</v>
      </c>
      <c r="K30" s="377"/>
      <c r="L30" s="378"/>
      <c r="M30" s="1038">
        <f t="shared" si="1"/>
        <v>0</v>
      </c>
    </row>
    <row r="31" spans="2:13" ht="14.25" x14ac:dyDescent="0.2">
      <c r="B31" s="1712"/>
      <c r="C31" s="1713"/>
      <c r="D31" s="373"/>
      <c r="E31" s="374"/>
      <c r="F31" s="375"/>
      <c r="G31" s="375">
        <v>1</v>
      </c>
      <c r="H31" s="376">
        <f t="shared" si="2"/>
        <v>0</v>
      </c>
      <c r="I31" s="375"/>
      <c r="J31" s="376">
        <f t="shared" si="0"/>
        <v>0</v>
      </c>
      <c r="K31" s="377"/>
      <c r="L31" s="378"/>
      <c r="M31" s="1038">
        <f t="shared" si="1"/>
        <v>0</v>
      </c>
    </row>
    <row r="32" spans="2:13" ht="14.25" x14ac:dyDescent="0.2">
      <c r="B32" s="1712"/>
      <c r="C32" s="1713"/>
      <c r="D32" s="373"/>
      <c r="E32" s="374"/>
      <c r="F32" s="375"/>
      <c r="G32" s="375">
        <v>1</v>
      </c>
      <c r="H32" s="376">
        <f t="shared" si="2"/>
        <v>0</v>
      </c>
      <c r="I32" s="375"/>
      <c r="J32" s="376">
        <f t="shared" si="0"/>
        <v>0</v>
      </c>
      <c r="K32" s="377"/>
      <c r="L32" s="378"/>
      <c r="M32" s="1038">
        <f t="shared" si="1"/>
        <v>0</v>
      </c>
    </row>
    <row r="33" spans="2:13" ht="14.25" x14ac:dyDescent="0.2">
      <c r="B33" s="1712"/>
      <c r="C33" s="1713"/>
      <c r="D33" s="373"/>
      <c r="E33" s="374"/>
      <c r="F33" s="375"/>
      <c r="G33" s="375">
        <v>1</v>
      </c>
      <c r="H33" s="376">
        <f t="shared" si="2"/>
        <v>0</v>
      </c>
      <c r="I33" s="375"/>
      <c r="J33" s="376">
        <f t="shared" si="0"/>
        <v>0</v>
      </c>
      <c r="K33" s="377"/>
      <c r="L33" s="378"/>
      <c r="M33" s="1038">
        <f t="shared" si="1"/>
        <v>0</v>
      </c>
    </row>
    <row r="34" spans="2:13" ht="14.25" x14ac:dyDescent="0.2">
      <c r="B34" s="1712"/>
      <c r="C34" s="1713"/>
      <c r="D34" s="373"/>
      <c r="E34" s="374"/>
      <c r="F34" s="375"/>
      <c r="G34" s="375">
        <v>1</v>
      </c>
      <c r="H34" s="376">
        <f t="shared" si="2"/>
        <v>0</v>
      </c>
      <c r="I34" s="375"/>
      <c r="J34" s="376">
        <f t="shared" si="0"/>
        <v>0</v>
      </c>
      <c r="K34" s="377"/>
      <c r="L34" s="378"/>
      <c r="M34" s="1038">
        <f t="shared" si="1"/>
        <v>0</v>
      </c>
    </row>
    <row r="35" spans="2:13" ht="14.25" x14ac:dyDescent="0.2">
      <c r="B35" s="1712"/>
      <c r="C35" s="1713"/>
      <c r="D35" s="373"/>
      <c r="E35" s="374"/>
      <c r="F35" s="375"/>
      <c r="G35" s="375">
        <v>1</v>
      </c>
      <c r="H35" s="376">
        <f t="shared" si="2"/>
        <v>0</v>
      </c>
      <c r="I35" s="375"/>
      <c r="J35" s="376">
        <f t="shared" si="0"/>
        <v>0</v>
      </c>
      <c r="K35" s="377"/>
      <c r="L35" s="378"/>
      <c r="M35" s="1038">
        <f t="shared" si="1"/>
        <v>0</v>
      </c>
    </row>
    <row r="36" spans="2:13" ht="14.25" x14ac:dyDescent="0.2">
      <c r="B36" s="1712"/>
      <c r="C36" s="1713"/>
      <c r="D36" s="373"/>
      <c r="E36" s="374"/>
      <c r="F36" s="375"/>
      <c r="G36" s="375">
        <v>1</v>
      </c>
      <c r="H36" s="376">
        <f t="shared" si="2"/>
        <v>0</v>
      </c>
      <c r="I36" s="375"/>
      <c r="J36" s="376">
        <f t="shared" si="0"/>
        <v>0</v>
      </c>
      <c r="K36" s="377"/>
      <c r="L36" s="378"/>
      <c r="M36" s="1038">
        <f t="shared" si="1"/>
        <v>0</v>
      </c>
    </row>
    <row r="37" spans="2:13" ht="14.25" x14ac:dyDescent="0.2">
      <c r="B37" s="1712"/>
      <c r="C37" s="1713"/>
      <c r="D37" s="373"/>
      <c r="E37" s="374"/>
      <c r="F37" s="375"/>
      <c r="G37" s="375">
        <v>1</v>
      </c>
      <c r="H37" s="376">
        <f t="shared" si="2"/>
        <v>0</v>
      </c>
      <c r="I37" s="375"/>
      <c r="J37" s="376">
        <f t="shared" si="0"/>
        <v>0</v>
      </c>
      <c r="K37" s="377"/>
      <c r="L37" s="378"/>
      <c r="M37" s="1038">
        <f t="shared" si="1"/>
        <v>0</v>
      </c>
    </row>
    <row r="38" spans="2:13" ht="14.25" x14ac:dyDescent="0.2">
      <c r="B38" s="1712"/>
      <c r="C38" s="1713"/>
      <c r="D38" s="373"/>
      <c r="E38" s="374"/>
      <c r="F38" s="375"/>
      <c r="G38" s="375">
        <v>1</v>
      </c>
      <c r="H38" s="376">
        <f t="shared" si="2"/>
        <v>0</v>
      </c>
      <c r="I38" s="375"/>
      <c r="J38" s="376">
        <f t="shared" si="0"/>
        <v>0</v>
      </c>
      <c r="K38" s="377"/>
      <c r="L38" s="378"/>
      <c r="M38" s="1038">
        <f t="shared" si="1"/>
        <v>0</v>
      </c>
    </row>
    <row r="39" spans="2:13" ht="14.25" x14ac:dyDescent="0.2">
      <c r="B39" s="1712"/>
      <c r="C39" s="1713"/>
      <c r="D39" s="373"/>
      <c r="E39" s="374"/>
      <c r="F39" s="375"/>
      <c r="G39" s="375">
        <v>1</v>
      </c>
      <c r="H39" s="376">
        <f t="shared" si="2"/>
        <v>0</v>
      </c>
      <c r="I39" s="375"/>
      <c r="J39" s="376">
        <f t="shared" si="0"/>
        <v>0</v>
      </c>
      <c r="K39" s="377"/>
      <c r="L39" s="378"/>
      <c r="M39" s="1038">
        <f t="shared" si="1"/>
        <v>0</v>
      </c>
    </row>
    <row r="40" spans="2:13" ht="14.25" x14ac:dyDescent="0.2">
      <c r="B40" s="1712"/>
      <c r="C40" s="1713"/>
      <c r="D40" s="373"/>
      <c r="E40" s="374"/>
      <c r="F40" s="375"/>
      <c r="G40" s="375">
        <v>1</v>
      </c>
      <c r="H40" s="376">
        <f t="shared" si="2"/>
        <v>0</v>
      </c>
      <c r="I40" s="375"/>
      <c r="J40" s="376">
        <f t="shared" si="0"/>
        <v>0</v>
      </c>
      <c r="K40" s="377"/>
      <c r="L40" s="378"/>
      <c r="M40" s="1038">
        <f t="shared" si="1"/>
        <v>0</v>
      </c>
    </row>
    <row r="41" spans="2:13" ht="14.25" x14ac:dyDescent="0.2">
      <c r="B41" s="1712"/>
      <c r="C41" s="1713"/>
      <c r="D41" s="373"/>
      <c r="E41" s="374"/>
      <c r="F41" s="375"/>
      <c r="G41" s="375">
        <v>1</v>
      </c>
      <c r="H41" s="376">
        <f t="shared" si="2"/>
        <v>0</v>
      </c>
      <c r="I41" s="375"/>
      <c r="J41" s="376">
        <f t="shared" si="0"/>
        <v>0</v>
      </c>
      <c r="K41" s="377"/>
      <c r="L41" s="378"/>
      <c r="M41" s="1038">
        <f t="shared" si="1"/>
        <v>0</v>
      </c>
    </row>
    <row r="42" spans="2:13" ht="14.25" x14ac:dyDescent="0.2">
      <c r="B42" s="1712"/>
      <c r="C42" s="1713"/>
      <c r="D42" s="373"/>
      <c r="E42" s="374"/>
      <c r="F42" s="375"/>
      <c r="G42" s="375">
        <v>1</v>
      </c>
      <c r="H42" s="376">
        <f t="shared" si="2"/>
        <v>0</v>
      </c>
      <c r="I42" s="375"/>
      <c r="J42" s="376">
        <f t="shared" si="0"/>
        <v>0</v>
      </c>
      <c r="K42" s="377"/>
      <c r="L42" s="378"/>
      <c r="M42" s="1038">
        <f t="shared" si="1"/>
        <v>0</v>
      </c>
    </row>
    <row r="43" spans="2:13" ht="14.25" x14ac:dyDescent="0.2">
      <c r="B43" s="1712"/>
      <c r="C43" s="1713"/>
      <c r="D43" s="373"/>
      <c r="E43" s="374"/>
      <c r="F43" s="375"/>
      <c r="G43" s="375">
        <v>1</v>
      </c>
      <c r="H43" s="376">
        <f t="shared" si="2"/>
        <v>0</v>
      </c>
      <c r="I43" s="375"/>
      <c r="J43" s="376">
        <f t="shared" si="0"/>
        <v>0</v>
      </c>
      <c r="K43" s="377"/>
      <c r="L43" s="378"/>
      <c r="M43" s="1038">
        <f t="shared" si="1"/>
        <v>0</v>
      </c>
    </row>
    <row r="44" spans="2:13" ht="14.25" x14ac:dyDescent="0.2">
      <c r="B44" s="1706"/>
      <c r="C44" s="1708"/>
      <c r="D44" s="380"/>
      <c r="E44" s="380"/>
      <c r="F44" s="381" t="s">
        <v>1149</v>
      </c>
      <c r="G44" s="381"/>
      <c r="H44" s="382">
        <f>SUM(H7:H43)</f>
        <v>0</v>
      </c>
      <c r="I44" s="383"/>
      <c r="J44" s="382">
        <f>SUM(J7:J43)</f>
        <v>0</v>
      </c>
      <c r="K44" s="384"/>
      <c r="L44" s="385"/>
      <c r="M44" s="1039">
        <f>SUM(M7:M43)</f>
        <v>0</v>
      </c>
    </row>
    <row r="45" spans="2:13" ht="14.25" x14ac:dyDescent="0.2">
      <c r="B45" s="1040"/>
      <c r="C45" s="386"/>
      <c r="D45" s="386"/>
      <c r="E45" s="386"/>
      <c r="F45" s="387"/>
      <c r="G45" s="388"/>
      <c r="H45" s="388"/>
      <c r="I45" s="389"/>
      <c r="J45" s="389"/>
      <c r="K45" s="389"/>
      <c r="L45" s="390"/>
      <c r="M45" s="1041"/>
    </row>
    <row r="46" spans="2:13" ht="42.75" x14ac:dyDescent="0.2">
      <c r="B46" s="1706" t="s">
        <v>1163</v>
      </c>
      <c r="C46" s="1707"/>
      <c r="D46" s="1707"/>
      <c r="E46" s="1707"/>
      <c r="F46" s="1740" t="s">
        <v>198</v>
      </c>
      <c r="G46" s="1740"/>
      <c r="H46" s="1740"/>
      <c r="I46" s="1740"/>
      <c r="J46" s="1741"/>
      <c r="K46" s="372" t="s">
        <v>1164</v>
      </c>
      <c r="L46" s="380" t="s">
        <v>1150</v>
      </c>
      <c r="M46" s="1037" t="s">
        <v>1181</v>
      </c>
    </row>
    <row r="47" spans="2:13" ht="14.25" x14ac:dyDescent="0.2">
      <c r="B47" s="1742"/>
      <c r="C47" s="1743"/>
      <c r="D47" s="1743"/>
      <c r="E47" s="1744"/>
      <c r="F47" s="1748" t="s">
        <v>1165</v>
      </c>
      <c r="G47" s="1749"/>
      <c r="H47" s="1749"/>
      <c r="I47" s="1749"/>
      <c r="J47" s="1750"/>
      <c r="K47" s="391">
        <f>H44</f>
        <v>0</v>
      </c>
      <c r="L47" s="392">
        <f>'Project Cost Recap'!C70</f>
        <v>65</v>
      </c>
      <c r="M47" s="1038">
        <f>ROUNDUP(K47*L47,0)</f>
        <v>0</v>
      </c>
    </row>
    <row r="48" spans="2:13" ht="14.25" x14ac:dyDescent="0.2">
      <c r="B48" s="1745"/>
      <c r="C48" s="1746"/>
      <c r="D48" s="1746"/>
      <c r="E48" s="1747"/>
      <c r="F48" s="1751" t="s">
        <v>1151</v>
      </c>
      <c r="G48" s="1752"/>
      <c r="H48" s="1752"/>
      <c r="I48" s="1752"/>
      <c r="J48" s="1753"/>
      <c r="K48" s="391">
        <f>J44</f>
        <v>0</v>
      </c>
      <c r="L48" s="393">
        <f>L47*1.15</f>
        <v>74.75</v>
      </c>
      <c r="M48" s="1038">
        <f>ROUNDUP(K48*L48,0)</f>
        <v>0</v>
      </c>
    </row>
    <row r="49" spans="2:13" ht="14.25" x14ac:dyDescent="0.2">
      <c r="B49" s="1745"/>
      <c r="C49" s="1746"/>
      <c r="D49" s="1746"/>
      <c r="E49" s="1747"/>
      <c r="F49" s="1751" t="s">
        <v>453</v>
      </c>
      <c r="G49" s="1752"/>
      <c r="H49" s="1752"/>
      <c r="I49" s="1752"/>
      <c r="J49" s="1753"/>
      <c r="K49" s="394">
        <f>M44</f>
        <v>0</v>
      </c>
      <c r="L49" s="395"/>
      <c r="M49" s="1038">
        <f>ROUNDUP((M44+(M44*L49)),0)</f>
        <v>0</v>
      </c>
    </row>
    <row r="50" spans="2:13" ht="14.25" x14ac:dyDescent="0.2">
      <c r="B50" s="1745"/>
      <c r="C50" s="1746"/>
      <c r="D50" s="1746"/>
      <c r="E50" s="1747"/>
      <c r="F50" s="1751" t="s">
        <v>1166</v>
      </c>
      <c r="G50" s="1752"/>
      <c r="H50" s="1752"/>
      <c r="I50" s="1752"/>
      <c r="J50" s="1753"/>
      <c r="K50" s="396"/>
      <c r="L50" s="395">
        <f>'PROJECT INFO'!H14</f>
        <v>8.8099999999999998E-2</v>
      </c>
      <c r="M50" s="1038">
        <f>L50*K49</f>
        <v>0</v>
      </c>
    </row>
    <row r="51" spans="2:13" ht="14.25" x14ac:dyDescent="0.2">
      <c r="B51" s="1714" t="s">
        <v>1167</v>
      </c>
      <c r="C51" s="1715"/>
      <c r="D51" s="1715"/>
      <c r="E51" s="1715"/>
      <c r="F51" s="1715"/>
      <c r="G51" s="1715"/>
      <c r="H51" s="1715"/>
      <c r="I51" s="1715"/>
      <c r="J51" s="1715"/>
      <c r="K51" s="1715"/>
      <c r="L51" s="1754"/>
      <c r="M51" s="1042">
        <f>SUM(M47:M50)</f>
        <v>0</v>
      </c>
    </row>
    <row r="52" spans="2:13" ht="14.25" x14ac:dyDescent="0.2">
      <c r="B52" s="1040"/>
      <c r="C52" s="386"/>
      <c r="D52" s="386"/>
      <c r="E52" s="386"/>
      <c r="F52" s="387"/>
      <c r="G52" s="388"/>
      <c r="H52" s="388"/>
      <c r="I52" s="389"/>
      <c r="J52" s="389"/>
      <c r="K52" s="389"/>
      <c r="L52" s="390"/>
      <c r="M52" s="1041"/>
    </row>
    <row r="53" spans="2:13" ht="28.5" x14ac:dyDescent="0.2">
      <c r="B53" s="1706" t="s">
        <v>1168</v>
      </c>
      <c r="C53" s="1707"/>
      <c r="D53" s="1707"/>
      <c r="E53" s="1740" t="s">
        <v>198</v>
      </c>
      <c r="F53" s="1740"/>
      <c r="G53" s="1740"/>
      <c r="H53" s="1740"/>
      <c r="I53" s="397" t="s">
        <v>1169</v>
      </c>
      <c r="J53" s="398" t="s">
        <v>1170</v>
      </c>
      <c r="K53" s="380" t="s">
        <v>1171</v>
      </c>
      <c r="L53" s="380" t="s">
        <v>1150</v>
      </c>
      <c r="M53" s="1037" t="s">
        <v>1181</v>
      </c>
    </row>
    <row r="54" spans="2:13" ht="14.25" x14ac:dyDescent="0.2">
      <c r="B54" s="1697"/>
      <c r="C54" s="1698"/>
      <c r="D54" s="1699"/>
      <c r="E54" s="1734" t="s">
        <v>1172</v>
      </c>
      <c r="F54" s="1735"/>
      <c r="G54" s="1735"/>
      <c r="H54" s="1735"/>
      <c r="I54" s="399">
        <f>K47</f>
        <v>0</v>
      </c>
      <c r="J54" s="450">
        <v>0.03</v>
      </c>
      <c r="K54" s="400">
        <f>$J$54*I54</f>
        <v>0</v>
      </c>
      <c r="L54" s="393">
        <f>L47</f>
        <v>65</v>
      </c>
      <c r="M54" s="1038">
        <f>L54*K54</f>
        <v>0</v>
      </c>
    </row>
    <row r="55" spans="2:13" ht="14.25" x14ac:dyDescent="0.2">
      <c r="B55" s="1700"/>
      <c r="C55" s="1701"/>
      <c r="D55" s="1702"/>
      <c r="E55" s="1734" t="s">
        <v>1173</v>
      </c>
      <c r="F55" s="1735"/>
      <c r="G55" s="1735"/>
      <c r="H55" s="1735"/>
      <c r="I55" s="399">
        <f>K47</f>
        <v>0</v>
      </c>
      <c r="J55" s="450">
        <v>0.1</v>
      </c>
      <c r="K55" s="400">
        <f>$J$55*I55</f>
        <v>0</v>
      </c>
      <c r="L55" s="393">
        <f>L54*1.2</f>
        <v>78</v>
      </c>
      <c r="M55" s="1038">
        <f>L55*K55</f>
        <v>0</v>
      </c>
    </row>
    <row r="56" spans="2:13" ht="14.25" x14ac:dyDescent="0.2">
      <c r="B56" s="1700"/>
      <c r="C56" s="1701"/>
      <c r="D56" s="1702"/>
      <c r="E56" s="1734" t="s">
        <v>1174</v>
      </c>
      <c r="F56" s="1735"/>
      <c r="G56" s="1735"/>
      <c r="H56" s="1735"/>
      <c r="I56" s="399"/>
      <c r="J56" s="395">
        <v>0.01</v>
      </c>
      <c r="K56" s="1736"/>
      <c r="L56" s="1737"/>
      <c r="M56" s="1038">
        <f>J56*$M$47</f>
        <v>0</v>
      </c>
    </row>
    <row r="57" spans="2:13" ht="14.25" x14ac:dyDescent="0.2">
      <c r="B57" s="1703"/>
      <c r="C57" s="1704"/>
      <c r="D57" s="1705"/>
      <c r="E57" s="1734" t="s">
        <v>1175</v>
      </c>
      <c r="F57" s="1735"/>
      <c r="G57" s="1735"/>
      <c r="H57" s="1735"/>
      <c r="I57" s="399"/>
      <c r="J57" s="395">
        <v>0.03</v>
      </c>
      <c r="K57" s="1738"/>
      <c r="L57" s="1739"/>
      <c r="M57" s="1038">
        <f>J57*$M$47</f>
        <v>0</v>
      </c>
    </row>
    <row r="58" spans="2:13" ht="14.25" x14ac:dyDescent="0.2">
      <c r="B58" s="1706" t="s">
        <v>1176</v>
      </c>
      <c r="C58" s="1707"/>
      <c r="D58" s="1707"/>
      <c r="E58" s="1707"/>
      <c r="F58" s="1707"/>
      <c r="G58" s="1707"/>
      <c r="H58" s="1707"/>
      <c r="I58" s="1707"/>
      <c r="J58" s="1707"/>
      <c r="K58" s="1707"/>
      <c r="L58" s="1708"/>
      <c r="M58" s="1042">
        <f>SUM(M54:M57)</f>
        <v>0</v>
      </c>
    </row>
    <row r="59" spans="2:13" ht="14.25" x14ac:dyDescent="0.2">
      <c r="B59" s="1040"/>
      <c r="C59" s="386"/>
      <c r="D59" s="386"/>
      <c r="E59" s="386"/>
      <c r="F59" s="387"/>
      <c r="G59" s="388"/>
      <c r="H59" s="388"/>
      <c r="I59" s="389"/>
      <c r="J59" s="389"/>
      <c r="K59" s="389"/>
      <c r="L59" s="390"/>
      <c r="M59" s="1041"/>
    </row>
    <row r="60" spans="2:13" ht="57" x14ac:dyDescent="0.2">
      <c r="B60" s="1706" t="s">
        <v>1177</v>
      </c>
      <c r="C60" s="1707"/>
      <c r="D60" s="1707"/>
      <c r="E60" s="1740" t="s">
        <v>198</v>
      </c>
      <c r="F60" s="1740"/>
      <c r="G60" s="1740"/>
      <c r="H60" s="1740"/>
      <c r="I60" s="397" t="s">
        <v>1146</v>
      </c>
      <c r="J60" s="397" t="s">
        <v>1178</v>
      </c>
      <c r="K60" s="401" t="s">
        <v>1179</v>
      </c>
      <c r="L60" s="402" t="s">
        <v>1180</v>
      </c>
      <c r="M60" s="1037" t="s">
        <v>1181</v>
      </c>
    </row>
    <row r="61" spans="2:13" ht="14.25" x14ac:dyDescent="0.2">
      <c r="B61" s="1742"/>
      <c r="C61" s="1743"/>
      <c r="D61" s="1744"/>
      <c r="E61" s="1748" t="s">
        <v>1182</v>
      </c>
      <c r="F61" s="1749"/>
      <c r="G61" s="1749"/>
      <c r="H61" s="1749"/>
      <c r="I61" s="399" t="s">
        <v>1183</v>
      </c>
      <c r="J61" s="403">
        <v>1</v>
      </c>
      <c r="K61" s="404">
        <v>0</v>
      </c>
      <c r="L61" s="871">
        <f>Rentals!B8</f>
        <v>2000</v>
      </c>
      <c r="M61" s="1043">
        <f>L61*K61*J61</f>
        <v>0</v>
      </c>
    </row>
    <row r="62" spans="2:13" ht="14.25" x14ac:dyDescent="0.2">
      <c r="B62" s="1745"/>
      <c r="C62" s="1746"/>
      <c r="D62" s="1747"/>
      <c r="E62" s="1751" t="s">
        <v>1184</v>
      </c>
      <c r="F62" s="1752"/>
      <c r="G62" s="1752"/>
      <c r="H62" s="1752"/>
      <c r="I62" s="1250" t="s">
        <v>2338</v>
      </c>
      <c r="J62" s="1231">
        <v>1</v>
      </c>
      <c r="K62" s="1231">
        <v>0</v>
      </c>
      <c r="L62" s="1251">
        <f>VLOOKUP(I62,Rentals!A$13:C$32,2,FALSE)</f>
        <v>0</v>
      </c>
      <c r="M62" s="1045">
        <f>L62*K62*J62</f>
        <v>0</v>
      </c>
    </row>
    <row r="63" spans="2:13" ht="14.25" x14ac:dyDescent="0.2">
      <c r="B63" s="1745"/>
      <c r="C63" s="1746"/>
      <c r="D63" s="1747"/>
      <c r="E63" s="1751" t="s">
        <v>2339</v>
      </c>
      <c r="F63" s="1752"/>
      <c r="G63" s="1752"/>
      <c r="H63" s="1752"/>
      <c r="I63" s="1250" t="str">
        <f>I62</f>
        <v>…............</v>
      </c>
      <c r="J63" s="403">
        <v>1</v>
      </c>
      <c r="K63" s="405">
        <v>0</v>
      </c>
      <c r="L63" s="871">
        <f>VLOOKUP(I63,Rentals!A$13:C$32,3,FALSE)</f>
        <v>0</v>
      </c>
      <c r="M63" s="1043">
        <f>L63*K63*J63</f>
        <v>0</v>
      </c>
    </row>
    <row r="64" spans="2:13" ht="14.25" x14ac:dyDescent="0.2">
      <c r="B64" s="1745"/>
      <c r="C64" s="1746"/>
      <c r="D64" s="1747"/>
      <c r="E64" s="1751" t="s">
        <v>1186</v>
      </c>
      <c r="F64" s="1752"/>
      <c r="G64" s="1752"/>
      <c r="H64" s="1752"/>
      <c r="I64" s="399" t="s">
        <v>1183</v>
      </c>
      <c r="J64" s="403">
        <v>1</v>
      </c>
      <c r="K64" s="404">
        <v>0</v>
      </c>
      <c r="L64" s="871">
        <f>Rentals!B39</f>
        <v>1000</v>
      </c>
      <c r="M64" s="1043">
        <f>L64*K64*J64</f>
        <v>0</v>
      </c>
    </row>
    <row r="65" spans="2:13" ht="14.25" x14ac:dyDescent="0.2">
      <c r="B65" s="1745"/>
      <c r="C65" s="1746"/>
      <c r="D65" s="1747"/>
      <c r="E65" s="1755" t="s">
        <v>176</v>
      </c>
      <c r="F65" s="1756"/>
      <c r="G65" s="1756"/>
      <c r="H65" s="1756"/>
      <c r="I65" s="406" t="s">
        <v>1183</v>
      </c>
      <c r="J65" s="403">
        <v>1</v>
      </c>
      <c r="K65" s="404">
        <v>0</v>
      </c>
      <c r="L65" s="871">
        <f>Rentals!B5</f>
        <v>5000</v>
      </c>
      <c r="M65" s="1043">
        <f>L65*K65*J65</f>
        <v>0</v>
      </c>
    </row>
    <row r="66" spans="2:13" ht="14.25" x14ac:dyDescent="0.2">
      <c r="B66" s="1758" t="s">
        <v>1187</v>
      </c>
      <c r="C66" s="1759"/>
      <c r="D66" s="1759"/>
      <c r="E66" s="1759"/>
      <c r="F66" s="1759"/>
      <c r="G66" s="1759"/>
      <c r="H66" s="1759"/>
      <c r="I66" s="1759"/>
      <c r="J66" s="1759"/>
      <c r="K66" s="1759"/>
      <c r="L66" s="1760"/>
      <c r="M66" s="1042">
        <f>SUM(M61:M65)</f>
        <v>0</v>
      </c>
    </row>
    <row r="67" spans="2:13" ht="14.25" x14ac:dyDescent="0.2">
      <c r="B67" s="1040"/>
      <c r="C67" s="386"/>
      <c r="D67" s="386"/>
      <c r="E67" s="386"/>
      <c r="F67" s="387"/>
      <c r="G67" s="388"/>
      <c r="H67" s="388"/>
      <c r="I67" s="389"/>
      <c r="J67" s="389"/>
      <c r="K67" s="389"/>
      <c r="L67" s="390"/>
      <c r="M67" s="1041"/>
    </row>
    <row r="68" spans="2:13" ht="14.25" x14ac:dyDescent="0.2">
      <c r="B68" s="1714" t="s">
        <v>1188</v>
      </c>
      <c r="C68" s="1715"/>
      <c r="D68" s="1715"/>
      <c r="E68" s="1715"/>
      <c r="F68" s="1715"/>
      <c r="G68" s="1715"/>
      <c r="H68" s="1715"/>
      <c r="I68" s="1715"/>
      <c r="J68" s="1715"/>
      <c r="K68" s="1715"/>
      <c r="L68" s="1715"/>
      <c r="M68" s="1716"/>
    </row>
    <row r="69" spans="2:13" ht="42.75" x14ac:dyDescent="0.2">
      <c r="B69" s="1761" t="s">
        <v>428</v>
      </c>
      <c r="C69" s="1762"/>
      <c r="D69" s="1762"/>
      <c r="E69" s="1762" t="s">
        <v>657</v>
      </c>
      <c r="F69" s="1762"/>
      <c r="G69" s="1762"/>
      <c r="H69" s="1762"/>
      <c r="I69" s="1762"/>
      <c r="J69" s="1329" t="s">
        <v>1189</v>
      </c>
      <c r="K69" s="523" t="s">
        <v>1190</v>
      </c>
      <c r="L69" s="523" t="s">
        <v>1191</v>
      </c>
      <c r="M69" s="1044" t="s">
        <v>1181</v>
      </c>
    </row>
    <row r="70" spans="2:13" ht="14.25" x14ac:dyDescent="0.2">
      <c r="B70" s="1700" t="str">
        <f>'Project Cost Recap'!E23</f>
        <v>PINNACLE</v>
      </c>
      <c r="C70" s="1701"/>
      <c r="D70" s="1702"/>
      <c r="E70" s="1720" t="s">
        <v>580</v>
      </c>
      <c r="F70" s="1721"/>
      <c r="G70" s="1721"/>
      <c r="H70" s="1721"/>
      <c r="I70" s="1722"/>
      <c r="J70" s="407" t="s">
        <v>1192</v>
      </c>
      <c r="K70" s="408">
        <v>1</v>
      </c>
      <c r="L70" s="409">
        <f>Subs!$N$12</f>
        <v>0</v>
      </c>
      <c r="M70" s="1045">
        <f>L70*K70</f>
        <v>0</v>
      </c>
    </row>
    <row r="71" spans="2:13" ht="14.25" x14ac:dyDescent="0.2">
      <c r="B71" s="1700">
        <f>'Project Cost Recap'!E24</f>
        <v>0</v>
      </c>
      <c r="C71" s="1701"/>
      <c r="D71" s="1702"/>
      <c r="E71" s="1720" t="s">
        <v>425</v>
      </c>
      <c r="F71" s="1721"/>
      <c r="G71" s="1721"/>
      <c r="H71" s="1721"/>
      <c r="I71" s="1722"/>
      <c r="J71" s="407" t="s">
        <v>1192</v>
      </c>
      <c r="K71" s="408">
        <v>1</v>
      </c>
      <c r="L71" s="409">
        <f>Subs!$M$25</f>
        <v>0</v>
      </c>
      <c r="M71" s="1045">
        <f>L71*K71</f>
        <v>0</v>
      </c>
    </row>
    <row r="72" spans="2:13" ht="14.25" x14ac:dyDescent="0.2">
      <c r="B72" s="1700">
        <f>'Project Cost Recap'!E25</f>
        <v>0</v>
      </c>
      <c r="C72" s="1701"/>
      <c r="D72" s="1702"/>
      <c r="E72" s="1720" t="s">
        <v>422</v>
      </c>
      <c r="F72" s="1721"/>
      <c r="G72" s="1721"/>
      <c r="H72" s="1721"/>
      <c r="I72" s="1722"/>
      <c r="J72" s="407" t="s">
        <v>1193</v>
      </c>
      <c r="K72" s="408">
        <v>0</v>
      </c>
      <c r="L72" s="409">
        <v>0</v>
      </c>
      <c r="M72" s="1045">
        <f t="shared" ref="M72:M87" si="3">L72*K72</f>
        <v>0</v>
      </c>
    </row>
    <row r="73" spans="2:13" ht="14.25" x14ac:dyDescent="0.2">
      <c r="B73" s="1700">
        <f>'Project Cost Recap'!E26</f>
        <v>0</v>
      </c>
      <c r="C73" s="1701"/>
      <c r="D73" s="1702"/>
      <c r="E73" s="1720" t="s">
        <v>420</v>
      </c>
      <c r="F73" s="1721"/>
      <c r="G73" s="1721"/>
      <c r="H73" s="1721"/>
      <c r="I73" s="1722"/>
      <c r="J73" s="407" t="s">
        <v>1192</v>
      </c>
      <c r="K73" s="408">
        <v>1</v>
      </c>
      <c r="L73" s="409">
        <f>Subs!L51</f>
        <v>0</v>
      </c>
      <c r="M73" s="1045">
        <f t="shared" si="3"/>
        <v>0</v>
      </c>
    </row>
    <row r="74" spans="2:13" ht="14.25" x14ac:dyDescent="0.2">
      <c r="B74" s="1700" t="str">
        <f>'Project Cost Recap'!E27</f>
        <v>3 GEN EXCAVATION</v>
      </c>
      <c r="C74" s="1701"/>
      <c r="D74" s="1702"/>
      <c r="E74" s="1720" t="s">
        <v>417</v>
      </c>
      <c r="F74" s="1721"/>
      <c r="G74" s="1721"/>
      <c r="H74" s="1721"/>
      <c r="I74" s="1722"/>
      <c r="J74" s="407" t="s">
        <v>1192</v>
      </c>
      <c r="K74" s="408">
        <v>1</v>
      </c>
      <c r="L74" s="409">
        <f>Subs!Q65</f>
        <v>0</v>
      </c>
      <c r="M74" s="1045">
        <f>L74*K74</f>
        <v>0</v>
      </c>
    </row>
    <row r="75" spans="2:13" ht="14.25" x14ac:dyDescent="0.2">
      <c r="B75" s="1700">
        <f>'Project Cost Recap'!E28</f>
        <v>0</v>
      </c>
      <c r="C75" s="1701"/>
      <c r="D75" s="1702"/>
      <c r="E75" s="1720" t="str">
        <f>'GO-NO-GO CHECKLIST'!B102</f>
        <v>FIRE PROTECTION</v>
      </c>
      <c r="F75" s="1721"/>
      <c r="G75" s="1721"/>
      <c r="H75" s="1721"/>
      <c r="I75" s="1722"/>
      <c r="J75" s="407" t="s">
        <v>1192</v>
      </c>
      <c r="K75" s="408">
        <v>1</v>
      </c>
      <c r="L75" s="409">
        <f>Subs!L77</f>
        <v>0</v>
      </c>
      <c r="M75" s="1045">
        <f t="shared" si="3"/>
        <v>0</v>
      </c>
    </row>
    <row r="76" spans="2:13" ht="14.25" x14ac:dyDescent="0.2">
      <c r="B76" s="1700">
        <f>'Project Cost Recap'!E29</f>
        <v>0</v>
      </c>
      <c r="C76" s="1701"/>
      <c r="D76" s="1702"/>
      <c r="E76" s="1720" t="str">
        <f>'GO-NO-GO CHECKLIST'!B110</f>
        <v>FIRE STOPPING</v>
      </c>
      <c r="F76" s="1721"/>
      <c r="G76" s="1721"/>
      <c r="H76" s="1721"/>
      <c r="I76" s="1722"/>
      <c r="J76" s="407" t="s">
        <v>1193</v>
      </c>
      <c r="K76" s="408">
        <v>0</v>
      </c>
      <c r="L76" s="409">
        <f>Subs!N89</f>
        <v>0</v>
      </c>
      <c r="M76" s="1045">
        <f t="shared" si="3"/>
        <v>0</v>
      </c>
    </row>
    <row r="77" spans="2:13" ht="14.25" x14ac:dyDescent="0.2">
      <c r="B77" s="1700">
        <f>'Project Cost Recap'!E30</f>
        <v>0</v>
      </c>
      <c r="C77" s="1701"/>
      <c r="D77" s="1702"/>
      <c r="E77" s="1720" t="s">
        <v>421</v>
      </c>
      <c r="F77" s="1721"/>
      <c r="G77" s="1721"/>
      <c r="H77" s="1721"/>
      <c r="I77" s="1722"/>
      <c r="J77" s="407" t="s">
        <v>1192</v>
      </c>
      <c r="K77" s="408">
        <v>1</v>
      </c>
      <c r="L77" s="409">
        <f>Subs!L101</f>
        <v>0</v>
      </c>
      <c r="M77" s="1045">
        <f t="shared" si="3"/>
        <v>0</v>
      </c>
    </row>
    <row r="78" spans="2:13" ht="14.25" x14ac:dyDescent="0.2">
      <c r="B78" s="1700" t="str">
        <f>'Project Cost Recap'!E31</f>
        <v>FORTUNATO</v>
      </c>
      <c r="C78" s="1701"/>
      <c r="D78" s="1702"/>
      <c r="E78" s="1720" t="s">
        <v>423</v>
      </c>
      <c r="F78" s="1721"/>
      <c r="G78" s="1721"/>
      <c r="H78" s="1721"/>
      <c r="I78" s="1722"/>
      <c r="J78" s="407" t="s">
        <v>1192</v>
      </c>
      <c r="K78" s="408">
        <v>1</v>
      </c>
      <c r="L78" s="409">
        <f>Subs!P115</f>
        <v>0</v>
      </c>
      <c r="M78" s="1045">
        <f t="shared" si="3"/>
        <v>0</v>
      </c>
    </row>
    <row r="79" spans="2:13" ht="14.25" x14ac:dyDescent="0.2">
      <c r="B79" s="1700">
        <f>'Project Cost Recap'!E32</f>
        <v>0</v>
      </c>
      <c r="C79" s="1701"/>
      <c r="D79" s="1702"/>
      <c r="E79" s="1720" t="s">
        <v>951</v>
      </c>
      <c r="F79" s="1721"/>
      <c r="G79" s="1721"/>
      <c r="H79" s="1721"/>
      <c r="I79" s="1722"/>
      <c r="J79" s="407" t="s">
        <v>1192</v>
      </c>
      <c r="K79" s="408">
        <v>1</v>
      </c>
      <c r="L79" s="409">
        <f>Subs!N127</f>
        <v>0</v>
      </c>
      <c r="M79" s="1045">
        <f t="shared" si="3"/>
        <v>0</v>
      </c>
    </row>
    <row r="80" spans="2:13" ht="14.25" x14ac:dyDescent="0.2">
      <c r="B80" s="1700">
        <f>'Project Cost Recap'!E33</f>
        <v>0</v>
      </c>
      <c r="C80" s="1701"/>
      <c r="D80" s="1702"/>
      <c r="E80" s="1720" t="s">
        <v>426</v>
      </c>
      <c r="F80" s="1721"/>
      <c r="G80" s="1721"/>
      <c r="H80" s="1721"/>
      <c r="I80" s="1722"/>
      <c r="J80" s="407" t="s">
        <v>1192</v>
      </c>
      <c r="K80" s="408">
        <v>1</v>
      </c>
      <c r="L80" s="409">
        <f>Subs!L139</f>
        <v>0</v>
      </c>
      <c r="M80" s="1045">
        <f t="shared" si="3"/>
        <v>0</v>
      </c>
    </row>
    <row r="81" spans="2:13" ht="14.25" x14ac:dyDescent="0.2">
      <c r="B81" s="1700">
        <f>'Project Cost Recap'!E34</f>
        <v>0</v>
      </c>
      <c r="C81" s="1701"/>
      <c r="D81" s="1702"/>
      <c r="E81" s="1720" t="s">
        <v>1725</v>
      </c>
      <c r="F81" s="1721"/>
      <c r="G81" s="1721"/>
      <c r="H81" s="1721"/>
      <c r="I81" s="1722"/>
      <c r="J81" s="407" t="s">
        <v>1192</v>
      </c>
      <c r="K81" s="408">
        <v>1</v>
      </c>
      <c r="L81" s="409">
        <f>Subs!L151</f>
        <v>0</v>
      </c>
      <c r="M81" s="1045">
        <f t="shared" si="3"/>
        <v>0</v>
      </c>
    </row>
    <row r="82" spans="2:13" ht="14.25" x14ac:dyDescent="0.2">
      <c r="B82" s="1700" t="str">
        <f>'Project Cost Recap'!E35</f>
        <v>AIR SYSTEMS</v>
      </c>
      <c r="C82" s="1701"/>
      <c r="D82" s="1702"/>
      <c r="E82" s="1720" t="s">
        <v>123</v>
      </c>
      <c r="F82" s="1721"/>
      <c r="G82" s="1721"/>
      <c r="H82" s="1721"/>
      <c r="I82" s="1722"/>
      <c r="J82" s="407" t="s">
        <v>1192</v>
      </c>
      <c r="K82" s="408">
        <v>1</v>
      </c>
      <c r="L82" s="409">
        <f>Subs!R163</f>
        <v>0</v>
      </c>
      <c r="M82" s="1045">
        <f t="shared" si="3"/>
        <v>0</v>
      </c>
    </row>
    <row r="83" spans="2:13" ht="14.25" x14ac:dyDescent="0.2">
      <c r="B83" s="1700">
        <f>'Project Cost Recap'!E36</f>
        <v>0</v>
      </c>
      <c r="C83" s="1701"/>
      <c r="D83" s="1702"/>
      <c r="E83" s="1720" t="s">
        <v>578</v>
      </c>
      <c r="F83" s="1721"/>
      <c r="G83" s="1721"/>
      <c r="H83" s="1721"/>
      <c r="I83" s="1722"/>
      <c r="J83" s="407" t="s">
        <v>1192</v>
      </c>
      <c r="K83" s="408">
        <v>1</v>
      </c>
      <c r="L83" s="409">
        <f>Subs!L175</f>
        <v>0</v>
      </c>
      <c r="M83" s="1045">
        <f t="shared" si="3"/>
        <v>0</v>
      </c>
    </row>
    <row r="84" spans="2:13" ht="14.25" x14ac:dyDescent="0.2">
      <c r="B84" s="1700" t="str">
        <f>'Project Cost Recap'!E37</f>
        <v>LONG BUILDING TECHNOLOGIES</v>
      </c>
      <c r="C84" s="1701"/>
      <c r="D84" s="1702"/>
      <c r="E84" s="1720" t="s">
        <v>419</v>
      </c>
      <c r="F84" s="1721"/>
      <c r="G84" s="1721"/>
      <c r="H84" s="1721"/>
      <c r="I84" s="1722"/>
      <c r="J84" s="407" t="s">
        <v>1192</v>
      </c>
      <c r="K84" s="408">
        <v>1</v>
      </c>
      <c r="L84" s="409">
        <f>Subs!L186</f>
        <v>0</v>
      </c>
      <c r="M84" s="1045">
        <f t="shared" si="3"/>
        <v>0</v>
      </c>
    </row>
    <row r="85" spans="2:13" ht="14.25" x14ac:dyDescent="0.2">
      <c r="B85" s="1700" t="str">
        <f>'Project Cost Recap'!E38</f>
        <v>FINN &amp; ASSOCIATES</v>
      </c>
      <c r="C85" s="1701"/>
      <c r="D85" s="1702"/>
      <c r="E85" s="1720" t="s">
        <v>418</v>
      </c>
      <c r="F85" s="1721"/>
      <c r="G85" s="1721"/>
      <c r="H85" s="1721"/>
      <c r="I85" s="1722"/>
      <c r="J85" s="407" t="s">
        <v>1192</v>
      </c>
      <c r="K85" s="408">
        <v>1</v>
      </c>
      <c r="L85" s="409">
        <f>Subs!P198</f>
        <v>0</v>
      </c>
      <c r="M85" s="1045">
        <f t="shared" si="3"/>
        <v>0</v>
      </c>
    </row>
    <row r="86" spans="2:13" ht="14.25" x14ac:dyDescent="0.2">
      <c r="B86" s="1700">
        <f>'Project Cost Recap'!E39</f>
        <v>0</v>
      </c>
      <c r="C86" s="1701"/>
      <c r="D86" s="1702"/>
      <c r="E86" s="1720" t="str">
        <f>'GO-NO-GO CHECKLIST'!B165</f>
        <v>MISCELLANEOUS (CHANGE TO SUIT)</v>
      </c>
      <c r="F86" s="1721"/>
      <c r="G86" s="1721"/>
      <c r="H86" s="1721"/>
      <c r="I86" s="1722"/>
      <c r="J86" s="407" t="s">
        <v>1192</v>
      </c>
      <c r="K86" s="408">
        <v>1</v>
      </c>
      <c r="L86" s="409">
        <f>Subs!L210</f>
        <v>0</v>
      </c>
      <c r="M86" s="1045">
        <f t="shared" si="3"/>
        <v>0</v>
      </c>
    </row>
    <row r="87" spans="2:13" ht="14.25" x14ac:dyDescent="0.2">
      <c r="B87" s="1700"/>
      <c r="C87" s="1701"/>
      <c r="D87" s="1702"/>
      <c r="E87" s="1717" t="s">
        <v>1194</v>
      </c>
      <c r="F87" s="1718"/>
      <c r="G87" s="1718"/>
      <c r="H87" s="1718"/>
      <c r="I87" s="1719"/>
      <c r="J87" s="407" t="s">
        <v>1192</v>
      </c>
      <c r="K87" s="408">
        <v>1</v>
      </c>
      <c r="L87" s="409">
        <v>0</v>
      </c>
      <c r="M87" s="1045">
        <f t="shared" si="3"/>
        <v>0</v>
      </c>
    </row>
    <row r="88" spans="2:13" ht="14.25" x14ac:dyDescent="0.2">
      <c r="B88" s="1046"/>
      <c r="C88" s="397"/>
      <c r="D88" s="397"/>
      <c r="E88" s="397"/>
      <c r="F88" s="410" t="s">
        <v>1724</v>
      </c>
      <c r="G88" s="397"/>
      <c r="H88" s="397"/>
      <c r="I88" s="411"/>
      <c r="J88" s="411"/>
      <c r="K88" s="411"/>
      <c r="L88" s="412"/>
      <c r="M88" s="1042">
        <f>SUM(M70:M87)</f>
        <v>0</v>
      </c>
    </row>
    <row r="89" spans="2:13" ht="14.25" x14ac:dyDescent="0.2">
      <c r="B89" s="1040"/>
      <c r="C89" s="386"/>
      <c r="D89" s="386"/>
      <c r="E89" s="386"/>
      <c r="F89" s="387"/>
      <c r="G89" s="388"/>
      <c r="H89" s="388"/>
      <c r="I89" s="389"/>
      <c r="J89" s="389"/>
      <c r="K89" s="389"/>
      <c r="L89" s="390"/>
      <c r="M89" s="1041"/>
    </row>
    <row r="90" spans="2:13" ht="14.25" x14ac:dyDescent="0.2">
      <c r="B90" s="1361"/>
      <c r="C90" s="1203"/>
      <c r="D90" s="1030"/>
      <c r="E90" s="1204"/>
      <c r="F90" s="410" t="s">
        <v>1195</v>
      </c>
      <c r="G90" s="397"/>
      <c r="H90" s="397"/>
      <c r="I90" s="397" t="s">
        <v>198</v>
      </c>
      <c r="J90" s="397"/>
      <c r="K90" s="614"/>
      <c r="L90" s="380" t="s">
        <v>1150</v>
      </c>
      <c r="M90" s="1037" t="s">
        <v>1181</v>
      </c>
    </row>
    <row r="91" spans="2:13" ht="14.25" x14ac:dyDescent="0.2">
      <c r="B91" s="1362"/>
      <c r="C91" s="1206"/>
      <c r="D91" s="1030"/>
      <c r="E91" s="1204"/>
      <c r="F91" s="405"/>
      <c r="G91" s="1229"/>
      <c r="H91" s="1743" t="s">
        <v>1152</v>
      </c>
      <c r="I91" s="1743"/>
      <c r="J91" s="1743"/>
      <c r="K91" s="1744"/>
      <c r="L91" s="379"/>
      <c r="M91" s="1038">
        <f>M88+M66+M58+M51</f>
        <v>0</v>
      </c>
    </row>
    <row r="92" spans="2:13" ht="14.25" x14ac:dyDescent="0.2">
      <c r="B92" s="1363"/>
      <c r="C92" s="1208"/>
      <c r="D92" s="1209"/>
      <c r="E92" s="1204"/>
      <c r="F92" s="1230"/>
      <c r="G92" s="1231"/>
      <c r="H92" s="1746" t="s">
        <v>1153</v>
      </c>
      <c r="I92" s="1746"/>
      <c r="J92" s="1746"/>
      <c r="K92" s="1747"/>
      <c r="L92" s="413">
        <v>0.1</v>
      </c>
      <c r="M92" s="1038">
        <f>L92*M91</f>
        <v>0</v>
      </c>
    </row>
    <row r="93" spans="2:13" ht="14.25" x14ac:dyDescent="0.2">
      <c r="B93" s="1364" t="s">
        <v>2353</v>
      </c>
      <c r="C93" s="1271" t="str">
        <f>'PROJECT INFO'!$H$12</f>
        <v>DENVER (COMBINED)</v>
      </c>
      <c r="D93" s="1757" t="s">
        <v>2352</v>
      </c>
      <c r="E93" s="1757"/>
      <c r="F93" s="1757"/>
      <c r="G93" s="1757"/>
      <c r="H93" s="1746" t="s">
        <v>2351</v>
      </c>
      <c r="I93" s="1746"/>
      <c r="J93" s="1746"/>
      <c r="K93" s="1747"/>
      <c r="L93" s="613">
        <f>'PROJECT INFO'!I15</f>
        <v>1</v>
      </c>
      <c r="M93" s="1339">
        <f>IF('PROJECT INFO'!$H$15="Yes",VLOOKUP('PROJECT INFO'!$H$12,'Taxes&amp;Permits'!$A$4:$Q$223,14,FALSE),0)</f>
        <v>20</v>
      </c>
    </row>
    <row r="94" spans="2:13" ht="14.25" x14ac:dyDescent="0.2">
      <c r="B94" s="1363"/>
      <c r="C94" s="1206"/>
      <c r="D94" s="1030"/>
      <c r="E94" s="1204"/>
      <c r="F94" s="1230"/>
      <c r="G94" s="1231"/>
      <c r="H94" s="1746" t="s">
        <v>135</v>
      </c>
      <c r="I94" s="1746"/>
      <c r="J94" s="1746"/>
      <c r="K94" s="1747"/>
      <c r="L94" s="413">
        <v>0.05</v>
      </c>
      <c r="M94" s="1038">
        <f>(M91+M92+M93)*L94</f>
        <v>1</v>
      </c>
    </row>
    <row r="95" spans="2:13" ht="14.25" x14ac:dyDescent="0.2">
      <c r="B95" s="1362"/>
      <c r="C95" s="1206"/>
      <c r="D95" s="1030"/>
      <c r="E95" s="1204"/>
      <c r="F95" s="1230"/>
      <c r="G95" s="1231"/>
      <c r="H95" s="1746" t="s">
        <v>1196</v>
      </c>
      <c r="I95" s="1746"/>
      <c r="J95" s="1746"/>
      <c r="K95" s="1747"/>
      <c r="L95" s="395"/>
      <c r="M95" s="1038">
        <f>SUM(M91:M94)</f>
        <v>21</v>
      </c>
    </row>
    <row r="96" spans="2:13" ht="14.25" x14ac:dyDescent="0.2">
      <c r="B96" s="1365"/>
      <c r="C96" s="1332" t="s">
        <v>1150</v>
      </c>
      <c r="D96" s="1332" t="s">
        <v>2162</v>
      </c>
      <c r="E96" s="1204" t="s">
        <v>2390</v>
      </c>
      <c r="F96" s="1232" t="s">
        <v>2391</v>
      </c>
      <c r="G96" s="1233"/>
      <c r="H96" s="1775" t="s">
        <v>1197</v>
      </c>
      <c r="I96" s="1775"/>
      <c r="J96" s="1775"/>
      <c r="K96" s="1776"/>
      <c r="L96" s="395">
        <f>'Project Cost Recap'!J48*'PROJECT INFO'!I17</f>
        <v>0</v>
      </c>
      <c r="M96" s="1038">
        <f>M95*L96</f>
        <v>0</v>
      </c>
    </row>
    <row r="97" spans="2:13" ht="14.25" x14ac:dyDescent="0.2">
      <c r="B97" s="1366"/>
      <c r="C97" s="1332">
        <f>'Project Cost Recap'!$D$53</f>
        <v>2.2000000000000001E-3</v>
      </c>
      <c r="D97" s="1334">
        <f>M95</f>
        <v>21</v>
      </c>
      <c r="E97" s="1335">
        <f>D97*C97</f>
        <v>4.6200000000000005E-2</v>
      </c>
      <c r="F97" s="1336">
        <f>'Project Cost Recap'!$K$53</f>
        <v>3750</v>
      </c>
      <c r="G97" s="1331"/>
      <c r="H97" s="1780" t="s">
        <v>248</v>
      </c>
      <c r="I97" s="1780"/>
      <c r="J97" s="1780"/>
      <c r="K97" s="1781"/>
      <c r="L97" s="1330"/>
      <c r="M97" s="1337">
        <f>IF($E97&lt;$F97,($C97*$D97),$F97)*'PROJECT INFO'!$I$21</f>
        <v>4.6200000000000005E-2</v>
      </c>
    </row>
    <row r="98" spans="2:13" ht="14.25" x14ac:dyDescent="0.2">
      <c r="B98" s="1366"/>
      <c r="C98" s="1332"/>
      <c r="D98" s="1334"/>
      <c r="E98" s="1335"/>
      <c r="F98" s="1336"/>
      <c r="G98" s="1331"/>
      <c r="H98" s="1780" t="s">
        <v>246</v>
      </c>
      <c r="I98" s="1780"/>
      <c r="J98" s="1780"/>
      <c r="K98" s="1781"/>
      <c r="L98" s="1330">
        <f>'Project Cost Recap'!$F$54</f>
        <v>0.05</v>
      </c>
      <c r="M98" s="1337">
        <f>M97*L98</f>
        <v>2.3100000000000004E-3</v>
      </c>
    </row>
    <row r="99" spans="2:13" ht="14.25" x14ac:dyDescent="0.2">
      <c r="B99" s="1367"/>
      <c r="C99" s="1204"/>
      <c r="D99" s="1204"/>
      <c r="E99" s="1204"/>
      <c r="F99" s="1777"/>
      <c r="G99" s="1778"/>
      <c r="H99" s="1778"/>
      <c r="I99" s="1778"/>
      <c r="J99" s="1778"/>
      <c r="K99" s="1779"/>
      <c r="L99" s="410" t="s">
        <v>1198</v>
      </c>
      <c r="M99" s="1039">
        <f>M95+M96+M97+M98</f>
        <v>21.04851</v>
      </c>
    </row>
    <row r="100" spans="2:13" ht="14.25" x14ac:dyDescent="0.2">
      <c r="B100" s="1040"/>
      <c r="C100" s="386"/>
      <c r="D100" s="386"/>
      <c r="E100" s="386"/>
      <c r="F100" s="387"/>
      <c r="G100" s="388"/>
      <c r="H100" s="388"/>
      <c r="I100" s="389"/>
      <c r="J100" s="389"/>
      <c r="K100" s="389"/>
      <c r="L100" s="390"/>
      <c r="M100" s="1041"/>
    </row>
    <row r="101" spans="2:13" ht="21" thickBot="1" x14ac:dyDescent="0.35">
      <c r="B101" s="1790" t="s">
        <v>2356</v>
      </c>
      <c r="C101" s="1791"/>
      <c r="D101" s="1791"/>
      <c r="E101" s="1791"/>
      <c r="F101" s="1791"/>
      <c r="G101" s="1791"/>
      <c r="H101" s="1791"/>
      <c r="I101" s="1791"/>
      <c r="J101" s="1791"/>
      <c r="K101" s="1791"/>
      <c r="L101" s="1791"/>
      <c r="M101" s="1792"/>
    </row>
    <row r="102" spans="2:13" ht="13.5" thickBot="1" x14ac:dyDescent="0.25"/>
    <row r="103" spans="2:13" ht="13.5" thickBot="1" x14ac:dyDescent="0.25">
      <c r="C103" s="1782" t="s">
        <v>2183</v>
      </c>
      <c r="D103" s="1783"/>
      <c r="F103" s="1237" t="s">
        <v>2168</v>
      </c>
      <c r="G103" s="1238"/>
      <c r="H103" s="1238"/>
      <c r="I103" s="1238"/>
      <c r="J103" s="1238"/>
      <c r="K103" s="1238"/>
      <c r="L103" s="1238"/>
      <c r="M103" s="1239"/>
    </row>
    <row r="104" spans="2:13" ht="13.5" customHeight="1" x14ac:dyDescent="0.2">
      <c r="C104" s="1784" t="s">
        <v>2177</v>
      </c>
      <c r="D104" s="1785"/>
      <c r="F104" s="1605" t="s">
        <v>2169</v>
      </c>
      <c r="G104" s="1605"/>
      <c r="H104" s="1188">
        <f>($M$91+1)</f>
        <v>1</v>
      </c>
      <c r="I104" s="1187"/>
      <c r="J104" s="1187"/>
      <c r="K104" s="1187"/>
      <c r="L104" s="1187"/>
      <c r="M104" s="1187"/>
    </row>
    <row r="105" spans="2:13" ht="38.25" customHeight="1" x14ac:dyDescent="0.2">
      <c r="B105" s="1196" t="s">
        <v>2184</v>
      </c>
      <c r="C105" s="1784"/>
      <c r="D105" s="1785"/>
      <c r="F105" s="1243" t="s">
        <v>2344</v>
      </c>
      <c r="G105" s="1244" t="s">
        <v>2170</v>
      </c>
      <c r="H105" s="1244" t="s">
        <v>2171</v>
      </c>
      <c r="I105" s="1244" t="s">
        <v>2172</v>
      </c>
      <c r="J105" s="1243" t="s">
        <v>2173</v>
      </c>
      <c r="K105" s="1245" t="s">
        <v>2175</v>
      </c>
      <c r="L105" s="1243" t="s">
        <v>2343</v>
      </c>
      <c r="M105" s="1243" t="s">
        <v>2176</v>
      </c>
    </row>
    <row r="106" spans="2:13" x14ac:dyDescent="0.2">
      <c r="B106" s="1198">
        <f>VLOOKUP(1,E106:M113,9,FALSE)</f>
        <v>20</v>
      </c>
      <c r="C106" s="1784"/>
      <c r="D106" s="1785"/>
      <c r="E106" s="1197">
        <f>IF(AND(F106&gt;=MIN(G106,H106),F106&lt;=MAX(G106,H106)),1,0)</f>
        <v>1</v>
      </c>
      <c r="F106" s="1188">
        <f>H104</f>
        <v>1</v>
      </c>
      <c r="G106" s="1189">
        <v>1</v>
      </c>
      <c r="H106" s="1189">
        <v>500</v>
      </c>
      <c r="I106" s="1189">
        <v>20</v>
      </c>
      <c r="J106" s="1190">
        <v>0</v>
      </c>
      <c r="K106" s="1187"/>
      <c r="L106" s="1191"/>
      <c r="M106" s="1189">
        <f>ROUNDUP(L106+I106,0)</f>
        <v>20</v>
      </c>
    </row>
    <row r="107" spans="2:13" x14ac:dyDescent="0.2">
      <c r="C107" s="1784"/>
      <c r="D107" s="1785"/>
      <c r="E107" s="1197">
        <f t="shared" ref="E107:E113" si="4">IF(AND(F107&gt;=MIN(G107,H107),F107&lt;=MAX(G107,H107)),1,0)</f>
        <v>0</v>
      </c>
      <c r="F107" s="1188">
        <f>F106</f>
        <v>1</v>
      </c>
      <c r="G107" s="1189">
        <v>501</v>
      </c>
      <c r="H107" s="1189">
        <v>2000</v>
      </c>
      <c r="I107" s="1189">
        <v>35</v>
      </c>
      <c r="J107" s="1190">
        <v>0</v>
      </c>
      <c r="K107" s="1187"/>
      <c r="L107" s="1191"/>
      <c r="M107" s="1189">
        <f t="shared" ref="M107:M112" si="5">ROUNDUP(L107+I107,0)</f>
        <v>35</v>
      </c>
    </row>
    <row r="108" spans="2:13" x14ac:dyDescent="0.2">
      <c r="C108" s="1784"/>
      <c r="D108" s="1785"/>
      <c r="E108" s="1197">
        <f t="shared" si="4"/>
        <v>0</v>
      </c>
      <c r="F108" s="1188">
        <f t="shared" ref="F108:F113" si="6">F107</f>
        <v>1</v>
      </c>
      <c r="G108" s="1189">
        <v>2001</v>
      </c>
      <c r="H108" s="1189">
        <v>25000</v>
      </c>
      <c r="I108" s="1189">
        <v>35</v>
      </c>
      <c r="J108" s="1190">
        <v>8</v>
      </c>
      <c r="K108" s="1192">
        <f>ROUNDUP((F108-2000)/1000,0)</f>
        <v>-2</v>
      </c>
      <c r="L108" s="1189">
        <f t="shared" ref="L108:L113" si="7">K108*J108</f>
        <v>-16</v>
      </c>
      <c r="M108" s="1189">
        <f t="shared" si="5"/>
        <v>19</v>
      </c>
    </row>
    <row r="109" spans="2:13" x14ac:dyDescent="0.2">
      <c r="C109" s="1784"/>
      <c r="D109" s="1785"/>
      <c r="E109" s="1197">
        <f t="shared" si="4"/>
        <v>0</v>
      </c>
      <c r="F109" s="1188">
        <f t="shared" si="6"/>
        <v>1</v>
      </c>
      <c r="G109" s="1189">
        <v>25001</v>
      </c>
      <c r="H109" s="1189">
        <v>50000</v>
      </c>
      <c r="I109" s="1189">
        <v>220</v>
      </c>
      <c r="J109" s="1190">
        <v>8</v>
      </c>
      <c r="K109" s="1192">
        <f>ROUNDUP((F109-25000)/1000,0)</f>
        <v>-25</v>
      </c>
      <c r="L109" s="1189">
        <f t="shared" si="7"/>
        <v>-200</v>
      </c>
      <c r="M109" s="1189">
        <f t="shared" si="5"/>
        <v>20</v>
      </c>
    </row>
    <row r="110" spans="2:13" x14ac:dyDescent="0.2">
      <c r="C110" s="1784"/>
      <c r="D110" s="1785"/>
      <c r="E110" s="1197">
        <f t="shared" si="4"/>
        <v>0</v>
      </c>
      <c r="F110" s="1188">
        <f t="shared" si="6"/>
        <v>1</v>
      </c>
      <c r="G110" s="1189">
        <v>50001</v>
      </c>
      <c r="H110" s="1189">
        <v>100000</v>
      </c>
      <c r="I110" s="1189">
        <v>420</v>
      </c>
      <c r="J110" s="1190">
        <v>7</v>
      </c>
      <c r="K110" s="1192">
        <f>ROUNDUP((F110-50000)/1000,0)</f>
        <v>-50</v>
      </c>
      <c r="L110" s="1189">
        <f t="shared" si="7"/>
        <v>-350</v>
      </c>
      <c r="M110" s="1189">
        <f t="shared" si="5"/>
        <v>70</v>
      </c>
    </row>
    <row r="111" spans="2:13" x14ac:dyDescent="0.2">
      <c r="C111" s="1784"/>
      <c r="D111" s="1785"/>
      <c r="E111" s="1197">
        <f t="shared" si="4"/>
        <v>0</v>
      </c>
      <c r="F111" s="1188">
        <f t="shared" si="6"/>
        <v>1</v>
      </c>
      <c r="G111" s="1189">
        <v>100001</v>
      </c>
      <c r="H111" s="1189">
        <v>500000</v>
      </c>
      <c r="I111" s="1189">
        <v>770</v>
      </c>
      <c r="J111" s="1190">
        <v>5.6</v>
      </c>
      <c r="K111" s="1192">
        <f>ROUNDUP((F111-100000)/1000,0)</f>
        <v>-100</v>
      </c>
      <c r="L111" s="1189">
        <f t="shared" si="7"/>
        <v>-560</v>
      </c>
      <c r="M111" s="1189">
        <f t="shared" si="5"/>
        <v>210</v>
      </c>
    </row>
    <row r="112" spans="2:13" x14ac:dyDescent="0.2">
      <c r="C112" s="1784"/>
      <c r="D112" s="1785"/>
      <c r="E112" s="1197">
        <f t="shared" si="4"/>
        <v>0</v>
      </c>
      <c r="F112" s="1188">
        <f t="shared" si="6"/>
        <v>1</v>
      </c>
      <c r="G112" s="1189">
        <v>500001</v>
      </c>
      <c r="H112" s="1189">
        <v>1000000</v>
      </c>
      <c r="I112" s="1189">
        <v>3010</v>
      </c>
      <c r="J112" s="1190">
        <v>4.75</v>
      </c>
      <c r="K112" s="1192">
        <f>ROUNDUP((F112-500000)/1000,0)</f>
        <v>-500</v>
      </c>
      <c r="L112" s="1189">
        <f t="shared" si="7"/>
        <v>-2375</v>
      </c>
      <c r="M112" s="1189">
        <f t="shared" si="5"/>
        <v>635</v>
      </c>
    </row>
    <row r="113" spans="2:13" x14ac:dyDescent="0.2">
      <c r="C113" s="1784"/>
      <c r="D113" s="1785"/>
      <c r="E113" s="1197">
        <f t="shared" si="4"/>
        <v>0</v>
      </c>
      <c r="F113" s="1188">
        <f t="shared" si="6"/>
        <v>1</v>
      </c>
      <c r="G113" s="1189">
        <v>1000001</v>
      </c>
      <c r="H113" s="1189">
        <v>50000000</v>
      </c>
      <c r="I113" s="1189">
        <v>5385</v>
      </c>
      <c r="J113" s="1190">
        <v>3.65</v>
      </c>
      <c r="K113" s="1192">
        <f>ROUNDUP((F113-1000000)/1000,0)</f>
        <v>-1000</v>
      </c>
      <c r="L113" s="1189">
        <f t="shared" si="7"/>
        <v>-3650</v>
      </c>
      <c r="M113" s="1189">
        <f>ROUNDUP(L113+I113,0)</f>
        <v>1735</v>
      </c>
    </row>
    <row r="114" spans="2:13" ht="13.5" thickBot="1" x14ac:dyDescent="0.25">
      <c r="C114" s="1784"/>
      <c r="D114" s="1785"/>
    </row>
    <row r="115" spans="2:13" ht="13.5" thickBot="1" x14ac:dyDescent="0.25">
      <c r="C115" s="1786" t="s">
        <v>2182</v>
      </c>
      <c r="D115" s="1787"/>
      <c r="F115" s="1240" t="s">
        <v>2181</v>
      </c>
      <c r="G115" s="1241"/>
      <c r="H115" s="1241"/>
      <c r="I115" s="1241"/>
      <c r="J115" s="1241"/>
      <c r="K115" s="1241"/>
      <c r="L115" s="1241"/>
      <c r="M115" s="1242"/>
    </row>
    <row r="116" spans="2:13" ht="13.5" customHeight="1" x14ac:dyDescent="0.2">
      <c r="C116" s="1788" t="s">
        <v>2177</v>
      </c>
      <c r="D116" s="1789"/>
      <c r="F116" s="1605" t="s">
        <v>2169</v>
      </c>
      <c r="G116" s="1605"/>
      <c r="H116" s="1188">
        <f>($M$91+1)</f>
        <v>1</v>
      </c>
      <c r="I116" s="1187"/>
      <c r="J116" s="1187"/>
      <c r="K116" s="1187"/>
      <c r="L116" s="1187"/>
      <c r="M116" s="1187"/>
    </row>
    <row r="117" spans="2:13" ht="38.25" x14ac:dyDescent="0.2">
      <c r="B117" s="1196" t="s">
        <v>2185</v>
      </c>
      <c r="C117" s="1788"/>
      <c r="D117" s="1789"/>
      <c r="F117" s="1243" t="s">
        <v>2344</v>
      </c>
      <c r="G117" s="1244" t="s">
        <v>2170</v>
      </c>
      <c r="H117" s="1244" t="s">
        <v>2171</v>
      </c>
      <c r="I117" s="1244" t="s">
        <v>2172</v>
      </c>
      <c r="J117" s="1243" t="s">
        <v>2346</v>
      </c>
      <c r="K117" s="1245" t="s">
        <v>2347</v>
      </c>
      <c r="L117" s="1243" t="s">
        <v>2324</v>
      </c>
      <c r="M117" s="1243" t="s">
        <v>2176</v>
      </c>
    </row>
    <row r="118" spans="2:13" x14ac:dyDescent="0.2">
      <c r="B118" s="1199">
        <f>VLOOKUP(1,E118:M121,9,FALSE)</f>
        <v>14</v>
      </c>
      <c r="C118" s="1788"/>
      <c r="D118" s="1789"/>
      <c r="E118" s="1197">
        <f>IF(AND(F118&gt;=MIN(G118,H118),F118&lt;=MAX(G118,H118)),1,0)</f>
        <v>1</v>
      </c>
      <c r="F118" s="1188">
        <f>H116</f>
        <v>1</v>
      </c>
      <c r="G118" s="1189">
        <v>1</v>
      </c>
      <c r="H118" s="1189">
        <v>100</v>
      </c>
      <c r="I118" s="1191">
        <v>13.6</v>
      </c>
      <c r="J118" s="1190">
        <v>0</v>
      </c>
      <c r="K118" s="1187"/>
      <c r="L118" s="1191"/>
      <c r="M118" s="1189">
        <f>ROUNDUP(L118+I118,0)</f>
        <v>14</v>
      </c>
    </row>
    <row r="119" spans="2:13" x14ac:dyDescent="0.2">
      <c r="C119" s="1788"/>
      <c r="D119" s="1789"/>
      <c r="E119" s="1197">
        <f>IF(AND(F119&gt;=MIN(G119,H119),F119&lt;=MAX(G119,H119)),1,0)</f>
        <v>0</v>
      </c>
      <c r="F119" s="1188">
        <f>F118</f>
        <v>1</v>
      </c>
      <c r="G119" s="1189">
        <v>101</v>
      </c>
      <c r="H119" s="1189">
        <v>400</v>
      </c>
      <c r="I119" s="1200">
        <v>16.75</v>
      </c>
      <c r="J119" s="1190">
        <v>0</v>
      </c>
      <c r="K119" s="1192">
        <v>0</v>
      </c>
      <c r="L119" s="1189">
        <f>K119*J119</f>
        <v>0</v>
      </c>
      <c r="M119" s="1189">
        <f>ROUNDUP(L119+I119,0)</f>
        <v>17</v>
      </c>
    </row>
    <row r="120" spans="2:13" x14ac:dyDescent="0.2">
      <c r="C120" s="1788"/>
      <c r="D120" s="1789"/>
      <c r="E120" s="1197">
        <f>IF(AND(F120&gt;=MIN(G120,H120),F120&lt;=MAX(G120,H120)),1,0)</f>
        <v>0</v>
      </c>
      <c r="F120" s="1188">
        <f>F119</f>
        <v>1</v>
      </c>
      <c r="G120" s="1189">
        <v>401</v>
      </c>
      <c r="H120" s="1189">
        <v>800</v>
      </c>
      <c r="I120" s="1191">
        <v>19.899999999999999</v>
      </c>
      <c r="J120" s="1190">
        <v>0</v>
      </c>
      <c r="K120" s="1192">
        <v>0</v>
      </c>
      <c r="L120" s="1189">
        <f>K120*J120</f>
        <v>0</v>
      </c>
      <c r="M120" s="1189">
        <f>ROUNDUP(L120+I120,0)</f>
        <v>20</v>
      </c>
    </row>
    <row r="121" spans="2:13" ht="13.5" thickBot="1" x14ac:dyDescent="0.25">
      <c r="C121" s="1788"/>
      <c r="D121" s="1789"/>
      <c r="E121" s="1197">
        <f>IF(AND(F121&gt;=MIN(G121,H121),F121&lt;=MAX(G121,H121)),1,0)</f>
        <v>0</v>
      </c>
      <c r="F121" s="1188">
        <f>F120</f>
        <v>1</v>
      </c>
      <c r="G121" s="1189">
        <v>801</v>
      </c>
      <c r="H121" s="1189">
        <v>50000000</v>
      </c>
      <c r="I121" s="1191">
        <v>19.899999999999999</v>
      </c>
      <c r="J121" s="1190">
        <v>3.75</v>
      </c>
      <c r="K121" s="1192">
        <f>ROUNDUP((F121-800)/100,0)</f>
        <v>-8</v>
      </c>
      <c r="L121" s="1189">
        <f>K121*J121</f>
        <v>-30</v>
      </c>
      <c r="M121" s="1189">
        <f>ROUNDUP(L121+I121,0)</f>
        <v>-11</v>
      </c>
    </row>
    <row r="122" spans="2:13" ht="13.5" thickBot="1" x14ac:dyDescent="0.25">
      <c r="C122" s="1689" t="s">
        <v>2042</v>
      </c>
      <c r="D122" s="1690"/>
      <c r="F122" s="1320" t="s">
        <v>2365</v>
      </c>
      <c r="G122" s="1321"/>
      <c r="H122" s="1321"/>
      <c r="I122" s="1321"/>
      <c r="J122" s="1321"/>
      <c r="K122" s="1321"/>
      <c r="L122" s="1321"/>
      <c r="M122" s="1322"/>
    </row>
    <row r="123" spans="2:13" x14ac:dyDescent="0.2">
      <c r="C123" s="1691" t="s">
        <v>2367</v>
      </c>
      <c r="D123" s="1692"/>
      <c r="F123" s="1605" t="s">
        <v>2169</v>
      </c>
      <c r="G123" s="1605"/>
      <c r="H123" s="1188">
        <f>($M$91+1)</f>
        <v>1</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119</v>
      </c>
      <c r="C125" s="1695"/>
      <c r="D125" s="1696"/>
      <c r="E125" s="1197">
        <f>IF(AND(F125&gt;=MIN(G125,H125),F125&lt;=MAX(G125,H125)),1,0)</f>
        <v>1</v>
      </c>
      <c r="F125" s="1188">
        <f>H123</f>
        <v>1</v>
      </c>
      <c r="G125" s="1189">
        <v>1</v>
      </c>
      <c r="H125" s="1189">
        <v>50000000</v>
      </c>
      <c r="I125" s="1191">
        <v>105</v>
      </c>
      <c r="J125" s="1190">
        <v>14</v>
      </c>
      <c r="K125" s="1192">
        <f>ROUNDUP(F125/1000,0)</f>
        <v>1</v>
      </c>
      <c r="L125" s="1189">
        <f>K125*J125</f>
        <v>14</v>
      </c>
      <c r="M125" s="118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1:C41"/>
    <mergeCell ref="B42:C42"/>
    <mergeCell ref="B43:C43"/>
    <mergeCell ref="B44:C44"/>
    <mergeCell ref="B46:E46"/>
    <mergeCell ref="B36:C36"/>
    <mergeCell ref="B37:C37"/>
    <mergeCell ref="B38:C38"/>
    <mergeCell ref="B39:C39"/>
    <mergeCell ref="B40:C40"/>
    <mergeCell ref="B15:C15"/>
    <mergeCell ref="B16:C16"/>
    <mergeCell ref="B17:C17"/>
    <mergeCell ref="B30:C30"/>
    <mergeCell ref="B31:C31"/>
    <mergeCell ref="B32:C32"/>
    <mergeCell ref="B33:C33"/>
    <mergeCell ref="B34:C34"/>
    <mergeCell ref="B35:C35"/>
    <mergeCell ref="B24:C24"/>
    <mergeCell ref="B25:C25"/>
    <mergeCell ref="B26:C26"/>
    <mergeCell ref="B27:C27"/>
    <mergeCell ref="B28:C28"/>
    <mergeCell ref="B29:C29"/>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2"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C0392C4-602B-47F2-80C7-F8236423CCB8}">
          <x14:formula1>
            <xm:f>Rentals!$A$13:$A$35</xm:f>
          </x14:formula1>
          <xm:sqref>I62:I63</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M125"/>
  <sheetViews>
    <sheetView topLeftCell="A67" zoomScaleNormal="100" workbookViewId="0">
      <selection activeCell="L97" sqref="L97"/>
    </sheetView>
  </sheetViews>
  <sheetFormatPr defaultRowHeight="12.75" x14ac:dyDescent="0.2"/>
  <cols>
    <col min="1" max="1" width="2.140625" customWidth="1"/>
    <col min="2" max="2" width="10.28515625" customWidth="1"/>
    <col min="3" max="3" width="30.7109375" customWidth="1"/>
    <col min="4" max="4" width="14.7109375" customWidth="1"/>
    <col min="5" max="5" width="15.42578125" customWidth="1"/>
    <col min="6" max="7" width="12.7109375" customWidth="1"/>
    <col min="8" max="8" width="15.140625" customWidth="1"/>
    <col min="9" max="9" width="12.7109375" customWidth="1"/>
    <col min="10" max="10" width="14.28515625" customWidth="1"/>
    <col min="11" max="11" width="12.7109375" customWidth="1"/>
    <col min="12" max="12" width="14.42578125" customWidth="1"/>
    <col min="13" max="13" width="16.28515625" bestFit="1" customWidth="1"/>
  </cols>
  <sheetData>
    <row r="1" spans="2:13" ht="14.25" x14ac:dyDescent="0.2">
      <c r="B1" s="1793" t="s">
        <v>1154</v>
      </c>
      <c r="C1" s="1794"/>
      <c r="D1" s="1794"/>
      <c r="E1" s="1794"/>
      <c r="F1" s="1794"/>
      <c r="G1" s="1794"/>
      <c r="H1" s="1794"/>
      <c r="I1" s="1794"/>
      <c r="J1" s="1794"/>
      <c r="K1" s="1794"/>
      <c r="L1" s="1794"/>
      <c r="M1" s="1795"/>
    </row>
    <row r="2" spans="2:13" ht="14.25" x14ac:dyDescent="0.2">
      <c r="B2" s="1340" t="s">
        <v>1155</v>
      </c>
      <c r="C2" s="1328"/>
      <c r="D2" s="1730" t="str">
        <f>'PROJECT INFO'!E3</f>
        <v>300 University Boulevard</v>
      </c>
      <c r="E2" s="1730"/>
      <c r="F2" s="1730"/>
      <c r="G2" s="1730"/>
      <c r="H2" s="368" t="s">
        <v>1156</v>
      </c>
      <c r="I2" s="1328"/>
      <c r="J2" s="1732"/>
      <c r="K2" s="1732"/>
      <c r="L2" s="1732"/>
      <c r="M2" s="1796"/>
    </row>
    <row r="3" spans="2:13" ht="14.25" x14ac:dyDescent="0.2">
      <c r="B3" s="1340" t="s">
        <v>1157</v>
      </c>
      <c r="C3" s="1328"/>
      <c r="D3" s="1730" t="str">
        <f>'PROJECT INFO'!E4</f>
        <v>5888</v>
      </c>
      <c r="E3" s="1730"/>
      <c r="F3" s="369"/>
      <c r="G3" s="369"/>
      <c r="H3" s="369"/>
      <c r="I3" s="369"/>
      <c r="J3" s="369"/>
      <c r="K3" s="369"/>
      <c r="L3" s="369"/>
      <c r="M3" s="1341"/>
    </row>
    <row r="4" spans="2:13" ht="14.25" x14ac:dyDescent="0.2">
      <c r="B4" s="1340" t="s">
        <v>1158</v>
      </c>
      <c r="C4" s="1328"/>
      <c r="D4" s="1328" t="str">
        <f>'Project Cost Recap'!B71</f>
        <v>#7</v>
      </c>
      <c r="E4" s="1731" t="s">
        <v>91</v>
      </c>
      <c r="F4" s="1731"/>
      <c r="G4" s="1731"/>
      <c r="H4" s="1726" t="str">
        <f>'Project Cost Recap'!E71</f>
        <v>Description of Alternate in this location</v>
      </c>
      <c r="I4" s="1726"/>
      <c r="J4" s="1726"/>
      <c r="K4" s="1726"/>
      <c r="L4" s="1726"/>
      <c r="M4" s="1797"/>
    </row>
    <row r="5" spans="2:13" ht="14.25" x14ac:dyDescent="0.2">
      <c r="B5" s="1340" t="s">
        <v>1085</v>
      </c>
      <c r="C5" s="370">
        <f ca="1">NOW()</f>
        <v>44718.519324884262</v>
      </c>
      <c r="D5" s="371"/>
      <c r="E5" s="371"/>
      <c r="F5" s="369"/>
      <c r="G5" s="369"/>
      <c r="H5" s="1726"/>
      <c r="I5" s="1726"/>
      <c r="J5" s="1726"/>
      <c r="K5" s="1726"/>
      <c r="L5" s="1726"/>
      <c r="M5" s="1797"/>
    </row>
    <row r="6" spans="2:13" ht="42.75" x14ac:dyDescent="0.2">
      <c r="B6" s="1799" t="s">
        <v>1159</v>
      </c>
      <c r="C6" s="1729"/>
      <c r="D6" s="372" t="s">
        <v>1146</v>
      </c>
      <c r="E6" s="372" t="s">
        <v>124</v>
      </c>
      <c r="F6" s="372" t="s">
        <v>1160</v>
      </c>
      <c r="G6" s="372" t="s">
        <v>1532</v>
      </c>
      <c r="H6" s="372" t="s">
        <v>1147</v>
      </c>
      <c r="I6" s="372" t="s">
        <v>1161</v>
      </c>
      <c r="J6" s="372" t="s">
        <v>1148</v>
      </c>
      <c r="K6" s="372" t="s">
        <v>1162</v>
      </c>
      <c r="L6" s="372" t="s">
        <v>451</v>
      </c>
      <c r="M6" s="1342" t="s">
        <v>1181</v>
      </c>
    </row>
    <row r="7" spans="2:13" ht="14.25" x14ac:dyDescent="0.2">
      <c r="B7" s="1798"/>
      <c r="C7" s="1713"/>
      <c r="D7" s="373"/>
      <c r="E7" s="374"/>
      <c r="F7" s="375"/>
      <c r="G7" s="375">
        <v>1</v>
      </c>
      <c r="H7" s="376">
        <f>E7*F7*G7</f>
        <v>0</v>
      </c>
      <c r="I7" s="375"/>
      <c r="J7" s="376">
        <f t="shared" ref="J7:J43" si="0">(I7*E7)</f>
        <v>0</v>
      </c>
      <c r="K7" s="377"/>
      <c r="L7" s="378"/>
      <c r="M7" s="1343">
        <f t="shared" ref="M7:M43" si="1">ROUNDUP(L7*E7,0)</f>
        <v>0</v>
      </c>
    </row>
    <row r="8" spans="2:13" ht="14.25" x14ac:dyDescent="0.2">
      <c r="B8" s="1798"/>
      <c r="C8" s="1713"/>
      <c r="D8" s="373"/>
      <c r="E8" s="374"/>
      <c r="F8" s="375"/>
      <c r="G8" s="375">
        <v>1</v>
      </c>
      <c r="H8" s="376">
        <f t="shared" ref="H8:H43" si="2">E8*F8*G8</f>
        <v>0</v>
      </c>
      <c r="I8" s="375"/>
      <c r="J8" s="376">
        <f t="shared" si="0"/>
        <v>0</v>
      </c>
      <c r="K8" s="377"/>
      <c r="L8" s="378"/>
      <c r="M8" s="1343">
        <f t="shared" si="1"/>
        <v>0</v>
      </c>
    </row>
    <row r="9" spans="2:13" ht="14.25" x14ac:dyDescent="0.2">
      <c r="B9" s="1798"/>
      <c r="C9" s="1713"/>
      <c r="D9" s="373"/>
      <c r="E9" s="374"/>
      <c r="F9" s="375"/>
      <c r="G9" s="375">
        <v>1</v>
      </c>
      <c r="H9" s="376">
        <f t="shared" si="2"/>
        <v>0</v>
      </c>
      <c r="I9" s="375"/>
      <c r="J9" s="376">
        <f t="shared" si="0"/>
        <v>0</v>
      </c>
      <c r="K9" s="377"/>
      <c r="L9" s="378"/>
      <c r="M9" s="1343">
        <f t="shared" si="1"/>
        <v>0</v>
      </c>
    </row>
    <row r="10" spans="2:13" ht="14.25" x14ac:dyDescent="0.2">
      <c r="B10" s="1798"/>
      <c r="C10" s="1713"/>
      <c r="D10" s="373"/>
      <c r="E10" s="374"/>
      <c r="F10" s="375"/>
      <c r="G10" s="375">
        <v>1</v>
      </c>
      <c r="H10" s="376">
        <f t="shared" si="2"/>
        <v>0</v>
      </c>
      <c r="I10" s="375"/>
      <c r="J10" s="376">
        <f t="shared" si="0"/>
        <v>0</v>
      </c>
      <c r="K10" s="377"/>
      <c r="L10" s="378"/>
      <c r="M10" s="1343">
        <f t="shared" si="1"/>
        <v>0</v>
      </c>
    </row>
    <row r="11" spans="2:13" ht="14.25" x14ac:dyDescent="0.2">
      <c r="B11" s="1798"/>
      <c r="C11" s="1713"/>
      <c r="D11" s="373"/>
      <c r="E11" s="374"/>
      <c r="F11" s="375"/>
      <c r="G11" s="375">
        <v>1</v>
      </c>
      <c r="H11" s="376">
        <f t="shared" si="2"/>
        <v>0</v>
      </c>
      <c r="I11" s="375"/>
      <c r="J11" s="376">
        <f t="shared" si="0"/>
        <v>0</v>
      </c>
      <c r="K11" s="377"/>
      <c r="L11" s="378"/>
      <c r="M11" s="1343">
        <f t="shared" si="1"/>
        <v>0</v>
      </c>
    </row>
    <row r="12" spans="2:13" ht="14.25" x14ac:dyDescent="0.2">
      <c r="B12" s="1798"/>
      <c r="C12" s="1713"/>
      <c r="D12" s="373"/>
      <c r="E12" s="374"/>
      <c r="F12" s="375"/>
      <c r="G12" s="375">
        <v>1</v>
      </c>
      <c r="H12" s="376">
        <f t="shared" si="2"/>
        <v>0</v>
      </c>
      <c r="I12" s="375"/>
      <c r="J12" s="376">
        <f t="shared" si="0"/>
        <v>0</v>
      </c>
      <c r="K12" s="377"/>
      <c r="L12" s="378"/>
      <c r="M12" s="1343">
        <f t="shared" si="1"/>
        <v>0</v>
      </c>
    </row>
    <row r="13" spans="2:13" ht="14.25" x14ac:dyDescent="0.2">
      <c r="B13" s="1798"/>
      <c r="C13" s="1713"/>
      <c r="D13" s="373"/>
      <c r="E13" s="374"/>
      <c r="F13" s="375"/>
      <c r="G13" s="375">
        <v>1</v>
      </c>
      <c r="H13" s="376">
        <f t="shared" si="2"/>
        <v>0</v>
      </c>
      <c r="I13" s="375"/>
      <c r="J13" s="376">
        <f t="shared" si="0"/>
        <v>0</v>
      </c>
      <c r="K13" s="377"/>
      <c r="L13" s="378"/>
      <c r="M13" s="1343">
        <f t="shared" si="1"/>
        <v>0</v>
      </c>
    </row>
    <row r="14" spans="2:13" ht="14.25" x14ac:dyDescent="0.2">
      <c r="B14" s="1798"/>
      <c r="C14" s="1713"/>
      <c r="D14" s="373"/>
      <c r="E14" s="374"/>
      <c r="F14" s="375"/>
      <c r="G14" s="375">
        <v>1</v>
      </c>
      <c r="H14" s="376">
        <f t="shared" si="2"/>
        <v>0</v>
      </c>
      <c r="I14" s="375"/>
      <c r="J14" s="376">
        <f t="shared" si="0"/>
        <v>0</v>
      </c>
      <c r="K14" s="377"/>
      <c r="L14" s="378"/>
      <c r="M14" s="1343">
        <f t="shared" si="1"/>
        <v>0</v>
      </c>
    </row>
    <row r="15" spans="2:13" ht="14.25" x14ac:dyDescent="0.2">
      <c r="B15" s="1798"/>
      <c r="C15" s="1713"/>
      <c r="D15" s="373"/>
      <c r="E15" s="374"/>
      <c r="F15" s="375"/>
      <c r="G15" s="375">
        <v>1</v>
      </c>
      <c r="H15" s="376">
        <f t="shared" si="2"/>
        <v>0</v>
      </c>
      <c r="I15" s="375"/>
      <c r="J15" s="376">
        <f t="shared" si="0"/>
        <v>0</v>
      </c>
      <c r="K15" s="377"/>
      <c r="L15" s="378"/>
      <c r="M15" s="1343">
        <f t="shared" si="1"/>
        <v>0</v>
      </c>
    </row>
    <row r="16" spans="2:13" ht="14.25" x14ac:dyDescent="0.2">
      <c r="B16" s="1798"/>
      <c r="C16" s="1713"/>
      <c r="D16" s="373"/>
      <c r="E16" s="374"/>
      <c r="F16" s="375"/>
      <c r="G16" s="375">
        <v>1</v>
      </c>
      <c r="H16" s="376">
        <f t="shared" si="2"/>
        <v>0</v>
      </c>
      <c r="I16" s="375"/>
      <c r="J16" s="376">
        <f t="shared" si="0"/>
        <v>0</v>
      </c>
      <c r="K16" s="377"/>
      <c r="L16" s="378"/>
      <c r="M16" s="1343">
        <f t="shared" si="1"/>
        <v>0</v>
      </c>
    </row>
    <row r="17" spans="2:13" ht="14.25" x14ac:dyDescent="0.2">
      <c r="B17" s="1798"/>
      <c r="C17" s="1713"/>
      <c r="D17" s="373"/>
      <c r="E17" s="374"/>
      <c r="F17" s="375"/>
      <c r="G17" s="375">
        <v>1</v>
      </c>
      <c r="H17" s="376">
        <f t="shared" si="2"/>
        <v>0</v>
      </c>
      <c r="I17" s="375"/>
      <c r="J17" s="376">
        <f t="shared" si="0"/>
        <v>0</v>
      </c>
      <c r="K17" s="377"/>
      <c r="L17" s="378"/>
      <c r="M17" s="1343">
        <f t="shared" si="1"/>
        <v>0</v>
      </c>
    </row>
    <row r="18" spans="2:13" ht="14.25" x14ac:dyDescent="0.2">
      <c r="B18" s="1798"/>
      <c r="C18" s="1713"/>
      <c r="D18" s="373"/>
      <c r="E18" s="374"/>
      <c r="F18" s="375"/>
      <c r="G18" s="375">
        <v>1</v>
      </c>
      <c r="H18" s="376">
        <f t="shared" si="2"/>
        <v>0</v>
      </c>
      <c r="I18" s="375"/>
      <c r="J18" s="376">
        <f t="shared" si="0"/>
        <v>0</v>
      </c>
      <c r="K18" s="377"/>
      <c r="L18" s="378"/>
      <c r="M18" s="1343">
        <f t="shared" si="1"/>
        <v>0</v>
      </c>
    </row>
    <row r="19" spans="2:13" ht="14.25" x14ac:dyDescent="0.2">
      <c r="B19" s="1798"/>
      <c r="C19" s="1713"/>
      <c r="D19" s="373"/>
      <c r="E19" s="374"/>
      <c r="F19" s="375"/>
      <c r="G19" s="375">
        <v>1</v>
      </c>
      <c r="H19" s="376">
        <f t="shared" si="2"/>
        <v>0</v>
      </c>
      <c r="I19" s="375"/>
      <c r="J19" s="376">
        <f t="shared" si="0"/>
        <v>0</v>
      </c>
      <c r="K19" s="377"/>
      <c r="L19" s="378"/>
      <c r="M19" s="1343">
        <f t="shared" si="1"/>
        <v>0</v>
      </c>
    </row>
    <row r="20" spans="2:13" ht="14.25" x14ac:dyDescent="0.2">
      <c r="B20" s="1798"/>
      <c r="C20" s="1713"/>
      <c r="D20" s="373"/>
      <c r="E20" s="374"/>
      <c r="F20" s="375"/>
      <c r="G20" s="375">
        <v>1</v>
      </c>
      <c r="H20" s="376">
        <f t="shared" si="2"/>
        <v>0</v>
      </c>
      <c r="I20" s="375"/>
      <c r="J20" s="376">
        <f t="shared" si="0"/>
        <v>0</v>
      </c>
      <c r="K20" s="377"/>
      <c r="L20" s="378"/>
      <c r="M20" s="1343">
        <f t="shared" si="1"/>
        <v>0</v>
      </c>
    </row>
    <row r="21" spans="2:13" ht="14.25" x14ac:dyDescent="0.2">
      <c r="B21" s="1798"/>
      <c r="C21" s="1713"/>
      <c r="D21" s="373"/>
      <c r="E21" s="374"/>
      <c r="F21" s="375"/>
      <c r="G21" s="375">
        <v>1</v>
      </c>
      <c r="H21" s="376">
        <f t="shared" si="2"/>
        <v>0</v>
      </c>
      <c r="I21" s="375"/>
      <c r="J21" s="376">
        <f t="shared" si="0"/>
        <v>0</v>
      </c>
      <c r="K21" s="377"/>
      <c r="L21" s="378"/>
      <c r="M21" s="1343">
        <f t="shared" si="1"/>
        <v>0</v>
      </c>
    </row>
    <row r="22" spans="2:13" ht="14.25" x14ac:dyDescent="0.2">
      <c r="B22" s="1798"/>
      <c r="C22" s="1713"/>
      <c r="D22" s="373"/>
      <c r="E22" s="374"/>
      <c r="F22" s="375"/>
      <c r="G22" s="375">
        <v>1</v>
      </c>
      <c r="H22" s="376">
        <f t="shared" si="2"/>
        <v>0</v>
      </c>
      <c r="I22" s="375"/>
      <c r="J22" s="376">
        <f t="shared" si="0"/>
        <v>0</v>
      </c>
      <c r="K22" s="377"/>
      <c r="L22" s="378"/>
      <c r="M22" s="1343">
        <f t="shared" si="1"/>
        <v>0</v>
      </c>
    </row>
    <row r="23" spans="2:13" ht="14.25" x14ac:dyDescent="0.2">
      <c r="B23" s="1798"/>
      <c r="C23" s="1713"/>
      <c r="D23" s="373"/>
      <c r="E23" s="374"/>
      <c r="F23" s="375"/>
      <c r="G23" s="375">
        <v>1</v>
      </c>
      <c r="H23" s="376">
        <f t="shared" si="2"/>
        <v>0</v>
      </c>
      <c r="I23" s="375"/>
      <c r="J23" s="376">
        <f t="shared" si="0"/>
        <v>0</v>
      </c>
      <c r="K23" s="377"/>
      <c r="L23" s="378"/>
      <c r="M23" s="1343">
        <f t="shared" si="1"/>
        <v>0</v>
      </c>
    </row>
    <row r="24" spans="2:13" ht="14.25" x14ac:dyDescent="0.2">
      <c r="B24" s="1798"/>
      <c r="C24" s="1713"/>
      <c r="D24" s="373"/>
      <c r="E24" s="374"/>
      <c r="F24" s="375"/>
      <c r="G24" s="375">
        <v>1</v>
      </c>
      <c r="H24" s="376">
        <f t="shared" si="2"/>
        <v>0</v>
      </c>
      <c r="I24" s="375"/>
      <c r="J24" s="376">
        <f t="shared" si="0"/>
        <v>0</v>
      </c>
      <c r="K24" s="377"/>
      <c r="L24" s="378"/>
      <c r="M24" s="1343">
        <f t="shared" si="1"/>
        <v>0</v>
      </c>
    </row>
    <row r="25" spans="2:13" ht="14.25" x14ac:dyDescent="0.2">
      <c r="B25" s="1798"/>
      <c r="C25" s="1713"/>
      <c r="D25" s="373"/>
      <c r="E25" s="374"/>
      <c r="F25" s="375"/>
      <c r="G25" s="375">
        <v>1</v>
      </c>
      <c r="H25" s="376">
        <f t="shared" si="2"/>
        <v>0</v>
      </c>
      <c r="I25" s="375"/>
      <c r="J25" s="376">
        <f t="shared" si="0"/>
        <v>0</v>
      </c>
      <c r="K25" s="377"/>
      <c r="L25" s="378"/>
      <c r="M25" s="1343">
        <f t="shared" si="1"/>
        <v>0</v>
      </c>
    </row>
    <row r="26" spans="2:13" ht="14.25" x14ac:dyDescent="0.2">
      <c r="B26" s="1798"/>
      <c r="C26" s="1713"/>
      <c r="D26" s="373"/>
      <c r="E26" s="374"/>
      <c r="F26" s="375"/>
      <c r="G26" s="375">
        <v>1</v>
      </c>
      <c r="H26" s="376">
        <f t="shared" si="2"/>
        <v>0</v>
      </c>
      <c r="I26" s="375"/>
      <c r="J26" s="376">
        <f t="shared" si="0"/>
        <v>0</v>
      </c>
      <c r="K26" s="377"/>
      <c r="L26" s="378"/>
      <c r="M26" s="1343">
        <f t="shared" si="1"/>
        <v>0</v>
      </c>
    </row>
    <row r="27" spans="2:13" ht="14.25" x14ac:dyDescent="0.2">
      <c r="B27" s="1798"/>
      <c r="C27" s="1713"/>
      <c r="D27" s="373"/>
      <c r="E27" s="374"/>
      <c r="F27" s="375"/>
      <c r="G27" s="375">
        <v>1</v>
      </c>
      <c r="H27" s="376">
        <f t="shared" si="2"/>
        <v>0</v>
      </c>
      <c r="I27" s="375"/>
      <c r="J27" s="376">
        <f t="shared" si="0"/>
        <v>0</v>
      </c>
      <c r="K27" s="377"/>
      <c r="L27" s="378"/>
      <c r="M27" s="1343">
        <f t="shared" si="1"/>
        <v>0</v>
      </c>
    </row>
    <row r="28" spans="2:13" ht="14.25" x14ac:dyDescent="0.2">
      <c r="B28" s="1798"/>
      <c r="C28" s="1713"/>
      <c r="D28" s="373"/>
      <c r="E28" s="374"/>
      <c r="F28" s="375"/>
      <c r="G28" s="375">
        <v>1</v>
      </c>
      <c r="H28" s="376">
        <f t="shared" si="2"/>
        <v>0</v>
      </c>
      <c r="I28" s="375"/>
      <c r="J28" s="376">
        <f t="shared" si="0"/>
        <v>0</v>
      </c>
      <c r="K28" s="377"/>
      <c r="L28" s="378"/>
      <c r="M28" s="1343">
        <f t="shared" si="1"/>
        <v>0</v>
      </c>
    </row>
    <row r="29" spans="2:13" ht="14.25" x14ac:dyDescent="0.2">
      <c r="B29" s="1798"/>
      <c r="C29" s="1713"/>
      <c r="D29" s="373"/>
      <c r="E29" s="374"/>
      <c r="F29" s="375"/>
      <c r="G29" s="375">
        <v>1</v>
      </c>
      <c r="H29" s="376">
        <f t="shared" si="2"/>
        <v>0</v>
      </c>
      <c r="I29" s="375"/>
      <c r="J29" s="376">
        <f t="shared" si="0"/>
        <v>0</v>
      </c>
      <c r="K29" s="377"/>
      <c r="L29" s="378"/>
      <c r="M29" s="1343">
        <f t="shared" si="1"/>
        <v>0</v>
      </c>
    </row>
    <row r="30" spans="2:13" ht="14.25" x14ac:dyDescent="0.2">
      <c r="B30" s="1798"/>
      <c r="C30" s="1713"/>
      <c r="D30" s="373"/>
      <c r="E30" s="374"/>
      <c r="F30" s="375"/>
      <c r="G30" s="375">
        <v>1</v>
      </c>
      <c r="H30" s="376">
        <f t="shared" si="2"/>
        <v>0</v>
      </c>
      <c r="I30" s="375"/>
      <c r="J30" s="376">
        <f t="shared" si="0"/>
        <v>0</v>
      </c>
      <c r="K30" s="377"/>
      <c r="L30" s="378"/>
      <c r="M30" s="1343">
        <f t="shared" si="1"/>
        <v>0</v>
      </c>
    </row>
    <row r="31" spans="2:13" ht="14.25" x14ac:dyDescent="0.2">
      <c r="B31" s="1798"/>
      <c r="C31" s="1713"/>
      <c r="D31" s="373"/>
      <c r="E31" s="374"/>
      <c r="F31" s="375"/>
      <c r="G31" s="375">
        <v>1</v>
      </c>
      <c r="H31" s="376">
        <f t="shared" si="2"/>
        <v>0</v>
      </c>
      <c r="I31" s="375"/>
      <c r="J31" s="376">
        <f t="shared" si="0"/>
        <v>0</v>
      </c>
      <c r="K31" s="377"/>
      <c r="L31" s="378"/>
      <c r="M31" s="1343">
        <f t="shared" si="1"/>
        <v>0</v>
      </c>
    </row>
    <row r="32" spans="2:13" ht="14.25" x14ac:dyDescent="0.2">
      <c r="B32" s="1798"/>
      <c r="C32" s="1713"/>
      <c r="D32" s="373"/>
      <c r="E32" s="374"/>
      <c r="F32" s="375"/>
      <c r="G32" s="375">
        <v>1</v>
      </c>
      <c r="H32" s="376">
        <f t="shared" si="2"/>
        <v>0</v>
      </c>
      <c r="I32" s="375"/>
      <c r="J32" s="376">
        <f t="shared" si="0"/>
        <v>0</v>
      </c>
      <c r="K32" s="377"/>
      <c r="L32" s="378"/>
      <c r="M32" s="1343">
        <f t="shared" si="1"/>
        <v>0</v>
      </c>
    </row>
    <row r="33" spans="2:13" ht="14.25" x14ac:dyDescent="0.2">
      <c r="B33" s="1798"/>
      <c r="C33" s="1713"/>
      <c r="D33" s="373"/>
      <c r="E33" s="374"/>
      <c r="F33" s="375"/>
      <c r="G33" s="375">
        <v>1</v>
      </c>
      <c r="H33" s="376">
        <f t="shared" si="2"/>
        <v>0</v>
      </c>
      <c r="I33" s="375"/>
      <c r="J33" s="376">
        <f t="shared" si="0"/>
        <v>0</v>
      </c>
      <c r="K33" s="377"/>
      <c r="L33" s="378"/>
      <c r="M33" s="1343">
        <f t="shared" si="1"/>
        <v>0</v>
      </c>
    </row>
    <row r="34" spans="2:13" ht="14.25" x14ac:dyDescent="0.2">
      <c r="B34" s="1798"/>
      <c r="C34" s="1713"/>
      <c r="D34" s="373"/>
      <c r="E34" s="374"/>
      <c r="F34" s="375"/>
      <c r="G34" s="375">
        <v>1</v>
      </c>
      <c r="H34" s="376">
        <f t="shared" si="2"/>
        <v>0</v>
      </c>
      <c r="I34" s="375"/>
      <c r="J34" s="376">
        <f t="shared" si="0"/>
        <v>0</v>
      </c>
      <c r="K34" s="377"/>
      <c r="L34" s="378"/>
      <c r="M34" s="1343">
        <f t="shared" si="1"/>
        <v>0</v>
      </c>
    </row>
    <row r="35" spans="2:13" ht="14.25" x14ac:dyDescent="0.2">
      <c r="B35" s="1798"/>
      <c r="C35" s="1713"/>
      <c r="D35" s="373"/>
      <c r="E35" s="374"/>
      <c r="F35" s="375"/>
      <c r="G35" s="375">
        <v>1</v>
      </c>
      <c r="H35" s="376">
        <f t="shared" si="2"/>
        <v>0</v>
      </c>
      <c r="I35" s="375"/>
      <c r="J35" s="376">
        <f t="shared" si="0"/>
        <v>0</v>
      </c>
      <c r="K35" s="377"/>
      <c r="L35" s="378"/>
      <c r="M35" s="1343">
        <f t="shared" si="1"/>
        <v>0</v>
      </c>
    </row>
    <row r="36" spans="2:13" ht="14.25" x14ac:dyDescent="0.2">
      <c r="B36" s="1798"/>
      <c r="C36" s="1713"/>
      <c r="D36" s="373"/>
      <c r="E36" s="374"/>
      <c r="F36" s="375"/>
      <c r="G36" s="375">
        <v>1</v>
      </c>
      <c r="H36" s="376">
        <f t="shared" si="2"/>
        <v>0</v>
      </c>
      <c r="I36" s="375"/>
      <c r="J36" s="376">
        <f t="shared" si="0"/>
        <v>0</v>
      </c>
      <c r="K36" s="377"/>
      <c r="L36" s="378"/>
      <c r="M36" s="1343">
        <f t="shared" si="1"/>
        <v>0</v>
      </c>
    </row>
    <row r="37" spans="2:13" ht="14.25" x14ac:dyDescent="0.2">
      <c r="B37" s="1798"/>
      <c r="C37" s="1713"/>
      <c r="D37" s="373"/>
      <c r="E37" s="374"/>
      <c r="F37" s="375"/>
      <c r="G37" s="375">
        <v>1</v>
      </c>
      <c r="H37" s="376">
        <f t="shared" si="2"/>
        <v>0</v>
      </c>
      <c r="I37" s="375"/>
      <c r="J37" s="376">
        <f t="shared" si="0"/>
        <v>0</v>
      </c>
      <c r="K37" s="377"/>
      <c r="L37" s="378"/>
      <c r="M37" s="1343">
        <f t="shared" si="1"/>
        <v>0</v>
      </c>
    </row>
    <row r="38" spans="2:13" ht="14.25" x14ac:dyDescent="0.2">
      <c r="B38" s="1798"/>
      <c r="C38" s="1713"/>
      <c r="D38" s="373"/>
      <c r="E38" s="374"/>
      <c r="F38" s="375"/>
      <c r="G38" s="375">
        <v>1</v>
      </c>
      <c r="H38" s="376">
        <f>E38*F38*G38</f>
        <v>0</v>
      </c>
      <c r="I38" s="375"/>
      <c r="J38" s="376">
        <f>(I38*E38)</f>
        <v>0</v>
      </c>
      <c r="K38" s="377"/>
      <c r="L38" s="378"/>
      <c r="M38" s="1343">
        <f>ROUNDUP(L38*E38,0)</f>
        <v>0</v>
      </c>
    </row>
    <row r="39" spans="2:13" ht="14.25" x14ac:dyDescent="0.2">
      <c r="B39" s="1798"/>
      <c r="C39" s="1713"/>
      <c r="D39" s="373"/>
      <c r="E39" s="374"/>
      <c r="F39" s="375"/>
      <c r="G39" s="375">
        <v>1</v>
      </c>
      <c r="H39" s="376">
        <f>E39*F39*G39</f>
        <v>0</v>
      </c>
      <c r="I39" s="375"/>
      <c r="J39" s="376">
        <f>(I39*E39)</f>
        <v>0</v>
      </c>
      <c r="K39" s="377"/>
      <c r="L39" s="378"/>
      <c r="M39" s="1343">
        <f>ROUNDUP(L39*E39,0)</f>
        <v>0</v>
      </c>
    </row>
    <row r="40" spans="2:13" ht="14.25" x14ac:dyDescent="0.2">
      <c r="B40" s="1798"/>
      <c r="C40" s="1713"/>
      <c r="D40" s="373"/>
      <c r="E40" s="374"/>
      <c r="F40" s="375"/>
      <c r="G40" s="375">
        <v>1</v>
      </c>
      <c r="H40" s="376">
        <f t="shared" si="2"/>
        <v>0</v>
      </c>
      <c r="I40" s="375"/>
      <c r="J40" s="376">
        <f t="shared" si="0"/>
        <v>0</v>
      </c>
      <c r="K40" s="377"/>
      <c r="L40" s="378"/>
      <c r="M40" s="1343">
        <f t="shared" si="1"/>
        <v>0</v>
      </c>
    </row>
    <row r="41" spans="2:13" ht="14.25" x14ac:dyDescent="0.2">
      <c r="B41" s="1798"/>
      <c r="C41" s="1713"/>
      <c r="D41" s="373"/>
      <c r="E41" s="374"/>
      <c r="F41" s="375"/>
      <c r="G41" s="375">
        <v>1</v>
      </c>
      <c r="H41" s="376">
        <f t="shared" si="2"/>
        <v>0</v>
      </c>
      <c r="I41" s="375"/>
      <c r="J41" s="376">
        <f t="shared" si="0"/>
        <v>0</v>
      </c>
      <c r="K41" s="377"/>
      <c r="L41" s="378"/>
      <c r="M41" s="1343">
        <f t="shared" si="1"/>
        <v>0</v>
      </c>
    </row>
    <row r="42" spans="2:13" ht="14.25" x14ac:dyDescent="0.2">
      <c r="B42" s="1798"/>
      <c r="C42" s="1713"/>
      <c r="D42" s="373"/>
      <c r="E42" s="374"/>
      <c r="F42" s="375"/>
      <c r="G42" s="375">
        <v>1</v>
      </c>
      <c r="H42" s="376">
        <f t="shared" si="2"/>
        <v>0</v>
      </c>
      <c r="I42" s="375"/>
      <c r="J42" s="376">
        <f t="shared" si="0"/>
        <v>0</v>
      </c>
      <c r="K42" s="377"/>
      <c r="L42" s="378"/>
      <c r="M42" s="1343">
        <f t="shared" si="1"/>
        <v>0</v>
      </c>
    </row>
    <row r="43" spans="2:13" ht="14.25" x14ac:dyDescent="0.2">
      <c r="B43" s="1798"/>
      <c r="C43" s="1713"/>
      <c r="D43" s="373"/>
      <c r="E43" s="374"/>
      <c r="F43" s="375"/>
      <c r="G43" s="375">
        <v>1</v>
      </c>
      <c r="H43" s="376">
        <f t="shared" si="2"/>
        <v>0</v>
      </c>
      <c r="I43" s="375"/>
      <c r="J43" s="376">
        <f t="shared" si="0"/>
        <v>0</v>
      </c>
      <c r="K43" s="377"/>
      <c r="L43" s="378"/>
      <c r="M43" s="1343">
        <f t="shared" si="1"/>
        <v>0</v>
      </c>
    </row>
    <row r="44" spans="2:13" ht="14.25" x14ac:dyDescent="0.2">
      <c r="B44" s="1800"/>
      <c r="C44" s="1708"/>
      <c r="D44" s="380"/>
      <c r="E44" s="380"/>
      <c r="F44" s="381" t="s">
        <v>1149</v>
      </c>
      <c r="G44" s="381"/>
      <c r="H44" s="382">
        <f>SUM(H7:H43)</f>
        <v>0</v>
      </c>
      <c r="I44" s="383"/>
      <c r="J44" s="382">
        <f>SUM(J7:J43)</f>
        <v>0</v>
      </c>
      <c r="K44" s="384"/>
      <c r="L44" s="385"/>
      <c r="M44" s="1344">
        <f>SUM(M7:M43)</f>
        <v>0</v>
      </c>
    </row>
    <row r="45" spans="2:13" ht="14.25" x14ac:dyDescent="0.2">
      <c r="B45" s="1345"/>
      <c r="C45" s="386"/>
      <c r="D45" s="386"/>
      <c r="E45" s="386"/>
      <c r="F45" s="387"/>
      <c r="G45" s="388"/>
      <c r="H45" s="388"/>
      <c r="I45" s="389"/>
      <c r="J45" s="389"/>
      <c r="K45" s="389"/>
      <c r="L45" s="390"/>
      <c r="M45" s="1346"/>
    </row>
    <row r="46" spans="2:13" ht="42.75" x14ac:dyDescent="0.2">
      <c r="B46" s="1800" t="s">
        <v>1163</v>
      </c>
      <c r="C46" s="1707"/>
      <c r="D46" s="1707"/>
      <c r="E46" s="1707"/>
      <c r="F46" s="1740" t="s">
        <v>198</v>
      </c>
      <c r="G46" s="1740"/>
      <c r="H46" s="1740"/>
      <c r="I46" s="1740"/>
      <c r="J46" s="1741"/>
      <c r="K46" s="372" t="s">
        <v>1164</v>
      </c>
      <c r="L46" s="380" t="s">
        <v>1150</v>
      </c>
      <c r="M46" s="1342" t="s">
        <v>1181</v>
      </c>
    </row>
    <row r="47" spans="2:13" ht="14.25" x14ac:dyDescent="0.2">
      <c r="B47" s="1805"/>
      <c r="C47" s="1743"/>
      <c r="D47" s="1743"/>
      <c r="E47" s="1744"/>
      <c r="F47" s="1748" t="s">
        <v>1165</v>
      </c>
      <c r="G47" s="1749"/>
      <c r="H47" s="1749"/>
      <c r="I47" s="1749"/>
      <c r="J47" s="1750"/>
      <c r="K47" s="391">
        <f>H44</f>
        <v>0</v>
      </c>
      <c r="L47" s="392">
        <f>'Project Cost Recap'!C71</f>
        <v>65</v>
      </c>
      <c r="M47" s="1343">
        <f>ROUNDUP(K47*L47,0)</f>
        <v>0</v>
      </c>
    </row>
    <row r="48" spans="2:13" ht="14.25" x14ac:dyDescent="0.2">
      <c r="B48" s="1806"/>
      <c r="C48" s="1746"/>
      <c r="D48" s="1746"/>
      <c r="E48" s="1747"/>
      <c r="F48" s="1751" t="s">
        <v>1151</v>
      </c>
      <c r="G48" s="1752"/>
      <c r="H48" s="1752"/>
      <c r="I48" s="1752"/>
      <c r="J48" s="1753"/>
      <c r="K48" s="391">
        <f>J44</f>
        <v>0</v>
      </c>
      <c r="L48" s="393">
        <f>L47*1.15</f>
        <v>74.75</v>
      </c>
      <c r="M48" s="1343">
        <f>ROUNDUP(K48*L48,0)</f>
        <v>0</v>
      </c>
    </row>
    <row r="49" spans="2:13" ht="14.25" x14ac:dyDescent="0.2">
      <c r="B49" s="1806"/>
      <c r="C49" s="1746"/>
      <c r="D49" s="1746"/>
      <c r="E49" s="1747"/>
      <c r="F49" s="1751" t="s">
        <v>453</v>
      </c>
      <c r="G49" s="1752"/>
      <c r="H49" s="1752"/>
      <c r="I49" s="1752"/>
      <c r="J49" s="1753"/>
      <c r="K49" s="394">
        <f>M44</f>
        <v>0</v>
      </c>
      <c r="L49" s="395"/>
      <c r="M49" s="1343">
        <f>ROUNDUP((M44+(M44*L49)),0)</f>
        <v>0</v>
      </c>
    </row>
    <row r="50" spans="2:13" ht="14.25" x14ac:dyDescent="0.2">
      <c r="B50" s="1806"/>
      <c r="C50" s="1746"/>
      <c r="D50" s="1746"/>
      <c r="E50" s="1747"/>
      <c r="F50" s="1751" t="s">
        <v>1166</v>
      </c>
      <c r="G50" s="1752"/>
      <c r="H50" s="1752"/>
      <c r="I50" s="1752"/>
      <c r="J50" s="1753"/>
      <c r="K50" s="396"/>
      <c r="L50" s="395">
        <f>'PROJECT INFO'!H14</f>
        <v>8.8099999999999998E-2</v>
      </c>
      <c r="M50" s="1343">
        <f>L50*K49</f>
        <v>0</v>
      </c>
    </row>
    <row r="51" spans="2:13" ht="14.25" x14ac:dyDescent="0.2">
      <c r="B51" s="1801" t="s">
        <v>1167</v>
      </c>
      <c r="C51" s="1715"/>
      <c r="D51" s="1715"/>
      <c r="E51" s="1715"/>
      <c r="F51" s="1715"/>
      <c r="G51" s="1715"/>
      <c r="H51" s="1715"/>
      <c r="I51" s="1715"/>
      <c r="J51" s="1715"/>
      <c r="K51" s="1715"/>
      <c r="L51" s="1754"/>
      <c r="M51" s="1347">
        <f>SUM(M47:M50)</f>
        <v>0</v>
      </c>
    </row>
    <row r="52" spans="2:13" ht="14.25" x14ac:dyDescent="0.2">
      <c r="B52" s="1345"/>
      <c r="C52" s="386"/>
      <c r="D52" s="386"/>
      <c r="E52" s="386"/>
      <c r="F52" s="387"/>
      <c r="G52" s="388"/>
      <c r="H52" s="388"/>
      <c r="I52" s="389"/>
      <c r="J52" s="389"/>
      <c r="K52" s="389"/>
      <c r="L52" s="390"/>
      <c r="M52" s="1346"/>
    </row>
    <row r="53" spans="2:13" ht="28.5" x14ac:dyDescent="0.2">
      <c r="B53" s="1800" t="s">
        <v>1168</v>
      </c>
      <c r="C53" s="1707"/>
      <c r="D53" s="1707"/>
      <c r="E53" s="1740" t="s">
        <v>198</v>
      </c>
      <c r="F53" s="1740"/>
      <c r="G53" s="1740"/>
      <c r="H53" s="1740"/>
      <c r="I53" s="397" t="s">
        <v>1169</v>
      </c>
      <c r="J53" s="398" t="s">
        <v>1170</v>
      </c>
      <c r="K53" s="380" t="s">
        <v>1171</v>
      </c>
      <c r="L53" s="380" t="s">
        <v>1150</v>
      </c>
      <c r="M53" s="1342" t="s">
        <v>1181</v>
      </c>
    </row>
    <row r="54" spans="2:13" ht="14.25" x14ac:dyDescent="0.2">
      <c r="B54" s="1802"/>
      <c r="C54" s="1698"/>
      <c r="D54" s="1699"/>
      <c r="E54" s="1734" t="s">
        <v>1172</v>
      </c>
      <c r="F54" s="1735"/>
      <c r="G54" s="1735"/>
      <c r="H54" s="1735"/>
      <c r="I54" s="399">
        <f>K47</f>
        <v>0</v>
      </c>
      <c r="J54" s="450">
        <v>0.03</v>
      </c>
      <c r="K54" s="400">
        <f>$J$54*I54</f>
        <v>0</v>
      </c>
      <c r="L54" s="393">
        <f>L47</f>
        <v>65</v>
      </c>
      <c r="M54" s="1343">
        <f>L54*K54</f>
        <v>0</v>
      </c>
    </row>
    <row r="55" spans="2:13" ht="14.25" x14ac:dyDescent="0.2">
      <c r="B55" s="1803"/>
      <c r="C55" s="1701"/>
      <c r="D55" s="1702"/>
      <c r="E55" s="1734" t="s">
        <v>1173</v>
      </c>
      <c r="F55" s="1735"/>
      <c r="G55" s="1735"/>
      <c r="H55" s="1735"/>
      <c r="I55" s="399">
        <f>K47</f>
        <v>0</v>
      </c>
      <c r="J55" s="450">
        <v>0.1</v>
      </c>
      <c r="K55" s="400">
        <f>$J$55*I55</f>
        <v>0</v>
      </c>
      <c r="L55" s="393">
        <f>L54*1.2</f>
        <v>78</v>
      </c>
      <c r="M55" s="1343">
        <f>L55*K55</f>
        <v>0</v>
      </c>
    </row>
    <row r="56" spans="2:13" ht="14.25" x14ac:dyDescent="0.2">
      <c r="B56" s="1803"/>
      <c r="C56" s="1701"/>
      <c r="D56" s="1702"/>
      <c r="E56" s="1734" t="s">
        <v>1174</v>
      </c>
      <c r="F56" s="1735"/>
      <c r="G56" s="1735"/>
      <c r="H56" s="1735"/>
      <c r="I56" s="399"/>
      <c r="J56" s="395">
        <v>0.01</v>
      </c>
      <c r="K56" s="1736"/>
      <c r="L56" s="1737"/>
      <c r="M56" s="1343">
        <f>J56*$M$47</f>
        <v>0</v>
      </c>
    </row>
    <row r="57" spans="2:13" ht="14.25" x14ac:dyDescent="0.2">
      <c r="B57" s="1804"/>
      <c r="C57" s="1704"/>
      <c r="D57" s="1705"/>
      <c r="E57" s="1734" t="s">
        <v>1175</v>
      </c>
      <c r="F57" s="1735"/>
      <c r="G57" s="1735"/>
      <c r="H57" s="1735"/>
      <c r="I57" s="399"/>
      <c r="J57" s="395">
        <v>0.03</v>
      </c>
      <c r="K57" s="1738"/>
      <c r="L57" s="1739"/>
      <c r="M57" s="1343">
        <f>J57*$M$47</f>
        <v>0</v>
      </c>
    </row>
    <row r="58" spans="2:13" ht="14.25" x14ac:dyDescent="0.2">
      <c r="B58" s="1800" t="s">
        <v>1176</v>
      </c>
      <c r="C58" s="1707"/>
      <c r="D58" s="1707"/>
      <c r="E58" s="1707"/>
      <c r="F58" s="1707"/>
      <c r="G58" s="1707"/>
      <c r="H58" s="1707"/>
      <c r="I58" s="1707"/>
      <c r="J58" s="1707"/>
      <c r="K58" s="1707"/>
      <c r="L58" s="1708"/>
      <c r="M58" s="1347">
        <f>SUM(M54:M57)</f>
        <v>0</v>
      </c>
    </row>
    <row r="59" spans="2:13" ht="14.25" x14ac:dyDescent="0.2">
      <c r="B59" s="1345"/>
      <c r="C59" s="386"/>
      <c r="D59" s="386"/>
      <c r="E59" s="386"/>
      <c r="F59" s="387"/>
      <c r="G59" s="388"/>
      <c r="H59" s="388"/>
      <c r="I59" s="389"/>
      <c r="J59" s="389"/>
      <c r="K59" s="389"/>
      <c r="L59" s="390"/>
      <c r="M59" s="1346"/>
    </row>
    <row r="60" spans="2:13" ht="57" x14ac:dyDescent="0.2">
      <c r="B60" s="1800" t="s">
        <v>1177</v>
      </c>
      <c r="C60" s="1707"/>
      <c r="D60" s="1707"/>
      <c r="E60" s="1740" t="s">
        <v>198</v>
      </c>
      <c r="F60" s="1740"/>
      <c r="G60" s="1740"/>
      <c r="H60" s="1740"/>
      <c r="I60" s="397" t="s">
        <v>1146</v>
      </c>
      <c r="J60" s="397" t="s">
        <v>1178</v>
      </c>
      <c r="K60" s="401" t="s">
        <v>1179</v>
      </c>
      <c r="L60" s="402" t="s">
        <v>1180</v>
      </c>
      <c r="M60" s="1342" t="s">
        <v>1181</v>
      </c>
    </row>
    <row r="61" spans="2:13" ht="14.25" x14ac:dyDescent="0.2">
      <c r="B61" s="1805"/>
      <c r="C61" s="1743"/>
      <c r="D61" s="1744"/>
      <c r="E61" s="1748" t="s">
        <v>1182</v>
      </c>
      <c r="F61" s="1749"/>
      <c r="G61" s="1749"/>
      <c r="H61" s="1749"/>
      <c r="I61" s="399" t="s">
        <v>1183</v>
      </c>
      <c r="J61" s="403">
        <v>1</v>
      </c>
      <c r="K61" s="404">
        <v>0</v>
      </c>
      <c r="L61" s="871">
        <f>Rentals!B8</f>
        <v>2000</v>
      </c>
      <c r="M61" s="1348">
        <f>L61*K61*J61</f>
        <v>0</v>
      </c>
    </row>
    <row r="62" spans="2:13" ht="14.25" x14ac:dyDescent="0.2">
      <c r="B62" s="1806"/>
      <c r="C62" s="1746"/>
      <c r="D62" s="1747"/>
      <c r="E62" s="1751" t="s">
        <v>1184</v>
      </c>
      <c r="F62" s="1752"/>
      <c r="G62" s="1752"/>
      <c r="H62" s="1752"/>
      <c r="I62" s="1250" t="s">
        <v>2338</v>
      </c>
      <c r="J62" s="1231">
        <v>1</v>
      </c>
      <c r="K62" s="1231">
        <v>0</v>
      </c>
      <c r="L62" s="1251">
        <f>VLOOKUP(I62,Rentals!A$13:C$32,2,FALSE)</f>
        <v>0</v>
      </c>
      <c r="M62" s="1349">
        <f>L62*K62*J62</f>
        <v>0</v>
      </c>
    </row>
    <row r="63" spans="2:13" ht="14.25" x14ac:dyDescent="0.2">
      <c r="B63" s="1806"/>
      <c r="C63" s="1746"/>
      <c r="D63" s="1747"/>
      <c r="E63" s="1751" t="s">
        <v>2339</v>
      </c>
      <c r="F63" s="1752"/>
      <c r="G63" s="1752"/>
      <c r="H63" s="1752"/>
      <c r="I63" s="1250" t="str">
        <f>I62</f>
        <v>…............</v>
      </c>
      <c r="J63" s="403">
        <v>1</v>
      </c>
      <c r="K63" s="405">
        <v>0</v>
      </c>
      <c r="L63" s="871">
        <f>VLOOKUP(I63,Rentals!A$13:C$32,3,FALSE)</f>
        <v>0</v>
      </c>
      <c r="M63" s="1348">
        <f>L63*K63*J63</f>
        <v>0</v>
      </c>
    </row>
    <row r="64" spans="2:13" ht="14.25" x14ac:dyDescent="0.2">
      <c r="B64" s="1806"/>
      <c r="C64" s="1746"/>
      <c r="D64" s="1747"/>
      <c r="E64" s="1751" t="s">
        <v>1186</v>
      </c>
      <c r="F64" s="1752"/>
      <c r="G64" s="1752"/>
      <c r="H64" s="1752"/>
      <c r="I64" s="399" t="s">
        <v>1183</v>
      </c>
      <c r="J64" s="403">
        <v>1</v>
      </c>
      <c r="K64" s="404">
        <v>0</v>
      </c>
      <c r="L64" s="871">
        <f>Rentals!B39</f>
        <v>1000</v>
      </c>
      <c r="M64" s="1348">
        <f>L64*K64*J64</f>
        <v>0</v>
      </c>
    </row>
    <row r="65" spans="2:13" ht="14.25" x14ac:dyDescent="0.2">
      <c r="B65" s="1806"/>
      <c r="C65" s="1746"/>
      <c r="D65" s="1747"/>
      <c r="E65" s="1755" t="s">
        <v>176</v>
      </c>
      <c r="F65" s="1756"/>
      <c r="G65" s="1756"/>
      <c r="H65" s="1756"/>
      <c r="I65" s="406" t="s">
        <v>1183</v>
      </c>
      <c r="J65" s="403">
        <v>1</v>
      </c>
      <c r="K65" s="404">
        <v>0</v>
      </c>
      <c r="L65" s="871">
        <f>Rentals!B5</f>
        <v>5000</v>
      </c>
      <c r="M65" s="1348">
        <f>L65*K65*J65</f>
        <v>0</v>
      </c>
    </row>
    <row r="66" spans="2:13" ht="14.25" x14ac:dyDescent="0.2">
      <c r="B66" s="1807" t="s">
        <v>1187</v>
      </c>
      <c r="C66" s="1759"/>
      <c r="D66" s="1759"/>
      <c r="E66" s="1759"/>
      <c r="F66" s="1759"/>
      <c r="G66" s="1759"/>
      <c r="H66" s="1759"/>
      <c r="I66" s="1759"/>
      <c r="J66" s="1759"/>
      <c r="K66" s="1759"/>
      <c r="L66" s="1760"/>
      <c r="M66" s="1347">
        <f>SUM(M61:M65)</f>
        <v>0</v>
      </c>
    </row>
    <row r="67" spans="2:13" ht="14.25" x14ac:dyDescent="0.2">
      <c r="B67" s="1345"/>
      <c r="C67" s="386"/>
      <c r="D67" s="386"/>
      <c r="E67" s="386"/>
      <c r="F67" s="387"/>
      <c r="G67" s="388"/>
      <c r="H67" s="388"/>
      <c r="I67" s="389"/>
      <c r="J67" s="389"/>
      <c r="K67" s="389"/>
      <c r="L67" s="390"/>
      <c r="M67" s="1346"/>
    </row>
    <row r="68" spans="2:13" ht="14.25" x14ac:dyDescent="0.2">
      <c r="B68" s="1801" t="s">
        <v>1188</v>
      </c>
      <c r="C68" s="1715"/>
      <c r="D68" s="1715"/>
      <c r="E68" s="1715"/>
      <c r="F68" s="1715"/>
      <c r="G68" s="1715"/>
      <c r="H68" s="1715"/>
      <c r="I68" s="1715"/>
      <c r="J68" s="1715"/>
      <c r="K68" s="1715"/>
      <c r="L68" s="1715"/>
      <c r="M68" s="1808"/>
    </row>
    <row r="69" spans="2:13" ht="42.75" x14ac:dyDescent="0.2">
      <c r="B69" s="1809" t="s">
        <v>428</v>
      </c>
      <c r="C69" s="1762"/>
      <c r="D69" s="1762"/>
      <c r="E69" s="1762" t="s">
        <v>657</v>
      </c>
      <c r="F69" s="1762"/>
      <c r="G69" s="1762"/>
      <c r="H69" s="1762"/>
      <c r="I69" s="1762"/>
      <c r="J69" s="1329" t="s">
        <v>1189</v>
      </c>
      <c r="K69" s="523" t="s">
        <v>1190</v>
      </c>
      <c r="L69" s="523" t="s">
        <v>1191</v>
      </c>
      <c r="M69" s="1350" t="s">
        <v>1181</v>
      </c>
    </row>
    <row r="70" spans="2:13" ht="14.25" x14ac:dyDescent="0.2">
      <c r="B70" s="1803" t="str">
        <f>'Project Cost Recap'!E23</f>
        <v>PINNACLE</v>
      </c>
      <c r="C70" s="1701"/>
      <c r="D70" s="1702"/>
      <c r="E70" s="1720" t="s">
        <v>580</v>
      </c>
      <c r="F70" s="1721"/>
      <c r="G70" s="1721"/>
      <c r="H70" s="1721"/>
      <c r="I70" s="1722"/>
      <c r="J70" s="407" t="s">
        <v>1192</v>
      </c>
      <c r="K70" s="408">
        <v>1</v>
      </c>
      <c r="L70" s="409">
        <f>Subs!$O$12</f>
        <v>0</v>
      </c>
      <c r="M70" s="1349">
        <f>L70*K70</f>
        <v>0</v>
      </c>
    </row>
    <row r="71" spans="2:13" ht="14.25" x14ac:dyDescent="0.2">
      <c r="B71" s="1803">
        <f>'Project Cost Recap'!E24</f>
        <v>0</v>
      </c>
      <c r="C71" s="1701"/>
      <c r="D71" s="1702"/>
      <c r="E71" s="1720" t="s">
        <v>425</v>
      </c>
      <c r="F71" s="1721"/>
      <c r="G71" s="1721"/>
      <c r="H71" s="1721"/>
      <c r="I71" s="1722"/>
      <c r="J71" s="407" t="s">
        <v>1192</v>
      </c>
      <c r="K71" s="408">
        <v>1</v>
      </c>
      <c r="L71" s="409">
        <f>Subs!$N$25</f>
        <v>0</v>
      </c>
      <c r="M71" s="1349">
        <f>L71*K71</f>
        <v>0</v>
      </c>
    </row>
    <row r="72" spans="2:13" ht="14.25" x14ac:dyDescent="0.2">
      <c r="B72" s="1803">
        <f>'Project Cost Recap'!E25</f>
        <v>0</v>
      </c>
      <c r="C72" s="1701"/>
      <c r="D72" s="1702"/>
      <c r="E72" s="1720" t="s">
        <v>422</v>
      </c>
      <c r="F72" s="1721"/>
      <c r="G72" s="1721"/>
      <c r="H72" s="1721"/>
      <c r="I72" s="1722"/>
      <c r="J72" s="407" t="s">
        <v>1193</v>
      </c>
      <c r="K72" s="408">
        <v>0</v>
      </c>
      <c r="L72" s="409">
        <v>0</v>
      </c>
      <c r="M72" s="1349">
        <f t="shared" ref="M72:M87" si="3">L72*K72</f>
        <v>0</v>
      </c>
    </row>
    <row r="73" spans="2:13" ht="14.25" x14ac:dyDescent="0.2">
      <c r="B73" s="1803">
        <f>'Project Cost Recap'!E26</f>
        <v>0</v>
      </c>
      <c r="C73" s="1701"/>
      <c r="D73" s="1702"/>
      <c r="E73" s="1720" t="s">
        <v>420</v>
      </c>
      <c r="F73" s="1721"/>
      <c r="G73" s="1721"/>
      <c r="H73" s="1721"/>
      <c r="I73" s="1722"/>
      <c r="J73" s="407" t="s">
        <v>1192</v>
      </c>
      <c r="K73" s="408">
        <v>1</v>
      </c>
      <c r="L73" s="409">
        <f>Subs!M51</f>
        <v>0</v>
      </c>
      <c r="M73" s="1349">
        <f t="shared" si="3"/>
        <v>0</v>
      </c>
    </row>
    <row r="74" spans="2:13" ht="14.25" x14ac:dyDescent="0.2">
      <c r="B74" s="1803" t="str">
        <f>'Project Cost Recap'!E27</f>
        <v>3 GEN EXCAVATION</v>
      </c>
      <c r="C74" s="1701"/>
      <c r="D74" s="1702"/>
      <c r="E74" s="1720" t="s">
        <v>417</v>
      </c>
      <c r="F74" s="1721"/>
      <c r="G74" s="1721"/>
      <c r="H74" s="1721"/>
      <c r="I74" s="1722"/>
      <c r="J74" s="407" t="s">
        <v>1192</v>
      </c>
      <c r="K74" s="408">
        <v>1</v>
      </c>
      <c r="L74" s="409">
        <f>Subs!R65</f>
        <v>0</v>
      </c>
      <c r="M74" s="1349">
        <f>L74*K74</f>
        <v>0</v>
      </c>
    </row>
    <row r="75" spans="2:13" ht="14.25" x14ac:dyDescent="0.2">
      <c r="B75" s="1803">
        <f>'Project Cost Recap'!E28</f>
        <v>0</v>
      </c>
      <c r="C75" s="1701"/>
      <c r="D75" s="1702"/>
      <c r="E75" s="1720" t="str">
        <f>'GO-NO-GO CHECKLIST'!B102</f>
        <v>FIRE PROTECTION</v>
      </c>
      <c r="F75" s="1721"/>
      <c r="G75" s="1721"/>
      <c r="H75" s="1721"/>
      <c r="I75" s="1722"/>
      <c r="J75" s="407" t="s">
        <v>1192</v>
      </c>
      <c r="K75" s="408">
        <v>1</v>
      </c>
      <c r="L75" s="409">
        <f>Subs!M77</f>
        <v>0</v>
      </c>
      <c r="M75" s="1349">
        <f t="shared" si="3"/>
        <v>0</v>
      </c>
    </row>
    <row r="76" spans="2:13" ht="14.25" x14ac:dyDescent="0.2">
      <c r="B76" s="1803">
        <f>'Project Cost Recap'!E29</f>
        <v>0</v>
      </c>
      <c r="C76" s="1701"/>
      <c r="D76" s="1702"/>
      <c r="E76" s="1720" t="str">
        <f>'GO-NO-GO CHECKLIST'!B110</f>
        <v>FIRE STOPPING</v>
      </c>
      <c r="F76" s="1721"/>
      <c r="G76" s="1721"/>
      <c r="H76" s="1721"/>
      <c r="I76" s="1722"/>
      <c r="J76" s="407" t="s">
        <v>1193</v>
      </c>
      <c r="K76" s="408">
        <v>0</v>
      </c>
      <c r="L76" s="409">
        <f>Subs!O89</f>
        <v>0</v>
      </c>
      <c r="M76" s="1349">
        <f t="shared" si="3"/>
        <v>0</v>
      </c>
    </row>
    <row r="77" spans="2:13" ht="14.25" x14ac:dyDescent="0.2">
      <c r="B77" s="1803">
        <f>'Project Cost Recap'!E30</f>
        <v>0</v>
      </c>
      <c r="C77" s="1701"/>
      <c r="D77" s="1702"/>
      <c r="E77" s="1720" t="s">
        <v>421</v>
      </c>
      <c r="F77" s="1721"/>
      <c r="G77" s="1721"/>
      <c r="H77" s="1721"/>
      <c r="I77" s="1722"/>
      <c r="J77" s="407" t="s">
        <v>1192</v>
      </c>
      <c r="K77" s="408">
        <v>1</v>
      </c>
      <c r="L77" s="409">
        <f>Subs!M101</f>
        <v>0</v>
      </c>
      <c r="M77" s="1349">
        <f t="shared" si="3"/>
        <v>0</v>
      </c>
    </row>
    <row r="78" spans="2:13" ht="14.25" x14ac:dyDescent="0.2">
      <c r="B78" s="1803" t="str">
        <f>'Project Cost Recap'!E31</f>
        <v>FORTUNATO</v>
      </c>
      <c r="C78" s="1701"/>
      <c r="D78" s="1702"/>
      <c r="E78" s="1720" t="s">
        <v>423</v>
      </c>
      <c r="F78" s="1721"/>
      <c r="G78" s="1721"/>
      <c r="H78" s="1721"/>
      <c r="I78" s="1722"/>
      <c r="J78" s="407" t="s">
        <v>1192</v>
      </c>
      <c r="K78" s="408">
        <v>1</v>
      </c>
      <c r="L78" s="409">
        <f>Subs!Q115</f>
        <v>0</v>
      </c>
      <c r="M78" s="1349">
        <f t="shared" si="3"/>
        <v>0</v>
      </c>
    </row>
    <row r="79" spans="2:13" ht="14.25" x14ac:dyDescent="0.2">
      <c r="B79" s="1803">
        <f>'Project Cost Recap'!E32</f>
        <v>0</v>
      </c>
      <c r="C79" s="1701"/>
      <c r="D79" s="1702"/>
      <c r="E79" s="1720" t="s">
        <v>951</v>
      </c>
      <c r="F79" s="1721"/>
      <c r="G79" s="1721"/>
      <c r="H79" s="1721"/>
      <c r="I79" s="1722"/>
      <c r="J79" s="407" t="s">
        <v>1192</v>
      </c>
      <c r="K79" s="408">
        <v>1</v>
      </c>
      <c r="L79" s="409">
        <f>Subs!O127</f>
        <v>0</v>
      </c>
      <c r="M79" s="1349">
        <f t="shared" si="3"/>
        <v>0</v>
      </c>
    </row>
    <row r="80" spans="2:13" ht="14.25" x14ac:dyDescent="0.2">
      <c r="B80" s="1803">
        <f>'Project Cost Recap'!E33</f>
        <v>0</v>
      </c>
      <c r="C80" s="1701"/>
      <c r="D80" s="1702"/>
      <c r="E80" s="1720" t="s">
        <v>426</v>
      </c>
      <c r="F80" s="1721"/>
      <c r="G80" s="1721"/>
      <c r="H80" s="1721"/>
      <c r="I80" s="1722"/>
      <c r="J80" s="407" t="s">
        <v>1192</v>
      </c>
      <c r="K80" s="408">
        <v>1</v>
      </c>
      <c r="L80" s="409">
        <f>Subs!M139</f>
        <v>0</v>
      </c>
      <c r="M80" s="1349">
        <f t="shared" si="3"/>
        <v>0</v>
      </c>
    </row>
    <row r="81" spans="2:13" ht="14.25" x14ac:dyDescent="0.2">
      <c r="B81" s="1803">
        <f>'Project Cost Recap'!E34</f>
        <v>0</v>
      </c>
      <c r="C81" s="1701"/>
      <c r="D81" s="1702"/>
      <c r="E81" s="1720" t="s">
        <v>1725</v>
      </c>
      <c r="F81" s="1721"/>
      <c r="G81" s="1721"/>
      <c r="H81" s="1721"/>
      <c r="I81" s="1722"/>
      <c r="J81" s="407" t="s">
        <v>1192</v>
      </c>
      <c r="K81" s="408">
        <v>1</v>
      </c>
      <c r="L81" s="409">
        <f>Subs!M151</f>
        <v>0</v>
      </c>
      <c r="M81" s="1349">
        <f t="shared" si="3"/>
        <v>0</v>
      </c>
    </row>
    <row r="82" spans="2:13" ht="14.25" x14ac:dyDescent="0.2">
      <c r="B82" s="1803" t="str">
        <f>'Project Cost Recap'!E35</f>
        <v>AIR SYSTEMS</v>
      </c>
      <c r="C82" s="1701"/>
      <c r="D82" s="1702"/>
      <c r="E82" s="1720" t="s">
        <v>123</v>
      </c>
      <c r="F82" s="1721"/>
      <c r="G82" s="1721"/>
      <c r="H82" s="1721"/>
      <c r="I82" s="1722"/>
      <c r="J82" s="407" t="s">
        <v>1192</v>
      </c>
      <c r="K82" s="408">
        <v>1</v>
      </c>
      <c r="L82" s="409">
        <f>Subs!S163</f>
        <v>0</v>
      </c>
      <c r="M82" s="1349">
        <f t="shared" si="3"/>
        <v>0</v>
      </c>
    </row>
    <row r="83" spans="2:13" ht="14.25" x14ac:dyDescent="0.2">
      <c r="B83" s="1803">
        <f>'Project Cost Recap'!E36</f>
        <v>0</v>
      </c>
      <c r="C83" s="1701"/>
      <c r="D83" s="1702"/>
      <c r="E83" s="1720" t="s">
        <v>578</v>
      </c>
      <c r="F83" s="1721"/>
      <c r="G83" s="1721"/>
      <c r="H83" s="1721"/>
      <c r="I83" s="1722"/>
      <c r="J83" s="407" t="s">
        <v>1192</v>
      </c>
      <c r="K83" s="408">
        <v>1</v>
      </c>
      <c r="L83" s="409">
        <f>Subs!M175</f>
        <v>0</v>
      </c>
      <c r="M83" s="1349">
        <f t="shared" si="3"/>
        <v>0</v>
      </c>
    </row>
    <row r="84" spans="2:13" ht="14.25" x14ac:dyDescent="0.2">
      <c r="B84" s="1803" t="str">
        <f>'Project Cost Recap'!E37</f>
        <v>LONG BUILDING TECHNOLOGIES</v>
      </c>
      <c r="C84" s="1701"/>
      <c r="D84" s="1702"/>
      <c r="E84" s="1720" t="s">
        <v>419</v>
      </c>
      <c r="F84" s="1721"/>
      <c r="G84" s="1721"/>
      <c r="H84" s="1721"/>
      <c r="I84" s="1722"/>
      <c r="J84" s="407" t="s">
        <v>1192</v>
      </c>
      <c r="K84" s="408">
        <v>1</v>
      </c>
      <c r="L84" s="409">
        <f>Subs!M186</f>
        <v>0</v>
      </c>
      <c r="M84" s="1349">
        <f t="shared" si="3"/>
        <v>0</v>
      </c>
    </row>
    <row r="85" spans="2:13" ht="14.25" x14ac:dyDescent="0.2">
      <c r="B85" s="1803" t="str">
        <f>'Project Cost Recap'!E38</f>
        <v>FINN &amp; ASSOCIATES</v>
      </c>
      <c r="C85" s="1701"/>
      <c r="D85" s="1702"/>
      <c r="E85" s="1720" t="s">
        <v>418</v>
      </c>
      <c r="F85" s="1721"/>
      <c r="G85" s="1721"/>
      <c r="H85" s="1721"/>
      <c r="I85" s="1722"/>
      <c r="J85" s="407" t="s">
        <v>1192</v>
      </c>
      <c r="K85" s="408">
        <v>1</v>
      </c>
      <c r="L85" s="409">
        <f>Subs!Q198</f>
        <v>0</v>
      </c>
      <c r="M85" s="1349">
        <f t="shared" si="3"/>
        <v>0</v>
      </c>
    </row>
    <row r="86" spans="2:13" ht="14.25" x14ac:dyDescent="0.2">
      <c r="B86" s="1803">
        <f>'Project Cost Recap'!E39</f>
        <v>0</v>
      </c>
      <c r="C86" s="1701"/>
      <c r="D86" s="1702"/>
      <c r="E86" s="1720" t="str">
        <f>'GO-NO-GO CHECKLIST'!B165</f>
        <v>MISCELLANEOUS (CHANGE TO SUIT)</v>
      </c>
      <c r="F86" s="1721"/>
      <c r="G86" s="1721"/>
      <c r="H86" s="1721"/>
      <c r="I86" s="1722"/>
      <c r="J86" s="407" t="s">
        <v>1192</v>
      </c>
      <c r="K86" s="408">
        <v>1</v>
      </c>
      <c r="L86" s="409">
        <f>Subs!M210</f>
        <v>0</v>
      </c>
      <c r="M86" s="1349">
        <f t="shared" si="3"/>
        <v>0</v>
      </c>
    </row>
    <row r="87" spans="2:13" ht="14.25" x14ac:dyDescent="0.2">
      <c r="B87" s="1803"/>
      <c r="C87" s="1701"/>
      <c r="D87" s="1702"/>
      <c r="E87" s="1717" t="s">
        <v>1194</v>
      </c>
      <c r="F87" s="1718"/>
      <c r="G87" s="1718"/>
      <c r="H87" s="1718"/>
      <c r="I87" s="1719"/>
      <c r="J87" s="407" t="s">
        <v>1192</v>
      </c>
      <c r="K87" s="408">
        <v>1</v>
      </c>
      <c r="L87" s="409">
        <v>0</v>
      </c>
      <c r="M87" s="1349">
        <f t="shared" si="3"/>
        <v>0</v>
      </c>
    </row>
    <row r="88" spans="2:13" ht="14.25" x14ac:dyDescent="0.2">
      <c r="B88" s="1351"/>
      <c r="C88" s="397"/>
      <c r="D88" s="397"/>
      <c r="E88" s="397"/>
      <c r="F88" s="410" t="s">
        <v>1724</v>
      </c>
      <c r="G88" s="397"/>
      <c r="H88" s="397"/>
      <c r="I88" s="411"/>
      <c r="J88" s="411"/>
      <c r="K88" s="411"/>
      <c r="L88" s="412"/>
      <c r="M88" s="1347">
        <f>SUM(M70:M87)</f>
        <v>0</v>
      </c>
    </row>
    <row r="89" spans="2:13" ht="14.25" x14ac:dyDescent="0.2">
      <c r="B89" s="1345"/>
      <c r="C89" s="386"/>
      <c r="D89" s="386"/>
      <c r="E89" s="386"/>
      <c r="F89" s="387"/>
      <c r="G89" s="388"/>
      <c r="H89" s="388"/>
      <c r="I89" s="389"/>
      <c r="J89" s="389"/>
      <c r="K89" s="389"/>
      <c r="L89" s="390"/>
      <c r="M89" s="1346"/>
    </row>
    <row r="90" spans="2:13" ht="14.25" x14ac:dyDescent="0.2">
      <c r="B90" s="1352"/>
      <c r="C90" s="1203"/>
      <c r="D90" s="1030"/>
      <c r="E90" s="1204"/>
      <c r="F90" s="410" t="s">
        <v>1195</v>
      </c>
      <c r="G90" s="397"/>
      <c r="H90" s="397"/>
      <c r="I90" s="397" t="s">
        <v>198</v>
      </c>
      <c r="J90" s="397"/>
      <c r="K90" s="614"/>
      <c r="L90" s="380" t="s">
        <v>1150</v>
      </c>
      <c r="M90" s="1342" t="s">
        <v>1181</v>
      </c>
    </row>
    <row r="91" spans="2:13" ht="14.25" x14ac:dyDescent="0.2">
      <c r="B91" s="1353"/>
      <c r="C91" s="1206"/>
      <c r="D91" s="1030"/>
      <c r="E91" s="1204"/>
      <c r="F91" s="405"/>
      <c r="G91" s="1229"/>
      <c r="H91" s="1743" t="s">
        <v>1152</v>
      </c>
      <c r="I91" s="1743"/>
      <c r="J91" s="1743"/>
      <c r="K91" s="1744"/>
      <c r="L91" s="379"/>
      <c r="M91" s="1343">
        <f>M88+M66+M58+M51</f>
        <v>0</v>
      </c>
    </row>
    <row r="92" spans="2:13" ht="14.25" x14ac:dyDescent="0.2">
      <c r="B92" s="1354"/>
      <c r="C92" s="1208"/>
      <c r="D92" s="1209"/>
      <c r="E92" s="1204"/>
      <c r="F92" s="1230"/>
      <c r="G92" s="1231"/>
      <c r="H92" s="1746" t="s">
        <v>1153</v>
      </c>
      <c r="I92" s="1746"/>
      <c r="J92" s="1746"/>
      <c r="K92" s="1747"/>
      <c r="L92" s="413">
        <v>0.1</v>
      </c>
      <c r="M92" s="1343">
        <f>L92*M91</f>
        <v>0</v>
      </c>
    </row>
    <row r="93" spans="2:13" ht="14.25" x14ac:dyDescent="0.2">
      <c r="B93" s="1355" t="s">
        <v>2353</v>
      </c>
      <c r="C93" s="1271" t="str">
        <f>'PROJECT INFO'!$H$12</f>
        <v>DENVER (COMBINED)</v>
      </c>
      <c r="D93" s="1757" t="s">
        <v>2352</v>
      </c>
      <c r="E93" s="1757"/>
      <c r="F93" s="1757"/>
      <c r="G93" s="1757"/>
      <c r="H93" s="1746" t="s">
        <v>2351</v>
      </c>
      <c r="I93" s="1746"/>
      <c r="J93" s="1746"/>
      <c r="K93" s="1747"/>
      <c r="L93" s="613">
        <f>'PROJECT INFO'!I15</f>
        <v>1</v>
      </c>
      <c r="M93" s="1356">
        <f>IF('PROJECT INFO'!$H$15="Yes",VLOOKUP('PROJECT INFO'!$H$12,'Taxes&amp;Permits'!$A$4:$Q$223,15,FALSE),0)</f>
        <v>20</v>
      </c>
    </row>
    <row r="94" spans="2:13" ht="14.25" x14ac:dyDescent="0.2">
      <c r="B94" s="1354"/>
      <c r="C94" s="1206"/>
      <c r="D94" s="1030"/>
      <c r="E94" s="1204"/>
      <c r="F94" s="1230"/>
      <c r="G94" s="1231"/>
      <c r="H94" s="1746" t="s">
        <v>135</v>
      </c>
      <c r="I94" s="1746"/>
      <c r="J94" s="1746"/>
      <c r="K94" s="1747"/>
      <c r="L94" s="413">
        <v>0.05</v>
      </c>
      <c r="M94" s="1343">
        <f>(M91+M92+M93)*L94</f>
        <v>1</v>
      </c>
    </row>
    <row r="95" spans="2:13" ht="14.25" x14ac:dyDescent="0.2">
      <c r="B95" s="1353"/>
      <c r="C95" s="1206"/>
      <c r="D95" s="1030"/>
      <c r="E95" s="1204"/>
      <c r="F95" s="1230"/>
      <c r="G95" s="1231"/>
      <c r="H95" s="1746" t="s">
        <v>1196</v>
      </c>
      <c r="I95" s="1746"/>
      <c r="J95" s="1746"/>
      <c r="K95" s="1747"/>
      <c r="L95" s="395"/>
      <c r="M95" s="1343">
        <f>SUM(M91:M94)</f>
        <v>21</v>
      </c>
    </row>
    <row r="96" spans="2:13" ht="14.25" x14ac:dyDescent="0.2">
      <c r="B96" s="1357"/>
      <c r="C96" s="1332" t="s">
        <v>1150</v>
      </c>
      <c r="D96" s="1332" t="s">
        <v>2162</v>
      </c>
      <c r="E96" s="1204" t="s">
        <v>2390</v>
      </c>
      <c r="F96" s="1232" t="s">
        <v>2391</v>
      </c>
      <c r="G96" s="1233"/>
      <c r="H96" s="1775" t="s">
        <v>1197</v>
      </c>
      <c r="I96" s="1775"/>
      <c r="J96" s="1775"/>
      <c r="K96" s="1776"/>
      <c r="L96" s="395">
        <f>'Project Cost Recap'!J48*'PROJECT INFO'!I17</f>
        <v>0</v>
      </c>
      <c r="M96" s="1343">
        <f>M95*L96</f>
        <v>0</v>
      </c>
    </row>
    <row r="97" spans="2:13" ht="14.25" x14ac:dyDescent="0.2">
      <c r="B97" s="1358"/>
      <c r="C97" s="1332">
        <f>'Project Cost Recap'!$D$53</f>
        <v>2.2000000000000001E-3</v>
      </c>
      <c r="D97" s="1334">
        <f>M95</f>
        <v>21</v>
      </c>
      <c r="E97" s="1335">
        <f>D97*C97</f>
        <v>4.6200000000000005E-2</v>
      </c>
      <c r="F97" s="1336">
        <f>'Project Cost Recap'!$K$53</f>
        <v>3750</v>
      </c>
      <c r="G97" s="1331"/>
      <c r="H97" s="1780" t="s">
        <v>248</v>
      </c>
      <c r="I97" s="1780"/>
      <c r="J97" s="1780"/>
      <c r="K97" s="1781"/>
      <c r="L97" s="1330"/>
      <c r="M97" s="1359">
        <f>IF($E97&lt;$F97,($C97*$D97),$F97)*'PROJECT INFO'!$I$21</f>
        <v>4.6200000000000005E-2</v>
      </c>
    </row>
    <row r="98" spans="2:13" ht="14.25" x14ac:dyDescent="0.2">
      <c r="B98" s="1366"/>
      <c r="C98" s="1332"/>
      <c r="D98" s="1334"/>
      <c r="E98" s="1335"/>
      <c r="F98" s="1336"/>
      <c r="G98" s="1331"/>
      <c r="H98" s="1780" t="s">
        <v>246</v>
      </c>
      <c r="I98" s="1780"/>
      <c r="J98" s="1780"/>
      <c r="K98" s="1781"/>
      <c r="L98" s="1330">
        <f>'Project Cost Recap'!$F$54</f>
        <v>0.05</v>
      </c>
      <c r="M98" s="1337">
        <f>M97*L98</f>
        <v>2.3100000000000004E-3</v>
      </c>
    </row>
    <row r="99" spans="2:13" ht="14.25" x14ac:dyDescent="0.2">
      <c r="B99" s="1360"/>
      <c r="C99" s="1204"/>
      <c r="D99" s="1204"/>
      <c r="E99" s="1204"/>
      <c r="F99" s="1777"/>
      <c r="G99" s="1778"/>
      <c r="H99" s="1778"/>
      <c r="I99" s="1778"/>
      <c r="J99" s="1778"/>
      <c r="K99" s="1779"/>
      <c r="L99" s="410" t="s">
        <v>1198</v>
      </c>
      <c r="M99" s="1344">
        <f>M95+M96+M97+M98</f>
        <v>21.04851</v>
      </c>
    </row>
    <row r="100" spans="2:13" ht="14.25" x14ac:dyDescent="0.2">
      <c r="B100" s="1345"/>
      <c r="C100" s="386"/>
      <c r="D100" s="386"/>
      <c r="E100" s="386"/>
      <c r="F100" s="387"/>
      <c r="G100" s="388"/>
      <c r="H100" s="388"/>
      <c r="I100" s="389"/>
      <c r="J100" s="389"/>
      <c r="K100" s="389"/>
      <c r="L100" s="390"/>
      <c r="M100" s="1346"/>
    </row>
    <row r="101" spans="2:13" ht="21" thickBot="1" x14ac:dyDescent="0.35">
      <c r="B101" s="1810" t="s">
        <v>2356</v>
      </c>
      <c r="C101" s="1811"/>
      <c r="D101" s="1811"/>
      <c r="E101" s="1811"/>
      <c r="F101" s="1811"/>
      <c r="G101" s="1811"/>
      <c r="H101" s="1811"/>
      <c r="I101" s="1811"/>
      <c r="J101" s="1811"/>
      <c r="K101" s="1811"/>
      <c r="L101" s="1811"/>
      <c r="M101" s="1812"/>
    </row>
    <row r="102" spans="2:13" ht="13.5" thickBot="1" x14ac:dyDescent="0.25"/>
    <row r="103" spans="2:13" ht="13.5" thickBot="1" x14ac:dyDescent="0.25">
      <c r="C103" s="1782" t="s">
        <v>2183</v>
      </c>
      <c r="D103" s="1783"/>
      <c r="F103" s="1237" t="s">
        <v>2168</v>
      </c>
      <c r="G103" s="1238"/>
      <c r="H103" s="1238"/>
      <c r="I103" s="1238"/>
      <c r="J103" s="1238"/>
      <c r="K103" s="1238"/>
      <c r="L103" s="1238"/>
      <c r="M103" s="1239"/>
    </row>
    <row r="104" spans="2:13" ht="13.5" customHeight="1" x14ac:dyDescent="0.2">
      <c r="C104" s="1784" t="s">
        <v>2177</v>
      </c>
      <c r="D104" s="1785"/>
      <c r="F104" s="1605" t="s">
        <v>2169</v>
      </c>
      <c r="G104" s="1605"/>
      <c r="H104" s="1188">
        <f>($M$91+1)</f>
        <v>1</v>
      </c>
      <c r="I104" s="1187"/>
      <c r="J104" s="1187"/>
      <c r="K104" s="1187"/>
      <c r="L104" s="1187"/>
      <c r="M104" s="1187"/>
    </row>
    <row r="105" spans="2:13" ht="38.25" customHeight="1" x14ac:dyDescent="0.2">
      <c r="B105" s="1196" t="s">
        <v>2184</v>
      </c>
      <c r="C105" s="1784"/>
      <c r="D105" s="1785"/>
      <c r="F105" s="1243" t="s">
        <v>2344</v>
      </c>
      <c r="G105" s="1244" t="s">
        <v>2170</v>
      </c>
      <c r="H105" s="1244" t="s">
        <v>2171</v>
      </c>
      <c r="I105" s="1244" t="s">
        <v>2172</v>
      </c>
      <c r="J105" s="1243" t="s">
        <v>2173</v>
      </c>
      <c r="K105" s="1245" t="s">
        <v>2175</v>
      </c>
      <c r="L105" s="1243" t="s">
        <v>2343</v>
      </c>
      <c r="M105" s="1243" t="s">
        <v>2176</v>
      </c>
    </row>
    <row r="106" spans="2:13" x14ac:dyDescent="0.2">
      <c r="B106" s="1198">
        <f>VLOOKUP(1,E106:M113,9,FALSE)</f>
        <v>20</v>
      </c>
      <c r="C106" s="1784"/>
      <c r="D106" s="1785"/>
      <c r="E106" s="1197">
        <f>IF(AND(F106&gt;=MIN(G106,H106),F106&lt;=MAX(G106,H106)),1,0)</f>
        <v>1</v>
      </c>
      <c r="F106" s="1188">
        <f>H104</f>
        <v>1</v>
      </c>
      <c r="G106" s="1189">
        <v>1</v>
      </c>
      <c r="H106" s="1189">
        <v>500</v>
      </c>
      <c r="I106" s="1189">
        <v>20</v>
      </c>
      <c r="J106" s="1190">
        <v>0</v>
      </c>
      <c r="K106" s="1187"/>
      <c r="L106" s="1191"/>
      <c r="M106" s="1189">
        <f>ROUNDUP(L106+I106,0)</f>
        <v>20</v>
      </c>
    </row>
    <row r="107" spans="2:13" x14ac:dyDescent="0.2">
      <c r="C107" s="1784"/>
      <c r="D107" s="1785"/>
      <c r="E107" s="1197">
        <f t="shared" ref="E107:E113" si="4">IF(AND(F107&gt;=MIN(G107,H107),F107&lt;=MAX(G107,H107)),1,0)</f>
        <v>0</v>
      </c>
      <c r="F107" s="1188">
        <f>F106</f>
        <v>1</v>
      </c>
      <c r="G107" s="1189">
        <v>501</v>
      </c>
      <c r="H107" s="1189">
        <v>2000</v>
      </c>
      <c r="I107" s="1189">
        <v>35</v>
      </c>
      <c r="J107" s="1190">
        <v>0</v>
      </c>
      <c r="K107" s="1187"/>
      <c r="L107" s="1191"/>
      <c r="M107" s="1189">
        <f t="shared" ref="M107:M112" si="5">ROUNDUP(L107+I107,0)</f>
        <v>35</v>
      </c>
    </row>
    <row r="108" spans="2:13" x14ac:dyDescent="0.2">
      <c r="C108" s="1784"/>
      <c r="D108" s="1785"/>
      <c r="E108" s="1197">
        <f t="shared" si="4"/>
        <v>0</v>
      </c>
      <c r="F108" s="1188">
        <f t="shared" ref="F108:F113" si="6">F107</f>
        <v>1</v>
      </c>
      <c r="G108" s="1189">
        <v>2001</v>
      </c>
      <c r="H108" s="1189">
        <v>25000</v>
      </c>
      <c r="I108" s="1189">
        <v>35</v>
      </c>
      <c r="J108" s="1190">
        <v>8</v>
      </c>
      <c r="K108" s="1192">
        <f>ROUNDUP((F108-2000)/1000,0)</f>
        <v>-2</v>
      </c>
      <c r="L108" s="1189">
        <f t="shared" ref="L108:L113" si="7">K108*J108</f>
        <v>-16</v>
      </c>
      <c r="M108" s="1189">
        <f t="shared" si="5"/>
        <v>19</v>
      </c>
    </row>
    <row r="109" spans="2:13" x14ac:dyDescent="0.2">
      <c r="C109" s="1784"/>
      <c r="D109" s="1785"/>
      <c r="E109" s="1197">
        <f t="shared" si="4"/>
        <v>0</v>
      </c>
      <c r="F109" s="1188">
        <f t="shared" si="6"/>
        <v>1</v>
      </c>
      <c r="G109" s="1189">
        <v>25001</v>
      </c>
      <c r="H109" s="1189">
        <v>50000</v>
      </c>
      <c r="I109" s="1189">
        <v>220</v>
      </c>
      <c r="J109" s="1190">
        <v>8</v>
      </c>
      <c r="K109" s="1192">
        <f>ROUNDUP((F109-25000)/1000,0)</f>
        <v>-25</v>
      </c>
      <c r="L109" s="1189">
        <f t="shared" si="7"/>
        <v>-200</v>
      </c>
      <c r="M109" s="1189">
        <f t="shared" si="5"/>
        <v>20</v>
      </c>
    </row>
    <row r="110" spans="2:13" x14ac:dyDescent="0.2">
      <c r="C110" s="1784"/>
      <c r="D110" s="1785"/>
      <c r="E110" s="1197">
        <f t="shared" si="4"/>
        <v>0</v>
      </c>
      <c r="F110" s="1188">
        <f t="shared" si="6"/>
        <v>1</v>
      </c>
      <c r="G110" s="1189">
        <v>50001</v>
      </c>
      <c r="H110" s="1189">
        <v>100000</v>
      </c>
      <c r="I110" s="1189">
        <v>420</v>
      </c>
      <c r="J110" s="1190">
        <v>7</v>
      </c>
      <c r="K110" s="1192">
        <f>ROUNDUP((F110-50000)/1000,0)</f>
        <v>-50</v>
      </c>
      <c r="L110" s="1189">
        <f t="shared" si="7"/>
        <v>-350</v>
      </c>
      <c r="M110" s="1189">
        <f t="shared" si="5"/>
        <v>70</v>
      </c>
    </row>
    <row r="111" spans="2:13" x14ac:dyDescent="0.2">
      <c r="C111" s="1784"/>
      <c r="D111" s="1785"/>
      <c r="E111" s="1197">
        <f t="shared" si="4"/>
        <v>0</v>
      </c>
      <c r="F111" s="1188">
        <f t="shared" si="6"/>
        <v>1</v>
      </c>
      <c r="G111" s="1189">
        <v>100001</v>
      </c>
      <c r="H111" s="1189">
        <v>500000</v>
      </c>
      <c r="I111" s="1189">
        <v>770</v>
      </c>
      <c r="J111" s="1190">
        <v>5.6</v>
      </c>
      <c r="K111" s="1192">
        <f>ROUNDUP((F111-100000)/1000,0)</f>
        <v>-100</v>
      </c>
      <c r="L111" s="1189">
        <f t="shared" si="7"/>
        <v>-560</v>
      </c>
      <c r="M111" s="1189">
        <f t="shared" si="5"/>
        <v>210</v>
      </c>
    </row>
    <row r="112" spans="2:13" x14ac:dyDescent="0.2">
      <c r="C112" s="1784"/>
      <c r="D112" s="1785"/>
      <c r="E112" s="1197">
        <f t="shared" si="4"/>
        <v>0</v>
      </c>
      <c r="F112" s="1188">
        <f t="shared" si="6"/>
        <v>1</v>
      </c>
      <c r="G112" s="1189">
        <v>500001</v>
      </c>
      <c r="H112" s="1189">
        <v>1000000</v>
      </c>
      <c r="I112" s="1189">
        <v>3010</v>
      </c>
      <c r="J112" s="1190">
        <v>4.75</v>
      </c>
      <c r="K112" s="1192">
        <f>ROUNDUP((F112-500000)/1000,0)</f>
        <v>-500</v>
      </c>
      <c r="L112" s="1189">
        <f t="shared" si="7"/>
        <v>-2375</v>
      </c>
      <c r="M112" s="1189">
        <f t="shared" si="5"/>
        <v>635</v>
      </c>
    </row>
    <row r="113" spans="2:13" x14ac:dyDescent="0.2">
      <c r="C113" s="1784"/>
      <c r="D113" s="1785"/>
      <c r="E113" s="1197">
        <f t="shared" si="4"/>
        <v>0</v>
      </c>
      <c r="F113" s="1188">
        <f t="shared" si="6"/>
        <v>1</v>
      </c>
      <c r="G113" s="1189">
        <v>1000001</v>
      </c>
      <c r="H113" s="1189">
        <v>50000000</v>
      </c>
      <c r="I113" s="1189">
        <v>5385</v>
      </c>
      <c r="J113" s="1190">
        <v>3.65</v>
      </c>
      <c r="K113" s="1192">
        <f>ROUNDUP((F113-1000000)/1000,0)</f>
        <v>-1000</v>
      </c>
      <c r="L113" s="1189">
        <f t="shared" si="7"/>
        <v>-3650</v>
      </c>
      <c r="M113" s="1189">
        <f>ROUNDUP(L113+I113,0)</f>
        <v>1735</v>
      </c>
    </row>
    <row r="114" spans="2:13" ht="13.5" thickBot="1" x14ac:dyDescent="0.25">
      <c r="C114" s="1784"/>
      <c r="D114" s="1785"/>
    </row>
    <row r="115" spans="2:13" ht="13.5" thickBot="1" x14ac:dyDescent="0.25">
      <c r="C115" s="1786" t="s">
        <v>2182</v>
      </c>
      <c r="D115" s="1787"/>
      <c r="F115" s="1240" t="s">
        <v>2181</v>
      </c>
      <c r="G115" s="1241"/>
      <c r="H115" s="1241"/>
      <c r="I115" s="1241"/>
      <c r="J115" s="1241"/>
      <c r="K115" s="1241"/>
      <c r="L115" s="1241"/>
      <c r="M115" s="1242"/>
    </row>
    <row r="116" spans="2:13" ht="13.5" customHeight="1" x14ac:dyDescent="0.2">
      <c r="C116" s="1788" t="s">
        <v>2177</v>
      </c>
      <c r="D116" s="1789"/>
      <c r="F116" s="1605" t="s">
        <v>2169</v>
      </c>
      <c r="G116" s="1605"/>
      <c r="H116" s="1188">
        <f>($M$91+1)</f>
        <v>1</v>
      </c>
      <c r="I116" s="1187"/>
      <c r="J116" s="1187"/>
      <c r="K116" s="1187"/>
      <c r="L116" s="1187"/>
      <c r="M116" s="1187"/>
    </row>
    <row r="117" spans="2:13" ht="38.25" x14ac:dyDescent="0.2">
      <c r="B117" s="1196" t="s">
        <v>2185</v>
      </c>
      <c r="C117" s="1788"/>
      <c r="D117" s="1789"/>
      <c r="F117" s="1243" t="s">
        <v>2344</v>
      </c>
      <c r="G117" s="1244" t="s">
        <v>2170</v>
      </c>
      <c r="H117" s="1244" t="s">
        <v>2171</v>
      </c>
      <c r="I117" s="1244" t="s">
        <v>2172</v>
      </c>
      <c r="J117" s="1243" t="s">
        <v>2346</v>
      </c>
      <c r="K117" s="1245" t="s">
        <v>2347</v>
      </c>
      <c r="L117" s="1243" t="s">
        <v>2324</v>
      </c>
      <c r="M117" s="1243" t="s">
        <v>2176</v>
      </c>
    </row>
    <row r="118" spans="2:13" x14ac:dyDescent="0.2">
      <c r="B118" s="1199">
        <f>VLOOKUP(1,E118:M121,9,FALSE)</f>
        <v>14</v>
      </c>
      <c r="C118" s="1788"/>
      <c r="D118" s="1789"/>
      <c r="E118" s="1197">
        <f>IF(AND(F118&gt;=MIN(G118,H118),F118&lt;=MAX(G118,H118)),1,0)</f>
        <v>1</v>
      </c>
      <c r="F118" s="1188">
        <f>H116</f>
        <v>1</v>
      </c>
      <c r="G118" s="1189">
        <v>1</v>
      </c>
      <c r="H118" s="1189">
        <v>100</v>
      </c>
      <c r="I118" s="1191">
        <v>13.6</v>
      </c>
      <c r="J118" s="1190">
        <v>0</v>
      </c>
      <c r="K118" s="1187"/>
      <c r="L118" s="1191"/>
      <c r="M118" s="1189">
        <f>ROUNDUP(L118+I118,0)</f>
        <v>14</v>
      </c>
    </row>
    <row r="119" spans="2:13" x14ac:dyDescent="0.2">
      <c r="C119" s="1788"/>
      <c r="D119" s="1789"/>
      <c r="E119" s="1197">
        <f>IF(AND(F119&gt;=MIN(G119,H119),F119&lt;=MAX(G119,H119)),1,0)</f>
        <v>0</v>
      </c>
      <c r="F119" s="1188">
        <f>F118</f>
        <v>1</v>
      </c>
      <c r="G119" s="1189">
        <v>101</v>
      </c>
      <c r="H119" s="1189">
        <v>400</v>
      </c>
      <c r="I119" s="1200">
        <v>16.75</v>
      </c>
      <c r="J119" s="1190">
        <v>0</v>
      </c>
      <c r="K119" s="1192">
        <v>0</v>
      </c>
      <c r="L119" s="1189">
        <f>K119*J119</f>
        <v>0</v>
      </c>
      <c r="M119" s="1189">
        <f>ROUNDUP(L119+I119,0)</f>
        <v>17</v>
      </c>
    </row>
    <row r="120" spans="2:13" x14ac:dyDescent="0.2">
      <c r="C120" s="1788"/>
      <c r="D120" s="1789"/>
      <c r="E120" s="1197">
        <f>IF(AND(F120&gt;=MIN(G120,H120),F120&lt;=MAX(G120,H120)),1,0)</f>
        <v>0</v>
      </c>
      <c r="F120" s="1188">
        <f>F119</f>
        <v>1</v>
      </c>
      <c r="G120" s="1189">
        <v>401</v>
      </c>
      <c r="H120" s="1189">
        <v>800</v>
      </c>
      <c r="I120" s="1191">
        <v>19.899999999999999</v>
      </c>
      <c r="J120" s="1190">
        <v>0</v>
      </c>
      <c r="K120" s="1192">
        <v>0</v>
      </c>
      <c r="L120" s="1189">
        <f>K120*J120</f>
        <v>0</v>
      </c>
      <c r="M120" s="1189">
        <f>ROUNDUP(L120+I120,0)</f>
        <v>20</v>
      </c>
    </row>
    <row r="121" spans="2:13" ht="13.5" thickBot="1" x14ac:dyDescent="0.25">
      <c r="C121" s="1788"/>
      <c r="D121" s="1789"/>
      <c r="E121" s="1197">
        <f>IF(AND(F121&gt;=MIN(G121,H121),F121&lt;=MAX(G121,H121)),1,0)</f>
        <v>0</v>
      </c>
      <c r="F121" s="1188">
        <f>F120</f>
        <v>1</v>
      </c>
      <c r="G121" s="1189">
        <v>801</v>
      </c>
      <c r="H121" s="1189">
        <v>50000000</v>
      </c>
      <c r="I121" s="1191">
        <v>19.899999999999999</v>
      </c>
      <c r="J121" s="1190">
        <v>3.75</v>
      </c>
      <c r="K121" s="1192">
        <f>ROUNDUP((F121-800)/100,0)</f>
        <v>-8</v>
      </c>
      <c r="L121" s="1189">
        <f>K121*J121</f>
        <v>-30</v>
      </c>
      <c r="M121" s="1189">
        <f>ROUNDUP(L121+I121,0)</f>
        <v>-11</v>
      </c>
    </row>
    <row r="122" spans="2:13" ht="13.5" thickBot="1" x14ac:dyDescent="0.25">
      <c r="C122" s="1689" t="s">
        <v>2042</v>
      </c>
      <c r="D122" s="1690"/>
      <c r="F122" s="1320" t="s">
        <v>2365</v>
      </c>
      <c r="G122" s="1321"/>
      <c r="H122" s="1321"/>
      <c r="I122" s="1321"/>
      <c r="J122" s="1321"/>
      <c r="K122" s="1321"/>
      <c r="L122" s="1321"/>
      <c r="M122" s="1322"/>
    </row>
    <row r="123" spans="2:13" x14ac:dyDescent="0.2">
      <c r="C123" s="1691" t="s">
        <v>2367</v>
      </c>
      <c r="D123" s="1692"/>
      <c r="F123" s="1605" t="s">
        <v>2169</v>
      </c>
      <c r="G123" s="1605"/>
      <c r="H123" s="1188">
        <f>($M$91+1)</f>
        <v>1</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119</v>
      </c>
      <c r="C125" s="1695"/>
      <c r="D125" s="1696"/>
      <c r="E125" s="1197">
        <f>IF(AND(F125&gt;=MIN(G125,H125),F125&lt;=MAX(G125,H125)),1,0)</f>
        <v>1</v>
      </c>
      <c r="F125" s="1188">
        <f>H123</f>
        <v>1</v>
      </c>
      <c r="G125" s="1189">
        <v>1</v>
      </c>
      <c r="H125" s="1189">
        <v>50000000</v>
      </c>
      <c r="I125" s="1191">
        <v>105</v>
      </c>
      <c r="J125" s="1190">
        <v>14</v>
      </c>
      <c r="K125" s="1192">
        <f>ROUNDUP(F125/1000,0)</f>
        <v>1</v>
      </c>
      <c r="L125" s="1189">
        <f>K125*J125</f>
        <v>14</v>
      </c>
      <c r="M125" s="118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B38:C38"/>
    <mergeCell ref="B39:C3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11:C11"/>
    <mergeCell ref="B21:C21"/>
    <mergeCell ref="B22:C22"/>
    <mergeCell ref="B23:C23"/>
    <mergeCell ref="B15:C15"/>
    <mergeCell ref="B16:C16"/>
    <mergeCell ref="B17:C17"/>
    <mergeCell ref="B36:C36"/>
    <mergeCell ref="B37:C37"/>
    <mergeCell ref="B30:C30"/>
    <mergeCell ref="B31:C31"/>
    <mergeCell ref="B32:C32"/>
    <mergeCell ref="B33:C33"/>
    <mergeCell ref="B34:C34"/>
    <mergeCell ref="B35:C35"/>
    <mergeCell ref="B24:C24"/>
    <mergeCell ref="B25:C25"/>
    <mergeCell ref="B26:C26"/>
    <mergeCell ref="B27:C27"/>
    <mergeCell ref="B28:C28"/>
    <mergeCell ref="B29:C29"/>
    <mergeCell ref="H97:K97"/>
    <mergeCell ref="H98:K98"/>
    <mergeCell ref="C122:D122"/>
    <mergeCell ref="C123:D125"/>
    <mergeCell ref="F123:G123"/>
    <mergeCell ref="B101:M101"/>
    <mergeCell ref="D93:G9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s>
  <conditionalFormatting sqref="M93">
    <cfRule type="cellIs" dxfId="1"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FD81F557-F4E4-4AF0-8B6B-080EA7034DE2}">
          <x14:formula1>
            <xm:f>Rentals!$A$13:$A$35</xm:f>
          </x14:formula1>
          <xm:sqref>I62:I63</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M125"/>
  <sheetViews>
    <sheetView topLeftCell="A79" zoomScaleNormal="100" workbookViewId="0">
      <selection activeCell="L97" sqref="L97"/>
    </sheetView>
  </sheetViews>
  <sheetFormatPr defaultRowHeight="12.75" x14ac:dyDescent="0.2"/>
  <cols>
    <col min="1" max="1" width="2.42578125" customWidth="1"/>
    <col min="2" max="2" width="10.28515625" customWidth="1"/>
    <col min="3" max="3" width="30.7109375" customWidth="1"/>
    <col min="4" max="4" width="12.7109375" customWidth="1"/>
    <col min="5" max="5" width="15.42578125" customWidth="1"/>
    <col min="6" max="7" width="12.7109375" customWidth="1"/>
    <col min="8" max="8" width="13"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793" t="s">
        <v>1154</v>
      </c>
      <c r="C1" s="1794"/>
      <c r="D1" s="1794"/>
      <c r="E1" s="1794"/>
      <c r="F1" s="1794"/>
      <c r="G1" s="1794"/>
      <c r="H1" s="1794"/>
      <c r="I1" s="1794"/>
      <c r="J1" s="1794"/>
      <c r="K1" s="1794"/>
      <c r="L1" s="1794"/>
      <c r="M1" s="1795"/>
    </row>
    <row r="2" spans="2:13" ht="14.25" x14ac:dyDescent="0.2">
      <c r="B2" s="1340" t="s">
        <v>1155</v>
      </c>
      <c r="C2" s="1328"/>
      <c r="D2" s="1730" t="str">
        <f>'PROJECT INFO'!E3</f>
        <v>300 University Boulevard</v>
      </c>
      <c r="E2" s="1730"/>
      <c r="F2" s="1730"/>
      <c r="G2" s="1730"/>
      <c r="H2" s="368" t="s">
        <v>1156</v>
      </c>
      <c r="I2" s="1328"/>
      <c r="J2" s="1732"/>
      <c r="K2" s="1732"/>
      <c r="L2" s="1732"/>
      <c r="M2" s="1796"/>
    </row>
    <row r="3" spans="2:13" ht="14.25" x14ac:dyDescent="0.2">
      <c r="B3" s="1340" t="s">
        <v>1157</v>
      </c>
      <c r="C3" s="1328"/>
      <c r="D3" s="1730" t="str">
        <f>'PROJECT INFO'!E4</f>
        <v>5888</v>
      </c>
      <c r="E3" s="1730"/>
      <c r="F3" s="369"/>
      <c r="G3" s="369"/>
      <c r="H3" s="369"/>
      <c r="I3" s="369"/>
      <c r="J3" s="369"/>
      <c r="K3" s="369"/>
      <c r="L3" s="369"/>
      <c r="M3" s="1341"/>
    </row>
    <row r="4" spans="2:13" ht="14.25" x14ac:dyDescent="0.2">
      <c r="B4" s="1340" t="s">
        <v>1158</v>
      </c>
      <c r="C4" s="1328"/>
      <c r="D4" s="1328" t="str">
        <f>'Project Cost Recap'!B72</f>
        <v>#8</v>
      </c>
      <c r="E4" s="1731" t="s">
        <v>91</v>
      </c>
      <c r="F4" s="1731"/>
      <c r="G4" s="1731"/>
      <c r="H4" s="1726" t="str">
        <f>'Project Cost Recap'!E72</f>
        <v>Description of Alternate in this location</v>
      </c>
      <c r="I4" s="1726"/>
      <c r="J4" s="1726"/>
      <c r="K4" s="1726"/>
      <c r="L4" s="1726"/>
      <c r="M4" s="1797"/>
    </row>
    <row r="5" spans="2:13" ht="14.25" x14ac:dyDescent="0.2">
      <c r="B5" s="1340" t="s">
        <v>1085</v>
      </c>
      <c r="C5" s="370">
        <f ca="1">NOW()</f>
        <v>44718.519324884262</v>
      </c>
      <c r="D5" s="371"/>
      <c r="E5" s="371"/>
      <c r="F5" s="369"/>
      <c r="G5" s="369"/>
      <c r="H5" s="1726"/>
      <c r="I5" s="1726"/>
      <c r="J5" s="1726"/>
      <c r="K5" s="1726"/>
      <c r="L5" s="1726"/>
      <c r="M5" s="1797"/>
    </row>
    <row r="6" spans="2:13" ht="42.75" x14ac:dyDescent="0.2">
      <c r="B6" s="1799" t="s">
        <v>1159</v>
      </c>
      <c r="C6" s="1729"/>
      <c r="D6" s="372" t="s">
        <v>1146</v>
      </c>
      <c r="E6" s="372" t="s">
        <v>124</v>
      </c>
      <c r="F6" s="372" t="s">
        <v>1160</v>
      </c>
      <c r="G6" s="372" t="s">
        <v>1532</v>
      </c>
      <c r="H6" s="372" t="s">
        <v>1147</v>
      </c>
      <c r="I6" s="372" t="s">
        <v>1161</v>
      </c>
      <c r="J6" s="372" t="s">
        <v>1148</v>
      </c>
      <c r="K6" s="372" t="s">
        <v>1162</v>
      </c>
      <c r="L6" s="372" t="s">
        <v>451</v>
      </c>
      <c r="M6" s="1342" t="s">
        <v>1181</v>
      </c>
    </row>
    <row r="7" spans="2:13" ht="14.25" x14ac:dyDescent="0.2">
      <c r="B7" s="1798"/>
      <c r="C7" s="1713"/>
      <c r="D7" s="373"/>
      <c r="E7" s="374"/>
      <c r="F7" s="375"/>
      <c r="G7" s="375">
        <v>1</v>
      </c>
      <c r="H7" s="376">
        <f>E7*F7*G7</f>
        <v>0</v>
      </c>
      <c r="I7" s="375"/>
      <c r="J7" s="376">
        <f t="shared" ref="J7:J43" si="0">(I7*E7)</f>
        <v>0</v>
      </c>
      <c r="K7" s="377"/>
      <c r="L7" s="378"/>
      <c r="M7" s="1343">
        <f t="shared" ref="M7:M43" si="1">ROUNDUP(L7*E7,0)</f>
        <v>0</v>
      </c>
    </row>
    <row r="8" spans="2:13" ht="14.25" x14ac:dyDescent="0.2">
      <c r="B8" s="1798"/>
      <c r="C8" s="1713"/>
      <c r="D8" s="373"/>
      <c r="E8" s="374"/>
      <c r="F8" s="375"/>
      <c r="G8" s="375">
        <v>1</v>
      </c>
      <c r="H8" s="376">
        <f t="shared" ref="H8:H43" si="2">E8*F8*G8</f>
        <v>0</v>
      </c>
      <c r="I8" s="375"/>
      <c r="J8" s="376">
        <f t="shared" si="0"/>
        <v>0</v>
      </c>
      <c r="K8" s="377"/>
      <c r="L8" s="378"/>
      <c r="M8" s="1343">
        <f t="shared" si="1"/>
        <v>0</v>
      </c>
    </row>
    <row r="9" spans="2:13" ht="14.25" x14ac:dyDescent="0.2">
      <c r="B9" s="1798"/>
      <c r="C9" s="1713"/>
      <c r="D9" s="373"/>
      <c r="E9" s="374"/>
      <c r="F9" s="375"/>
      <c r="G9" s="375">
        <v>1</v>
      </c>
      <c r="H9" s="376">
        <f t="shared" si="2"/>
        <v>0</v>
      </c>
      <c r="I9" s="375"/>
      <c r="J9" s="376">
        <f t="shared" si="0"/>
        <v>0</v>
      </c>
      <c r="K9" s="377"/>
      <c r="L9" s="378"/>
      <c r="M9" s="1343">
        <f t="shared" si="1"/>
        <v>0</v>
      </c>
    </row>
    <row r="10" spans="2:13" ht="14.25" x14ac:dyDescent="0.2">
      <c r="B10" s="1798"/>
      <c r="C10" s="1713"/>
      <c r="D10" s="373"/>
      <c r="E10" s="374"/>
      <c r="F10" s="375"/>
      <c r="G10" s="375">
        <v>1</v>
      </c>
      <c r="H10" s="376">
        <f t="shared" si="2"/>
        <v>0</v>
      </c>
      <c r="I10" s="375"/>
      <c r="J10" s="376">
        <f t="shared" si="0"/>
        <v>0</v>
      </c>
      <c r="K10" s="377"/>
      <c r="L10" s="378"/>
      <c r="M10" s="1343">
        <f t="shared" si="1"/>
        <v>0</v>
      </c>
    </row>
    <row r="11" spans="2:13" ht="14.25" x14ac:dyDescent="0.2">
      <c r="B11" s="1798"/>
      <c r="C11" s="1713"/>
      <c r="D11" s="373"/>
      <c r="E11" s="374"/>
      <c r="F11" s="375"/>
      <c r="G11" s="375">
        <v>1</v>
      </c>
      <c r="H11" s="376">
        <f t="shared" si="2"/>
        <v>0</v>
      </c>
      <c r="I11" s="375"/>
      <c r="J11" s="376">
        <f t="shared" si="0"/>
        <v>0</v>
      </c>
      <c r="K11" s="377"/>
      <c r="L11" s="378"/>
      <c r="M11" s="1343">
        <f t="shared" si="1"/>
        <v>0</v>
      </c>
    </row>
    <row r="12" spans="2:13" ht="14.25" x14ac:dyDescent="0.2">
      <c r="B12" s="1798"/>
      <c r="C12" s="1713"/>
      <c r="D12" s="373"/>
      <c r="E12" s="374"/>
      <c r="F12" s="375"/>
      <c r="G12" s="375">
        <v>1</v>
      </c>
      <c r="H12" s="376">
        <f t="shared" si="2"/>
        <v>0</v>
      </c>
      <c r="I12" s="375"/>
      <c r="J12" s="376">
        <f t="shared" si="0"/>
        <v>0</v>
      </c>
      <c r="K12" s="377"/>
      <c r="L12" s="378"/>
      <c r="M12" s="1343">
        <f t="shared" si="1"/>
        <v>0</v>
      </c>
    </row>
    <row r="13" spans="2:13" ht="14.25" x14ac:dyDescent="0.2">
      <c r="B13" s="1798"/>
      <c r="C13" s="1713"/>
      <c r="D13" s="373"/>
      <c r="E13" s="374"/>
      <c r="F13" s="375"/>
      <c r="G13" s="375">
        <v>1</v>
      </c>
      <c r="H13" s="376">
        <f t="shared" si="2"/>
        <v>0</v>
      </c>
      <c r="I13" s="375"/>
      <c r="J13" s="376">
        <f t="shared" si="0"/>
        <v>0</v>
      </c>
      <c r="K13" s="377"/>
      <c r="L13" s="378"/>
      <c r="M13" s="1343">
        <f t="shared" si="1"/>
        <v>0</v>
      </c>
    </row>
    <row r="14" spans="2:13" ht="14.25" x14ac:dyDescent="0.2">
      <c r="B14" s="1798"/>
      <c r="C14" s="1713"/>
      <c r="D14" s="373"/>
      <c r="E14" s="374"/>
      <c r="F14" s="375"/>
      <c r="G14" s="375">
        <v>1</v>
      </c>
      <c r="H14" s="376">
        <f t="shared" si="2"/>
        <v>0</v>
      </c>
      <c r="I14" s="375"/>
      <c r="J14" s="376">
        <f t="shared" si="0"/>
        <v>0</v>
      </c>
      <c r="K14" s="377"/>
      <c r="L14" s="378"/>
      <c r="M14" s="1343">
        <f t="shared" si="1"/>
        <v>0</v>
      </c>
    </row>
    <row r="15" spans="2:13" ht="14.25" x14ac:dyDescent="0.2">
      <c r="B15" s="1798"/>
      <c r="C15" s="1713"/>
      <c r="D15" s="373"/>
      <c r="E15" s="374"/>
      <c r="F15" s="375"/>
      <c r="G15" s="375">
        <v>1</v>
      </c>
      <c r="H15" s="376">
        <f t="shared" si="2"/>
        <v>0</v>
      </c>
      <c r="I15" s="375"/>
      <c r="J15" s="376">
        <f t="shared" si="0"/>
        <v>0</v>
      </c>
      <c r="K15" s="377"/>
      <c r="L15" s="378"/>
      <c r="M15" s="1343">
        <f t="shared" si="1"/>
        <v>0</v>
      </c>
    </row>
    <row r="16" spans="2:13" ht="14.25" x14ac:dyDescent="0.2">
      <c r="B16" s="1798"/>
      <c r="C16" s="1713"/>
      <c r="D16" s="373"/>
      <c r="E16" s="374"/>
      <c r="F16" s="375"/>
      <c r="G16" s="375">
        <v>1</v>
      </c>
      <c r="H16" s="376">
        <f t="shared" si="2"/>
        <v>0</v>
      </c>
      <c r="I16" s="375"/>
      <c r="J16" s="376">
        <f t="shared" si="0"/>
        <v>0</v>
      </c>
      <c r="K16" s="377"/>
      <c r="L16" s="378"/>
      <c r="M16" s="1343">
        <f t="shared" si="1"/>
        <v>0</v>
      </c>
    </row>
    <row r="17" spans="2:13" ht="14.25" x14ac:dyDescent="0.2">
      <c r="B17" s="1798"/>
      <c r="C17" s="1713"/>
      <c r="D17" s="373"/>
      <c r="E17" s="374"/>
      <c r="F17" s="375"/>
      <c r="G17" s="375">
        <v>1</v>
      </c>
      <c r="H17" s="376">
        <f t="shared" si="2"/>
        <v>0</v>
      </c>
      <c r="I17" s="375"/>
      <c r="J17" s="376">
        <f t="shared" si="0"/>
        <v>0</v>
      </c>
      <c r="K17" s="377"/>
      <c r="L17" s="378"/>
      <c r="M17" s="1343">
        <f t="shared" si="1"/>
        <v>0</v>
      </c>
    </row>
    <row r="18" spans="2:13" ht="14.25" x14ac:dyDescent="0.2">
      <c r="B18" s="1798"/>
      <c r="C18" s="1713"/>
      <c r="D18" s="373"/>
      <c r="E18" s="374"/>
      <c r="F18" s="375"/>
      <c r="G18" s="375">
        <v>1</v>
      </c>
      <c r="H18" s="376">
        <f t="shared" si="2"/>
        <v>0</v>
      </c>
      <c r="I18" s="375"/>
      <c r="J18" s="376">
        <f t="shared" si="0"/>
        <v>0</v>
      </c>
      <c r="K18" s="377"/>
      <c r="L18" s="378"/>
      <c r="M18" s="1343">
        <f t="shared" si="1"/>
        <v>0</v>
      </c>
    </row>
    <row r="19" spans="2:13" ht="14.25" x14ac:dyDescent="0.2">
      <c r="B19" s="1798"/>
      <c r="C19" s="1713"/>
      <c r="D19" s="373"/>
      <c r="E19" s="374"/>
      <c r="F19" s="375"/>
      <c r="G19" s="375">
        <v>1</v>
      </c>
      <c r="H19" s="376">
        <f t="shared" si="2"/>
        <v>0</v>
      </c>
      <c r="I19" s="375"/>
      <c r="J19" s="376">
        <f t="shared" si="0"/>
        <v>0</v>
      </c>
      <c r="K19" s="377"/>
      <c r="L19" s="378"/>
      <c r="M19" s="1343">
        <f t="shared" si="1"/>
        <v>0</v>
      </c>
    </row>
    <row r="20" spans="2:13" ht="14.25" x14ac:dyDescent="0.2">
      <c r="B20" s="1798"/>
      <c r="C20" s="1713"/>
      <c r="D20" s="373"/>
      <c r="E20" s="374"/>
      <c r="F20" s="375"/>
      <c r="G20" s="375">
        <v>1</v>
      </c>
      <c r="H20" s="376">
        <f t="shared" si="2"/>
        <v>0</v>
      </c>
      <c r="I20" s="375"/>
      <c r="J20" s="376">
        <f t="shared" si="0"/>
        <v>0</v>
      </c>
      <c r="K20" s="377"/>
      <c r="L20" s="378"/>
      <c r="M20" s="1343">
        <f t="shared" si="1"/>
        <v>0</v>
      </c>
    </row>
    <row r="21" spans="2:13" ht="14.25" x14ac:dyDescent="0.2">
      <c r="B21" s="1798"/>
      <c r="C21" s="1713"/>
      <c r="D21" s="373"/>
      <c r="E21" s="374"/>
      <c r="F21" s="375"/>
      <c r="G21" s="375">
        <v>1</v>
      </c>
      <c r="H21" s="376">
        <f t="shared" si="2"/>
        <v>0</v>
      </c>
      <c r="I21" s="375"/>
      <c r="J21" s="376">
        <f t="shared" si="0"/>
        <v>0</v>
      </c>
      <c r="K21" s="377"/>
      <c r="L21" s="378"/>
      <c r="M21" s="1343">
        <f t="shared" si="1"/>
        <v>0</v>
      </c>
    </row>
    <row r="22" spans="2:13" ht="14.25" x14ac:dyDescent="0.2">
      <c r="B22" s="1798"/>
      <c r="C22" s="1713"/>
      <c r="D22" s="373"/>
      <c r="E22" s="374"/>
      <c r="F22" s="375"/>
      <c r="G22" s="375">
        <v>1</v>
      </c>
      <c r="H22" s="376">
        <f t="shared" si="2"/>
        <v>0</v>
      </c>
      <c r="I22" s="375"/>
      <c r="J22" s="376">
        <f t="shared" si="0"/>
        <v>0</v>
      </c>
      <c r="K22" s="377"/>
      <c r="L22" s="378"/>
      <c r="M22" s="1343">
        <f t="shared" si="1"/>
        <v>0</v>
      </c>
    </row>
    <row r="23" spans="2:13" ht="14.25" x14ac:dyDescent="0.2">
      <c r="B23" s="1798"/>
      <c r="C23" s="1713"/>
      <c r="D23" s="373"/>
      <c r="E23" s="374"/>
      <c r="F23" s="375"/>
      <c r="G23" s="375">
        <v>1</v>
      </c>
      <c r="H23" s="376">
        <f t="shared" si="2"/>
        <v>0</v>
      </c>
      <c r="I23" s="375"/>
      <c r="J23" s="376">
        <f t="shared" si="0"/>
        <v>0</v>
      </c>
      <c r="K23" s="377"/>
      <c r="L23" s="378"/>
      <c r="M23" s="1343">
        <f t="shared" si="1"/>
        <v>0</v>
      </c>
    </row>
    <row r="24" spans="2:13" ht="14.25" x14ac:dyDescent="0.2">
      <c r="B24" s="1798"/>
      <c r="C24" s="1713"/>
      <c r="D24" s="373"/>
      <c r="E24" s="374"/>
      <c r="F24" s="375"/>
      <c r="G24" s="375">
        <v>1</v>
      </c>
      <c r="H24" s="376">
        <f t="shared" si="2"/>
        <v>0</v>
      </c>
      <c r="I24" s="375"/>
      <c r="J24" s="376">
        <f t="shared" si="0"/>
        <v>0</v>
      </c>
      <c r="K24" s="377"/>
      <c r="L24" s="378"/>
      <c r="M24" s="1343">
        <f t="shared" si="1"/>
        <v>0</v>
      </c>
    </row>
    <row r="25" spans="2:13" ht="14.25" x14ac:dyDescent="0.2">
      <c r="B25" s="1798"/>
      <c r="C25" s="1713"/>
      <c r="D25" s="373"/>
      <c r="E25" s="374"/>
      <c r="F25" s="375"/>
      <c r="G25" s="375">
        <v>1</v>
      </c>
      <c r="H25" s="376">
        <f t="shared" si="2"/>
        <v>0</v>
      </c>
      <c r="I25" s="375"/>
      <c r="J25" s="376">
        <f t="shared" si="0"/>
        <v>0</v>
      </c>
      <c r="K25" s="377"/>
      <c r="L25" s="378"/>
      <c r="M25" s="1343">
        <f t="shared" si="1"/>
        <v>0</v>
      </c>
    </row>
    <row r="26" spans="2:13" ht="14.25" x14ac:dyDescent="0.2">
      <c r="B26" s="1798"/>
      <c r="C26" s="1713"/>
      <c r="D26" s="373"/>
      <c r="E26" s="374"/>
      <c r="F26" s="375"/>
      <c r="G26" s="375">
        <v>1</v>
      </c>
      <c r="H26" s="376">
        <f t="shared" si="2"/>
        <v>0</v>
      </c>
      <c r="I26" s="375"/>
      <c r="J26" s="376">
        <f t="shared" si="0"/>
        <v>0</v>
      </c>
      <c r="K26" s="377"/>
      <c r="L26" s="378"/>
      <c r="M26" s="1343">
        <f t="shared" si="1"/>
        <v>0</v>
      </c>
    </row>
    <row r="27" spans="2:13" ht="14.25" x14ac:dyDescent="0.2">
      <c r="B27" s="1798"/>
      <c r="C27" s="1713"/>
      <c r="D27" s="373"/>
      <c r="E27" s="374"/>
      <c r="F27" s="375"/>
      <c r="G27" s="375">
        <v>1</v>
      </c>
      <c r="H27" s="376">
        <f t="shared" si="2"/>
        <v>0</v>
      </c>
      <c r="I27" s="375"/>
      <c r="J27" s="376">
        <f t="shared" si="0"/>
        <v>0</v>
      </c>
      <c r="K27" s="377"/>
      <c r="L27" s="378"/>
      <c r="M27" s="1343">
        <f t="shared" si="1"/>
        <v>0</v>
      </c>
    </row>
    <row r="28" spans="2:13" ht="14.25" x14ac:dyDescent="0.2">
      <c r="B28" s="1798"/>
      <c r="C28" s="1713"/>
      <c r="D28" s="373"/>
      <c r="E28" s="374"/>
      <c r="F28" s="375"/>
      <c r="G28" s="375">
        <v>1</v>
      </c>
      <c r="H28" s="376">
        <f t="shared" si="2"/>
        <v>0</v>
      </c>
      <c r="I28" s="375"/>
      <c r="J28" s="376">
        <f t="shared" si="0"/>
        <v>0</v>
      </c>
      <c r="K28" s="377"/>
      <c r="L28" s="378"/>
      <c r="M28" s="1343">
        <f t="shared" si="1"/>
        <v>0</v>
      </c>
    </row>
    <row r="29" spans="2:13" ht="14.25" x14ac:dyDescent="0.2">
      <c r="B29" s="1798"/>
      <c r="C29" s="1713"/>
      <c r="D29" s="373"/>
      <c r="E29" s="374"/>
      <c r="F29" s="375"/>
      <c r="G29" s="375">
        <v>1</v>
      </c>
      <c r="H29" s="376">
        <f t="shared" si="2"/>
        <v>0</v>
      </c>
      <c r="I29" s="375"/>
      <c r="J29" s="376">
        <f t="shared" si="0"/>
        <v>0</v>
      </c>
      <c r="K29" s="377"/>
      <c r="L29" s="378"/>
      <c r="M29" s="1343">
        <f t="shared" si="1"/>
        <v>0</v>
      </c>
    </row>
    <row r="30" spans="2:13" ht="14.25" x14ac:dyDescent="0.2">
      <c r="B30" s="1798"/>
      <c r="C30" s="1713"/>
      <c r="D30" s="373"/>
      <c r="E30" s="374"/>
      <c r="F30" s="375"/>
      <c r="G30" s="375">
        <v>1</v>
      </c>
      <c r="H30" s="376">
        <f t="shared" si="2"/>
        <v>0</v>
      </c>
      <c r="I30" s="375"/>
      <c r="J30" s="376">
        <f t="shared" si="0"/>
        <v>0</v>
      </c>
      <c r="K30" s="377"/>
      <c r="L30" s="378"/>
      <c r="M30" s="1343">
        <f t="shared" si="1"/>
        <v>0</v>
      </c>
    </row>
    <row r="31" spans="2:13" ht="14.25" x14ac:dyDescent="0.2">
      <c r="B31" s="1798"/>
      <c r="C31" s="1713"/>
      <c r="D31" s="373"/>
      <c r="E31" s="374"/>
      <c r="F31" s="375"/>
      <c r="G31" s="375">
        <v>1</v>
      </c>
      <c r="H31" s="376">
        <f t="shared" si="2"/>
        <v>0</v>
      </c>
      <c r="I31" s="375"/>
      <c r="J31" s="376">
        <f t="shared" si="0"/>
        <v>0</v>
      </c>
      <c r="K31" s="377"/>
      <c r="L31" s="378"/>
      <c r="M31" s="1343">
        <f t="shared" si="1"/>
        <v>0</v>
      </c>
    </row>
    <row r="32" spans="2:13" ht="14.25" x14ac:dyDescent="0.2">
      <c r="B32" s="1798"/>
      <c r="C32" s="1713"/>
      <c r="D32" s="373"/>
      <c r="E32" s="374"/>
      <c r="F32" s="375"/>
      <c r="G32" s="375">
        <v>1</v>
      </c>
      <c r="H32" s="376">
        <f t="shared" si="2"/>
        <v>0</v>
      </c>
      <c r="I32" s="375"/>
      <c r="J32" s="376">
        <f t="shared" si="0"/>
        <v>0</v>
      </c>
      <c r="K32" s="377"/>
      <c r="L32" s="378"/>
      <c r="M32" s="1343">
        <f t="shared" si="1"/>
        <v>0</v>
      </c>
    </row>
    <row r="33" spans="2:13" ht="14.25" x14ac:dyDescent="0.2">
      <c r="B33" s="1798"/>
      <c r="C33" s="1713"/>
      <c r="D33" s="373"/>
      <c r="E33" s="374"/>
      <c r="F33" s="375"/>
      <c r="G33" s="375">
        <v>1</v>
      </c>
      <c r="H33" s="376">
        <f t="shared" si="2"/>
        <v>0</v>
      </c>
      <c r="I33" s="375"/>
      <c r="J33" s="376">
        <f t="shared" si="0"/>
        <v>0</v>
      </c>
      <c r="K33" s="377"/>
      <c r="L33" s="378"/>
      <c r="M33" s="1343">
        <f t="shared" si="1"/>
        <v>0</v>
      </c>
    </row>
    <row r="34" spans="2:13" ht="14.25" x14ac:dyDescent="0.2">
      <c r="B34" s="1798"/>
      <c r="C34" s="1713"/>
      <c r="D34" s="373"/>
      <c r="E34" s="374"/>
      <c r="F34" s="375"/>
      <c r="G34" s="375">
        <v>1</v>
      </c>
      <c r="H34" s="376">
        <f t="shared" si="2"/>
        <v>0</v>
      </c>
      <c r="I34" s="375"/>
      <c r="J34" s="376">
        <f t="shared" si="0"/>
        <v>0</v>
      </c>
      <c r="K34" s="377"/>
      <c r="L34" s="378"/>
      <c r="M34" s="1343">
        <f t="shared" si="1"/>
        <v>0</v>
      </c>
    </row>
    <row r="35" spans="2:13" ht="14.25" x14ac:dyDescent="0.2">
      <c r="B35" s="1798"/>
      <c r="C35" s="1713"/>
      <c r="D35" s="373"/>
      <c r="E35" s="374"/>
      <c r="F35" s="375"/>
      <c r="G35" s="375">
        <v>1</v>
      </c>
      <c r="H35" s="376">
        <f t="shared" si="2"/>
        <v>0</v>
      </c>
      <c r="I35" s="375"/>
      <c r="J35" s="376">
        <f t="shared" si="0"/>
        <v>0</v>
      </c>
      <c r="K35" s="377"/>
      <c r="L35" s="378"/>
      <c r="M35" s="1343">
        <f t="shared" si="1"/>
        <v>0</v>
      </c>
    </row>
    <row r="36" spans="2:13" ht="14.25" x14ac:dyDescent="0.2">
      <c r="B36" s="1798"/>
      <c r="C36" s="1713"/>
      <c r="D36" s="373"/>
      <c r="E36" s="374"/>
      <c r="F36" s="375"/>
      <c r="G36" s="375">
        <v>1</v>
      </c>
      <c r="H36" s="376">
        <f t="shared" si="2"/>
        <v>0</v>
      </c>
      <c r="I36" s="375"/>
      <c r="J36" s="376">
        <f t="shared" si="0"/>
        <v>0</v>
      </c>
      <c r="K36" s="377"/>
      <c r="L36" s="378"/>
      <c r="M36" s="1343">
        <f t="shared" si="1"/>
        <v>0</v>
      </c>
    </row>
    <row r="37" spans="2:13" ht="14.25" x14ac:dyDescent="0.2">
      <c r="B37" s="1798"/>
      <c r="C37" s="1713"/>
      <c r="D37" s="373"/>
      <c r="E37" s="374"/>
      <c r="F37" s="375"/>
      <c r="G37" s="375">
        <v>1</v>
      </c>
      <c r="H37" s="376">
        <f t="shared" si="2"/>
        <v>0</v>
      </c>
      <c r="I37" s="375"/>
      <c r="J37" s="376">
        <f t="shared" si="0"/>
        <v>0</v>
      </c>
      <c r="K37" s="377"/>
      <c r="L37" s="378"/>
      <c r="M37" s="1343">
        <f t="shared" si="1"/>
        <v>0</v>
      </c>
    </row>
    <row r="38" spans="2:13" ht="14.25" x14ac:dyDescent="0.2">
      <c r="B38" s="1798"/>
      <c r="C38" s="1713"/>
      <c r="D38" s="373"/>
      <c r="E38" s="374"/>
      <c r="F38" s="375"/>
      <c r="G38" s="375">
        <v>1</v>
      </c>
      <c r="H38" s="376">
        <f t="shared" si="2"/>
        <v>0</v>
      </c>
      <c r="I38" s="375"/>
      <c r="J38" s="376">
        <f t="shared" si="0"/>
        <v>0</v>
      </c>
      <c r="K38" s="377"/>
      <c r="L38" s="378"/>
      <c r="M38" s="1343">
        <f t="shared" si="1"/>
        <v>0</v>
      </c>
    </row>
    <row r="39" spans="2:13" ht="14.25" x14ac:dyDescent="0.2">
      <c r="B39" s="1798"/>
      <c r="C39" s="1713"/>
      <c r="D39" s="373"/>
      <c r="E39" s="374"/>
      <c r="F39" s="375"/>
      <c r="G39" s="375">
        <v>1</v>
      </c>
      <c r="H39" s="376">
        <f t="shared" si="2"/>
        <v>0</v>
      </c>
      <c r="I39" s="375"/>
      <c r="J39" s="376">
        <f t="shared" si="0"/>
        <v>0</v>
      </c>
      <c r="K39" s="377"/>
      <c r="L39" s="378"/>
      <c r="M39" s="1343">
        <f t="shared" si="1"/>
        <v>0</v>
      </c>
    </row>
    <row r="40" spans="2:13" ht="14.25" x14ac:dyDescent="0.2">
      <c r="B40" s="1798"/>
      <c r="C40" s="1713"/>
      <c r="D40" s="373"/>
      <c r="E40" s="374"/>
      <c r="F40" s="375"/>
      <c r="G40" s="375">
        <v>1</v>
      </c>
      <c r="H40" s="376">
        <f t="shared" si="2"/>
        <v>0</v>
      </c>
      <c r="I40" s="375"/>
      <c r="J40" s="376">
        <f t="shared" si="0"/>
        <v>0</v>
      </c>
      <c r="K40" s="377"/>
      <c r="L40" s="378"/>
      <c r="M40" s="1343">
        <f t="shared" si="1"/>
        <v>0</v>
      </c>
    </row>
    <row r="41" spans="2:13" ht="14.25" x14ac:dyDescent="0.2">
      <c r="B41" s="1798"/>
      <c r="C41" s="1713"/>
      <c r="D41" s="373"/>
      <c r="E41" s="374"/>
      <c r="F41" s="375"/>
      <c r="G41" s="375">
        <v>1</v>
      </c>
      <c r="H41" s="376">
        <f t="shared" si="2"/>
        <v>0</v>
      </c>
      <c r="I41" s="375"/>
      <c r="J41" s="376">
        <f t="shared" si="0"/>
        <v>0</v>
      </c>
      <c r="K41" s="377"/>
      <c r="L41" s="378"/>
      <c r="M41" s="1343">
        <f t="shared" si="1"/>
        <v>0</v>
      </c>
    </row>
    <row r="42" spans="2:13" ht="14.25" x14ac:dyDescent="0.2">
      <c r="B42" s="1798"/>
      <c r="C42" s="1713"/>
      <c r="D42" s="373"/>
      <c r="E42" s="374"/>
      <c r="F42" s="375"/>
      <c r="G42" s="375">
        <v>1</v>
      </c>
      <c r="H42" s="376">
        <f t="shared" si="2"/>
        <v>0</v>
      </c>
      <c r="I42" s="375"/>
      <c r="J42" s="376">
        <f t="shared" si="0"/>
        <v>0</v>
      </c>
      <c r="K42" s="377"/>
      <c r="L42" s="378"/>
      <c r="M42" s="1343">
        <f t="shared" si="1"/>
        <v>0</v>
      </c>
    </row>
    <row r="43" spans="2:13" ht="14.25" x14ac:dyDescent="0.2">
      <c r="B43" s="1798"/>
      <c r="C43" s="1713"/>
      <c r="D43" s="373"/>
      <c r="E43" s="374"/>
      <c r="F43" s="375"/>
      <c r="G43" s="375">
        <v>1</v>
      </c>
      <c r="H43" s="376">
        <f t="shared" si="2"/>
        <v>0</v>
      </c>
      <c r="I43" s="375"/>
      <c r="J43" s="376">
        <f t="shared" si="0"/>
        <v>0</v>
      </c>
      <c r="K43" s="377"/>
      <c r="L43" s="378"/>
      <c r="M43" s="1343">
        <f t="shared" si="1"/>
        <v>0</v>
      </c>
    </row>
    <row r="44" spans="2:13" ht="14.25" x14ac:dyDescent="0.2">
      <c r="B44" s="1800"/>
      <c r="C44" s="1708"/>
      <c r="D44" s="380"/>
      <c r="E44" s="380"/>
      <c r="F44" s="381" t="s">
        <v>1149</v>
      </c>
      <c r="G44" s="381"/>
      <c r="H44" s="382">
        <f>SUM(H7:H43)</f>
        <v>0</v>
      </c>
      <c r="I44" s="383"/>
      <c r="J44" s="382">
        <f>SUM(J7:J43)</f>
        <v>0</v>
      </c>
      <c r="K44" s="384"/>
      <c r="L44" s="385"/>
      <c r="M44" s="1344">
        <f>SUM(M7:M43)</f>
        <v>0</v>
      </c>
    </row>
    <row r="45" spans="2:13" ht="14.25" x14ac:dyDescent="0.2">
      <c r="B45" s="1345"/>
      <c r="C45" s="386"/>
      <c r="D45" s="386"/>
      <c r="E45" s="386"/>
      <c r="F45" s="387"/>
      <c r="G45" s="388"/>
      <c r="H45" s="388"/>
      <c r="I45" s="389"/>
      <c r="J45" s="389"/>
      <c r="K45" s="389"/>
      <c r="L45" s="390"/>
      <c r="M45" s="1346"/>
    </row>
    <row r="46" spans="2:13" ht="42.75" x14ac:dyDescent="0.2">
      <c r="B46" s="1800" t="s">
        <v>1163</v>
      </c>
      <c r="C46" s="1707"/>
      <c r="D46" s="1707"/>
      <c r="E46" s="1707"/>
      <c r="F46" s="1740" t="s">
        <v>198</v>
      </c>
      <c r="G46" s="1740"/>
      <c r="H46" s="1740"/>
      <c r="I46" s="1740"/>
      <c r="J46" s="1741"/>
      <c r="K46" s="372" t="s">
        <v>1164</v>
      </c>
      <c r="L46" s="380" t="s">
        <v>1150</v>
      </c>
      <c r="M46" s="1342" t="s">
        <v>1181</v>
      </c>
    </row>
    <row r="47" spans="2:13" ht="14.25" x14ac:dyDescent="0.2">
      <c r="B47" s="1805"/>
      <c r="C47" s="1743"/>
      <c r="D47" s="1743"/>
      <c r="E47" s="1744"/>
      <c r="F47" s="1748" t="s">
        <v>1165</v>
      </c>
      <c r="G47" s="1749"/>
      <c r="H47" s="1749"/>
      <c r="I47" s="1749"/>
      <c r="J47" s="1750"/>
      <c r="K47" s="391">
        <f>H44</f>
        <v>0</v>
      </c>
      <c r="L47" s="392">
        <f>'Project Cost Recap'!C72</f>
        <v>65</v>
      </c>
      <c r="M47" s="1343">
        <f>ROUNDUP(K47*L47,0)</f>
        <v>0</v>
      </c>
    </row>
    <row r="48" spans="2:13" ht="14.25" x14ac:dyDescent="0.2">
      <c r="B48" s="1806"/>
      <c r="C48" s="1746"/>
      <c r="D48" s="1746"/>
      <c r="E48" s="1747"/>
      <c r="F48" s="1751" t="s">
        <v>1151</v>
      </c>
      <c r="G48" s="1752"/>
      <c r="H48" s="1752"/>
      <c r="I48" s="1752"/>
      <c r="J48" s="1753"/>
      <c r="K48" s="391">
        <f>J44</f>
        <v>0</v>
      </c>
      <c r="L48" s="393">
        <f>L47*1.15</f>
        <v>74.75</v>
      </c>
      <c r="M48" s="1343">
        <f>ROUNDUP(K48*L48,0)</f>
        <v>0</v>
      </c>
    </row>
    <row r="49" spans="2:13" ht="14.25" x14ac:dyDescent="0.2">
      <c r="B49" s="1806"/>
      <c r="C49" s="1746"/>
      <c r="D49" s="1746"/>
      <c r="E49" s="1747"/>
      <c r="F49" s="1751" t="s">
        <v>453</v>
      </c>
      <c r="G49" s="1752"/>
      <c r="H49" s="1752"/>
      <c r="I49" s="1752"/>
      <c r="J49" s="1753"/>
      <c r="K49" s="394">
        <f>M44</f>
        <v>0</v>
      </c>
      <c r="L49" s="395"/>
      <c r="M49" s="1343">
        <f>ROUNDUP((M44+(M44*L49)),0)</f>
        <v>0</v>
      </c>
    </row>
    <row r="50" spans="2:13" ht="14.25" x14ac:dyDescent="0.2">
      <c r="B50" s="1806"/>
      <c r="C50" s="1746"/>
      <c r="D50" s="1746"/>
      <c r="E50" s="1747"/>
      <c r="F50" s="1751" t="s">
        <v>1166</v>
      </c>
      <c r="G50" s="1752"/>
      <c r="H50" s="1752"/>
      <c r="I50" s="1752"/>
      <c r="J50" s="1753"/>
      <c r="K50" s="396"/>
      <c r="L50" s="395">
        <f>'PROJECT INFO'!H14</f>
        <v>8.8099999999999998E-2</v>
      </c>
      <c r="M50" s="1343">
        <f>L50*K49</f>
        <v>0</v>
      </c>
    </row>
    <row r="51" spans="2:13" ht="14.25" x14ac:dyDescent="0.2">
      <c r="B51" s="1801" t="s">
        <v>1167</v>
      </c>
      <c r="C51" s="1715"/>
      <c r="D51" s="1715"/>
      <c r="E51" s="1715"/>
      <c r="F51" s="1715"/>
      <c r="G51" s="1715"/>
      <c r="H51" s="1715"/>
      <c r="I51" s="1715"/>
      <c r="J51" s="1715"/>
      <c r="K51" s="1715"/>
      <c r="L51" s="1754"/>
      <c r="M51" s="1347">
        <f>SUM(M47:M50)</f>
        <v>0</v>
      </c>
    </row>
    <row r="52" spans="2:13" ht="14.25" x14ac:dyDescent="0.2">
      <c r="B52" s="1345"/>
      <c r="C52" s="386"/>
      <c r="D52" s="386"/>
      <c r="E52" s="386"/>
      <c r="F52" s="387"/>
      <c r="G52" s="388"/>
      <c r="H52" s="388"/>
      <c r="I52" s="389"/>
      <c r="J52" s="389"/>
      <c r="K52" s="389"/>
      <c r="L52" s="390"/>
      <c r="M52" s="1346"/>
    </row>
    <row r="53" spans="2:13" ht="28.5" x14ac:dyDescent="0.2">
      <c r="B53" s="1800" t="s">
        <v>1168</v>
      </c>
      <c r="C53" s="1707"/>
      <c r="D53" s="1707"/>
      <c r="E53" s="1740" t="s">
        <v>198</v>
      </c>
      <c r="F53" s="1740"/>
      <c r="G53" s="1740"/>
      <c r="H53" s="1740"/>
      <c r="I53" s="397" t="s">
        <v>1169</v>
      </c>
      <c r="J53" s="398" t="s">
        <v>1170</v>
      </c>
      <c r="K53" s="380" t="s">
        <v>1171</v>
      </c>
      <c r="L53" s="380" t="s">
        <v>1150</v>
      </c>
      <c r="M53" s="1342" t="s">
        <v>1181</v>
      </c>
    </row>
    <row r="54" spans="2:13" ht="14.25" x14ac:dyDescent="0.2">
      <c r="B54" s="1802"/>
      <c r="C54" s="1698"/>
      <c r="D54" s="1699"/>
      <c r="E54" s="1734" t="s">
        <v>1172</v>
      </c>
      <c r="F54" s="1735"/>
      <c r="G54" s="1735"/>
      <c r="H54" s="1735"/>
      <c r="I54" s="399">
        <f>K47</f>
        <v>0</v>
      </c>
      <c r="J54" s="450">
        <v>0.03</v>
      </c>
      <c r="K54" s="400">
        <f>$J$54*I54</f>
        <v>0</v>
      </c>
      <c r="L54" s="393">
        <f>L47</f>
        <v>65</v>
      </c>
      <c r="M54" s="1343">
        <f>L54*K54</f>
        <v>0</v>
      </c>
    </row>
    <row r="55" spans="2:13" ht="14.25" x14ac:dyDescent="0.2">
      <c r="B55" s="1803"/>
      <c r="C55" s="1701"/>
      <c r="D55" s="1702"/>
      <c r="E55" s="1734" t="s">
        <v>1173</v>
      </c>
      <c r="F55" s="1735"/>
      <c r="G55" s="1735"/>
      <c r="H55" s="1735"/>
      <c r="I55" s="399">
        <f>K47</f>
        <v>0</v>
      </c>
      <c r="J55" s="450">
        <v>0.1</v>
      </c>
      <c r="K55" s="400">
        <f>$J$55*I55</f>
        <v>0</v>
      </c>
      <c r="L55" s="393">
        <f>L54*1.2</f>
        <v>78</v>
      </c>
      <c r="M55" s="1343">
        <f>L55*K55</f>
        <v>0</v>
      </c>
    </row>
    <row r="56" spans="2:13" ht="14.25" x14ac:dyDescent="0.2">
      <c r="B56" s="1803"/>
      <c r="C56" s="1701"/>
      <c r="D56" s="1702"/>
      <c r="E56" s="1734" t="s">
        <v>1174</v>
      </c>
      <c r="F56" s="1735"/>
      <c r="G56" s="1735"/>
      <c r="H56" s="1735"/>
      <c r="I56" s="399"/>
      <c r="J56" s="395">
        <v>0.01</v>
      </c>
      <c r="K56" s="1736"/>
      <c r="L56" s="1737"/>
      <c r="M56" s="1343">
        <f>J56*$M$47</f>
        <v>0</v>
      </c>
    </row>
    <row r="57" spans="2:13" ht="14.25" x14ac:dyDescent="0.2">
      <c r="B57" s="1804"/>
      <c r="C57" s="1704"/>
      <c r="D57" s="1705"/>
      <c r="E57" s="1734" t="s">
        <v>1175</v>
      </c>
      <c r="F57" s="1735"/>
      <c r="G57" s="1735"/>
      <c r="H57" s="1735"/>
      <c r="I57" s="399"/>
      <c r="J57" s="395">
        <v>0.03</v>
      </c>
      <c r="K57" s="1738"/>
      <c r="L57" s="1739"/>
      <c r="M57" s="1343">
        <f>J57*$M$47</f>
        <v>0</v>
      </c>
    </row>
    <row r="58" spans="2:13" ht="14.25" x14ac:dyDescent="0.2">
      <c r="B58" s="1800" t="s">
        <v>1176</v>
      </c>
      <c r="C58" s="1707"/>
      <c r="D58" s="1707"/>
      <c r="E58" s="1707"/>
      <c r="F58" s="1707"/>
      <c r="G58" s="1707"/>
      <c r="H58" s="1707"/>
      <c r="I58" s="1707"/>
      <c r="J58" s="1707"/>
      <c r="K58" s="1707"/>
      <c r="L58" s="1708"/>
      <c r="M58" s="1347">
        <f>SUM(M54:M57)</f>
        <v>0</v>
      </c>
    </row>
    <row r="59" spans="2:13" ht="14.25" x14ac:dyDescent="0.2">
      <c r="B59" s="1345"/>
      <c r="C59" s="386"/>
      <c r="D59" s="386"/>
      <c r="E59" s="386"/>
      <c r="F59" s="387"/>
      <c r="G59" s="388"/>
      <c r="H59" s="388"/>
      <c r="I59" s="389"/>
      <c r="J59" s="389"/>
      <c r="K59" s="389"/>
      <c r="L59" s="390"/>
      <c r="M59" s="1346"/>
    </row>
    <row r="60" spans="2:13" ht="57" x14ac:dyDescent="0.2">
      <c r="B60" s="1800" t="s">
        <v>1177</v>
      </c>
      <c r="C60" s="1707"/>
      <c r="D60" s="1707"/>
      <c r="E60" s="1740" t="s">
        <v>198</v>
      </c>
      <c r="F60" s="1740"/>
      <c r="G60" s="1740"/>
      <c r="H60" s="1740"/>
      <c r="I60" s="397" t="s">
        <v>1146</v>
      </c>
      <c r="J60" s="397" t="s">
        <v>1178</v>
      </c>
      <c r="K60" s="401" t="s">
        <v>1179</v>
      </c>
      <c r="L60" s="402" t="s">
        <v>1180</v>
      </c>
      <c r="M60" s="1342" t="s">
        <v>1181</v>
      </c>
    </row>
    <row r="61" spans="2:13" ht="14.25" x14ac:dyDescent="0.2">
      <c r="B61" s="1805"/>
      <c r="C61" s="1743"/>
      <c r="D61" s="1744"/>
      <c r="E61" s="1748" t="s">
        <v>1182</v>
      </c>
      <c r="F61" s="1749"/>
      <c r="G61" s="1749"/>
      <c r="H61" s="1749"/>
      <c r="I61" s="399" t="s">
        <v>1183</v>
      </c>
      <c r="J61" s="403">
        <v>1</v>
      </c>
      <c r="K61" s="404">
        <v>0</v>
      </c>
      <c r="L61" s="871">
        <f>Rentals!B8</f>
        <v>2000</v>
      </c>
      <c r="M61" s="1348">
        <f>L61*K61*J61</f>
        <v>0</v>
      </c>
    </row>
    <row r="62" spans="2:13" ht="14.25" x14ac:dyDescent="0.2">
      <c r="B62" s="1806"/>
      <c r="C62" s="1746"/>
      <c r="D62" s="1747"/>
      <c r="E62" s="1751" t="s">
        <v>1184</v>
      </c>
      <c r="F62" s="1752"/>
      <c r="G62" s="1752"/>
      <c r="H62" s="1752"/>
      <c r="I62" s="1250" t="s">
        <v>2338</v>
      </c>
      <c r="J62" s="1231">
        <v>1</v>
      </c>
      <c r="K62" s="1231">
        <v>0</v>
      </c>
      <c r="L62" s="1251">
        <f>VLOOKUP(I62,Rentals!A$13:C$32,2,FALSE)</f>
        <v>0</v>
      </c>
      <c r="M62" s="1349">
        <f>L62*K62*J62</f>
        <v>0</v>
      </c>
    </row>
    <row r="63" spans="2:13" ht="14.25" x14ac:dyDescent="0.2">
      <c r="B63" s="1806"/>
      <c r="C63" s="1746"/>
      <c r="D63" s="1747"/>
      <c r="E63" s="1751" t="s">
        <v>2339</v>
      </c>
      <c r="F63" s="1752"/>
      <c r="G63" s="1752"/>
      <c r="H63" s="1752"/>
      <c r="I63" s="1250" t="str">
        <f>I62</f>
        <v>…............</v>
      </c>
      <c r="J63" s="403">
        <v>1</v>
      </c>
      <c r="K63" s="405">
        <v>0</v>
      </c>
      <c r="L63" s="871">
        <f>VLOOKUP(I63,Rentals!A$13:C$32,3,FALSE)</f>
        <v>0</v>
      </c>
      <c r="M63" s="1348">
        <f>L63*K63*J63</f>
        <v>0</v>
      </c>
    </row>
    <row r="64" spans="2:13" ht="14.25" x14ac:dyDescent="0.2">
      <c r="B64" s="1806"/>
      <c r="C64" s="1746"/>
      <c r="D64" s="1747"/>
      <c r="E64" s="1751" t="s">
        <v>1186</v>
      </c>
      <c r="F64" s="1752"/>
      <c r="G64" s="1752"/>
      <c r="H64" s="1752"/>
      <c r="I64" s="399" t="s">
        <v>1183</v>
      </c>
      <c r="J64" s="403">
        <v>1</v>
      </c>
      <c r="K64" s="404">
        <v>0</v>
      </c>
      <c r="L64" s="871">
        <f>Rentals!B39</f>
        <v>1000</v>
      </c>
      <c r="M64" s="1348">
        <f>L64*K64*J64</f>
        <v>0</v>
      </c>
    </row>
    <row r="65" spans="2:13" ht="14.25" x14ac:dyDescent="0.2">
      <c r="B65" s="1806"/>
      <c r="C65" s="1746"/>
      <c r="D65" s="1747"/>
      <c r="E65" s="1755" t="s">
        <v>176</v>
      </c>
      <c r="F65" s="1756"/>
      <c r="G65" s="1756"/>
      <c r="H65" s="1756"/>
      <c r="I65" s="406" t="s">
        <v>1183</v>
      </c>
      <c r="J65" s="403">
        <v>1</v>
      </c>
      <c r="K65" s="404">
        <v>0</v>
      </c>
      <c r="L65" s="871">
        <f>Rentals!B5</f>
        <v>5000</v>
      </c>
      <c r="M65" s="1348">
        <f>L65*K65*J65</f>
        <v>0</v>
      </c>
    </row>
    <row r="66" spans="2:13" ht="14.25" x14ac:dyDescent="0.2">
      <c r="B66" s="1807" t="s">
        <v>1187</v>
      </c>
      <c r="C66" s="1759"/>
      <c r="D66" s="1759"/>
      <c r="E66" s="1759"/>
      <c r="F66" s="1759"/>
      <c r="G66" s="1759"/>
      <c r="H66" s="1759"/>
      <c r="I66" s="1759"/>
      <c r="J66" s="1759"/>
      <c r="K66" s="1759"/>
      <c r="L66" s="1760"/>
      <c r="M66" s="1347">
        <f>SUM(M61:M65)</f>
        <v>0</v>
      </c>
    </row>
    <row r="67" spans="2:13" ht="14.25" x14ac:dyDescent="0.2">
      <c r="B67" s="1345"/>
      <c r="C67" s="386"/>
      <c r="D67" s="386"/>
      <c r="E67" s="386"/>
      <c r="F67" s="387"/>
      <c r="G67" s="388"/>
      <c r="H67" s="388"/>
      <c r="I67" s="389"/>
      <c r="J67" s="389"/>
      <c r="K67" s="389"/>
      <c r="L67" s="390"/>
      <c r="M67" s="1346"/>
    </row>
    <row r="68" spans="2:13" ht="14.25" x14ac:dyDescent="0.2">
      <c r="B68" s="1801" t="s">
        <v>1188</v>
      </c>
      <c r="C68" s="1715"/>
      <c r="D68" s="1715"/>
      <c r="E68" s="1715"/>
      <c r="F68" s="1715"/>
      <c r="G68" s="1715"/>
      <c r="H68" s="1715"/>
      <c r="I68" s="1715"/>
      <c r="J68" s="1715"/>
      <c r="K68" s="1715"/>
      <c r="L68" s="1715"/>
      <c r="M68" s="1808"/>
    </row>
    <row r="69" spans="2:13" ht="42.75" x14ac:dyDescent="0.2">
      <c r="B69" s="1809" t="s">
        <v>428</v>
      </c>
      <c r="C69" s="1762"/>
      <c r="D69" s="1762"/>
      <c r="E69" s="1762" t="s">
        <v>657</v>
      </c>
      <c r="F69" s="1762"/>
      <c r="G69" s="1762"/>
      <c r="H69" s="1762"/>
      <c r="I69" s="1762"/>
      <c r="J69" s="1329" t="s">
        <v>1189</v>
      </c>
      <c r="K69" s="523" t="s">
        <v>1190</v>
      </c>
      <c r="L69" s="523" t="s">
        <v>1191</v>
      </c>
      <c r="M69" s="1350" t="s">
        <v>1181</v>
      </c>
    </row>
    <row r="70" spans="2:13" ht="14.25" x14ac:dyDescent="0.2">
      <c r="B70" s="1803" t="str">
        <f>'Project Cost Recap'!E23</f>
        <v>PINNACLE</v>
      </c>
      <c r="C70" s="1701"/>
      <c r="D70" s="1702"/>
      <c r="E70" s="1720" t="s">
        <v>580</v>
      </c>
      <c r="F70" s="1721"/>
      <c r="G70" s="1721"/>
      <c r="H70" s="1721"/>
      <c r="I70" s="1722"/>
      <c r="J70" s="407" t="s">
        <v>1192</v>
      </c>
      <c r="K70" s="408">
        <v>1</v>
      </c>
      <c r="L70" s="409">
        <f>Subs!$P$12</f>
        <v>0</v>
      </c>
      <c r="M70" s="1349">
        <f>L70*K70</f>
        <v>0</v>
      </c>
    </row>
    <row r="71" spans="2:13" ht="14.25" x14ac:dyDescent="0.2">
      <c r="B71" s="1803">
        <f>'Project Cost Recap'!E24</f>
        <v>0</v>
      </c>
      <c r="C71" s="1701"/>
      <c r="D71" s="1702"/>
      <c r="E71" s="1720" t="s">
        <v>425</v>
      </c>
      <c r="F71" s="1721"/>
      <c r="G71" s="1721"/>
      <c r="H71" s="1721"/>
      <c r="I71" s="1722"/>
      <c r="J71" s="407" t="s">
        <v>1192</v>
      </c>
      <c r="K71" s="408">
        <v>1</v>
      </c>
      <c r="L71" s="409">
        <f>Subs!$O$25</f>
        <v>0</v>
      </c>
      <c r="M71" s="1349">
        <f>L71*K71</f>
        <v>0</v>
      </c>
    </row>
    <row r="72" spans="2:13" ht="14.25" x14ac:dyDescent="0.2">
      <c r="B72" s="1803">
        <f>'Project Cost Recap'!E25</f>
        <v>0</v>
      </c>
      <c r="C72" s="1701"/>
      <c r="D72" s="1702"/>
      <c r="E72" s="1720" t="s">
        <v>422</v>
      </c>
      <c r="F72" s="1721"/>
      <c r="G72" s="1721"/>
      <c r="H72" s="1721"/>
      <c r="I72" s="1722"/>
      <c r="J72" s="407" t="s">
        <v>1193</v>
      </c>
      <c r="K72" s="408">
        <v>1</v>
      </c>
      <c r="L72" s="409">
        <v>0</v>
      </c>
      <c r="M72" s="1349">
        <f t="shared" ref="M72:M87" si="3">L72*K72</f>
        <v>0</v>
      </c>
    </row>
    <row r="73" spans="2:13" ht="14.25" x14ac:dyDescent="0.2">
      <c r="B73" s="1803">
        <f>'Project Cost Recap'!E26</f>
        <v>0</v>
      </c>
      <c r="C73" s="1701"/>
      <c r="D73" s="1702"/>
      <c r="E73" s="1720" t="s">
        <v>420</v>
      </c>
      <c r="F73" s="1721"/>
      <c r="G73" s="1721"/>
      <c r="H73" s="1721"/>
      <c r="I73" s="1722"/>
      <c r="J73" s="407" t="s">
        <v>1192</v>
      </c>
      <c r="K73" s="408">
        <v>1</v>
      </c>
      <c r="L73" s="409">
        <f>Subs!N51</f>
        <v>0</v>
      </c>
      <c r="M73" s="1349">
        <f t="shared" si="3"/>
        <v>0</v>
      </c>
    </row>
    <row r="74" spans="2:13" ht="14.25" x14ac:dyDescent="0.2">
      <c r="B74" s="1803" t="str">
        <f>'Project Cost Recap'!E27</f>
        <v>3 GEN EXCAVATION</v>
      </c>
      <c r="C74" s="1701"/>
      <c r="D74" s="1702"/>
      <c r="E74" s="1720" t="s">
        <v>417</v>
      </c>
      <c r="F74" s="1721"/>
      <c r="G74" s="1721"/>
      <c r="H74" s="1721"/>
      <c r="I74" s="1722"/>
      <c r="J74" s="407" t="s">
        <v>1192</v>
      </c>
      <c r="K74" s="408">
        <v>1</v>
      </c>
      <c r="L74" s="409">
        <f>Subs!S65</f>
        <v>0</v>
      </c>
      <c r="M74" s="1349">
        <f>L74*K74</f>
        <v>0</v>
      </c>
    </row>
    <row r="75" spans="2:13" ht="14.25" x14ac:dyDescent="0.2">
      <c r="B75" s="1803">
        <f>'Project Cost Recap'!E28</f>
        <v>0</v>
      </c>
      <c r="C75" s="1701"/>
      <c r="D75" s="1702"/>
      <c r="E75" s="1720" t="str">
        <f>'GO-NO-GO CHECKLIST'!B102</f>
        <v>FIRE PROTECTION</v>
      </c>
      <c r="F75" s="1721"/>
      <c r="G75" s="1721"/>
      <c r="H75" s="1721"/>
      <c r="I75" s="1722"/>
      <c r="J75" s="407" t="s">
        <v>1192</v>
      </c>
      <c r="K75" s="408">
        <v>1</v>
      </c>
      <c r="L75" s="409">
        <f>Subs!N77</f>
        <v>0</v>
      </c>
      <c r="M75" s="1349">
        <f t="shared" si="3"/>
        <v>0</v>
      </c>
    </row>
    <row r="76" spans="2:13" ht="14.25" x14ac:dyDescent="0.2">
      <c r="B76" s="1803">
        <f>'Project Cost Recap'!E29</f>
        <v>0</v>
      </c>
      <c r="C76" s="1701"/>
      <c r="D76" s="1702"/>
      <c r="E76" s="1720" t="str">
        <f>'GO-NO-GO CHECKLIST'!B110</f>
        <v>FIRE STOPPING</v>
      </c>
      <c r="F76" s="1721"/>
      <c r="G76" s="1721"/>
      <c r="H76" s="1721"/>
      <c r="I76" s="1722"/>
      <c r="J76" s="407" t="s">
        <v>1193</v>
      </c>
      <c r="K76" s="408">
        <v>1</v>
      </c>
      <c r="L76" s="409">
        <f>Subs!P89</f>
        <v>0</v>
      </c>
      <c r="M76" s="1349">
        <f t="shared" si="3"/>
        <v>0</v>
      </c>
    </row>
    <row r="77" spans="2:13" ht="14.25" x14ac:dyDescent="0.2">
      <c r="B77" s="1803">
        <f>'Project Cost Recap'!E30</f>
        <v>0</v>
      </c>
      <c r="C77" s="1701"/>
      <c r="D77" s="1702"/>
      <c r="E77" s="1720" t="s">
        <v>421</v>
      </c>
      <c r="F77" s="1721"/>
      <c r="G77" s="1721"/>
      <c r="H77" s="1721"/>
      <c r="I77" s="1722"/>
      <c r="J77" s="407" t="s">
        <v>1192</v>
      </c>
      <c r="K77" s="408">
        <v>1</v>
      </c>
      <c r="L77" s="409">
        <f>Subs!N101</f>
        <v>0</v>
      </c>
      <c r="M77" s="1349">
        <f t="shared" si="3"/>
        <v>0</v>
      </c>
    </row>
    <row r="78" spans="2:13" ht="14.25" x14ac:dyDescent="0.2">
      <c r="B78" s="1803" t="str">
        <f>'Project Cost Recap'!E31</f>
        <v>FORTUNATO</v>
      </c>
      <c r="C78" s="1701"/>
      <c r="D78" s="1702"/>
      <c r="E78" s="1720" t="s">
        <v>423</v>
      </c>
      <c r="F78" s="1721"/>
      <c r="G78" s="1721"/>
      <c r="H78" s="1721"/>
      <c r="I78" s="1722"/>
      <c r="J78" s="407" t="s">
        <v>1192</v>
      </c>
      <c r="K78" s="408">
        <v>1</v>
      </c>
      <c r="L78" s="409">
        <f>Subs!R115</f>
        <v>0</v>
      </c>
      <c r="M78" s="1349">
        <f t="shared" si="3"/>
        <v>0</v>
      </c>
    </row>
    <row r="79" spans="2:13" ht="14.25" x14ac:dyDescent="0.2">
      <c r="B79" s="1803">
        <f>'Project Cost Recap'!E32</f>
        <v>0</v>
      </c>
      <c r="C79" s="1701"/>
      <c r="D79" s="1702"/>
      <c r="E79" s="1720" t="s">
        <v>951</v>
      </c>
      <c r="F79" s="1721"/>
      <c r="G79" s="1721"/>
      <c r="H79" s="1721"/>
      <c r="I79" s="1722"/>
      <c r="J79" s="407" t="s">
        <v>1192</v>
      </c>
      <c r="K79" s="408">
        <v>1</v>
      </c>
      <c r="L79" s="409">
        <f>Subs!P127</f>
        <v>0</v>
      </c>
      <c r="M79" s="1349">
        <f t="shared" si="3"/>
        <v>0</v>
      </c>
    </row>
    <row r="80" spans="2:13" ht="14.25" x14ac:dyDescent="0.2">
      <c r="B80" s="1803">
        <f>'Project Cost Recap'!E33</f>
        <v>0</v>
      </c>
      <c r="C80" s="1701"/>
      <c r="D80" s="1702"/>
      <c r="E80" s="1720" t="s">
        <v>426</v>
      </c>
      <c r="F80" s="1721"/>
      <c r="G80" s="1721"/>
      <c r="H80" s="1721"/>
      <c r="I80" s="1722"/>
      <c r="J80" s="407" t="s">
        <v>1192</v>
      </c>
      <c r="K80" s="408">
        <v>1</v>
      </c>
      <c r="L80" s="409">
        <f>Subs!N139</f>
        <v>0</v>
      </c>
      <c r="M80" s="1349">
        <f t="shared" si="3"/>
        <v>0</v>
      </c>
    </row>
    <row r="81" spans="2:13" ht="14.25" x14ac:dyDescent="0.2">
      <c r="B81" s="1803">
        <f>'Project Cost Recap'!E34</f>
        <v>0</v>
      </c>
      <c r="C81" s="1701"/>
      <c r="D81" s="1702"/>
      <c r="E81" s="1720" t="s">
        <v>1725</v>
      </c>
      <c r="F81" s="1721"/>
      <c r="G81" s="1721"/>
      <c r="H81" s="1721"/>
      <c r="I81" s="1722"/>
      <c r="J81" s="407" t="s">
        <v>1192</v>
      </c>
      <c r="K81" s="408">
        <v>1</v>
      </c>
      <c r="L81" s="409">
        <f>Subs!N151</f>
        <v>0</v>
      </c>
      <c r="M81" s="1349">
        <f t="shared" si="3"/>
        <v>0</v>
      </c>
    </row>
    <row r="82" spans="2:13" ht="14.25" x14ac:dyDescent="0.2">
      <c r="B82" s="1803" t="str">
        <f>'Project Cost Recap'!E35</f>
        <v>AIR SYSTEMS</v>
      </c>
      <c r="C82" s="1701"/>
      <c r="D82" s="1702"/>
      <c r="E82" s="1720" t="s">
        <v>123</v>
      </c>
      <c r="F82" s="1721"/>
      <c r="G82" s="1721"/>
      <c r="H82" s="1721"/>
      <c r="I82" s="1722"/>
      <c r="J82" s="407" t="s">
        <v>1192</v>
      </c>
      <c r="K82" s="408">
        <v>1</v>
      </c>
      <c r="L82" s="409">
        <f>Subs!T163</f>
        <v>0</v>
      </c>
      <c r="M82" s="1349">
        <f t="shared" si="3"/>
        <v>0</v>
      </c>
    </row>
    <row r="83" spans="2:13" ht="14.25" x14ac:dyDescent="0.2">
      <c r="B83" s="1803">
        <f>'Project Cost Recap'!E36</f>
        <v>0</v>
      </c>
      <c r="C83" s="1701"/>
      <c r="D83" s="1702"/>
      <c r="E83" s="1720" t="s">
        <v>578</v>
      </c>
      <c r="F83" s="1721"/>
      <c r="G83" s="1721"/>
      <c r="H83" s="1721"/>
      <c r="I83" s="1722"/>
      <c r="J83" s="407" t="s">
        <v>1192</v>
      </c>
      <c r="K83" s="408">
        <v>1</v>
      </c>
      <c r="L83" s="409">
        <f>Subs!N175</f>
        <v>0</v>
      </c>
      <c r="M83" s="1349">
        <f t="shared" si="3"/>
        <v>0</v>
      </c>
    </row>
    <row r="84" spans="2:13" ht="14.25" x14ac:dyDescent="0.2">
      <c r="B84" s="1803" t="str">
        <f>'Project Cost Recap'!E37</f>
        <v>LONG BUILDING TECHNOLOGIES</v>
      </c>
      <c r="C84" s="1701"/>
      <c r="D84" s="1702"/>
      <c r="E84" s="1720" t="s">
        <v>419</v>
      </c>
      <c r="F84" s="1721"/>
      <c r="G84" s="1721"/>
      <c r="H84" s="1721"/>
      <c r="I84" s="1722"/>
      <c r="J84" s="407" t="s">
        <v>1192</v>
      </c>
      <c r="K84" s="408">
        <v>1</v>
      </c>
      <c r="L84" s="409">
        <f>Subs!N186</f>
        <v>0</v>
      </c>
      <c r="M84" s="1349">
        <f t="shared" si="3"/>
        <v>0</v>
      </c>
    </row>
    <row r="85" spans="2:13" ht="14.25" x14ac:dyDescent="0.2">
      <c r="B85" s="1803" t="str">
        <f>'Project Cost Recap'!E38</f>
        <v>FINN &amp; ASSOCIATES</v>
      </c>
      <c r="C85" s="1701"/>
      <c r="D85" s="1702"/>
      <c r="E85" s="1720" t="s">
        <v>418</v>
      </c>
      <c r="F85" s="1721"/>
      <c r="G85" s="1721"/>
      <c r="H85" s="1721"/>
      <c r="I85" s="1722"/>
      <c r="J85" s="407" t="s">
        <v>1192</v>
      </c>
      <c r="K85" s="408">
        <v>1</v>
      </c>
      <c r="L85" s="409">
        <f>Subs!R198</f>
        <v>0</v>
      </c>
      <c r="M85" s="1349">
        <f t="shared" si="3"/>
        <v>0</v>
      </c>
    </row>
    <row r="86" spans="2:13" ht="14.25" x14ac:dyDescent="0.2">
      <c r="B86" s="1803">
        <f>'Project Cost Recap'!E39</f>
        <v>0</v>
      </c>
      <c r="C86" s="1701"/>
      <c r="D86" s="1702"/>
      <c r="E86" s="1720" t="str">
        <f>'GO-NO-GO CHECKLIST'!B165</f>
        <v>MISCELLANEOUS (CHANGE TO SUIT)</v>
      </c>
      <c r="F86" s="1721"/>
      <c r="G86" s="1721"/>
      <c r="H86" s="1721"/>
      <c r="I86" s="1722"/>
      <c r="J86" s="407" t="s">
        <v>1192</v>
      </c>
      <c r="K86" s="408">
        <v>1</v>
      </c>
      <c r="L86" s="409">
        <f>Subs!N210</f>
        <v>0</v>
      </c>
      <c r="M86" s="1349">
        <f t="shared" si="3"/>
        <v>0</v>
      </c>
    </row>
    <row r="87" spans="2:13" ht="14.25" x14ac:dyDescent="0.2">
      <c r="B87" s="1803"/>
      <c r="C87" s="1701"/>
      <c r="D87" s="1702"/>
      <c r="E87" s="1717" t="s">
        <v>1194</v>
      </c>
      <c r="F87" s="1718"/>
      <c r="G87" s="1718"/>
      <c r="H87" s="1718"/>
      <c r="I87" s="1719"/>
      <c r="J87" s="407" t="s">
        <v>1192</v>
      </c>
      <c r="K87" s="408">
        <v>1</v>
      </c>
      <c r="L87" s="409">
        <v>0</v>
      </c>
      <c r="M87" s="1349">
        <f t="shared" si="3"/>
        <v>0</v>
      </c>
    </row>
    <row r="88" spans="2:13" ht="14.25" x14ac:dyDescent="0.2">
      <c r="B88" s="1351"/>
      <c r="C88" s="397"/>
      <c r="D88" s="397"/>
      <c r="E88" s="397"/>
      <c r="F88" s="410" t="s">
        <v>1724</v>
      </c>
      <c r="G88" s="397"/>
      <c r="H88" s="397"/>
      <c r="I88" s="411"/>
      <c r="J88" s="411"/>
      <c r="K88" s="411"/>
      <c r="L88" s="412"/>
      <c r="M88" s="1347">
        <f>SUM(M70:M87)</f>
        <v>0</v>
      </c>
    </row>
    <row r="89" spans="2:13" ht="14.25" x14ac:dyDescent="0.2">
      <c r="B89" s="1345"/>
      <c r="C89" s="386"/>
      <c r="D89" s="386"/>
      <c r="E89" s="386"/>
      <c r="F89" s="387"/>
      <c r="G89" s="388"/>
      <c r="H89" s="388"/>
      <c r="I89" s="389"/>
      <c r="J89" s="389"/>
      <c r="K89" s="389"/>
      <c r="L89" s="390"/>
      <c r="M89" s="1346"/>
    </row>
    <row r="90" spans="2:13" ht="14.25" x14ac:dyDescent="0.2">
      <c r="B90" s="1352"/>
      <c r="C90" s="1203"/>
      <c r="D90" s="1030"/>
      <c r="E90" s="1204"/>
      <c r="F90" s="410" t="s">
        <v>1195</v>
      </c>
      <c r="G90" s="397"/>
      <c r="H90" s="397"/>
      <c r="I90" s="397" t="s">
        <v>198</v>
      </c>
      <c r="J90" s="397"/>
      <c r="K90" s="614"/>
      <c r="L90" s="380" t="s">
        <v>1150</v>
      </c>
      <c r="M90" s="1342" t="s">
        <v>1181</v>
      </c>
    </row>
    <row r="91" spans="2:13" ht="14.25" x14ac:dyDescent="0.2">
      <c r="B91" s="1353"/>
      <c r="C91" s="1206"/>
      <c r="D91" s="1030"/>
      <c r="E91" s="1204"/>
      <c r="F91" s="405"/>
      <c r="G91" s="1229"/>
      <c r="H91" s="1743" t="s">
        <v>1152</v>
      </c>
      <c r="I91" s="1743"/>
      <c r="J91" s="1743"/>
      <c r="K91" s="1744"/>
      <c r="L91" s="379"/>
      <c r="M91" s="1343">
        <f>M88+M66+M58+M51</f>
        <v>0</v>
      </c>
    </row>
    <row r="92" spans="2:13" ht="14.25" x14ac:dyDescent="0.2">
      <c r="B92" s="1354"/>
      <c r="C92" s="1208"/>
      <c r="D92" s="1209"/>
      <c r="E92" s="1204"/>
      <c r="F92" s="1230"/>
      <c r="G92" s="1231"/>
      <c r="H92" s="1746" t="s">
        <v>1153</v>
      </c>
      <c r="I92" s="1746"/>
      <c r="J92" s="1746"/>
      <c r="K92" s="1747"/>
      <c r="L92" s="413">
        <v>0.1</v>
      </c>
      <c r="M92" s="1343">
        <f>L92*M91</f>
        <v>0</v>
      </c>
    </row>
    <row r="93" spans="2:13" ht="14.25" x14ac:dyDescent="0.2">
      <c r="B93" s="1355" t="s">
        <v>2353</v>
      </c>
      <c r="C93" s="1271" t="str">
        <f>'PROJECT INFO'!$H$12</f>
        <v>DENVER (COMBINED)</v>
      </c>
      <c r="D93" s="1757" t="s">
        <v>2352</v>
      </c>
      <c r="E93" s="1757"/>
      <c r="F93" s="1757"/>
      <c r="G93" s="1757"/>
      <c r="H93" s="1746" t="s">
        <v>2351</v>
      </c>
      <c r="I93" s="1746"/>
      <c r="J93" s="1746"/>
      <c r="K93" s="1747"/>
      <c r="L93" s="613">
        <f>'PROJECT INFO'!I15</f>
        <v>1</v>
      </c>
      <c r="M93" s="1356">
        <f>IF('PROJECT INFO'!$H$15="Yes",VLOOKUP('PROJECT INFO'!$H$12,'Taxes&amp;Permits'!$A$4:$Q$223,16,FALSE),0)</f>
        <v>20</v>
      </c>
    </row>
    <row r="94" spans="2:13" ht="14.25" x14ac:dyDescent="0.2">
      <c r="B94" s="1354"/>
      <c r="C94" s="1206"/>
      <c r="D94" s="1030"/>
      <c r="E94" s="1204"/>
      <c r="F94" s="1230"/>
      <c r="G94" s="1231"/>
      <c r="H94" s="1746" t="s">
        <v>135</v>
      </c>
      <c r="I94" s="1746"/>
      <c r="J94" s="1746"/>
      <c r="K94" s="1747"/>
      <c r="L94" s="413">
        <v>0.05</v>
      </c>
      <c r="M94" s="1343">
        <f>(M91+M92+M93)*L94</f>
        <v>1</v>
      </c>
    </row>
    <row r="95" spans="2:13" ht="14.25" x14ac:dyDescent="0.2">
      <c r="B95" s="1353"/>
      <c r="C95" s="1206"/>
      <c r="D95" s="1030"/>
      <c r="E95" s="1204"/>
      <c r="F95" s="1230"/>
      <c r="G95" s="1231"/>
      <c r="H95" s="1746" t="s">
        <v>1196</v>
      </c>
      <c r="I95" s="1746"/>
      <c r="J95" s="1746"/>
      <c r="K95" s="1747"/>
      <c r="L95" s="395"/>
      <c r="M95" s="1343">
        <f>SUM(M91:M94)</f>
        <v>21</v>
      </c>
    </row>
    <row r="96" spans="2:13" ht="14.25" x14ac:dyDescent="0.2">
      <c r="B96" s="1357"/>
      <c r="C96" s="1332" t="s">
        <v>1150</v>
      </c>
      <c r="D96" s="1332" t="s">
        <v>2162</v>
      </c>
      <c r="E96" s="1204" t="s">
        <v>2390</v>
      </c>
      <c r="F96" s="1232" t="s">
        <v>2391</v>
      </c>
      <c r="G96" s="1233"/>
      <c r="H96" s="1775" t="s">
        <v>1197</v>
      </c>
      <c r="I96" s="1775"/>
      <c r="J96" s="1775"/>
      <c r="K96" s="1776"/>
      <c r="L96" s="395">
        <f>'Project Cost Recap'!J48*'PROJECT INFO'!I17</f>
        <v>0</v>
      </c>
      <c r="M96" s="1343">
        <f>M95*L96</f>
        <v>0</v>
      </c>
    </row>
    <row r="97" spans="2:13" ht="14.25" x14ac:dyDescent="0.2">
      <c r="B97" s="1358"/>
      <c r="C97" s="1332">
        <f>'Project Cost Recap'!$D$53</f>
        <v>2.2000000000000001E-3</v>
      </c>
      <c r="D97" s="1334">
        <f>M95</f>
        <v>21</v>
      </c>
      <c r="E97" s="1335">
        <f>D97*C97</f>
        <v>4.6200000000000005E-2</v>
      </c>
      <c r="F97" s="1336">
        <f>'Project Cost Recap'!$K$53</f>
        <v>3750</v>
      </c>
      <c r="G97" s="1331"/>
      <c r="H97" s="1780" t="s">
        <v>248</v>
      </c>
      <c r="I97" s="1780"/>
      <c r="J97" s="1780"/>
      <c r="K97" s="1781"/>
      <c r="L97" s="1330"/>
      <c r="M97" s="1359">
        <f>IF($E97&lt;$F97,($C97*$D97),$F97)*'PROJECT INFO'!$I$21</f>
        <v>4.6200000000000005E-2</v>
      </c>
    </row>
    <row r="98" spans="2:13" ht="14.25" x14ac:dyDescent="0.2">
      <c r="B98" s="1358"/>
      <c r="C98" s="1332"/>
      <c r="D98" s="1334"/>
      <c r="E98" s="1335"/>
      <c r="F98" s="1336"/>
      <c r="G98" s="1331"/>
      <c r="H98" s="1780" t="s">
        <v>246</v>
      </c>
      <c r="I98" s="1780"/>
      <c r="J98" s="1780"/>
      <c r="K98" s="1781"/>
      <c r="L98" s="1330">
        <f>'Project Cost Recap'!$F$54</f>
        <v>0.05</v>
      </c>
      <c r="M98" s="1359">
        <f>M96*L98</f>
        <v>0</v>
      </c>
    </row>
    <row r="99" spans="2:13" ht="14.25" x14ac:dyDescent="0.2">
      <c r="B99" s="1360"/>
      <c r="C99" s="1204"/>
      <c r="D99" s="1204"/>
      <c r="E99" s="1204"/>
      <c r="F99" s="1777"/>
      <c r="G99" s="1778"/>
      <c r="H99" s="1778"/>
      <c r="I99" s="1778"/>
      <c r="J99" s="1778"/>
      <c r="K99" s="1779"/>
      <c r="L99" s="410" t="s">
        <v>1198</v>
      </c>
      <c r="M99" s="1344">
        <f>M95+M96+M98+M98</f>
        <v>21</v>
      </c>
    </row>
    <row r="100" spans="2:13" ht="14.25" x14ac:dyDescent="0.2">
      <c r="B100" s="1345"/>
      <c r="C100" s="386"/>
      <c r="D100" s="386"/>
      <c r="E100" s="386"/>
      <c r="F100" s="387"/>
      <c r="G100" s="388"/>
      <c r="H100" s="388"/>
      <c r="I100" s="389"/>
      <c r="J100" s="389"/>
      <c r="K100" s="389"/>
      <c r="L100" s="390"/>
      <c r="M100" s="1346"/>
    </row>
    <row r="101" spans="2:13" ht="21" thickBot="1" x14ac:dyDescent="0.35">
      <c r="B101" s="1810" t="s">
        <v>2356</v>
      </c>
      <c r="C101" s="1811"/>
      <c r="D101" s="1811"/>
      <c r="E101" s="1811"/>
      <c r="F101" s="1811"/>
      <c r="G101" s="1811"/>
      <c r="H101" s="1811"/>
      <c r="I101" s="1811"/>
      <c r="J101" s="1811"/>
      <c r="K101" s="1811"/>
      <c r="L101" s="1811"/>
      <c r="M101" s="1812"/>
    </row>
    <row r="102" spans="2:13" ht="13.5" thickBot="1" x14ac:dyDescent="0.25"/>
    <row r="103" spans="2:13" ht="13.5" thickBot="1" x14ac:dyDescent="0.25">
      <c r="C103" s="1782" t="s">
        <v>2183</v>
      </c>
      <c r="D103" s="1783"/>
      <c r="F103" s="1237" t="s">
        <v>2168</v>
      </c>
      <c r="G103" s="1238"/>
      <c r="H103" s="1238"/>
      <c r="I103" s="1238"/>
      <c r="J103" s="1238"/>
      <c r="K103" s="1238"/>
      <c r="L103" s="1238"/>
      <c r="M103" s="1239"/>
    </row>
    <row r="104" spans="2:13" x14ac:dyDescent="0.2">
      <c r="C104" s="1784" t="s">
        <v>2177</v>
      </c>
      <c r="D104" s="1785"/>
      <c r="F104" s="1605" t="s">
        <v>2169</v>
      </c>
      <c r="G104" s="1605"/>
      <c r="H104" s="1188">
        <f>($M$91+1)</f>
        <v>1</v>
      </c>
      <c r="I104" s="1187"/>
      <c r="J104" s="1187"/>
      <c r="K104" s="1187"/>
      <c r="L104" s="1187"/>
      <c r="M104" s="1187"/>
    </row>
    <row r="105" spans="2:13" ht="38.25" customHeight="1" x14ac:dyDescent="0.2">
      <c r="B105" s="1196" t="s">
        <v>2184</v>
      </c>
      <c r="C105" s="1784"/>
      <c r="D105" s="1785"/>
      <c r="F105" s="1243" t="s">
        <v>2344</v>
      </c>
      <c r="G105" s="1244" t="s">
        <v>2170</v>
      </c>
      <c r="H105" s="1244" t="s">
        <v>2171</v>
      </c>
      <c r="I105" s="1244" t="s">
        <v>2172</v>
      </c>
      <c r="J105" s="1243" t="s">
        <v>2173</v>
      </c>
      <c r="K105" s="1245" t="s">
        <v>2175</v>
      </c>
      <c r="L105" s="1243" t="s">
        <v>2343</v>
      </c>
      <c r="M105" s="1243" t="s">
        <v>2176</v>
      </c>
    </row>
    <row r="106" spans="2:13" x14ac:dyDescent="0.2">
      <c r="B106" s="1198">
        <f>VLOOKUP(1,E106:M113,9,FALSE)</f>
        <v>20</v>
      </c>
      <c r="C106" s="1784"/>
      <c r="D106" s="1785"/>
      <c r="E106" s="1197">
        <f>IF(AND(F106&gt;=MIN(G106,H106),F106&lt;=MAX(G106,H106)),1,0)</f>
        <v>1</v>
      </c>
      <c r="F106" s="1188">
        <f>H104</f>
        <v>1</v>
      </c>
      <c r="G106" s="1189">
        <v>1</v>
      </c>
      <c r="H106" s="1189">
        <v>500</v>
      </c>
      <c r="I106" s="1189">
        <v>20</v>
      </c>
      <c r="J106" s="1190">
        <v>0</v>
      </c>
      <c r="K106" s="1187"/>
      <c r="L106" s="1191"/>
      <c r="M106" s="1189">
        <f>ROUNDUP(L106+I106,0)</f>
        <v>20</v>
      </c>
    </row>
    <row r="107" spans="2:13" x14ac:dyDescent="0.2">
      <c r="C107" s="1784"/>
      <c r="D107" s="1785"/>
      <c r="E107" s="1197">
        <f t="shared" ref="E107:E113" si="4">IF(AND(F107&gt;=MIN(G107,H107),F107&lt;=MAX(G107,H107)),1,0)</f>
        <v>0</v>
      </c>
      <c r="F107" s="1188">
        <f>F106</f>
        <v>1</v>
      </c>
      <c r="G107" s="1189">
        <v>501</v>
      </c>
      <c r="H107" s="1189">
        <v>2000</v>
      </c>
      <c r="I107" s="1189">
        <v>35</v>
      </c>
      <c r="J107" s="1190">
        <v>0</v>
      </c>
      <c r="K107" s="1187"/>
      <c r="L107" s="1191"/>
      <c r="M107" s="1189">
        <f t="shared" ref="M107:M112" si="5">ROUNDUP(L107+I107,0)</f>
        <v>35</v>
      </c>
    </row>
    <row r="108" spans="2:13" x14ac:dyDescent="0.2">
      <c r="C108" s="1784"/>
      <c r="D108" s="1785"/>
      <c r="E108" s="1197">
        <f t="shared" si="4"/>
        <v>0</v>
      </c>
      <c r="F108" s="1188">
        <f t="shared" ref="F108:F113" si="6">F107</f>
        <v>1</v>
      </c>
      <c r="G108" s="1189">
        <v>2001</v>
      </c>
      <c r="H108" s="1189">
        <v>25000</v>
      </c>
      <c r="I108" s="1189">
        <v>35</v>
      </c>
      <c r="J108" s="1190">
        <v>8</v>
      </c>
      <c r="K108" s="1192">
        <f>ROUNDUP((F108-2000)/1000,0)</f>
        <v>-2</v>
      </c>
      <c r="L108" s="1189">
        <f t="shared" ref="L108:L113" si="7">K108*J108</f>
        <v>-16</v>
      </c>
      <c r="M108" s="1189">
        <f t="shared" si="5"/>
        <v>19</v>
      </c>
    </row>
    <row r="109" spans="2:13" x14ac:dyDescent="0.2">
      <c r="C109" s="1784"/>
      <c r="D109" s="1785"/>
      <c r="E109" s="1197">
        <f t="shared" si="4"/>
        <v>0</v>
      </c>
      <c r="F109" s="1188">
        <f t="shared" si="6"/>
        <v>1</v>
      </c>
      <c r="G109" s="1189">
        <v>25001</v>
      </c>
      <c r="H109" s="1189">
        <v>50000</v>
      </c>
      <c r="I109" s="1189">
        <v>220</v>
      </c>
      <c r="J109" s="1190">
        <v>8</v>
      </c>
      <c r="K109" s="1192">
        <f>ROUNDUP((F109-25000)/1000,0)</f>
        <v>-25</v>
      </c>
      <c r="L109" s="1189">
        <f t="shared" si="7"/>
        <v>-200</v>
      </c>
      <c r="M109" s="1189">
        <f t="shared" si="5"/>
        <v>20</v>
      </c>
    </row>
    <row r="110" spans="2:13" x14ac:dyDescent="0.2">
      <c r="C110" s="1784"/>
      <c r="D110" s="1785"/>
      <c r="E110" s="1197">
        <f t="shared" si="4"/>
        <v>0</v>
      </c>
      <c r="F110" s="1188">
        <f t="shared" si="6"/>
        <v>1</v>
      </c>
      <c r="G110" s="1189">
        <v>50001</v>
      </c>
      <c r="H110" s="1189">
        <v>100000</v>
      </c>
      <c r="I110" s="1189">
        <v>420</v>
      </c>
      <c r="J110" s="1190">
        <v>7</v>
      </c>
      <c r="K110" s="1192">
        <f>ROUNDUP((F110-50000)/1000,0)</f>
        <v>-50</v>
      </c>
      <c r="L110" s="1189">
        <f t="shared" si="7"/>
        <v>-350</v>
      </c>
      <c r="M110" s="1189">
        <f t="shared" si="5"/>
        <v>70</v>
      </c>
    </row>
    <row r="111" spans="2:13" x14ac:dyDescent="0.2">
      <c r="C111" s="1784"/>
      <c r="D111" s="1785"/>
      <c r="E111" s="1197">
        <f t="shared" si="4"/>
        <v>0</v>
      </c>
      <c r="F111" s="1188">
        <f t="shared" si="6"/>
        <v>1</v>
      </c>
      <c r="G111" s="1189">
        <v>100001</v>
      </c>
      <c r="H111" s="1189">
        <v>500000</v>
      </c>
      <c r="I111" s="1189">
        <v>770</v>
      </c>
      <c r="J111" s="1190">
        <v>5.6</v>
      </c>
      <c r="K111" s="1192">
        <f>ROUNDUP((F111-100000)/1000,0)</f>
        <v>-100</v>
      </c>
      <c r="L111" s="1189">
        <f t="shared" si="7"/>
        <v>-560</v>
      </c>
      <c r="M111" s="1189">
        <f t="shared" si="5"/>
        <v>210</v>
      </c>
    </row>
    <row r="112" spans="2:13" x14ac:dyDescent="0.2">
      <c r="C112" s="1784"/>
      <c r="D112" s="1785"/>
      <c r="E112" s="1197">
        <f t="shared" si="4"/>
        <v>0</v>
      </c>
      <c r="F112" s="1188">
        <f t="shared" si="6"/>
        <v>1</v>
      </c>
      <c r="G112" s="1189">
        <v>500001</v>
      </c>
      <c r="H112" s="1189">
        <v>1000000</v>
      </c>
      <c r="I112" s="1189">
        <v>3010</v>
      </c>
      <c r="J112" s="1190">
        <v>4.75</v>
      </c>
      <c r="K112" s="1192">
        <f>ROUNDUP((F112-500000)/1000,0)</f>
        <v>-500</v>
      </c>
      <c r="L112" s="1189">
        <f t="shared" si="7"/>
        <v>-2375</v>
      </c>
      <c r="M112" s="1189">
        <f t="shared" si="5"/>
        <v>635</v>
      </c>
    </row>
    <row r="113" spans="2:13" x14ac:dyDescent="0.2">
      <c r="C113" s="1784"/>
      <c r="D113" s="1785"/>
      <c r="E113" s="1197">
        <f t="shared" si="4"/>
        <v>0</v>
      </c>
      <c r="F113" s="1188">
        <f t="shared" si="6"/>
        <v>1</v>
      </c>
      <c r="G113" s="1189">
        <v>1000001</v>
      </c>
      <c r="H113" s="1189">
        <v>50000000</v>
      </c>
      <c r="I113" s="1189">
        <v>5385</v>
      </c>
      <c r="J113" s="1190">
        <v>3.65</v>
      </c>
      <c r="K113" s="1192">
        <f>ROUNDUP((F113-1000000)/1000,0)</f>
        <v>-1000</v>
      </c>
      <c r="L113" s="1189">
        <f t="shared" si="7"/>
        <v>-3650</v>
      </c>
      <c r="M113" s="1189">
        <f>ROUNDUP(L113+I113,0)</f>
        <v>1735</v>
      </c>
    </row>
    <row r="114" spans="2:13" ht="13.5" thickBot="1" x14ac:dyDescent="0.25">
      <c r="C114" s="1784"/>
      <c r="D114" s="1785"/>
    </row>
    <row r="115" spans="2:13" ht="13.5" thickBot="1" x14ac:dyDescent="0.25">
      <c r="C115" s="1786" t="s">
        <v>2182</v>
      </c>
      <c r="D115" s="1787"/>
      <c r="F115" s="1240" t="s">
        <v>2181</v>
      </c>
      <c r="G115" s="1241"/>
      <c r="H115" s="1241"/>
      <c r="I115" s="1241"/>
      <c r="J115" s="1241"/>
      <c r="K115" s="1241"/>
      <c r="L115" s="1241"/>
      <c r="M115" s="1242"/>
    </row>
    <row r="116" spans="2:13" x14ac:dyDescent="0.2">
      <c r="C116" s="1788" t="s">
        <v>2177</v>
      </c>
      <c r="D116" s="1789"/>
      <c r="F116" s="1605" t="s">
        <v>2169</v>
      </c>
      <c r="G116" s="1605"/>
      <c r="H116" s="1188">
        <f>($M$91+1)</f>
        <v>1</v>
      </c>
      <c r="I116" s="1187"/>
      <c r="J116" s="1187"/>
      <c r="K116" s="1187"/>
      <c r="L116" s="1187"/>
      <c r="M116" s="1187"/>
    </row>
    <row r="117" spans="2:13" ht="38.25" x14ac:dyDescent="0.2">
      <c r="B117" s="1196" t="s">
        <v>2185</v>
      </c>
      <c r="C117" s="1788"/>
      <c r="D117" s="1789"/>
      <c r="F117" s="1243" t="s">
        <v>2344</v>
      </c>
      <c r="G117" s="1244" t="s">
        <v>2170</v>
      </c>
      <c r="H117" s="1244" t="s">
        <v>2171</v>
      </c>
      <c r="I117" s="1244" t="s">
        <v>2172</v>
      </c>
      <c r="J117" s="1243" t="s">
        <v>2346</v>
      </c>
      <c r="K117" s="1245" t="s">
        <v>2347</v>
      </c>
      <c r="L117" s="1243" t="s">
        <v>2324</v>
      </c>
      <c r="M117" s="1243" t="s">
        <v>2176</v>
      </c>
    </row>
    <row r="118" spans="2:13" x14ac:dyDescent="0.2">
      <c r="B118" s="1199">
        <f>VLOOKUP(1,E118:M121,9,FALSE)</f>
        <v>14</v>
      </c>
      <c r="C118" s="1788"/>
      <c r="D118" s="1789"/>
      <c r="E118" s="1197">
        <f>IF(AND(F118&gt;=MIN(G118,H118),F118&lt;=MAX(G118,H118)),1,0)</f>
        <v>1</v>
      </c>
      <c r="F118" s="1188">
        <f>H116</f>
        <v>1</v>
      </c>
      <c r="G118" s="1189">
        <v>1</v>
      </c>
      <c r="H118" s="1189">
        <v>100</v>
      </c>
      <c r="I118" s="1191">
        <v>13.6</v>
      </c>
      <c r="J118" s="1190">
        <v>0</v>
      </c>
      <c r="K118" s="1187"/>
      <c r="L118" s="1191"/>
      <c r="M118" s="1189">
        <f>ROUNDUP(L118+I118,0)</f>
        <v>14</v>
      </c>
    </row>
    <row r="119" spans="2:13" x14ac:dyDescent="0.2">
      <c r="C119" s="1788"/>
      <c r="D119" s="1789"/>
      <c r="E119" s="1197">
        <f>IF(AND(F119&gt;=MIN(G119,H119),F119&lt;=MAX(G119,H119)),1,0)</f>
        <v>0</v>
      </c>
      <c r="F119" s="1188">
        <f>F118</f>
        <v>1</v>
      </c>
      <c r="G119" s="1189">
        <v>101</v>
      </c>
      <c r="H119" s="1189">
        <v>400</v>
      </c>
      <c r="I119" s="1200">
        <v>16.75</v>
      </c>
      <c r="J119" s="1190">
        <v>0</v>
      </c>
      <c r="K119" s="1192">
        <v>0</v>
      </c>
      <c r="L119" s="1189">
        <f>K119*J119</f>
        <v>0</v>
      </c>
      <c r="M119" s="1189">
        <f>ROUNDUP(L119+I119,0)</f>
        <v>17</v>
      </c>
    </row>
    <row r="120" spans="2:13" x14ac:dyDescent="0.2">
      <c r="C120" s="1788"/>
      <c r="D120" s="1789"/>
      <c r="E120" s="1197">
        <f>IF(AND(F120&gt;=MIN(G120,H120),F120&lt;=MAX(G120,H120)),1,0)</f>
        <v>0</v>
      </c>
      <c r="F120" s="1188">
        <f>F119</f>
        <v>1</v>
      </c>
      <c r="G120" s="1189">
        <v>401</v>
      </c>
      <c r="H120" s="1189">
        <v>800</v>
      </c>
      <c r="I120" s="1191">
        <v>19.899999999999999</v>
      </c>
      <c r="J120" s="1190">
        <v>0</v>
      </c>
      <c r="K120" s="1192">
        <v>0</v>
      </c>
      <c r="L120" s="1189">
        <f>K120*J120</f>
        <v>0</v>
      </c>
      <c r="M120" s="1189">
        <f>ROUNDUP(L120+I120,0)</f>
        <v>20</v>
      </c>
    </row>
    <row r="121" spans="2:13" ht="13.5" thickBot="1" x14ac:dyDescent="0.25">
      <c r="C121" s="1788"/>
      <c r="D121" s="1789"/>
      <c r="E121" s="1197">
        <f>IF(AND(F121&gt;=MIN(G121,H121),F121&lt;=MAX(G121,H121)),1,0)</f>
        <v>0</v>
      </c>
      <c r="F121" s="1188">
        <f>F120</f>
        <v>1</v>
      </c>
      <c r="G121" s="1189">
        <v>801</v>
      </c>
      <c r="H121" s="1189">
        <v>50000000</v>
      </c>
      <c r="I121" s="1191">
        <v>19.899999999999999</v>
      </c>
      <c r="J121" s="1190">
        <v>3.75</v>
      </c>
      <c r="K121" s="1192">
        <f>ROUNDUP((F121-800)/100,0)</f>
        <v>-8</v>
      </c>
      <c r="L121" s="1189">
        <f>K121*J121</f>
        <v>-30</v>
      </c>
      <c r="M121" s="1189">
        <f>ROUNDUP(L121+I121,0)</f>
        <v>-11</v>
      </c>
    </row>
    <row r="122" spans="2:13" ht="13.5" thickBot="1" x14ac:dyDescent="0.25">
      <c r="C122" s="1689" t="s">
        <v>2042</v>
      </c>
      <c r="D122" s="1690"/>
      <c r="F122" s="1320" t="s">
        <v>2365</v>
      </c>
      <c r="G122" s="1321"/>
      <c r="H122" s="1321"/>
      <c r="I122" s="1321"/>
      <c r="J122" s="1321"/>
      <c r="K122" s="1321"/>
      <c r="L122" s="1321"/>
      <c r="M122" s="1322"/>
    </row>
    <row r="123" spans="2:13" x14ac:dyDescent="0.2">
      <c r="C123" s="1691" t="s">
        <v>2367</v>
      </c>
      <c r="D123" s="1692"/>
      <c r="F123" s="1605" t="s">
        <v>2169</v>
      </c>
      <c r="G123" s="1605"/>
      <c r="H123" s="1188">
        <f>($M$91+1)</f>
        <v>1</v>
      </c>
      <c r="I123" s="1187"/>
      <c r="J123" s="1187"/>
      <c r="K123" s="1187"/>
      <c r="L123" s="1187"/>
      <c r="M123" s="1187"/>
    </row>
    <row r="124" spans="2:13" ht="38.25" x14ac:dyDescent="0.2">
      <c r="B124" s="1234" t="s">
        <v>2370</v>
      </c>
      <c r="C124" s="1693"/>
      <c r="D124" s="1694"/>
      <c r="F124" s="1243" t="s">
        <v>2344</v>
      </c>
      <c r="G124" s="1244" t="s">
        <v>2170</v>
      </c>
      <c r="H124" s="1244" t="s">
        <v>2171</v>
      </c>
      <c r="I124" s="1244" t="s">
        <v>2172</v>
      </c>
      <c r="J124" s="1243" t="s">
        <v>2173</v>
      </c>
      <c r="K124" s="1245" t="s">
        <v>2366</v>
      </c>
      <c r="L124" s="1243" t="s">
        <v>2343</v>
      </c>
      <c r="M124" s="1243" t="s">
        <v>2176</v>
      </c>
    </row>
    <row r="125" spans="2:13" ht="13.5" thickBot="1" x14ac:dyDescent="0.25">
      <c r="B125" s="1319">
        <f>M125</f>
        <v>119</v>
      </c>
      <c r="C125" s="1695"/>
      <c r="D125" s="1696"/>
      <c r="E125" s="1197">
        <f>IF(AND(F125&gt;=MIN(G125,H125),F125&lt;=MAX(G125,H125)),1,0)</f>
        <v>1</v>
      </c>
      <c r="F125" s="1188">
        <f>H123</f>
        <v>1</v>
      </c>
      <c r="G125" s="1189">
        <v>1</v>
      </c>
      <c r="H125" s="1189">
        <v>50000000</v>
      </c>
      <c r="I125" s="1191">
        <v>105</v>
      </c>
      <c r="J125" s="1190">
        <v>14</v>
      </c>
      <c r="K125" s="1192">
        <f>ROUNDUP(F125/1000,0)</f>
        <v>1</v>
      </c>
      <c r="L125" s="1189">
        <f>K125*J125</f>
        <v>14</v>
      </c>
      <c r="M125" s="118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C103:D103"/>
    <mergeCell ref="C104:D114"/>
    <mergeCell ref="F104:G104"/>
    <mergeCell ref="C115:D115"/>
    <mergeCell ref="C116:D121"/>
    <mergeCell ref="F116:G116"/>
    <mergeCell ref="F99:K99"/>
    <mergeCell ref="H91:K91"/>
    <mergeCell ref="H92:K92"/>
    <mergeCell ref="H93:K93"/>
    <mergeCell ref="H94:K94"/>
    <mergeCell ref="H95:K95"/>
    <mergeCell ref="H96:K96"/>
    <mergeCell ref="D93:G93"/>
    <mergeCell ref="B101:M101"/>
    <mergeCell ref="H98:K98"/>
    <mergeCell ref="H97:K97"/>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8:C38"/>
    <mergeCell ref="B39:C39"/>
    <mergeCell ref="B36:C36"/>
    <mergeCell ref="B37:C37"/>
    <mergeCell ref="B15:C15"/>
    <mergeCell ref="B16:C16"/>
    <mergeCell ref="B17:C17"/>
    <mergeCell ref="B30:C30"/>
    <mergeCell ref="B31:C31"/>
    <mergeCell ref="B32:C32"/>
    <mergeCell ref="B33:C33"/>
    <mergeCell ref="B34:C34"/>
    <mergeCell ref="B35:C35"/>
    <mergeCell ref="B24:C24"/>
    <mergeCell ref="B25:C25"/>
    <mergeCell ref="B26:C26"/>
    <mergeCell ref="B27:C27"/>
    <mergeCell ref="B28:C28"/>
    <mergeCell ref="B29:C29"/>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0"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0182431-B914-4C94-88D2-2B054A65A09E}">
          <x14:formula1>
            <xm:f>Rentals!$A$13:$A$35</xm:f>
          </x14:formula1>
          <xm:sqref>I62:I63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43"/>
  <sheetViews>
    <sheetView workbookViewId="0">
      <pane ySplit="1" topLeftCell="A2" activePane="bottomLeft" state="frozen"/>
      <selection pane="bottomLeft" activeCell="B17" sqref="B17"/>
    </sheetView>
  </sheetViews>
  <sheetFormatPr defaultRowHeight="12.75" x14ac:dyDescent="0.2"/>
  <cols>
    <col min="1" max="1" width="47.7109375" customWidth="1"/>
    <col min="2" max="2" width="12.28515625" customWidth="1"/>
    <col min="3" max="3" width="15.28515625" style="859" customWidth="1"/>
    <col min="4" max="4" width="15.140625" style="859" customWidth="1"/>
    <col min="5" max="5" width="12.42578125" style="859" customWidth="1"/>
    <col min="6" max="6" width="12" style="859" customWidth="1"/>
    <col min="7" max="7" width="11.28515625" style="602" bestFit="1" customWidth="1"/>
    <col min="8" max="8" width="12.28515625" style="602" bestFit="1" customWidth="1"/>
    <col min="9" max="10" width="11.28515625" style="602" bestFit="1" customWidth="1"/>
    <col min="11" max="12" width="10.85546875" style="602" bestFit="1" customWidth="1"/>
    <col min="13" max="13" width="10.28515625" style="602" bestFit="1" customWidth="1"/>
    <col min="14" max="14" width="13.42578125" style="602" bestFit="1" customWidth="1"/>
    <col min="15" max="15" width="13.42578125" style="597" bestFit="1" customWidth="1"/>
    <col min="16" max="16" width="11.28515625" style="602" bestFit="1" customWidth="1"/>
  </cols>
  <sheetData>
    <row r="1" spans="1:16" ht="51" x14ac:dyDescent="0.2">
      <c r="A1" s="1274" t="s">
        <v>1793</v>
      </c>
      <c r="B1" s="1274" t="s">
        <v>1794</v>
      </c>
      <c r="C1" s="1275" t="s">
        <v>1749</v>
      </c>
      <c r="D1" s="1275" t="s">
        <v>1750</v>
      </c>
      <c r="E1" s="1275" t="s">
        <v>1751</v>
      </c>
      <c r="F1" s="1275" t="s">
        <v>1752</v>
      </c>
      <c r="G1" s="1276" t="s">
        <v>2354</v>
      </c>
      <c r="H1" s="1276" t="s">
        <v>2355</v>
      </c>
      <c r="I1" s="1276" t="s">
        <v>1716</v>
      </c>
      <c r="J1" s="1276" t="s">
        <v>1717</v>
      </c>
      <c r="K1" s="1276" t="s">
        <v>1718</v>
      </c>
      <c r="L1" s="1276" t="s">
        <v>1719</v>
      </c>
      <c r="M1" s="1276" t="s">
        <v>1720</v>
      </c>
      <c r="N1" s="1276" t="s">
        <v>1721</v>
      </c>
      <c r="O1" s="1277" t="s">
        <v>1722</v>
      </c>
      <c r="P1" s="1276" t="s">
        <v>1723</v>
      </c>
    </row>
    <row r="2" spans="1:16" x14ac:dyDescent="0.2">
      <c r="A2" s="857"/>
      <c r="B2" s="857"/>
      <c r="C2" s="858"/>
      <c r="D2" s="858"/>
      <c r="E2" s="858"/>
      <c r="F2" s="858"/>
      <c r="G2" s="1605" t="s">
        <v>2169</v>
      </c>
      <c r="H2" s="1605"/>
      <c r="I2" s="1605"/>
      <c r="J2" s="1605"/>
      <c r="K2" s="1605"/>
      <c r="L2" s="1605"/>
      <c r="M2" s="1605"/>
      <c r="N2" s="1605"/>
      <c r="O2" s="1605"/>
      <c r="P2" s="1605"/>
    </row>
    <row r="3" spans="1:16" x14ac:dyDescent="0.2">
      <c r="A3" s="857"/>
      <c r="B3" s="857"/>
      <c r="C3" s="858"/>
      <c r="D3" s="858"/>
      <c r="E3" s="858"/>
      <c r="F3" s="858"/>
      <c r="G3" s="1228">
        <f>'Heating Recap'!$L$58</f>
        <v>593896</v>
      </c>
      <c r="H3" s="602">
        <f>'Plumbing Recap'!$J$44</f>
        <v>693250</v>
      </c>
      <c r="I3" s="1264">
        <f>'ALT #1'!$H$104</f>
        <v>412352.56410000002</v>
      </c>
      <c r="J3" s="1264">
        <f>'ALT #2'!$H$104</f>
        <v>-5774.8554999999997</v>
      </c>
      <c r="K3" s="1264">
        <f>'ALT #3'!$H$104</f>
        <v>13965.554199999999</v>
      </c>
      <c r="L3" s="1264">
        <f>'ALT #4'!$H$104</f>
        <v>-12272.544400000001</v>
      </c>
      <c r="M3" s="1264">
        <f>'ALT #5'!$H$104</f>
        <v>1</v>
      </c>
      <c r="N3" s="1264">
        <f>'ALT #6'!$H$104</f>
        <v>1</v>
      </c>
      <c r="O3" s="1264">
        <f>'ALT #7'!$H$104</f>
        <v>1</v>
      </c>
      <c r="P3" s="1264">
        <f>'ALT #8'!$H$104</f>
        <v>1</v>
      </c>
    </row>
    <row r="4" spans="1:16" x14ac:dyDescent="0.2">
      <c r="A4" t="s">
        <v>777</v>
      </c>
      <c r="B4" s="859">
        <f t="shared" ref="B4:B67" si="0">F4+E4+D4+C4</f>
        <v>4.7500000000000001E-2</v>
      </c>
      <c r="C4" s="859">
        <v>2.9000000000000001E-2</v>
      </c>
      <c r="D4" s="859">
        <v>7.4999999999999997E-3</v>
      </c>
      <c r="E4" s="859">
        <v>0</v>
      </c>
      <c r="F4" s="859">
        <v>1.0999999999999999E-2</v>
      </c>
      <c r="G4" s="602">
        <v>0</v>
      </c>
      <c r="H4" s="602">
        <v>0</v>
      </c>
      <c r="I4" s="602">
        <v>0</v>
      </c>
      <c r="J4" s="602">
        <v>0</v>
      </c>
      <c r="K4" s="602">
        <v>0</v>
      </c>
      <c r="L4" s="602">
        <v>0</v>
      </c>
      <c r="M4" s="602">
        <v>0</v>
      </c>
      <c r="N4" s="1264">
        <v>0</v>
      </c>
      <c r="O4" s="1264">
        <v>0</v>
      </c>
      <c r="P4" s="1264">
        <v>0</v>
      </c>
    </row>
    <row r="5" spans="1:16" x14ac:dyDescent="0.2">
      <c r="A5" t="s">
        <v>778</v>
      </c>
      <c r="B5" s="859">
        <f t="shared" si="0"/>
        <v>3.7500000000000006E-2</v>
      </c>
      <c r="C5" s="859">
        <v>2.9000000000000001E-2</v>
      </c>
      <c r="D5" s="859">
        <v>7.4999999999999997E-3</v>
      </c>
      <c r="E5" s="859">
        <v>0</v>
      </c>
      <c r="F5" s="859">
        <v>1E-3</v>
      </c>
      <c r="G5" s="602">
        <v>0</v>
      </c>
      <c r="H5" s="602">
        <v>0</v>
      </c>
      <c r="I5" s="602">
        <v>0</v>
      </c>
      <c r="J5" s="602">
        <v>0</v>
      </c>
      <c r="K5" s="602">
        <v>0</v>
      </c>
      <c r="L5" s="602">
        <v>0</v>
      </c>
      <c r="M5" s="602">
        <v>0</v>
      </c>
      <c r="N5" s="1264">
        <v>0</v>
      </c>
      <c r="O5" s="1264">
        <v>0</v>
      </c>
      <c r="P5" s="1264">
        <v>0</v>
      </c>
    </row>
    <row r="6" spans="1:16" x14ac:dyDescent="0.2">
      <c r="A6" t="s">
        <v>779</v>
      </c>
      <c r="B6" s="859">
        <f t="shared" si="0"/>
        <v>6.9000000000000006E-2</v>
      </c>
      <c r="C6" s="859">
        <v>2.9000000000000001E-2</v>
      </c>
      <c r="D6" s="859">
        <v>1.4999999999999999E-2</v>
      </c>
      <c r="E6" s="859">
        <v>2.5000000000000001E-2</v>
      </c>
      <c r="F6" s="859">
        <v>0</v>
      </c>
      <c r="G6" s="602">
        <v>0</v>
      </c>
      <c r="H6" s="602">
        <v>0</v>
      </c>
      <c r="I6" s="602">
        <v>0</v>
      </c>
      <c r="J6" s="602">
        <v>0</v>
      </c>
      <c r="K6" s="602">
        <v>0</v>
      </c>
      <c r="L6" s="602">
        <v>0</v>
      </c>
      <c r="M6" s="602">
        <v>0</v>
      </c>
      <c r="N6" s="1264">
        <v>0</v>
      </c>
      <c r="O6" s="1264">
        <v>0</v>
      </c>
      <c r="P6" s="1264">
        <v>0</v>
      </c>
    </row>
    <row r="7" spans="1:16" x14ac:dyDescent="0.2">
      <c r="A7" t="s">
        <v>780</v>
      </c>
      <c r="B7" s="859">
        <f t="shared" si="0"/>
        <v>8.4000000000000005E-2</v>
      </c>
      <c r="C7" s="859">
        <v>2.9000000000000001E-2</v>
      </c>
      <c r="D7" s="859">
        <v>0.03</v>
      </c>
      <c r="E7" s="859">
        <v>2.5000000000000001E-2</v>
      </c>
      <c r="F7" s="859">
        <v>0</v>
      </c>
      <c r="G7" s="602">
        <v>0</v>
      </c>
      <c r="H7" s="602">
        <v>0</v>
      </c>
      <c r="I7" s="602">
        <v>0</v>
      </c>
      <c r="J7" s="602">
        <v>0</v>
      </c>
      <c r="K7" s="602">
        <v>0</v>
      </c>
      <c r="L7" s="602">
        <v>0</v>
      </c>
      <c r="M7" s="602">
        <v>0</v>
      </c>
      <c r="N7" s="1264">
        <v>0</v>
      </c>
      <c r="O7" s="1264">
        <v>0</v>
      </c>
      <c r="P7" s="1264">
        <v>0</v>
      </c>
    </row>
    <row r="8" spans="1:16" x14ac:dyDescent="0.2">
      <c r="A8" t="s">
        <v>781</v>
      </c>
      <c r="B8" s="859">
        <f t="shared" si="0"/>
        <v>5.8999999999999997E-2</v>
      </c>
      <c r="C8" s="859">
        <v>2.9000000000000001E-2</v>
      </c>
      <c r="D8" s="859">
        <v>0.03</v>
      </c>
      <c r="E8" s="859">
        <v>0</v>
      </c>
      <c r="F8" s="859">
        <v>0</v>
      </c>
      <c r="G8" s="602">
        <v>0</v>
      </c>
      <c r="H8" s="602">
        <v>0</v>
      </c>
      <c r="I8" s="602">
        <v>0</v>
      </c>
      <c r="J8" s="602">
        <v>0</v>
      </c>
      <c r="K8" s="602">
        <v>0</v>
      </c>
      <c r="L8" s="602">
        <v>0</v>
      </c>
      <c r="M8" s="602">
        <v>0</v>
      </c>
      <c r="N8" s="1264">
        <v>0</v>
      </c>
      <c r="O8" s="1264">
        <v>0</v>
      </c>
      <c r="P8" s="1264">
        <v>0</v>
      </c>
    </row>
    <row r="9" spans="1:16" x14ac:dyDescent="0.2">
      <c r="A9" t="s">
        <v>782</v>
      </c>
      <c r="B9" s="859">
        <f t="shared" si="0"/>
        <v>7.9000000000000001E-2</v>
      </c>
      <c r="C9" s="859">
        <v>2.9000000000000001E-2</v>
      </c>
      <c r="D9" s="859">
        <v>0.01</v>
      </c>
      <c r="E9" s="859">
        <v>0.03</v>
      </c>
      <c r="F9" s="859">
        <v>0.01</v>
      </c>
      <c r="G9" s="602">
        <v>0</v>
      </c>
      <c r="H9" s="602">
        <v>0</v>
      </c>
      <c r="I9" s="602">
        <v>0</v>
      </c>
      <c r="J9" s="602">
        <v>0</v>
      </c>
      <c r="K9" s="602">
        <v>0</v>
      </c>
      <c r="L9" s="602">
        <v>0</v>
      </c>
      <c r="M9" s="602">
        <v>0</v>
      </c>
      <c r="N9" s="1264">
        <v>0</v>
      </c>
      <c r="O9" s="1264">
        <v>0</v>
      </c>
      <c r="P9" s="1264">
        <v>0</v>
      </c>
    </row>
    <row r="10" spans="1:16" x14ac:dyDescent="0.2">
      <c r="A10" t="s">
        <v>783</v>
      </c>
      <c r="B10" s="859">
        <f t="shared" si="0"/>
        <v>3.2500000000000001E-2</v>
      </c>
      <c r="C10" s="859">
        <v>2.9000000000000001E-2</v>
      </c>
      <c r="D10" s="859">
        <v>2.5000000000000001E-3</v>
      </c>
      <c r="E10" s="859">
        <v>0</v>
      </c>
      <c r="F10" s="859">
        <v>1E-3</v>
      </c>
      <c r="G10" s="602">
        <v>0</v>
      </c>
      <c r="H10" s="602">
        <v>0</v>
      </c>
      <c r="I10" s="602">
        <v>0</v>
      </c>
      <c r="J10" s="602">
        <v>0</v>
      </c>
      <c r="K10" s="602">
        <v>0</v>
      </c>
      <c r="L10" s="602">
        <v>0</v>
      </c>
      <c r="M10" s="602">
        <v>0</v>
      </c>
      <c r="N10" s="1264">
        <v>0</v>
      </c>
      <c r="O10" s="1264">
        <v>0</v>
      </c>
      <c r="P10" s="1264">
        <v>0</v>
      </c>
    </row>
    <row r="11" spans="1:16" x14ac:dyDescent="0.2">
      <c r="A11" t="s">
        <v>784</v>
      </c>
      <c r="B11" s="859">
        <f t="shared" si="0"/>
        <v>6.9000000000000006E-2</v>
      </c>
      <c r="C11" s="859">
        <v>2.9000000000000001E-2</v>
      </c>
      <c r="D11" s="859">
        <v>0.04</v>
      </c>
      <c r="E11" s="859">
        <v>0</v>
      </c>
      <c r="F11" s="859">
        <v>0</v>
      </c>
      <c r="G11" s="602">
        <v>0</v>
      </c>
      <c r="H11" s="602">
        <v>0</v>
      </c>
      <c r="I11" s="602">
        <v>0</v>
      </c>
      <c r="J11" s="602">
        <v>0</v>
      </c>
      <c r="K11" s="602">
        <v>0</v>
      </c>
      <c r="L11" s="602">
        <v>0</v>
      </c>
      <c r="M11" s="602">
        <v>0</v>
      </c>
      <c r="N11" s="1264">
        <v>0</v>
      </c>
      <c r="O11" s="1264">
        <v>0</v>
      </c>
      <c r="P11" s="1264">
        <v>0</v>
      </c>
    </row>
    <row r="12" spans="1:16" x14ac:dyDescent="0.2">
      <c r="A12" t="s">
        <v>1753</v>
      </c>
      <c r="B12" s="859">
        <f t="shared" si="0"/>
        <v>4.9000000000000002E-2</v>
      </c>
      <c r="C12" s="859">
        <v>2.9000000000000001E-2</v>
      </c>
      <c r="D12" s="859">
        <v>0.02</v>
      </c>
      <c r="E12" s="859">
        <v>0</v>
      </c>
      <c r="F12" s="859">
        <v>0</v>
      </c>
      <c r="G12" s="602">
        <v>0</v>
      </c>
      <c r="H12" s="602">
        <v>0</v>
      </c>
      <c r="I12" s="602">
        <v>0</v>
      </c>
      <c r="J12" s="602">
        <v>0</v>
      </c>
      <c r="K12" s="602">
        <v>0</v>
      </c>
      <c r="L12" s="602">
        <v>0</v>
      </c>
      <c r="M12" s="602">
        <v>0</v>
      </c>
      <c r="N12" s="1264">
        <v>0</v>
      </c>
      <c r="O12" s="1264">
        <v>0</v>
      </c>
      <c r="P12" s="1264">
        <v>0</v>
      </c>
    </row>
    <row r="13" spans="1:16" x14ac:dyDescent="0.2">
      <c r="A13" t="s">
        <v>785</v>
      </c>
      <c r="B13" s="859">
        <f t="shared" si="0"/>
        <v>7.9600000000000004E-2</v>
      </c>
      <c r="C13" s="859">
        <v>2.9000000000000001E-2</v>
      </c>
      <c r="D13" s="859">
        <v>5.0000000000000001E-3</v>
      </c>
      <c r="E13" s="859">
        <v>3.4599999999999999E-2</v>
      </c>
      <c r="F13" s="859">
        <v>1.0999999999999999E-2</v>
      </c>
      <c r="G13" s="602">
        <v>0</v>
      </c>
      <c r="H13" s="602">
        <v>0</v>
      </c>
      <c r="I13" s="602">
        <v>0</v>
      </c>
      <c r="J13" s="602">
        <v>0</v>
      </c>
      <c r="K13" s="602">
        <v>0</v>
      </c>
      <c r="L13" s="602">
        <v>0</v>
      </c>
      <c r="M13" s="602">
        <v>0</v>
      </c>
      <c r="N13" s="1264">
        <v>0</v>
      </c>
      <c r="O13" s="1264">
        <v>0</v>
      </c>
      <c r="P13" s="1264">
        <v>0</v>
      </c>
    </row>
    <row r="14" spans="1:16" x14ac:dyDescent="0.2">
      <c r="A14" t="s">
        <v>786</v>
      </c>
      <c r="B14" s="859">
        <f t="shared" si="0"/>
        <v>9.2999999999999999E-2</v>
      </c>
      <c r="C14" s="859">
        <v>2.9000000000000001E-2</v>
      </c>
      <c r="D14" s="859">
        <v>3.1E-2</v>
      </c>
      <c r="E14" s="859">
        <v>2.4E-2</v>
      </c>
      <c r="F14" s="859">
        <v>8.9999999999999993E-3</v>
      </c>
      <c r="G14" s="602">
        <v>0</v>
      </c>
      <c r="H14" s="602">
        <v>0</v>
      </c>
      <c r="I14" s="602">
        <v>0</v>
      </c>
      <c r="J14" s="602">
        <v>0</v>
      </c>
      <c r="K14" s="602">
        <v>0</v>
      </c>
      <c r="L14" s="602">
        <v>0</v>
      </c>
      <c r="M14" s="602">
        <v>0</v>
      </c>
      <c r="N14" s="1264">
        <v>0</v>
      </c>
      <c r="O14" s="1264">
        <v>0</v>
      </c>
      <c r="P14" s="1264">
        <v>0</v>
      </c>
    </row>
    <row r="15" spans="1:16" x14ac:dyDescent="0.2">
      <c r="A15" t="s">
        <v>787</v>
      </c>
      <c r="B15" s="859">
        <f t="shared" si="0"/>
        <v>8.5000000000000006E-2</v>
      </c>
      <c r="C15" s="859">
        <v>2.9000000000000001E-2</v>
      </c>
      <c r="D15" s="859">
        <v>7.4999999999999997E-3</v>
      </c>
      <c r="E15" s="859">
        <v>3.7499999999999999E-2</v>
      </c>
      <c r="F15" s="859">
        <v>1.0999999999999999E-2</v>
      </c>
      <c r="G15" s="602">
        <v>0</v>
      </c>
      <c r="H15" s="602">
        <v>0</v>
      </c>
      <c r="I15" s="602">
        <v>0</v>
      </c>
      <c r="J15" s="602">
        <v>0</v>
      </c>
      <c r="K15" s="602">
        <v>0</v>
      </c>
      <c r="L15" s="602">
        <v>0</v>
      </c>
      <c r="M15" s="602">
        <v>0</v>
      </c>
      <c r="N15" s="1264">
        <v>0</v>
      </c>
      <c r="O15" s="1264">
        <v>0</v>
      </c>
      <c r="P15" s="1264">
        <v>0</v>
      </c>
    </row>
    <row r="16" spans="1:16" x14ac:dyDescent="0.2">
      <c r="A16" t="s">
        <v>788</v>
      </c>
      <c r="B16" s="859">
        <f t="shared" si="0"/>
        <v>0.08</v>
      </c>
      <c r="C16" s="859">
        <v>2.9000000000000001E-2</v>
      </c>
      <c r="D16" s="859">
        <v>2.5000000000000001E-3</v>
      </c>
      <c r="E16" s="859">
        <v>3.7499999999999999E-2</v>
      </c>
      <c r="F16" s="859">
        <v>1.0999999999999999E-2</v>
      </c>
      <c r="G16" s="602">
        <v>0</v>
      </c>
      <c r="H16" s="602">
        <v>0</v>
      </c>
      <c r="I16" s="602">
        <v>0</v>
      </c>
      <c r="J16" s="602">
        <v>0</v>
      </c>
      <c r="K16" s="602">
        <v>0</v>
      </c>
      <c r="L16" s="602">
        <v>0</v>
      </c>
      <c r="M16" s="602">
        <v>0</v>
      </c>
      <c r="N16" s="1264">
        <v>0</v>
      </c>
      <c r="O16" s="1264">
        <v>0</v>
      </c>
      <c r="P16" s="1264">
        <v>0</v>
      </c>
    </row>
    <row r="17" spans="1:16" x14ac:dyDescent="0.2">
      <c r="A17" t="s">
        <v>789</v>
      </c>
      <c r="B17" s="859">
        <f t="shared" si="0"/>
        <v>7.0000000000000007E-2</v>
      </c>
      <c r="C17" s="859">
        <v>2.9000000000000001E-2</v>
      </c>
      <c r="D17" s="859">
        <v>2.5000000000000001E-3</v>
      </c>
      <c r="E17" s="859">
        <v>3.7499999999999999E-2</v>
      </c>
      <c r="F17" s="859">
        <v>1E-3</v>
      </c>
      <c r="G17" s="602">
        <v>0</v>
      </c>
      <c r="H17" s="602">
        <v>0</v>
      </c>
      <c r="I17" s="602">
        <v>0</v>
      </c>
      <c r="J17" s="602">
        <v>0</v>
      </c>
      <c r="K17" s="602">
        <v>0</v>
      </c>
      <c r="L17" s="602">
        <v>0</v>
      </c>
      <c r="M17" s="602">
        <v>0</v>
      </c>
      <c r="N17" s="1264">
        <v>0</v>
      </c>
      <c r="O17" s="1264">
        <v>0</v>
      </c>
      <c r="P17" s="1264">
        <v>0</v>
      </c>
    </row>
    <row r="18" spans="1:16" x14ac:dyDescent="0.2">
      <c r="A18" t="s">
        <v>790</v>
      </c>
      <c r="B18" s="859">
        <f t="shared" si="0"/>
        <v>8.4000000000000005E-2</v>
      </c>
      <c r="C18" s="859">
        <v>2.9000000000000001E-2</v>
      </c>
      <c r="D18" s="859">
        <v>0.01</v>
      </c>
      <c r="E18" s="859">
        <v>0.04</v>
      </c>
      <c r="F18" s="859">
        <v>5.0000000000000001E-3</v>
      </c>
      <c r="G18" s="602">
        <v>0</v>
      </c>
      <c r="H18" s="602">
        <v>0</v>
      </c>
      <c r="I18" s="602">
        <v>0</v>
      </c>
      <c r="J18" s="602">
        <v>0</v>
      </c>
      <c r="K18" s="602">
        <v>0</v>
      </c>
      <c r="L18" s="602">
        <v>0</v>
      </c>
      <c r="M18" s="602">
        <v>0</v>
      </c>
      <c r="N18" s="1264">
        <v>0</v>
      </c>
      <c r="O18" s="1264">
        <v>0</v>
      </c>
      <c r="P18" s="1264">
        <v>0</v>
      </c>
    </row>
    <row r="19" spans="1:16" x14ac:dyDescent="0.2">
      <c r="A19" t="s">
        <v>1754</v>
      </c>
      <c r="B19" s="859">
        <f t="shared" si="0"/>
        <v>2.9000000000000001E-2</v>
      </c>
      <c r="C19" s="859">
        <v>2.9000000000000001E-2</v>
      </c>
      <c r="D19" s="859">
        <v>0</v>
      </c>
      <c r="E19" s="859">
        <v>0</v>
      </c>
      <c r="F19" s="859">
        <v>0</v>
      </c>
      <c r="G19" s="602">
        <v>0</v>
      </c>
      <c r="H19" s="602">
        <v>0</v>
      </c>
      <c r="I19" s="602">
        <v>0</v>
      </c>
      <c r="J19" s="602">
        <v>0</v>
      </c>
      <c r="K19" s="602">
        <v>0</v>
      </c>
      <c r="L19" s="602">
        <v>0</v>
      </c>
      <c r="M19" s="602">
        <v>0</v>
      </c>
      <c r="N19" s="1264">
        <v>0</v>
      </c>
      <c r="O19" s="1264">
        <v>0</v>
      </c>
      <c r="P19" s="1264">
        <v>0</v>
      </c>
    </row>
    <row r="20" spans="1:16" x14ac:dyDescent="0.2">
      <c r="A20" t="s">
        <v>791</v>
      </c>
      <c r="B20" s="859">
        <f t="shared" si="0"/>
        <v>8.2000000000000003E-2</v>
      </c>
      <c r="C20" s="859">
        <v>2.9000000000000001E-2</v>
      </c>
      <c r="D20" s="859">
        <v>0.01</v>
      </c>
      <c r="E20" s="859">
        <v>0.03</v>
      </c>
      <c r="F20" s="859">
        <v>1.2999999999999999E-2</v>
      </c>
      <c r="G20" s="602">
        <v>0</v>
      </c>
      <c r="H20" s="602">
        <v>0</v>
      </c>
      <c r="I20" s="602">
        <v>0</v>
      </c>
      <c r="J20" s="602">
        <v>0</v>
      </c>
      <c r="K20" s="602">
        <v>0</v>
      </c>
      <c r="L20" s="602">
        <v>0</v>
      </c>
      <c r="M20" s="602">
        <v>0</v>
      </c>
      <c r="N20" s="1264">
        <v>0</v>
      </c>
      <c r="O20" s="1264">
        <v>0</v>
      </c>
      <c r="P20" s="1264">
        <v>0</v>
      </c>
    </row>
    <row r="21" spans="1:16" x14ac:dyDescent="0.2">
      <c r="A21" t="s">
        <v>792</v>
      </c>
      <c r="B21" s="859">
        <f t="shared" si="0"/>
        <v>3.9E-2</v>
      </c>
      <c r="C21" s="859">
        <v>2.9000000000000001E-2</v>
      </c>
      <c r="D21" s="859">
        <v>0.01</v>
      </c>
      <c r="E21" s="859">
        <v>0</v>
      </c>
      <c r="F21" s="859">
        <v>0</v>
      </c>
      <c r="G21" s="602">
        <v>0</v>
      </c>
      <c r="H21" s="602">
        <v>0</v>
      </c>
      <c r="I21" s="602">
        <v>0</v>
      </c>
      <c r="J21" s="602">
        <v>0</v>
      </c>
      <c r="K21" s="602">
        <v>0</v>
      </c>
      <c r="L21" s="602">
        <v>0</v>
      </c>
      <c r="M21" s="602">
        <v>0</v>
      </c>
      <c r="N21" s="1264">
        <v>0</v>
      </c>
      <c r="O21" s="1264">
        <v>0</v>
      </c>
      <c r="P21" s="1264">
        <v>0</v>
      </c>
    </row>
    <row r="22" spans="1:16" x14ac:dyDescent="0.2">
      <c r="A22" t="s">
        <v>793</v>
      </c>
      <c r="B22" s="859">
        <f t="shared" si="0"/>
        <v>8.8450000000000001E-2</v>
      </c>
      <c r="C22" s="859">
        <v>2.9000000000000001E-2</v>
      </c>
      <c r="D22" s="859">
        <v>9.8499999999999994E-3</v>
      </c>
      <c r="E22" s="859">
        <v>3.8600000000000002E-2</v>
      </c>
      <c r="F22" s="859">
        <v>1.0999999999999999E-2</v>
      </c>
      <c r="G22" s="602">
        <f>'Heating Recap'!$F$72</f>
        <v>22262</v>
      </c>
      <c r="H22" s="602">
        <f>'Plumbing Recap'!$F$69</f>
        <v>25989</v>
      </c>
      <c r="I22" s="602">
        <f>'ALT #1'!$B$118</f>
        <v>15455</v>
      </c>
      <c r="J22" s="602" t="e">
        <f>'ALT #2'!$B$118</f>
        <v>#N/A</v>
      </c>
      <c r="K22" s="602">
        <f>'ALT #3'!$B$118</f>
        <v>515</v>
      </c>
      <c r="L22" s="602" t="e">
        <f>'ALT #4'!$B$118</f>
        <v>#N/A</v>
      </c>
      <c r="M22" s="602">
        <f>'ALT #5'!$B$118</f>
        <v>14</v>
      </c>
      <c r="N22" s="1264">
        <f>'ALT #6'!$B$118</f>
        <v>14</v>
      </c>
      <c r="O22" s="1264">
        <f>'ALT #7'!$B$118</f>
        <v>14</v>
      </c>
      <c r="P22" s="1264">
        <f>'ALT #8'!$B$118</f>
        <v>14</v>
      </c>
    </row>
    <row r="23" spans="1:16" x14ac:dyDescent="0.2">
      <c r="A23" t="s">
        <v>794</v>
      </c>
      <c r="B23" s="859">
        <f t="shared" si="0"/>
        <v>5.985E-2</v>
      </c>
      <c r="C23" s="859">
        <v>2.9000000000000001E-2</v>
      </c>
      <c r="D23" s="859">
        <v>9.8499999999999994E-3</v>
      </c>
      <c r="E23" s="859">
        <v>0</v>
      </c>
      <c r="F23" s="859">
        <v>2.1000000000000001E-2</v>
      </c>
      <c r="G23" s="602">
        <f>'Heating Recap'!$F$72</f>
        <v>22262</v>
      </c>
      <c r="H23" s="602">
        <f>'Plumbing Recap'!$F$69</f>
        <v>25989</v>
      </c>
      <c r="I23" s="602">
        <f>'ALT #1'!$B$118</f>
        <v>15455</v>
      </c>
      <c r="J23" s="602" t="e">
        <f>'ALT #2'!$B$118</f>
        <v>#N/A</v>
      </c>
      <c r="K23" s="602">
        <f>'ALT #3'!$B$118</f>
        <v>515</v>
      </c>
      <c r="L23" s="602" t="e">
        <f>'ALT #4'!$B$118</f>
        <v>#N/A</v>
      </c>
      <c r="M23" s="602">
        <f>'ALT #5'!$B$118</f>
        <v>14</v>
      </c>
      <c r="N23" s="1264">
        <f>'ALT #6'!$B$118</f>
        <v>14</v>
      </c>
      <c r="O23" s="1264">
        <f>'ALT #7'!$B$118</f>
        <v>14</v>
      </c>
      <c r="P23" s="1264">
        <f>'ALT #8'!$B$118</f>
        <v>14</v>
      </c>
    </row>
    <row r="24" spans="1:16" x14ac:dyDescent="0.2">
      <c r="A24" t="s">
        <v>795</v>
      </c>
      <c r="B24" s="859">
        <f t="shared" si="0"/>
        <v>4.9850000000000005E-2</v>
      </c>
      <c r="C24" s="859">
        <v>2.9000000000000001E-2</v>
      </c>
      <c r="D24" s="859">
        <v>9.8499999999999994E-3</v>
      </c>
      <c r="E24" s="859">
        <v>0</v>
      </c>
      <c r="F24" s="859">
        <v>1.0999999999999999E-2</v>
      </c>
      <c r="G24" s="602">
        <f>'Heating Recap'!$F$72</f>
        <v>22262</v>
      </c>
      <c r="H24" s="602">
        <f>'Plumbing Recap'!$F$69</f>
        <v>25989</v>
      </c>
      <c r="I24" s="602">
        <f>'ALT #1'!$B$118</f>
        <v>15455</v>
      </c>
      <c r="J24" s="602" t="e">
        <f>'ALT #2'!$B$118</f>
        <v>#N/A</v>
      </c>
      <c r="K24" s="602">
        <f>'ALT #3'!$B$118</f>
        <v>515</v>
      </c>
      <c r="L24" s="602" t="e">
        <f>'ALT #4'!$B$118</f>
        <v>#N/A</v>
      </c>
      <c r="M24" s="602">
        <f>'ALT #5'!$B$118</f>
        <v>14</v>
      </c>
      <c r="N24" s="1264">
        <f>'ALT #6'!$B$118</f>
        <v>14</v>
      </c>
      <c r="O24" s="1264">
        <f>'ALT #7'!$B$118</f>
        <v>14</v>
      </c>
      <c r="P24" s="1264">
        <f>'ALT #8'!$B$118</f>
        <v>14</v>
      </c>
    </row>
    <row r="25" spans="1:16" x14ac:dyDescent="0.2">
      <c r="A25" t="s">
        <v>796</v>
      </c>
      <c r="B25" s="859">
        <f t="shared" si="0"/>
        <v>8.8749999999999996E-2</v>
      </c>
      <c r="C25" s="859">
        <v>2.9000000000000001E-2</v>
      </c>
      <c r="D25" s="859">
        <v>0.02</v>
      </c>
      <c r="E25" s="859">
        <v>2.5000000000000001E-2</v>
      </c>
      <c r="F25" s="859">
        <v>1.4749999999999999E-2</v>
      </c>
      <c r="G25" s="602">
        <v>0</v>
      </c>
      <c r="H25" s="602">
        <v>0</v>
      </c>
      <c r="I25" s="602">
        <v>0</v>
      </c>
      <c r="J25" s="602">
        <v>0</v>
      </c>
      <c r="K25" s="602">
        <v>0</v>
      </c>
      <c r="L25" s="602">
        <v>0</v>
      </c>
      <c r="M25" s="602">
        <v>0</v>
      </c>
      <c r="N25" s="1264">
        <v>0</v>
      </c>
      <c r="O25" s="1264">
        <v>0</v>
      </c>
      <c r="P25" s="1264">
        <v>0</v>
      </c>
    </row>
    <row r="26" spans="1:16" x14ac:dyDescent="0.2">
      <c r="A26" t="s">
        <v>797</v>
      </c>
      <c r="B26" s="859">
        <f t="shared" si="0"/>
        <v>8.5000000000000006E-2</v>
      </c>
      <c r="C26" s="859">
        <v>2.9000000000000001E-2</v>
      </c>
      <c r="D26" s="859">
        <v>7.4999999999999997E-3</v>
      </c>
      <c r="E26" s="859">
        <v>3.7499999999999999E-2</v>
      </c>
      <c r="F26" s="859">
        <v>1.0999999999999999E-2</v>
      </c>
      <c r="G26" s="602">
        <v>0</v>
      </c>
      <c r="H26" s="602">
        <v>0</v>
      </c>
      <c r="I26" s="602">
        <v>0</v>
      </c>
      <c r="J26" s="602">
        <v>0</v>
      </c>
      <c r="K26" s="602">
        <v>0</v>
      </c>
      <c r="L26" s="602">
        <v>0</v>
      </c>
      <c r="M26" s="602">
        <v>0</v>
      </c>
      <c r="N26" s="1264">
        <v>0</v>
      </c>
      <c r="O26" s="1264">
        <v>0</v>
      </c>
      <c r="P26" s="1264">
        <v>0</v>
      </c>
    </row>
    <row r="27" spans="1:16" x14ac:dyDescent="0.2">
      <c r="A27" t="s">
        <v>798</v>
      </c>
      <c r="B27" s="859">
        <f t="shared" si="0"/>
        <v>8.1500000000000003E-2</v>
      </c>
      <c r="C27" s="859">
        <v>2.9000000000000001E-2</v>
      </c>
      <c r="D27" s="859">
        <v>0</v>
      </c>
      <c r="E27" s="859">
        <v>4.1500000000000002E-2</v>
      </c>
      <c r="F27" s="859">
        <v>1.0999999999999999E-2</v>
      </c>
      <c r="G27" s="602">
        <v>0</v>
      </c>
      <c r="H27" s="602">
        <v>0</v>
      </c>
      <c r="I27" s="602">
        <v>0</v>
      </c>
      <c r="J27" s="602">
        <v>0</v>
      </c>
      <c r="K27" s="602">
        <v>0</v>
      </c>
      <c r="L27" s="602">
        <v>0</v>
      </c>
      <c r="M27" s="602">
        <v>0</v>
      </c>
      <c r="N27" s="1264">
        <v>0</v>
      </c>
      <c r="O27" s="1264">
        <v>0</v>
      </c>
      <c r="P27" s="1264">
        <v>0</v>
      </c>
    </row>
    <row r="28" spans="1:16" x14ac:dyDescent="0.2">
      <c r="A28" t="s">
        <v>799</v>
      </c>
      <c r="B28" s="859">
        <f t="shared" si="0"/>
        <v>6.9000000000000006E-2</v>
      </c>
      <c r="C28" s="859">
        <v>2.9000000000000001E-2</v>
      </c>
      <c r="D28" s="859">
        <v>0</v>
      </c>
      <c r="E28" s="859">
        <v>0.04</v>
      </c>
      <c r="F28" s="859">
        <v>0</v>
      </c>
      <c r="G28" s="602">
        <v>0</v>
      </c>
      <c r="H28" s="602">
        <v>0</v>
      </c>
      <c r="I28" s="602">
        <v>0</v>
      </c>
      <c r="J28" s="602">
        <v>0</v>
      </c>
      <c r="K28" s="602">
        <v>0</v>
      </c>
      <c r="L28" s="602">
        <v>0</v>
      </c>
      <c r="M28" s="602">
        <v>0</v>
      </c>
      <c r="N28" s="1264">
        <v>0</v>
      </c>
      <c r="O28" s="1264">
        <v>0</v>
      </c>
      <c r="P28" s="1264">
        <v>0</v>
      </c>
    </row>
    <row r="29" spans="1:16" x14ac:dyDescent="0.2">
      <c r="A29" t="s">
        <v>800</v>
      </c>
      <c r="B29" s="859">
        <f t="shared" si="0"/>
        <v>4.9000000000000002E-2</v>
      </c>
      <c r="C29" s="859">
        <v>2.9000000000000001E-2</v>
      </c>
      <c r="D29" s="859">
        <v>0</v>
      </c>
      <c r="E29" s="859">
        <v>0.02</v>
      </c>
      <c r="F29" s="859">
        <v>0</v>
      </c>
      <c r="G29" s="602">
        <v>0</v>
      </c>
      <c r="H29" s="602">
        <v>0</v>
      </c>
      <c r="I29" s="602">
        <v>0</v>
      </c>
      <c r="J29" s="602">
        <v>0</v>
      </c>
      <c r="K29" s="602">
        <v>0</v>
      </c>
      <c r="L29" s="602">
        <v>0</v>
      </c>
      <c r="M29" s="602">
        <v>0</v>
      </c>
      <c r="N29" s="1264">
        <v>0</v>
      </c>
      <c r="O29" s="1264">
        <v>0</v>
      </c>
      <c r="P29" s="1264">
        <v>0</v>
      </c>
    </row>
    <row r="30" spans="1:16" x14ac:dyDescent="0.2">
      <c r="A30" t="s">
        <v>801</v>
      </c>
      <c r="B30" s="859">
        <f t="shared" si="0"/>
        <v>8.4000000000000005E-2</v>
      </c>
      <c r="C30" s="859">
        <v>2.9000000000000001E-2</v>
      </c>
      <c r="D30" s="859">
        <v>2.5000000000000001E-2</v>
      </c>
      <c r="E30" s="859">
        <v>0.03</v>
      </c>
      <c r="F30" s="859">
        <v>0</v>
      </c>
      <c r="G30" s="602">
        <v>0</v>
      </c>
      <c r="H30" s="602">
        <v>0</v>
      </c>
      <c r="I30" s="602">
        <v>0</v>
      </c>
      <c r="J30" s="602">
        <v>0</v>
      </c>
      <c r="K30" s="602">
        <v>0</v>
      </c>
      <c r="L30" s="602">
        <v>0</v>
      </c>
      <c r="M30" s="602">
        <v>0</v>
      </c>
      <c r="N30" s="1264">
        <v>0</v>
      </c>
      <c r="O30" s="1264">
        <v>0</v>
      </c>
      <c r="P30" s="1264">
        <v>0</v>
      </c>
    </row>
    <row r="31" spans="1:16" x14ac:dyDescent="0.2">
      <c r="A31" t="s">
        <v>802</v>
      </c>
      <c r="B31" s="859">
        <f t="shared" si="0"/>
        <v>8.4000000000000005E-2</v>
      </c>
      <c r="C31" s="859">
        <v>2.9000000000000001E-2</v>
      </c>
      <c r="D31" s="859">
        <v>0.01</v>
      </c>
      <c r="E31" s="859">
        <v>3.5000000000000003E-2</v>
      </c>
      <c r="F31" s="859">
        <v>0.01</v>
      </c>
      <c r="G31" s="602">
        <v>0</v>
      </c>
      <c r="H31" s="602">
        <v>0</v>
      </c>
      <c r="I31" s="602">
        <v>0</v>
      </c>
      <c r="J31" s="602">
        <v>0</v>
      </c>
      <c r="K31" s="602">
        <v>0</v>
      </c>
      <c r="L31" s="602">
        <v>0</v>
      </c>
      <c r="M31" s="602">
        <v>0</v>
      </c>
      <c r="N31" s="1264">
        <v>0</v>
      </c>
      <c r="O31" s="1264">
        <v>0</v>
      </c>
      <c r="P31" s="1264">
        <v>0</v>
      </c>
    </row>
    <row r="32" spans="1:16" x14ac:dyDescent="0.2">
      <c r="A32" t="s">
        <v>803</v>
      </c>
      <c r="B32" s="859">
        <f t="shared" si="0"/>
        <v>7.9000000000000001E-2</v>
      </c>
      <c r="C32" s="859">
        <v>2.9000000000000001E-2</v>
      </c>
      <c r="D32" s="859">
        <v>0.01</v>
      </c>
      <c r="E32" s="859">
        <v>0.04</v>
      </c>
      <c r="F32" s="859">
        <v>0</v>
      </c>
      <c r="G32" s="602">
        <v>0</v>
      </c>
      <c r="H32" s="602">
        <v>0</v>
      </c>
      <c r="I32" s="602">
        <v>0</v>
      </c>
      <c r="J32" s="602">
        <v>0</v>
      </c>
      <c r="K32" s="602">
        <v>0</v>
      </c>
      <c r="L32" s="602">
        <v>0</v>
      </c>
      <c r="M32" s="602">
        <v>0</v>
      </c>
      <c r="N32" s="1264">
        <v>0</v>
      </c>
      <c r="O32" s="1264">
        <v>0</v>
      </c>
      <c r="P32" s="1264">
        <v>0</v>
      </c>
    </row>
    <row r="33" spans="1:16" x14ac:dyDescent="0.2">
      <c r="A33" t="s">
        <v>804</v>
      </c>
      <c r="B33" s="859">
        <f t="shared" si="0"/>
        <v>6.7500000000000004E-2</v>
      </c>
      <c r="C33" s="859">
        <v>2.9000000000000001E-2</v>
      </c>
      <c r="D33" s="859">
        <v>2.5000000000000001E-3</v>
      </c>
      <c r="E33" s="859">
        <v>2.5000000000000001E-2</v>
      </c>
      <c r="F33" s="859">
        <v>1.0999999999999999E-2</v>
      </c>
      <c r="G33" s="602">
        <v>0</v>
      </c>
      <c r="H33" s="602">
        <v>0</v>
      </c>
      <c r="I33" s="602">
        <v>0</v>
      </c>
      <c r="J33" s="602">
        <v>0</v>
      </c>
      <c r="K33" s="602">
        <v>0</v>
      </c>
      <c r="L33" s="602">
        <v>0</v>
      </c>
      <c r="M33" s="602">
        <v>0</v>
      </c>
      <c r="N33" s="1264">
        <v>0</v>
      </c>
      <c r="O33" s="1264">
        <v>0</v>
      </c>
      <c r="P33" s="1264">
        <v>0</v>
      </c>
    </row>
    <row r="34" spans="1:16" x14ac:dyDescent="0.2">
      <c r="A34" t="s">
        <v>805</v>
      </c>
      <c r="B34" s="859">
        <f t="shared" si="0"/>
        <v>8.8999999999999996E-2</v>
      </c>
      <c r="C34" s="859">
        <v>2.9000000000000001E-2</v>
      </c>
      <c r="D34" s="859">
        <v>0</v>
      </c>
      <c r="E34" s="859">
        <v>0.06</v>
      </c>
      <c r="F34" s="859">
        <v>0</v>
      </c>
      <c r="G34" s="602">
        <v>0</v>
      </c>
      <c r="H34" s="602">
        <v>0</v>
      </c>
      <c r="I34" s="602">
        <v>0</v>
      </c>
      <c r="J34" s="602">
        <v>0</v>
      </c>
      <c r="K34" s="602">
        <v>0</v>
      </c>
      <c r="L34" s="602">
        <v>0</v>
      </c>
      <c r="M34" s="602">
        <v>0</v>
      </c>
      <c r="N34" s="1264">
        <v>0</v>
      </c>
      <c r="O34" s="1264">
        <v>0</v>
      </c>
      <c r="P34" s="1264">
        <v>0</v>
      </c>
    </row>
    <row r="35" spans="1:16" x14ac:dyDescent="0.2">
      <c r="A35" t="s">
        <v>806</v>
      </c>
      <c r="B35" s="859">
        <f t="shared" si="0"/>
        <v>5.6500000000000002E-2</v>
      </c>
      <c r="C35" s="859">
        <v>2.9000000000000001E-2</v>
      </c>
      <c r="D35" s="859">
        <v>2.75E-2</v>
      </c>
      <c r="E35" s="859">
        <v>0</v>
      </c>
      <c r="F35" s="859">
        <v>0</v>
      </c>
      <c r="G35" s="602">
        <v>0</v>
      </c>
      <c r="H35" s="602">
        <v>0</v>
      </c>
      <c r="I35" s="602">
        <v>0</v>
      </c>
      <c r="J35" s="602">
        <v>0</v>
      </c>
      <c r="K35" s="602">
        <v>0</v>
      </c>
      <c r="L35" s="602">
        <v>0</v>
      </c>
      <c r="M35" s="602">
        <v>0</v>
      </c>
      <c r="N35" s="1264">
        <v>0</v>
      </c>
      <c r="O35" s="1264">
        <v>0</v>
      </c>
      <c r="P35" s="1264">
        <v>0</v>
      </c>
    </row>
    <row r="36" spans="1:16" x14ac:dyDescent="0.2">
      <c r="A36" t="s">
        <v>1755</v>
      </c>
      <c r="B36" s="859">
        <f t="shared" si="0"/>
        <v>3.9E-2</v>
      </c>
      <c r="C36" s="859">
        <v>2.9000000000000001E-2</v>
      </c>
      <c r="D36" s="859">
        <v>0.01</v>
      </c>
      <c r="E36" s="859">
        <v>0</v>
      </c>
      <c r="F36" s="859">
        <v>0</v>
      </c>
      <c r="G36" s="602">
        <v>0</v>
      </c>
      <c r="H36" s="602">
        <v>0</v>
      </c>
      <c r="I36" s="602">
        <v>0</v>
      </c>
      <c r="J36" s="602">
        <v>0</v>
      </c>
      <c r="K36" s="602">
        <v>0</v>
      </c>
      <c r="L36" s="602">
        <v>0</v>
      </c>
      <c r="M36" s="602">
        <v>0</v>
      </c>
      <c r="N36" s="1264">
        <v>0</v>
      </c>
      <c r="O36" s="1264">
        <v>0</v>
      </c>
      <c r="P36" s="1264">
        <v>0</v>
      </c>
    </row>
    <row r="37" spans="1:16" x14ac:dyDescent="0.2">
      <c r="A37" t="s">
        <v>1756</v>
      </c>
      <c r="B37" s="859">
        <f t="shared" si="0"/>
        <v>2.9000000000000001E-2</v>
      </c>
      <c r="C37" s="859">
        <v>2.9000000000000001E-2</v>
      </c>
      <c r="D37" s="859">
        <v>0</v>
      </c>
      <c r="E37" s="859">
        <v>0</v>
      </c>
      <c r="F37" s="859">
        <v>0</v>
      </c>
      <c r="G37" s="602">
        <v>0</v>
      </c>
      <c r="H37" s="602">
        <v>0</v>
      </c>
      <c r="I37" s="602">
        <v>0</v>
      </c>
      <c r="J37" s="602">
        <v>0</v>
      </c>
      <c r="K37" s="602">
        <v>0</v>
      </c>
      <c r="L37" s="602">
        <v>0</v>
      </c>
      <c r="M37" s="602">
        <v>0</v>
      </c>
      <c r="N37" s="1264">
        <v>0</v>
      </c>
      <c r="O37" s="1264">
        <v>0</v>
      </c>
      <c r="P37" s="1264">
        <v>0</v>
      </c>
    </row>
    <row r="38" spans="1:16" x14ac:dyDescent="0.2">
      <c r="A38" t="s">
        <v>1757</v>
      </c>
      <c r="B38" s="859">
        <f t="shared" si="0"/>
        <v>4.9000000000000002E-2</v>
      </c>
      <c r="C38" s="859">
        <v>2.9000000000000001E-2</v>
      </c>
      <c r="D38" s="859">
        <v>0</v>
      </c>
      <c r="E38" s="859">
        <v>0.02</v>
      </c>
      <c r="F38" s="859">
        <v>0</v>
      </c>
      <c r="G38" s="602">
        <v>0</v>
      </c>
      <c r="H38" s="602">
        <v>0</v>
      </c>
      <c r="I38" s="602">
        <v>0</v>
      </c>
      <c r="J38" s="602">
        <v>0</v>
      </c>
      <c r="K38" s="602">
        <v>0</v>
      </c>
      <c r="L38" s="602">
        <v>0</v>
      </c>
      <c r="M38" s="602">
        <v>0</v>
      </c>
      <c r="N38" s="1264">
        <v>0</v>
      </c>
      <c r="O38" s="1264">
        <v>0</v>
      </c>
      <c r="P38" s="1264">
        <v>0</v>
      </c>
    </row>
    <row r="39" spans="1:16" x14ac:dyDescent="0.2">
      <c r="A39" t="s">
        <v>807</v>
      </c>
      <c r="B39" s="859">
        <f t="shared" si="0"/>
        <v>4.5499999999999999E-2</v>
      </c>
      <c r="C39" s="859">
        <v>2.9000000000000001E-2</v>
      </c>
      <c r="D39" s="859">
        <v>1.6500000000000001E-2</v>
      </c>
      <c r="E39" s="859">
        <v>0</v>
      </c>
      <c r="F39" s="859">
        <v>0</v>
      </c>
      <c r="G39" s="602">
        <v>0</v>
      </c>
      <c r="H39" s="602">
        <v>0</v>
      </c>
      <c r="I39" s="602">
        <v>0</v>
      </c>
      <c r="J39" s="602">
        <v>0</v>
      </c>
      <c r="K39" s="602">
        <v>0</v>
      </c>
      <c r="L39" s="602">
        <v>0</v>
      </c>
      <c r="M39" s="602">
        <v>0</v>
      </c>
      <c r="N39" s="1264">
        <v>0</v>
      </c>
      <c r="O39" s="1264">
        <v>0</v>
      </c>
      <c r="P39" s="1264">
        <v>0</v>
      </c>
    </row>
    <row r="40" spans="1:16" x14ac:dyDescent="0.2">
      <c r="A40" t="s">
        <v>1758</v>
      </c>
      <c r="B40" s="859">
        <f t="shared" si="0"/>
        <v>5.4000000000000006E-2</v>
      </c>
      <c r="C40" s="859">
        <v>2.9000000000000001E-2</v>
      </c>
      <c r="D40" s="859">
        <v>2.5000000000000001E-2</v>
      </c>
      <c r="E40" s="859">
        <v>0</v>
      </c>
      <c r="F40" s="859">
        <v>0</v>
      </c>
      <c r="G40" s="602">
        <v>0</v>
      </c>
      <c r="H40" s="602">
        <v>0</v>
      </c>
      <c r="I40" s="602">
        <v>0</v>
      </c>
      <c r="J40" s="602">
        <v>0</v>
      </c>
      <c r="K40" s="602">
        <v>0</v>
      </c>
      <c r="L40" s="602">
        <v>0</v>
      </c>
      <c r="M40" s="602">
        <v>0</v>
      </c>
      <c r="N40" s="1264">
        <v>0</v>
      </c>
      <c r="O40" s="1264">
        <v>0</v>
      </c>
      <c r="P40" s="1264">
        <v>0</v>
      </c>
    </row>
    <row r="41" spans="1:16" x14ac:dyDescent="0.2">
      <c r="A41" t="s">
        <v>808</v>
      </c>
      <c r="B41" s="859">
        <f t="shared" si="0"/>
        <v>8.2000000000000003E-2</v>
      </c>
      <c r="C41" s="859">
        <v>2.9000000000000001E-2</v>
      </c>
      <c r="D41" s="859">
        <v>1.23E-2</v>
      </c>
      <c r="E41" s="859">
        <v>3.0700000000000002E-2</v>
      </c>
      <c r="F41" s="859">
        <v>0.01</v>
      </c>
      <c r="G41" s="602">
        <v>0</v>
      </c>
      <c r="H41" s="602">
        <v>0</v>
      </c>
      <c r="I41" s="602">
        <v>0</v>
      </c>
      <c r="J41" s="602">
        <v>0</v>
      </c>
      <c r="K41" s="602">
        <v>0</v>
      </c>
      <c r="L41" s="602">
        <v>0</v>
      </c>
      <c r="M41" s="602">
        <v>0</v>
      </c>
      <c r="N41" s="1264">
        <v>0</v>
      </c>
      <c r="O41" s="1264">
        <v>0</v>
      </c>
      <c r="P41" s="1264">
        <v>0</v>
      </c>
    </row>
    <row r="42" spans="1:16" x14ac:dyDescent="0.2">
      <c r="A42" t="s">
        <v>809</v>
      </c>
      <c r="B42" s="859">
        <f t="shared" si="0"/>
        <v>9.2499999999999999E-2</v>
      </c>
      <c r="C42" s="859">
        <v>2.9000000000000001E-2</v>
      </c>
      <c r="D42" s="859">
        <v>7.4999999999999997E-3</v>
      </c>
      <c r="E42" s="859">
        <v>4.4999999999999998E-2</v>
      </c>
      <c r="F42" s="859">
        <v>1.0999999999999999E-2</v>
      </c>
      <c r="G42" s="602">
        <v>0</v>
      </c>
      <c r="H42" s="602">
        <v>0</v>
      </c>
      <c r="I42" s="602">
        <v>0</v>
      </c>
      <c r="J42" s="602">
        <v>0</v>
      </c>
      <c r="K42" s="602">
        <v>0</v>
      </c>
      <c r="L42" s="602">
        <v>0</v>
      </c>
      <c r="M42" s="602">
        <v>0</v>
      </c>
      <c r="N42" s="1264">
        <v>0</v>
      </c>
      <c r="O42" s="1264">
        <v>0</v>
      </c>
      <c r="P42" s="1264">
        <v>0</v>
      </c>
    </row>
    <row r="43" spans="1:16" x14ac:dyDescent="0.2">
      <c r="A43" t="s">
        <v>1759</v>
      </c>
      <c r="B43" s="859">
        <f t="shared" si="0"/>
        <v>2.9000000000000001E-2</v>
      </c>
      <c r="C43" s="859">
        <v>2.9000000000000001E-2</v>
      </c>
      <c r="D43" s="859">
        <v>0</v>
      </c>
      <c r="E43" s="859">
        <v>0</v>
      </c>
      <c r="F43" s="859">
        <v>0</v>
      </c>
      <c r="G43" s="602">
        <v>0</v>
      </c>
      <c r="H43" s="602">
        <v>0</v>
      </c>
      <c r="I43" s="602">
        <v>0</v>
      </c>
      <c r="J43" s="602">
        <v>0</v>
      </c>
      <c r="K43" s="602">
        <v>0</v>
      </c>
      <c r="L43" s="602">
        <v>0</v>
      </c>
      <c r="M43" s="602">
        <v>0</v>
      </c>
      <c r="N43" s="1264">
        <v>0</v>
      </c>
      <c r="O43" s="1264">
        <v>0</v>
      </c>
      <c r="P43" s="1264">
        <v>0</v>
      </c>
    </row>
    <row r="44" spans="1:16" x14ac:dyDescent="0.2">
      <c r="A44" t="s">
        <v>810</v>
      </c>
      <c r="B44" s="859">
        <f t="shared" si="0"/>
        <v>7.3499999999999996E-2</v>
      </c>
      <c r="C44" s="859">
        <v>2.9000000000000001E-2</v>
      </c>
      <c r="D44" s="859">
        <v>0</v>
      </c>
      <c r="E44" s="859">
        <v>4.0500000000000001E-2</v>
      </c>
      <c r="F44" s="859">
        <v>4.0000000000000001E-3</v>
      </c>
      <c r="G44" s="602">
        <v>0</v>
      </c>
      <c r="H44" s="602">
        <v>0</v>
      </c>
      <c r="I44" s="602">
        <v>0</v>
      </c>
      <c r="J44" s="602">
        <v>0</v>
      </c>
      <c r="K44" s="602">
        <v>0</v>
      </c>
      <c r="L44" s="602">
        <v>0</v>
      </c>
      <c r="M44" s="602">
        <v>0</v>
      </c>
      <c r="N44" s="1264">
        <v>0</v>
      </c>
      <c r="O44" s="1264">
        <v>0</v>
      </c>
      <c r="P44" s="1264">
        <v>0</v>
      </c>
    </row>
    <row r="45" spans="1:16" x14ac:dyDescent="0.2">
      <c r="A45" t="s">
        <v>811</v>
      </c>
      <c r="B45" s="859">
        <f t="shared" si="0"/>
        <v>3.9E-2</v>
      </c>
      <c r="C45" s="859">
        <v>2.9000000000000001E-2</v>
      </c>
      <c r="D45" s="859">
        <v>0.01</v>
      </c>
      <c r="E45" s="859">
        <v>0</v>
      </c>
      <c r="F45" s="859">
        <v>0</v>
      </c>
      <c r="G45" s="602">
        <v>0</v>
      </c>
      <c r="H45" s="602">
        <v>0</v>
      </c>
      <c r="I45" s="602">
        <v>0</v>
      </c>
      <c r="J45" s="602">
        <v>0</v>
      </c>
      <c r="K45" s="602">
        <v>0</v>
      </c>
      <c r="L45" s="602">
        <v>0</v>
      </c>
      <c r="M45" s="602">
        <v>0</v>
      </c>
      <c r="N45" s="1264">
        <v>0</v>
      </c>
      <c r="O45" s="1264">
        <v>0</v>
      </c>
      <c r="P45" s="1264">
        <v>0</v>
      </c>
    </row>
    <row r="46" spans="1:16" x14ac:dyDescent="0.2">
      <c r="A46" t="s">
        <v>812</v>
      </c>
      <c r="B46" s="859">
        <f t="shared" si="0"/>
        <v>8.8999999999999996E-2</v>
      </c>
      <c r="C46" s="859">
        <v>2.9000000000000001E-2</v>
      </c>
      <c r="D46" s="859">
        <v>0.02</v>
      </c>
      <c r="E46" s="859">
        <v>0.04</v>
      </c>
      <c r="F46" s="859">
        <v>0</v>
      </c>
      <c r="G46" s="602">
        <v>0</v>
      </c>
      <c r="H46" s="602">
        <v>0</v>
      </c>
      <c r="I46" s="602">
        <v>0</v>
      </c>
      <c r="J46" s="602">
        <v>0</v>
      </c>
      <c r="K46" s="602">
        <v>0</v>
      </c>
      <c r="L46" s="602">
        <v>0</v>
      </c>
      <c r="M46" s="602">
        <v>0</v>
      </c>
      <c r="N46" s="1264">
        <v>0</v>
      </c>
      <c r="O46" s="1264">
        <v>0</v>
      </c>
      <c r="P46" s="1264">
        <v>0</v>
      </c>
    </row>
    <row r="47" spans="1:16" x14ac:dyDescent="0.2">
      <c r="A47" t="s">
        <v>813</v>
      </c>
      <c r="B47" s="859">
        <f t="shared" si="0"/>
        <v>9.9000000000000005E-2</v>
      </c>
      <c r="C47" s="859">
        <v>2.9000000000000001E-2</v>
      </c>
      <c r="D47" s="859">
        <v>0.01</v>
      </c>
      <c r="E47" s="859">
        <v>0.05</v>
      </c>
      <c r="F47" s="859">
        <v>0.01</v>
      </c>
      <c r="G47" s="602">
        <v>0</v>
      </c>
      <c r="H47" s="602">
        <v>0</v>
      </c>
      <c r="I47" s="602">
        <v>0</v>
      </c>
      <c r="J47" s="602">
        <v>0</v>
      </c>
      <c r="K47" s="602">
        <v>0</v>
      </c>
      <c r="L47" s="602">
        <v>0</v>
      </c>
      <c r="M47" s="602">
        <v>0</v>
      </c>
      <c r="N47" s="1264">
        <v>0</v>
      </c>
      <c r="O47" s="1264">
        <v>0</v>
      </c>
      <c r="P47" s="1264">
        <v>0</v>
      </c>
    </row>
    <row r="48" spans="1:16" x14ac:dyDescent="0.2">
      <c r="A48" t="s">
        <v>1760</v>
      </c>
      <c r="B48" s="859">
        <f t="shared" si="0"/>
        <v>4.9000000000000002E-2</v>
      </c>
      <c r="C48" s="859">
        <v>2.9000000000000001E-2</v>
      </c>
      <c r="D48" s="859">
        <v>0.02</v>
      </c>
      <c r="E48" s="859">
        <v>0</v>
      </c>
      <c r="F48" s="859">
        <v>0</v>
      </c>
      <c r="G48" s="602">
        <v>0</v>
      </c>
      <c r="H48" s="602">
        <v>0</v>
      </c>
      <c r="I48" s="602">
        <v>0</v>
      </c>
      <c r="J48" s="602">
        <v>0</v>
      </c>
      <c r="K48" s="602">
        <v>0</v>
      </c>
      <c r="L48" s="602">
        <v>0</v>
      </c>
      <c r="M48" s="602">
        <v>0</v>
      </c>
      <c r="N48" s="1264">
        <v>0</v>
      </c>
      <c r="O48" s="1264">
        <v>0</v>
      </c>
      <c r="P48" s="1264">
        <v>0</v>
      </c>
    </row>
    <row r="49" spans="1:16" x14ac:dyDescent="0.2">
      <c r="A49" t="s">
        <v>814</v>
      </c>
      <c r="B49" s="859">
        <f t="shared" si="0"/>
        <v>4.9000000000000002E-2</v>
      </c>
      <c r="C49" s="859">
        <v>2.9000000000000001E-2</v>
      </c>
      <c r="D49" s="859">
        <v>0.02</v>
      </c>
      <c r="E49" s="859">
        <v>0</v>
      </c>
      <c r="F49" s="859">
        <v>0</v>
      </c>
      <c r="G49" s="602">
        <v>0</v>
      </c>
      <c r="H49" s="602">
        <v>0</v>
      </c>
      <c r="I49" s="602">
        <v>0</v>
      </c>
      <c r="J49" s="602">
        <v>0</v>
      </c>
      <c r="K49" s="602">
        <v>0</v>
      </c>
      <c r="L49" s="602">
        <v>0</v>
      </c>
      <c r="M49" s="602">
        <v>0</v>
      </c>
      <c r="N49" s="1264">
        <v>0</v>
      </c>
      <c r="O49" s="1264">
        <v>0</v>
      </c>
      <c r="P49" s="1264">
        <v>0</v>
      </c>
    </row>
    <row r="50" spans="1:16" x14ac:dyDescent="0.2">
      <c r="A50" t="s">
        <v>815</v>
      </c>
      <c r="B50" s="859">
        <f t="shared" si="0"/>
        <v>5.8999999999999997E-2</v>
      </c>
      <c r="C50" s="859">
        <v>2.9000000000000001E-2</v>
      </c>
      <c r="D50" s="859">
        <v>0</v>
      </c>
      <c r="E50" s="859">
        <v>0.03</v>
      </c>
      <c r="F50" s="859">
        <v>0</v>
      </c>
      <c r="G50" s="602">
        <v>0</v>
      </c>
      <c r="H50" s="602">
        <v>0</v>
      </c>
      <c r="I50" s="602">
        <v>0</v>
      </c>
      <c r="J50" s="602">
        <v>0</v>
      </c>
      <c r="K50" s="602">
        <v>0</v>
      </c>
      <c r="L50" s="602">
        <v>0</v>
      </c>
      <c r="M50" s="602">
        <v>0</v>
      </c>
      <c r="N50" s="1264">
        <v>0</v>
      </c>
      <c r="O50" s="1264">
        <v>0</v>
      </c>
      <c r="P50" s="1264">
        <v>0</v>
      </c>
    </row>
    <row r="51" spans="1:16" x14ac:dyDescent="0.2">
      <c r="A51" t="s">
        <v>816</v>
      </c>
      <c r="B51" s="859">
        <f t="shared" si="0"/>
        <v>7.4999999999999997E-2</v>
      </c>
      <c r="C51" s="859">
        <v>2.9000000000000001E-2</v>
      </c>
      <c r="D51" s="859">
        <v>2.5999999999999999E-2</v>
      </c>
      <c r="E51" s="859">
        <v>0.02</v>
      </c>
      <c r="F51" s="859">
        <v>0</v>
      </c>
      <c r="G51" s="602">
        <v>0</v>
      </c>
      <c r="H51" s="602">
        <v>0</v>
      </c>
      <c r="I51" s="602">
        <v>0</v>
      </c>
      <c r="J51" s="602">
        <v>0</v>
      </c>
      <c r="K51" s="602">
        <v>0</v>
      </c>
      <c r="L51" s="602">
        <v>0</v>
      </c>
      <c r="M51" s="602">
        <v>0</v>
      </c>
      <c r="N51" s="1264">
        <v>0</v>
      </c>
      <c r="O51" s="1264">
        <v>0</v>
      </c>
      <c r="P51" s="1264">
        <v>0</v>
      </c>
    </row>
    <row r="52" spans="1:16" x14ac:dyDescent="0.2">
      <c r="A52" t="s">
        <v>197</v>
      </c>
      <c r="B52" s="859">
        <f t="shared" si="0"/>
        <v>8.6999999999999994E-2</v>
      </c>
      <c r="C52" s="859">
        <v>2.9000000000000001E-2</v>
      </c>
      <c r="D52" s="859">
        <v>0.02</v>
      </c>
      <c r="E52" s="859">
        <v>0.03</v>
      </c>
      <c r="F52" s="859">
        <v>8.0000000000000002E-3</v>
      </c>
      <c r="G52" s="602">
        <v>0</v>
      </c>
      <c r="H52" s="602">
        <v>0</v>
      </c>
      <c r="I52" s="602">
        <v>0</v>
      </c>
      <c r="J52" s="602">
        <v>0</v>
      </c>
      <c r="K52" s="602">
        <v>0</v>
      </c>
      <c r="L52" s="602">
        <v>0</v>
      </c>
      <c r="M52" s="602">
        <v>0</v>
      </c>
      <c r="N52" s="1264">
        <v>0</v>
      </c>
      <c r="O52" s="1264">
        <v>0</v>
      </c>
      <c r="P52" s="1264">
        <v>0</v>
      </c>
    </row>
    <row r="53" spans="1:16" x14ac:dyDescent="0.2">
      <c r="A53" t="s">
        <v>817</v>
      </c>
      <c r="B53" s="859">
        <f t="shared" si="0"/>
        <v>4.9000000000000002E-2</v>
      </c>
      <c r="C53" s="859">
        <v>2.9000000000000001E-2</v>
      </c>
      <c r="D53" s="859">
        <v>0.02</v>
      </c>
      <c r="E53" s="859">
        <v>0</v>
      </c>
      <c r="F53" s="859">
        <v>0</v>
      </c>
      <c r="G53" s="602">
        <v>0</v>
      </c>
      <c r="H53" s="602">
        <v>0</v>
      </c>
      <c r="I53" s="602">
        <v>0</v>
      </c>
      <c r="J53" s="602">
        <v>0</v>
      </c>
      <c r="K53" s="602">
        <v>0</v>
      </c>
      <c r="L53" s="602">
        <v>0</v>
      </c>
      <c r="M53" s="602">
        <v>0</v>
      </c>
      <c r="N53" s="1264">
        <v>0</v>
      </c>
      <c r="O53" s="1264">
        <v>0</v>
      </c>
      <c r="P53" s="1264">
        <v>0</v>
      </c>
    </row>
    <row r="54" spans="1:16" x14ac:dyDescent="0.2">
      <c r="A54" s="356" t="s">
        <v>2150</v>
      </c>
      <c r="B54" s="859">
        <f t="shared" si="0"/>
        <v>5.91E-2</v>
      </c>
      <c r="C54" s="859">
        <v>0</v>
      </c>
      <c r="D54" s="859">
        <v>0</v>
      </c>
      <c r="E54" s="859">
        <v>4.8099999999999997E-2</v>
      </c>
      <c r="F54" s="859">
        <v>1.0999999999999999E-2</v>
      </c>
      <c r="G54" s="602">
        <f>'Heating Recap'!$F$60</f>
        <v>3457</v>
      </c>
      <c r="H54" s="602">
        <f>'Plumbing Recap'!$F$57</f>
        <v>3932</v>
      </c>
      <c r="I54" s="602">
        <f>'ALT #1'!$B$106</f>
        <v>2523</v>
      </c>
      <c r="J54" s="602" t="e">
        <f>'ALT #2'!$B$106</f>
        <v>#N/A</v>
      </c>
      <c r="K54" s="602">
        <f>'ALT #3'!$B$106</f>
        <v>131</v>
      </c>
      <c r="L54" s="602" t="e">
        <f>'ALT #4'!$B$106</f>
        <v>#N/A</v>
      </c>
      <c r="M54" s="602">
        <f>'ALT #5'!$B$106</f>
        <v>20</v>
      </c>
      <c r="N54" s="1264">
        <f>'ALT #6'!$B$106</f>
        <v>20</v>
      </c>
      <c r="O54" s="1264">
        <f>'ALT #7'!$B$106</f>
        <v>20</v>
      </c>
      <c r="P54" s="1264">
        <f>'ALT #8'!$B$106</f>
        <v>20</v>
      </c>
    </row>
    <row r="55" spans="1:16" x14ac:dyDescent="0.2">
      <c r="A55" s="356" t="s">
        <v>2151</v>
      </c>
      <c r="B55" s="859">
        <f t="shared" si="0"/>
        <v>8.8099999999999998E-2</v>
      </c>
      <c r="C55" s="859">
        <v>2.9000000000000001E-2</v>
      </c>
      <c r="D55" s="859">
        <v>0</v>
      </c>
      <c r="E55" s="859">
        <v>4.8099999999999997E-2</v>
      </c>
      <c r="F55" s="859">
        <v>1.0999999999999999E-2</v>
      </c>
      <c r="G55" s="602">
        <f>'Heating Recap'!$F$60</f>
        <v>3457</v>
      </c>
      <c r="H55" s="602">
        <f>'Plumbing Recap'!$F$57</f>
        <v>3932</v>
      </c>
      <c r="I55" s="602">
        <f>'ALT #1'!$B$106</f>
        <v>2523</v>
      </c>
      <c r="J55" s="602" t="e">
        <f>'ALT #2'!$B$106</f>
        <v>#N/A</v>
      </c>
      <c r="K55" s="602">
        <f>'ALT #3'!$B$106</f>
        <v>131</v>
      </c>
      <c r="L55" s="602" t="e">
        <f>'ALT #4'!$B$106</f>
        <v>#N/A</v>
      </c>
      <c r="M55" s="602">
        <f>'ALT #5'!$B$106</f>
        <v>20</v>
      </c>
      <c r="N55" s="1264">
        <f>'ALT #6'!$B$106</f>
        <v>20</v>
      </c>
      <c r="O55" s="1264">
        <f>'ALT #7'!$B$106</f>
        <v>20</v>
      </c>
      <c r="P55" s="1264">
        <f>'ALT #8'!$B$106</f>
        <v>20</v>
      </c>
    </row>
    <row r="56" spans="1:16" x14ac:dyDescent="0.2">
      <c r="A56" s="356" t="s">
        <v>2320</v>
      </c>
      <c r="B56" s="859">
        <f t="shared" si="0"/>
        <v>2.9000000000000001E-2</v>
      </c>
      <c r="C56" s="859">
        <v>2.9000000000000001E-2</v>
      </c>
      <c r="D56" s="859">
        <v>0</v>
      </c>
      <c r="E56" s="859">
        <v>0</v>
      </c>
      <c r="F56" s="859">
        <v>0</v>
      </c>
      <c r="G56" s="602">
        <f>'Heating Recap'!$F$60</f>
        <v>3457</v>
      </c>
      <c r="H56" s="602">
        <f>'Plumbing Recap'!$F$57</f>
        <v>3932</v>
      </c>
      <c r="I56" s="602">
        <f>'ALT #1'!$B$106</f>
        <v>2523</v>
      </c>
      <c r="J56" s="602" t="e">
        <f>'ALT #2'!$B$106</f>
        <v>#N/A</v>
      </c>
      <c r="K56" s="602">
        <f>'ALT #3'!$B$106</f>
        <v>131</v>
      </c>
      <c r="L56" s="602" t="e">
        <f>'ALT #4'!$B$106</f>
        <v>#N/A</v>
      </c>
      <c r="M56" s="602">
        <f>'ALT #5'!$B$106</f>
        <v>20</v>
      </c>
      <c r="N56" s="1264">
        <f>'ALT #6'!$B$106</f>
        <v>20</v>
      </c>
      <c r="O56" s="1264">
        <f>'ALT #7'!$B$106</f>
        <v>20</v>
      </c>
      <c r="P56" s="1264">
        <f>'ALT #8'!$B$106</f>
        <v>20</v>
      </c>
    </row>
    <row r="57" spans="1:16" x14ac:dyDescent="0.2">
      <c r="A57" t="s">
        <v>1761</v>
      </c>
      <c r="B57" s="859">
        <f t="shared" si="0"/>
        <v>2.9000000000000001E-2</v>
      </c>
      <c r="C57" s="859">
        <v>2.9000000000000001E-2</v>
      </c>
      <c r="D57" s="859">
        <v>0</v>
      </c>
      <c r="E57" s="859">
        <v>0</v>
      </c>
      <c r="F57" s="859">
        <v>0</v>
      </c>
      <c r="G57" s="602">
        <v>0</v>
      </c>
      <c r="H57" s="602">
        <v>0</v>
      </c>
      <c r="I57" s="602">
        <v>0</v>
      </c>
      <c r="J57" s="602">
        <v>0</v>
      </c>
      <c r="K57" s="602">
        <v>0</v>
      </c>
      <c r="L57" s="602">
        <v>0</v>
      </c>
      <c r="M57" s="602">
        <v>0</v>
      </c>
      <c r="N57" s="1264">
        <v>0</v>
      </c>
      <c r="O57" s="1264">
        <v>0</v>
      </c>
      <c r="P57" s="1264">
        <v>0</v>
      </c>
    </row>
    <row r="58" spans="1:16" x14ac:dyDescent="0.2">
      <c r="A58" t="s">
        <v>818</v>
      </c>
      <c r="B58" s="859">
        <f t="shared" si="0"/>
        <v>0.05</v>
      </c>
      <c r="C58" s="859">
        <v>2.9000000000000001E-2</v>
      </c>
      <c r="D58" s="859">
        <v>0.01</v>
      </c>
      <c r="E58" s="859">
        <v>0</v>
      </c>
      <c r="F58" s="859">
        <v>1.0999999999999999E-2</v>
      </c>
      <c r="G58" s="602">
        <v>0</v>
      </c>
      <c r="H58" s="602">
        <v>0</v>
      </c>
      <c r="I58" s="602">
        <v>0</v>
      </c>
      <c r="J58" s="602">
        <v>0</v>
      </c>
      <c r="K58" s="602">
        <v>0</v>
      </c>
      <c r="L58" s="602">
        <v>0</v>
      </c>
      <c r="M58" s="602">
        <v>0</v>
      </c>
      <c r="N58" s="1264">
        <v>0</v>
      </c>
      <c r="O58" s="1264">
        <v>0</v>
      </c>
      <c r="P58" s="1264">
        <v>0</v>
      </c>
    </row>
    <row r="59" spans="1:16" x14ac:dyDescent="0.2">
      <c r="A59" t="s">
        <v>819</v>
      </c>
      <c r="B59" s="859">
        <f t="shared" si="0"/>
        <v>0.04</v>
      </c>
      <c r="C59" s="859">
        <v>2.9000000000000001E-2</v>
      </c>
      <c r="D59" s="859">
        <v>0.01</v>
      </c>
      <c r="E59" s="859">
        <v>0</v>
      </c>
      <c r="F59" s="859">
        <v>1E-3</v>
      </c>
      <c r="G59" s="602">
        <v>0</v>
      </c>
      <c r="H59" s="602">
        <v>0</v>
      </c>
      <c r="I59" s="602">
        <v>0</v>
      </c>
      <c r="J59" s="602">
        <v>0</v>
      </c>
      <c r="K59" s="602">
        <v>0</v>
      </c>
      <c r="L59" s="602">
        <v>0</v>
      </c>
      <c r="M59" s="602">
        <v>0</v>
      </c>
      <c r="N59" s="1264">
        <v>0</v>
      </c>
      <c r="O59" s="1264">
        <v>0</v>
      </c>
      <c r="P59" s="1264">
        <v>0</v>
      </c>
    </row>
    <row r="60" spans="1:16" x14ac:dyDescent="0.2">
      <c r="A60" t="s">
        <v>820</v>
      </c>
      <c r="B60" s="859">
        <f t="shared" si="0"/>
        <v>8.4000000000000005E-2</v>
      </c>
      <c r="C60" s="859">
        <v>2.9000000000000001E-2</v>
      </c>
      <c r="D60" s="859">
        <v>0.02</v>
      </c>
      <c r="E60" s="859">
        <v>3.5000000000000003E-2</v>
      </c>
      <c r="F60" s="859">
        <v>0</v>
      </c>
      <c r="G60" s="602">
        <v>0</v>
      </c>
      <c r="H60" s="602">
        <v>0</v>
      </c>
      <c r="I60" s="602">
        <v>0</v>
      </c>
      <c r="J60" s="602">
        <v>0</v>
      </c>
      <c r="K60" s="602">
        <v>0</v>
      </c>
      <c r="L60" s="602">
        <v>0</v>
      </c>
      <c r="M60" s="602">
        <v>0</v>
      </c>
      <c r="N60" s="1264">
        <v>0</v>
      </c>
      <c r="O60" s="1264">
        <v>0</v>
      </c>
      <c r="P60" s="1264">
        <v>0</v>
      </c>
    </row>
    <row r="61" spans="1:16" x14ac:dyDescent="0.2">
      <c r="A61" t="s">
        <v>821</v>
      </c>
      <c r="B61" s="859">
        <f t="shared" si="0"/>
        <v>8.8999999999999996E-2</v>
      </c>
      <c r="C61" s="859">
        <v>2.9000000000000001E-2</v>
      </c>
      <c r="D61" s="859">
        <v>0.01</v>
      </c>
      <c r="E61" s="859">
        <v>4.4999999999999998E-2</v>
      </c>
      <c r="F61" s="859">
        <v>5.0000000000000001E-3</v>
      </c>
      <c r="G61" s="602">
        <v>0</v>
      </c>
      <c r="H61" s="602">
        <v>0</v>
      </c>
      <c r="I61" s="602">
        <v>0</v>
      </c>
      <c r="J61" s="602">
        <v>0</v>
      </c>
      <c r="K61" s="602">
        <v>0</v>
      </c>
      <c r="L61" s="602">
        <v>0</v>
      </c>
      <c r="M61" s="602">
        <v>0</v>
      </c>
      <c r="N61" s="1264">
        <v>0</v>
      </c>
      <c r="O61" s="1264">
        <v>0</v>
      </c>
      <c r="P61" s="1264">
        <v>0</v>
      </c>
    </row>
    <row r="62" spans="1:16" x14ac:dyDescent="0.2">
      <c r="A62" t="s">
        <v>822</v>
      </c>
      <c r="B62" s="859">
        <f t="shared" si="0"/>
        <v>4.3999999999999997E-2</v>
      </c>
      <c r="C62" s="859">
        <v>2.9000000000000001E-2</v>
      </c>
      <c r="D62" s="859">
        <v>0.01</v>
      </c>
      <c r="E62" s="859">
        <v>0</v>
      </c>
      <c r="F62" s="859">
        <v>5.0000000000000001E-3</v>
      </c>
      <c r="G62" s="602">
        <v>0</v>
      </c>
      <c r="H62" s="602">
        <v>0</v>
      </c>
      <c r="I62" s="602">
        <v>0</v>
      </c>
      <c r="J62" s="602">
        <v>0</v>
      </c>
      <c r="K62" s="602">
        <v>0</v>
      </c>
      <c r="L62" s="602">
        <v>0</v>
      </c>
      <c r="M62" s="602">
        <v>0</v>
      </c>
      <c r="N62" s="1264">
        <v>0</v>
      </c>
      <c r="O62" s="1264">
        <v>0</v>
      </c>
      <c r="P62" s="1264">
        <v>0</v>
      </c>
    </row>
    <row r="63" spans="1:16" x14ac:dyDescent="0.2">
      <c r="A63" t="s">
        <v>823</v>
      </c>
      <c r="B63" s="859">
        <f t="shared" si="0"/>
        <v>5.8999999999999997E-2</v>
      </c>
      <c r="C63" s="859">
        <v>2.9000000000000001E-2</v>
      </c>
      <c r="D63" s="859">
        <v>0</v>
      </c>
      <c r="E63" s="859">
        <v>0.03</v>
      </c>
      <c r="F63" s="859">
        <v>0</v>
      </c>
      <c r="G63" s="602">
        <v>0</v>
      </c>
      <c r="H63" s="602">
        <v>0</v>
      </c>
      <c r="I63" s="602">
        <v>0</v>
      </c>
      <c r="J63" s="602">
        <v>0</v>
      </c>
      <c r="K63" s="602">
        <v>0</v>
      </c>
      <c r="L63" s="602">
        <v>0</v>
      </c>
      <c r="M63" s="602">
        <v>0</v>
      </c>
      <c r="N63" s="1264">
        <v>0</v>
      </c>
      <c r="O63" s="1264">
        <v>0</v>
      </c>
      <c r="P63" s="1264">
        <v>0</v>
      </c>
    </row>
    <row r="64" spans="1:16" x14ac:dyDescent="0.2">
      <c r="A64" t="s">
        <v>824</v>
      </c>
      <c r="B64" s="859">
        <f t="shared" si="0"/>
        <v>4.3999999999999997E-2</v>
      </c>
      <c r="C64" s="859">
        <v>2.9000000000000001E-2</v>
      </c>
      <c r="D64" s="859">
        <v>0.01</v>
      </c>
      <c r="E64" s="859">
        <v>0</v>
      </c>
      <c r="F64" s="859">
        <v>5.0000000000000001E-3</v>
      </c>
      <c r="G64" s="602">
        <v>0</v>
      </c>
      <c r="H64" s="602">
        <v>0</v>
      </c>
      <c r="I64" s="602">
        <v>0</v>
      </c>
      <c r="J64" s="602">
        <v>0</v>
      </c>
      <c r="K64" s="602">
        <v>0</v>
      </c>
      <c r="L64" s="602">
        <v>0</v>
      </c>
      <c r="M64" s="602">
        <v>0</v>
      </c>
      <c r="N64" s="1264">
        <v>0</v>
      </c>
      <c r="O64" s="1264">
        <v>0</v>
      </c>
      <c r="P64" s="1264">
        <v>0</v>
      </c>
    </row>
    <row r="65" spans="1:16" x14ac:dyDescent="0.2">
      <c r="A65" t="s">
        <v>825</v>
      </c>
      <c r="B65" s="859">
        <f t="shared" si="0"/>
        <v>5.1299999999999998E-2</v>
      </c>
      <c r="C65" s="859">
        <v>2.9000000000000001E-2</v>
      </c>
      <c r="D65" s="859">
        <v>1.23E-2</v>
      </c>
      <c r="E65" s="859">
        <v>0</v>
      </c>
      <c r="F65" s="859">
        <v>0.01</v>
      </c>
      <c r="G65" s="602">
        <v>0</v>
      </c>
      <c r="H65" s="602">
        <v>0</v>
      </c>
      <c r="I65" s="602">
        <v>0</v>
      </c>
      <c r="J65" s="602">
        <v>0</v>
      </c>
      <c r="K65" s="602">
        <v>0</v>
      </c>
      <c r="L65" s="602">
        <v>0</v>
      </c>
      <c r="M65" s="602">
        <v>0</v>
      </c>
      <c r="N65" s="1264">
        <v>0</v>
      </c>
      <c r="O65" s="1264">
        <v>0</v>
      </c>
      <c r="P65" s="1264">
        <v>0</v>
      </c>
    </row>
    <row r="66" spans="1:16" x14ac:dyDescent="0.2">
      <c r="A66" t="s">
        <v>826</v>
      </c>
      <c r="B66" s="859">
        <f t="shared" si="0"/>
        <v>3.9E-2</v>
      </c>
      <c r="C66" s="859">
        <v>2.9000000000000001E-2</v>
      </c>
      <c r="D66" s="859">
        <v>0.01</v>
      </c>
      <c r="E66" s="859">
        <v>0</v>
      </c>
      <c r="F66" s="859">
        <v>0</v>
      </c>
      <c r="G66" s="602">
        <v>0</v>
      </c>
      <c r="H66" s="602">
        <v>0</v>
      </c>
      <c r="I66" s="602">
        <v>0</v>
      </c>
      <c r="J66" s="602">
        <v>0</v>
      </c>
      <c r="K66" s="602">
        <v>0</v>
      </c>
      <c r="L66" s="602">
        <v>0</v>
      </c>
      <c r="M66" s="602">
        <v>0</v>
      </c>
      <c r="N66" s="1264">
        <v>0</v>
      </c>
      <c r="O66" s="1264">
        <v>0</v>
      </c>
      <c r="P66" s="1264">
        <v>0</v>
      </c>
    </row>
    <row r="67" spans="1:16" x14ac:dyDescent="0.2">
      <c r="A67" t="s">
        <v>827</v>
      </c>
      <c r="B67" s="859">
        <f t="shared" si="0"/>
        <v>9.5500000000000002E-2</v>
      </c>
      <c r="C67" s="859">
        <v>2.9000000000000001E-2</v>
      </c>
      <c r="D67" s="859">
        <v>1.6500000000000001E-2</v>
      </c>
      <c r="E67" s="859">
        <v>0.05</v>
      </c>
      <c r="F67" s="859">
        <v>0</v>
      </c>
      <c r="G67" s="602">
        <v>0</v>
      </c>
      <c r="H67" s="602">
        <v>0</v>
      </c>
      <c r="I67" s="602">
        <v>0</v>
      </c>
      <c r="J67" s="602">
        <v>0</v>
      </c>
      <c r="K67" s="602">
        <v>0</v>
      </c>
      <c r="L67" s="602">
        <v>0</v>
      </c>
      <c r="M67" s="602">
        <v>0</v>
      </c>
      <c r="N67" s="1264">
        <v>0</v>
      </c>
      <c r="O67" s="1264">
        <v>0</v>
      </c>
      <c r="P67" s="1264">
        <v>0</v>
      </c>
    </row>
    <row r="68" spans="1:16" x14ac:dyDescent="0.2">
      <c r="A68" t="s">
        <v>828</v>
      </c>
      <c r="B68" s="859">
        <f t="shared" ref="B68:B131" si="1">F68+E68+D68+C68</f>
        <v>7.7499999999999999E-2</v>
      </c>
      <c r="C68" s="859">
        <v>2.9000000000000001E-2</v>
      </c>
      <c r="D68" s="859">
        <v>2.5000000000000001E-3</v>
      </c>
      <c r="E68" s="859">
        <v>3.5000000000000003E-2</v>
      </c>
      <c r="F68" s="859">
        <v>1.0999999999999999E-2</v>
      </c>
      <c r="G68" s="602">
        <v>0</v>
      </c>
      <c r="H68" s="602">
        <v>0</v>
      </c>
      <c r="I68" s="602">
        <v>0</v>
      </c>
      <c r="J68" s="602">
        <v>0</v>
      </c>
      <c r="K68" s="602">
        <v>0</v>
      </c>
      <c r="L68" s="602">
        <v>0</v>
      </c>
      <c r="M68" s="602">
        <v>0</v>
      </c>
      <c r="N68" s="1264">
        <v>0</v>
      </c>
      <c r="O68" s="1264">
        <v>0</v>
      </c>
      <c r="P68" s="1264">
        <v>0</v>
      </c>
    </row>
    <row r="69" spans="1:16" x14ac:dyDescent="0.2">
      <c r="A69" t="s">
        <v>829</v>
      </c>
      <c r="B69" s="859">
        <f t="shared" si="1"/>
        <v>7.400000000000001E-2</v>
      </c>
      <c r="C69" s="859">
        <v>2.9000000000000001E-2</v>
      </c>
      <c r="D69" s="859">
        <v>0</v>
      </c>
      <c r="E69" s="859">
        <v>3.5000000000000003E-2</v>
      </c>
      <c r="F69" s="859">
        <v>0.01</v>
      </c>
      <c r="G69" s="602">
        <v>0</v>
      </c>
      <c r="H69" s="602">
        <v>0</v>
      </c>
      <c r="I69" s="602">
        <v>0</v>
      </c>
      <c r="J69" s="602">
        <v>0</v>
      </c>
      <c r="K69" s="602">
        <v>0</v>
      </c>
      <c r="L69" s="602">
        <v>0</v>
      </c>
      <c r="M69" s="602">
        <v>0</v>
      </c>
      <c r="N69" s="1264">
        <v>0</v>
      </c>
      <c r="O69" s="1264">
        <v>0</v>
      </c>
      <c r="P69" s="1264">
        <v>0</v>
      </c>
    </row>
    <row r="70" spans="1:16" x14ac:dyDescent="0.2">
      <c r="A70" t="s">
        <v>830</v>
      </c>
      <c r="B70" s="859">
        <f t="shared" si="1"/>
        <v>8.7000000000000008E-2</v>
      </c>
      <c r="C70" s="859">
        <v>2.9000000000000001E-2</v>
      </c>
      <c r="D70" s="859">
        <v>8.0000000000000002E-3</v>
      </c>
      <c r="E70" s="859">
        <v>0.05</v>
      </c>
      <c r="F70" s="859">
        <v>0</v>
      </c>
      <c r="G70" s="602">
        <v>0</v>
      </c>
      <c r="H70" s="602">
        <v>0</v>
      </c>
      <c r="I70" s="602">
        <v>0</v>
      </c>
      <c r="J70" s="602">
        <v>0</v>
      </c>
      <c r="K70" s="602">
        <v>0</v>
      </c>
      <c r="L70" s="602">
        <v>0</v>
      </c>
      <c r="M70" s="602">
        <v>0</v>
      </c>
      <c r="N70" s="1264">
        <v>0</v>
      </c>
      <c r="O70" s="1264">
        <v>0</v>
      </c>
      <c r="P70" s="1264">
        <v>0</v>
      </c>
    </row>
    <row r="71" spans="1:16" x14ac:dyDescent="0.2">
      <c r="A71" t="s">
        <v>831</v>
      </c>
      <c r="B71" s="859">
        <f t="shared" si="1"/>
        <v>7.3999999999999996E-2</v>
      </c>
      <c r="C71" s="859">
        <v>2.9000000000000001E-2</v>
      </c>
      <c r="D71" s="859">
        <v>0</v>
      </c>
      <c r="E71" s="859">
        <v>4.4999999999999998E-2</v>
      </c>
      <c r="F71" s="859">
        <v>0</v>
      </c>
      <c r="G71" s="602">
        <v>0</v>
      </c>
      <c r="H71" s="602">
        <v>0</v>
      </c>
      <c r="I71" s="602">
        <v>0</v>
      </c>
      <c r="J71" s="602">
        <v>0</v>
      </c>
      <c r="K71" s="602">
        <v>0</v>
      </c>
      <c r="L71" s="602">
        <v>0</v>
      </c>
      <c r="M71" s="602">
        <v>0</v>
      </c>
      <c r="N71" s="1264">
        <v>0</v>
      </c>
      <c r="O71" s="1264">
        <v>0</v>
      </c>
      <c r="P71" s="1264">
        <v>0</v>
      </c>
    </row>
    <row r="72" spans="1:16" x14ac:dyDescent="0.2">
      <c r="A72" t="s">
        <v>1762</v>
      </c>
      <c r="B72" s="859">
        <f t="shared" si="1"/>
        <v>4.9000000000000002E-2</v>
      </c>
      <c r="C72" s="859">
        <v>2.9000000000000001E-2</v>
      </c>
      <c r="D72" s="859">
        <v>0.01</v>
      </c>
      <c r="E72" s="859">
        <v>0</v>
      </c>
      <c r="F72" s="859">
        <v>0.01</v>
      </c>
      <c r="G72" s="602">
        <v>0</v>
      </c>
      <c r="H72" s="602">
        <v>0</v>
      </c>
      <c r="I72" s="602">
        <v>0</v>
      </c>
      <c r="J72" s="602">
        <v>0</v>
      </c>
      <c r="K72" s="602">
        <v>0</v>
      </c>
      <c r="L72" s="602">
        <v>0</v>
      </c>
      <c r="M72" s="602">
        <v>0</v>
      </c>
      <c r="N72" s="1264">
        <v>0</v>
      </c>
      <c r="O72" s="1264">
        <v>0</v>
      </c>
      <c r="P72" s="1264">
        <v>0</v>
      </c>
    </row>
    <row r="73" spans="1:16" x14ac:dyDescent="0.2">
      <c r="A73" t="s">
        <v>832</v>
      </c>
      <c r="B73" s="859">
        <f t="shared" si="1"/>
        <v>8.7500000000000008E-2</v>
      </c>
      <c r="C73" s="859">
        <v>2.9000000000000001E-2</v>
      </c>
      <c r="D73" s="859">
        <v>7.4999999999999997E-3</v>
      </c>
      <c r="E73" s="859">
        <v>0.04</v>
      </c>
      <c r="F73" s="859">
        <v>1.0999999999999999E-2</v>
      </c>
      <c r="G73" s="602">
        <v>0</v>
      </c>
      <c r="H73" s="602">
        <v>0</v>
      </c>
      <c r="I73" s="602">
        <v>0</v>
      </c>
      <c r="J73" s="602">
        <v>0</v>
      </c>
      <c r="K73" s="602">
        <v>0</v>
      </c>
      <c r="L73" s="602">
        <v>0</v>
      </c>
      <c r="M73" s="602">
        <v>0</v>
      </c>
      <c r="N73" s="1264">
        <v>0</v>
      </c>
      <c r="O73" s="1264">
        <v>0</v>
      </c>
      <c r="P73" s="1264">
        <v>0</v>
      </c>
    </row>
    <row r="74" spans="1:16" x14ac:dyDescent="0.2">
      <c r="A74" t="s">
        <v>833</v>
      </c>
      <c r="B74" s="859">
        <f t="shared" si="1"/>
        <v>6.5000000000000002E-2</v>
      </c>
      <c r="C74" s="859">
        <v>2.9000000000000001E-2</v>
      </c>
      <c r="D74" s="859">
        <v>0</v>
      </c>
      <c r="E74" s="859">
        <v>3.5999999999999997E-2</v>
      </c>
      <c r="F74" s="859">
        <v>0</v>
      </c>
      <c r="G74" s="602">
        <v>0</v>
      </c>
      <c r="H74" s="602">
        <v>0</v>
      </c>
      <c r="I74" s="602">
        <v>0</v>
      </c>
      <c r="J74" s="602">
        <v>0</v>
      </c>
      <c r="K74" s="602">
        <v>0</v>
      </c>
      <c r="L74" s="602">
        <v>0</v>
      </c>
      <c r="M74" s="602">
        <v>0</v>
      </c>
      <c r="N74" s="1264">
        <v>0</v>
      </c>
      <c r="O74" s="1264">
        <v>0</v>
      </c>
      <c r="P74" s="1264">
        <v>0</v>
      </c>
    </row>
    <row r="75" spans="1:16" x14ac:dyDescent="0.2">
      <c r="A75" t="s">
        <v>1763</v>
      </c>
      <c r="B75" s="859">
        <f t="shared" si="1"/>
        <v>4.9000000000000002E-2</v>
      </c>
      <c r="C75" s="859">
        <v>2.9000000000000001E-2</v>
      </c>
      <c r="D75" s="859">
        <v>0</v>
      </c>
      <c r="E75" s="859">
        <v>0.02</v>
      </c>
      <c r="F75" s="859">
        <v>0</v>
      </c>
      <c r="G75" s="602">
        <v>0</v>
      </c>
      <c r="H75" s="602">
        <v>0</v>
      </c>
      <c r="I75" s="602">
        <v>0</v>
      </c>
      <c r="J75" s="602">
        <v>0</v>
      </c>
      <c r="K75" s="602">
        <v>0</v>
      </c>
      <c r="L75" s="602">
        <v>0</v>
      </c>
      <c r="M75" s="602">
        <v>0</v>
      </c>
      <c r="N75" s="1264">
        <v>0</v>
      </c>
      <c r="O75" s="1264">
        <v>0</v>
      </c>
      <c r="P75" s="1264">
        <v>0</v>
      </c>
    </row>
    <row r="76" spans="1:16" x14ac:dyDescent="0.2">
      <c r="A76" t="s">
        <v>834</v>
      </c>
      <c r="B76" s="859">
        <f t="shared" si="1"/>
        <v>7.9000000000000001E-2</v>
      </c>
      <c r="C76" s="859">
        <v>2.9000000000000001E-2</v>
      </c>
      <c r="D76" s="859">
        <v>2.5000000000000001E-2</v>
      </c>
      <c r="E76" s="859">
        <v>2.5000000000000001E-2</v>
      </c>
      <c r="F76" s="859">
        <v>0</v>
      </c>
      <c r="G76" s="602">
        <v>0</v>
      </c>
      <c r="H76" s="602">
        <v>0</v>
      </c>
      <c r="I76" s="602">
        <v>0</v>
      </c>
      <c r="J76" s="602">
        <v>0</v>
      </c>
      <c r="K76" s="602">
        <v>0</v>
      </c>
      <c r="L76" s="602">
        <v>0</v>
      </c>
      <c r="M76" s="602">
        <v>0</v>
      </c>
      <c r="N76" s="1264">
        <v>0</v>
      </c>
      <c r="O76" s="1264">
        <v>0</v>
      </c>
      <c r="P76" s="1264">
        <v>0</v>
      </c>
    </row>
    <row r="77" spans="1:16" x14ac:dyDescent="0.2">
      <c r="A77" t="s">
        <v>835</v>
      </c>
      <c r="B77" s="859">
        <f t="shared" si="1"/>
        <v>7.5499999999999998E-2</v>
      </c>
      <c r="C77" s="859">
        <v>2.9000000000000001E-2</v>
      </c>
      <c r="D77" s="859">
        <v>8.0000000000000002E-3</v>
      </c>
      <c r="E77" s="859">
        <v>3.85E-2</v>
      </c>
      <c r="F77" s="859">
        <v>0</v>
      </c>
      <c r="G77" s="602">
        <v>0</v>
      </c>
      <c r="H77" s="602">
        <v>0</v>
      </c>
      <c r="I77" s="602">
        <v>0</v>
      </c>
      <c r="J77" s="602">
        <v>0</v>
      </c>
      <c r="K77" s="602">
        <v>0</v>
      </c>
      <c r="L77" s="602">
        <v>0</v>
      </c>
      <c r="M77" s="602">
        <v>0</v>
      </c>
      <c r="N77" s="1264">
        <v>0</v>
      </c>
      <c r="O77" s="1264">
        <v>0</v>
      </c>
      <c r="P77" s="1264">
        <v>0</v>
      </c>
    </row>
    <row r="78" spans="1:16" x14ac:dyDescent="0.2">
      <c r="A78" t="s">
        <v>836</v>
      </c>
      <c r="B78" s="859">
        <f t="shared" si="1"/>
        <v>6.9000000000000006E-2</v>
      </c>
      <c r="C78" s="859">
        <v>2.9000000000000001E-2</v>
      </c>
      <c r="D78" s="859">
        <v>0</v>
      </c>
      <c r="E78" s="859">
        <v>0.04</v>
      </c>
      <c r="F78" s="859">
        <v>0</v>
      </c>
      <c r="G78" s="602">
        <v>0</v>
      </c>
      <c r="H78" s="602">
        <v>0</v>
      </c>
      <c r="I78" s="602">
        <v>0</v>
      </c>
      <c r="J78" s="602">
        <v>0</v>
      </c>
      <c r="K78" s="602">
        <v>0</v>
      </c>
      <c r="L78" s="602">
        <v>0</v>
      </c>
      <c r="M78" s="602">
        <v>0</v>
      </c>
      <c r="N78" s="1264">
        <v>0</v>
      </c>
      <c r="O78" s="1264">
        <v>0</v>
      </c>
      <c r="P78" s="1264">
        <v>0</v>
      </c>
    </row>
    <row r="79" spans="1:16" x14ac:dyDescent="0.2">
      <c r="A79" t="s">
        <v>837</v>
      </c>
      <c r="B79" s="859">
        <f t="shared" si="1"/>
        <v>6.9000000000000006E-2</v>
      </c>
      <c r="C79" s="859">
        <v>2.9000000000000001E-2</v>
      </c>
      <c r="D79" s="859">
        <v>0</v>
      </c>
      <c r="E79" s="859">
        <v>0.04</v>
      </c>
      <c r="F79" s="859">
        <v>0</v>
      </c>
      <c r="G79" s="602">
        <v>0</v>
      </c>
      <c r="H79" s="602">
        <v>0</v>
      </c>
      <c r="I79" s="602">
        <v>0</v>
      </c>
      <c r="J79" s="602">
        <v>0</v>
      </c>
      <c r="K79" s="602">
        <v>0</v>
      </c>
      <c r="L79" s="602">
        <v>0</v>
      </c>
      <c r="M79" s="602">
        <v>0</v>
      </c>
      <c r="N79" s="1264">
        <v>0</v>
      </c>
      <c r="O79" s="1264">
        <v>0</v>
      </c>
      <c r="P79" s="1264">
        <v>0</v>
      </c>
    </row>
    <row r="80" spans="1:16" x14ac:dyDescent="0.2">
      <c r="A80" t="s">
        <v>838</v>
      </c>
      <c r="B80" s="859">
        <f t="shared" si="1"/>
        <v>7.5300000000000006E-2</v>
      </c>
      <c r="C80" s="859">
        <v>2.9000000000000001E-2</v>
      </c>
      <c r="D80" s="859">
        <v>1.23E-2</v>
      </c>
      <c r="E80" s="859">
        <v>3.4000000000000002E-2</v>
      </c>
      <c r="F80" s="859">
        <v>0</v>
      </c>
      <c r="G80" s="602">
        <v>0</v>
      </c>
      <c r="H80" s="602">
        <v>0</v>
      </c>
      <c r="I80" s="602">
        <v>0</v>
      </c>
      <c r="J80" s="602">
        <v>0</v>
      </c>
      <c r="K80" s="602">
        <v>0</v>
      </c>
      <c r="L80" s="602">
        <v>0</v>
      </c>
      <c r="M80" s="602">
        <v>0</v>
      </c>
      <c r="N80" s="1264">
        <v>0</v>
      </c>
      <c r="O80" s="1264">
        <v>0</v>
      </c>
      <c r="P80" s="1264">
        <v>0</v>
      </c>
    </row>
    <row r="81" spans="1:16" x14ac:dyDescent="0.2">
      <c r="A81" t="s">
        <v>839</v>
      </c>
      <c r="B81" s="859">
        <f t="shared" si="1"/>
        <v>6.9000000000000006E-2</v>
      </c>
      <c r="C81" s="859">
        <v>2.9000000000000001E-2</v>
      </c>
      <c r="D81" s="859">
        <v>0.01</v>
      </c>
      <c r="E81" s="859">
        <v>0.03</v>
      </c>
      <c r="F81" s="859">
        <v>0</v>
      </c>
      <c r="G81" s="602">
        <v>0</v>
      </c>
      <c r="H81" s="602">
        <v>0</v>
      </c>
      <c r="I81" s="602">
        <v>0</v>
      </c>
      <c r="J81" s="602">
        <v>0</v>
      </c>
      <c r="K81" s="602">
        <v>0</v>
      </c>
      <c r="L81" s="602">
        <v>0</v>
      </c>
      <c r="M81" s="602">
        <v>0</v>
      </c>
      <c r="N81" s="1264">
        <v>0</v>
      </c>
      <c r="O81" s="1264">
        <v>0</v>
      </c>
      <c r="P81" s="1264">
        <v>0</v>
      </c>
    </row>
    <row r="82" spans="1:16" x14ac:dyDescent="0.2">
      <c r="A82" t="s">
        <v>840</v>
      </c>
      <c r="B82" s="859">
        <f t="shared" si="1"/>
        <v>9.1999999999999998E-2</v>
      </c>
      <c r="C82" s="859">
        <v>2.9000000000000001E-2</v>
      </c>
      <c r="D82" s="859">
        <v>1.2999999999999999E-2</v>
      </c>
      <c r="E82" s="859">
        <v>0.05</v>
      </c>
      <c r="F82" s="859">
        <v>0</v>
      </c>
      <c r="G82" s="602">
        <v>0</v>
      </c>
      <c r="H82" s="602">
        <v>0</v>
      </c>
      <c r="I82" s="602">
        <v>0</v>
      </c>
      <c r="J82" s="602">
        <v>0</v>
      </c>
      <c r="K82" s="602">
        <v>0</v>
      </c>
      <c r="L82" s="602">
        <v>0</v>
      </c>
      <c r="M82" s="602">
        <v>0</v>
      </c>
      <c r="N82" s="1264">
        <v>0</v>
      </c>
      <c r="O82" s="1264">
        <v>0</v>
      </c>
      <c r="P82" s="1264">
        <v>0</v>
      </c>
    </row>
    <row r="83" spans="1:16" x14ac:dyDescent="0.2">
      <c r="A83" t="s">
        <v>841</v>
      </c>
      <c r="B83" s="859">
        <f t="shared" si="1"/>
        <v>6.4000000000000001E-2</v>
      </c>
      <c r="C83" s="859">
        <v>2.9000000000000001E-2</v>
      </c>
      <c r="D83" s="859">
        <v>0</v>
      </c>
      <c r="E83" s="859">
        <v>3.5000000000000003E-2</v>
      </c>
      <c r="F83" s="859">
        <v>0</v>
      </c>
      <c r="G83" s="602">
        <v>0</v>
      </c>
      <c r="H83" s="602">
        <v>0</v>
      </c>
      <c r="I83" s="602">
        <v>0</v>
      </c>
      <c r="J83" s="602">
        <v>0</v>
      </c>
      <c r="K83" s="602">
        <v>0</v>
      </c>
      <c r="L83" s="602">
        <v>0</v>
      </c>
      <c r="M83" s="602">
        <v>0</v>
      </c>
      <c r="N83" s="1264">
        <v>0</v>
      </c>
      <c r="O83" s="1264">
        <v>0</v>
      </c>
      <c r="P83" s="1264">
        <v>0</v>
      </c>
    </row>
    <row r="84" spans="1:16" x14ac:dyDescent="0.2">
      <c r="A84" t="s">
        <v>842</v>
      </c>
      <c r="B84" s="859">
        <f t="shared" si="1"/>
        <v>5.4000000000000006E-2</v>
      </c>
      <c r="C84" s="859">
        <v>2.9000000000000001E-2</v>
      </c>
      <c r="D84" s="859">
        <v>2.5000000000000001E-2</v>
      </c>
      <c r="E84" s="859">
        <v>0</v>
      </c>
      <c r="F84" s="859">
        <v>0</v>
      </c>
      <c r="G84" s="602">
        <v>0</v>
      </c>
      <c r="H84" s="602">
        <v>0</v>
      </c>
      <c r="I84" s="602">
        <v>0</v>
      </c>
      <c r="J84" s="602">
        <v>0</v>
      </c>
      <c r="K84" s="602">
        <v>0</v>
      </c>
      <c r="L84" s="602">
        <v>0</v>
      </c>
      <c r="M84" s="602">
        <v>0</v>
      </c>
      <c r="N84" s="1264">
        <v>0</v>
      </c>
      <c r="O84" s="1264">
        <v>0</v>
      </c>
      <c r="P84" s="1264">
        <v>0</v>
      </c>
    </row>
    <row r="85" spans="1:16" x14ac:dyDescent="0.2">
      <c r="A85" t="s">
        <v>843</v>
      </c>
      <c r="B85" s="859">
        <f t="shared" si="1"/>
        <v>8.3750000000000005E-2</v>
      </c>
      <c r="C85" s="859">
        <v>2.9000000000000001E-2</v>
      </c>
      <c r="D85" s="859">
        <v>0.02</v>
      </c>
      <c r="E85" s="859">
        <v>0.02</v>
      </c>
      <c r="F85" s="859">
        <v>1.4749999999999999E-2</v>
      </c>
      <c r="G85" s="602">
        <v>0</v>
      </c>
      <c r="H85" s="602">
        <v>0</v>
      </c>
      <c r="I85" s="602">
        <v>0</v>
      </c>
      <c r="J85" s="602">
        <v>0</v>
      </c>
      <c r="K85" s="602">
        <v>0</v>
      </c>
      <c r="L85" s="602">
        <v>0</v>
      </c>
      <c r="M85" s="602">
        <v>0</v>
      </c>
      <c r="N85" s="1264">
        <v>0</v>
      </c>
      <c r="O85" s="1264">
        <v>0</v>
      </c>
      <c r="P85" s="1264">
        <v>0</v>
      </c>
    </row>
    <row r="86" spans="1:16" x14ac:dyDescent="0.2">
      <c r="A86" t="s">
        <v>844</v>
      </c>
      <c r="B86" s="859">
        <f t="shared" si="1"/>
        <v>8.2699999999999996E-2</v>
      </c>
      <c r="C86" s="859">
        <v>2.9000000000000001E-2</v>
      </c>
      <c r="D86" s="859">
        <v>0.02</v>
      </c>
      <c r="E86" s="859">
        <v>0.03</v>
      </c>
      <c r="F86" s="859">
        <v>3.7000000000000002E-3</v>
      </c>
      <c r="G86" s="602">
        <v>0</v>
      </c>
      <c r="H86" s="602">
        <v>0</v>
      </c>
      <c r="I86" s="602">
        <v>0</v>
      </c>
      <c r="J86" s="602">
        <v>0</v>
      </c>
      <c r="K86" s="602">
        <v>0</v>
      </c>
      <c r="L86" s="602">
        <v>0</v>
      </c>
      <c r="M86" s="602">
        <v>0</v>
      </c>
      <c r="N86" s="1264">
        <v>0</v>
      </c>
      <c r="O86" s="1264">
        <v>0</v>
      </c>
      <c r="P86" s="1264">
        <v>0</v>
      </c>
    </row>
    <row r="87" spans="1:16" x14ac:dyDescent="0.2">
      <c r="A87" t="s">
        <v>845</v>
      </c>
      <c r="B87" s="859">
        <f t="shared" si="1"/>
        <v>3.9E-2</v>
      </c>
      <c r="C87" s="859">
        <v>2.9000000000000001E-2</v>
      </c>
      <c r="D87" s="859">
        <v>0.01</v>
      </c>
      <c r="E87" s="859">
        <v>0</v>
      </c>
      <c r="F87" s="859">
        <v>0</v>
      </c>
      <c r="G87" s="602">
        <v>0</v>
      </c>
      <c r="H87" s="602">
        <v>0</v>
      </c>
      <c r="I87" s="602">
        <v>0</v>
      </c>
      <c r="J87" s="602">
        <v>0</v>
      </c>
      <c r="K87" s="602">
        <v>0</v>
      </c>
      <c r="L87" s="602">
        <v>0</v>
      </c>
      <c r="M87" s="602">
        <v>0</v>
      </c>
      <c r="N87" s="1264">
        <v>0</v>
      </c>
      <c r="O87" s="1264">
        <v>0</v>
      </c>
      <c r="P87" s="1264">
        <v>0</v>
      </c>
    </row>
    <row r="88" spans="1:16" x14ac:dyDescent="0.2">
      <c r="A88" t="s">
        <v>846</v>
      </c>
      <c r="B88" s="859">
        <f t="shared" si="1"/>
        <v>9.0499999999999997E-2</v>
      </c>
      <c r="C88" s="859">
        <v>2.9000000000000001E-2</v>
      </c>
      <c r="D88" s="859">
        <v>1.6500000000000001E-2</v>
      </c>
      <c r="E88" s="859">
        <v>4.4999999999999998E-2</v>
      </c>
      <c r="F88" s="859">
        <v>0</v>
      </c>
      <c r="G88" s="602">
        <v>0</v>
      </c>
      <c r="H88" s="602">
        <v>0</v>
      </c>
      <c r="I88" s="602">
        <v>0</v>
      </c>
      <c r="J88" s="602">
        <v>0</v>
      </c>
      <c r="K88" s="602">
        <v>0</v>
      </c>
      <c r="L88" s="602">
        <v>0</v>
      </c>
      <c r="M88" s="602">
        <v>0</v>
      </c>
      <c r="N88" s="1264">
        <v>0</v>
      </c>
      <c r="O88" s="1264">
        <v>0</v>
      </c>
      <c r="P88" s="1264">
        <v>0</v>
      </c>
    </row>
    <row r="89" spans="1:16" x14ac:dyDescent="0.2">
      <c r="A89" t="s">
        <v>847</v>
      </c>
      <c r="B89" s="859">
        <f t="shared" si="1"/>
        <v>6.9000000000000006E-2</v>
      </c>
      <c r="C89" s="859">
        <v>2.9000000000000001E-2</v>
      </c>
      <c r="D89" s="859">
        <v>0</v>
      </c>
      <c r="E89" s="859">
        <v>0.04</v>
      </c>
      <c r="F89" s="859">
        <v>0</v>
      </c>
      <c r="G89" s="602">
        <v>0</v>
      </c>
      <c r="H89" s="602">
        <v>0</v>
      </c>
      <c r="I89" s="602">
        <v>0</v>
      </c>
      <c r="J89" s="602">
        <v>0</v>
      </c>
      <c r="K89" s="602">
        <v>0</v>
      </c>
      <c r="L89" s="602">
        <v>0</v>
      </c>
      <c r="M89" s="602">
        <v>0</v>
      </c>
      <c r="N89" s="1264">
        <v>0</v>
      </c>
      <c r="O89" s="1264">
        <v>0</v>
      </c>
      <c r="P89" s="1264">
        <v>0</v>
      </c>
    </row>
    <row r="90" spans="1:16" x14ac:dyDescent="0.2">
      <c r="A90" t="s">
        <v>1764</v>
      </c>
      <c r="B90" s="859">
        <f t="shared" si="1"/>
        <v>2.9000000000000001E-2</v>
      </c>
      <c r="C90" s="859">
        <v>2.9000000000000001E-2</v>
      </c>
      <c r="D90" s="859">
        <v>0</v>
      </c>
      <c r="E90" s="859">
        <v>0</v>
      </c>
      <c r="F90" s="859">
        <v>0</v>
      </c>
      <c r="G90" s="602">
        <v>0</v>
      </c>
      <c r="H90" s="602">
        <v>0</v>
      </c>
      <c r="I90" s="602">
        <v>0</v>
      </c>
      <c r="J90" s="602">
        <v>0</v>
      </c>
      <c r="K90" s="602">
        <v>0</v>
      </c>
      <c r="L90" s="602">
        <v>0</v>
      </c>
      <c r="M90" s="602">
        <v>0</v>
      </c>
      <c r="N90" s="1264">
        <v>0</v>
      </c>
      <c r="O90" s="1264">
        <v>0</v>
      </c>
      <c r="P90" s="1264">
        <v>0</v>
      </c>
    </row>
    <row r="91" spans="1:16" x14ac:dyDescent="0.2">
      <c r="A91" t="s">
        <v>848</v>
      </c>
      <c r="B91" s="859">
        <f t="shared" si="1"/>
        <v>0.08</v>
      </c>
      <c r="C91" s="859">
        <v>2.9000000000000001E-2</v>
      </c>
      <c r="D91" s="859">
        <v>2.5000000000000001E-3</v>
      </c>
      <c r="E91" s="859">
        <v>3.7499999999999999E-2</v>
      </c>
      <c r="F91" s="859">
        <v>1.0999999999999999E-2</v>
      </c>
      <c r="G91" s="602">
        <v>0</v>
      </c>
      <c r="H91" s="602">
        <v>0</v>
      </c>
      <c r="I91" s="602">
        <v>0</v>
      </c>
      <c r="J91" s="602">
        <v>0</v>
      </c>
      <c r="K91" s="602">
        <v>0</v>
      </c>
      <c r="L91" s="602">
        <v>0</v>
      </c>
      <c r="M91" s="602">
        <v>0</v>
      </c>
      <c r="N91" s="1264">
        <v>0</v>
      </c>
      <c r="O91" s="1264">
        <v>0</v>
      </c>
      <c r="P91" s="1264">
        <v>0</v>
      </c>
    </row>
    <row r="92" spans="1:16" x14ac:dyDescent="0.2">
      <c r="A92" t="s">
        <v>849</v>
      </c>
      <c r="B92" s="859">
        <f t="shared" si="1"/>
        <v>8.6000000000000007E-2</v>
      </c>
      <c r="C92" s="859">
        <v>2.9000000000000001E-2</v>
      </c>
      <c r="D92" s="859">
        <v>0.01</v>
      </c>
      <c r="E92" s="859">
        <v>3.6999999999999998E-2</v>
      </c>
      <c r="F92" s="859">
        <v>0.01</v>
      </c>
      <c r="G92" s="602">
        <v>0</v>
      </c>
      <c r="H92" s="602">
        <v>0</v>
      </c>
      <c r="I92" s="602">
        <v>0</v>
      </c>
      <c r="J92" s="602">
        <v>0</v>
      </c>
      <c r="K92" s="602">
        <v>0</v>
      </c>
      <c r="L92" s="602">
        <v>0</v>
      </c>
      <c r="M92" s="602">
        <v>0</v>
      </c>
      <c r="N92" s="1264">
        <v>0</v>
      </c>
      <c r="O92" s="1264">
        <v>0</v>
      </c>
      <c r="P92" s="1264">
        <v>0</v>
      </c>
    </row>
    <row r="93" spans="1:16" x14ac:dyDescent="0.2">
      <c r="A93" t="s">
        <v>850</v>
      </c>
      <c r="B93" s="859">
        <f t="shared" si="1"/>
        <v>7.4999999999999997E-2</v>
      </c>
      <c r="C93" s="859">
        <v>2.9000000000000001E-2</v>
      </c>
      <c r="D93" s="859">
        <v>5.0000000000000001E-3</v>
      </c>
      <c r="E93" s="859">
        <v>0.03</v>
      </c>
      <c r="F93" s="859">
        <v>1.0999999999999999E-2</v>
      </c>
      <c r="G93" s="602">
        <v>0</v>
      </c>
      <c r="H93" s="602">
        <v>0</v>
      </c>
      <c r="I93" s="602">
        <v>0</v>
      </c>
      <c r="J93" s="602">
        <v>0</v>
      </c>
      <c r="K93" s="602">
        <v>0</v>
      </c>
      <c r="L93" s="602">
        <v>0</v>
      </c>
      <c r="M93" s="602">
        <v>0</v>
      </c>
      <c r="N93" s="1264">
        <v>0</v>
      </c>
      <c r="O93" s="1264">
        <v>0</v>
      </c>
      <c r="P93" s="1264">
        <v>0</v>
      </c>
    </row>
    <row r="94" spans="1:16" x14ac:dyDescent="0.2">
      <c r="A94" t="s">
        <v>1765</v>
      </c>
      <c r="B94" s="859">
        <f t="shared" si="1"/>
        <v>8.2000000000000003E-2</v>
      </c>
      <c r="C94" s="859">
        <v>2.9000000000000001E-2</v>
      </c>
      <c r="D94" s="859">
        <v>1.2999999999999999E-2</v>
      </c>
      <c r="E94" s="859">
        <v>0.04</v>
      </c>
      <c r="F94" s="859">
        <v>0</v>
      </c>
      <c r="G94" s="602">
        <v>0</v>
      </c>
      <c r="H94" s="602">
        <v>0</v>
      </c>
      <c r="I94" s="602">
        <v>0</v>
      </c>
      <c r="J94" s="602">
        <v>0</v>
      </c>
      <c r="K94" s="602">
        <v>0</v>
      </c>
      <c r="L94" s="602">
        <v>0</v>
      </c>
      <c r="M94" s="602">
        <v>0</v>
      </c>
      <c r="N94" s="1264">
        <v>0</v>
      </c>
      <c r="O94" s="1264">
        <v>0</v>
      </c>
      <c r="P94" s="1264">
        <v>0</v>
      </c>
    </row>
    <row r="95" spans="1:16" x14ac:dyDescent="0.2">
      <c r="A95" t="s">
        <v>851</v>
      </c>
      <c r="B95" s="859">
        <f t="shared" si="1"/>
        <v>4.2000000000000003E-2</v>
      </c>
      <c r="C95" s="859">
        <v>2.9000000000000001E-2</v>
      </c>
      <c r="D95" s="859">
        <v>1.2999999999999999E-2</v>
      </c>
      <c r="E95" s="859">
        <v>0</v>
      </c>
      <c r="F95" s="859">
        <v>0</v>
      </c>
      <c r="G95" s="602">
        <v>0</v>
      </c>
      <c r="H95" s="602">
        <v>0</v>
      </c>
      <c r="I95" s="602">
        <v>0</v>
      </c>
      <c r="J95" s="602">
        <v>0</v>
      </c>
      <c r="K95" s="602">
        <v>0</v>
      </c>
      <c r="L95" s="602">
        <v>0</v>
      </c>
      <c r="M95" s="602">
        <v>0</v>
      </c>
      <c r="N95" s="1264">
        <v>0</v>
      </c>
      <c r="O95" s="1264">
        <v>0</v>
      </c>
      <c r="P95" s="1264">
        <v>0</v>
      </c>
    </row>
    <row r="96" spans="1:16" x14ac:dyDescent="0.2">
      <c r="A96" t="s">
        <v>852</v>
      </c>
      <c r="B96" s="859">
        <f t="shared" si="1"/>
        <v>8.5199999999999998E-2</v>
      </c>
      <c r="C96" s="859">
        <v>2.9000000000000001E-2</v>
      </c>
      <c r="D96" s="859">
        <v>0.02</v>
      </c>
      <c r="E96" s="859">
        <v>3.2500000000000001E-2</v>
      </c>
      <c r="F96" s="859">
        <v>3.7000000000000002E-3</v>
      </c>
      <c r="G96" s="602">
        <v>0</v>
      </c>
      <c r="H96" s="602">
        <v>0</v>
      </c>
      <c r="I96" s="602">
        <v>0</v>
      </c>
      <c r="J96" s="602">
        <v>0</v>
      </c>
      <c r="K96" s="602">
        <v>0</v>
      </c>
      <c r="L96" s="602">
        <v>0</v>
      </c>
      <c r="M96" s="602">
        <v>0</v>
      </c>
      <c r="N96" s="1264">
        <v>0</v>
      </c>
      <c r="O96" s="1264">
        <v>0</v>
      </c>
      <c r="P96" s="1264">
        <v>0</v>
      </c>
    </row>
    <row r="97" spans="1:16" x14ac:dyDescent="0.2">
      <c r="A97" t="s">
        <v>853</v>
      </c>
      <c r="B97" s="859">
        <f t="shared" si="1"/>
        <v>7.0099999999999996E-2</v>
      </c>
      <c r="C97" s="859">
        <v>2.9000000000000001E-2</v>
      </c>
      <c r="D97" s="859">
        <v>0</v>
      </c>
      <c r="E97" s="859">
        <v>4.1099999999999998E-2</v>
      </c>
      <c r="F97" s="859">
        <v>0</v>
      </c>
      <c r="G97" s="602">
        <v>0</v>
      </c>
      <c r="H97" s="602">
        <v>0</v>
      </c>
      <c r="I97" s="602">
        <v>0</v>
      </c>
      <c r="J97" s="602">
        <v>0</v>
      </c>
      <c r="K97" s="602">
        <v>0</v>
      </c>
      <c r="L97" s="602">
        <v>0</v>
      </c>
      <c r="M97" s="602">
        <v>0</v>
      </c>
      <c r="N97" s="1264">
        <v>0</v>
      </c>
      <c r="O97" s="1264">
        <v>0</v>
      </c>
      <c r="P97" s="1264">
        <v>0</v>
      </c>
    </row>
    <row r="98" spans="1:16" x14ac:dyDescent="0.2">
      <c r="A98" t="s">
        <v>854</v>
      </c>
      <c r="B98" s="859">
        <f t="shared" si="1"/>
        <v>8.1299999999999997E-2</v>
      </c>
      <c r="C98" s="859">
        <v>2.9000000000000001E-2</v>
      </c>
      <c r="D98" s="859">
        <v>1.23E-2</v>
      </c>
      <c r="E98" s="859">
        <v>0.03</v>
      </c>
      <c r="F98" s="859">
        <v>0.01</v>
      </c>
      <c r="G98" s="602">
        <v>0</v>
      </c>
      <c r="H98" s="602">
        <v>0</v>
      </c>
      <c r="I98" s="602">
        <v>0</v>
      </c>
      <c r="J98" s="602">
        <v>0</v>
      </c>
      <c r="K98" s="602">
        <v>0</v>
      </c>
      <c r="L98" s="602">
        <v>0</v>
      </c>
      <c r="M98" s="602">
        <v>0</v>
      </c>
      <c r="N98" s="1264">
        <v>0</v>
      </c>
      <c r="O98" s="1264">
        <v>0</v>
      </c>
      <c r="P98" s="1264">
        <v>0</v>
      </c>
    </row>
    <row r="99" spans="1:16" x14ac:dyDescent="0.2">
      <c r="A99" t="s">
        <v>855</v>
      </c>
      <c r="B99" s="859">
        <f t="shared" si="1"/>
        <v>7.2499999999999995E-2</v>
      </c>
      <c r="C99" s="859">
        <v>2.9000000000000001E-2</v>
      </c>
      <c r="D99" s="859">
        <v>2.5000000000000001E-3</v>
      </c>
      <c r="E99" s="859">
        <v>0.03</v>
      </c>
      <c r="F99" s="859">
        <v>1.0999999999999999E-2</v>
      </c>
      <c r="G99" s="602">
        <v>0</v>
      </c>
      <c r="H99" s="602">
        <v>0</v>
      </c>
      <c r="I99" s="602">
        <v>0</v>
      </c>
      <c r="J99" s="602">
        <v>0</v>
      </c>
      <c r="K99" s="602">
        <v>0</v>
      </c>
      <c r="L99" s="602">
        <v>0</v>
      </c>
      <c r="M99" s="602">
        <v>0</v>
      </c>
      <c r="N99" s="1264">
        <v>0</v>
      </c>
      <c r="O99" s="1264">
        <v>0</v>
      </c>
      <c r="P99" s="1264">
        <v>0</v>
      </c>
    </row>
    <row r="100" spans="1:16" x14ac:dyDescent="0.2">
      <c r="A100" t="s">
        <v>856</v>
      </c>
      <c r="B100" s="859">
        <f t="shared" si="1"/>
        <v>8.900000000000001E-2</v>
      </c>
      <c r="C100" s="859">
        <v>2.9000000000000001E-2</v>
      </c>
      <c r="D100" s="859">
        <v>0.01</v>
      </c>
      <c r="E100" s="859">
        <v>0.04</v>
      </c>
      <c r="F100" s="859">
        <v>0.01</v>
      </c>
      <c r="G100" s="602">
        <v>0</v>
      </c>
      <c r="H100" s="602">
        <v>0</v>
      </c>
      <c r="I100" s="602">
        <v>0</v>
      </c>
      <c r="J100" s="602">
        <v>0</v>
      </c>
      <c r="K100" s="602">
        <v>0</v>
      </c>
      <c r="L100" s="602">
        <v>0</v>
      </c>
      <c r="M100" s="602">
        <v>0</v>
      </c>
      <c r="N100" s="1264">
        <v>0</v>
      </c>
      <c r="O100" s="1264">
        <v>0</v>
      </c>
      <c r="P100" s="1264">
        <v>0</v>
      </c>
    </row>
    <row r="101" spans="1:16" x14ac:dyDescent="0.2">
      <c r="A101" t="s">
        <v>857</v>
      </c>
      <c r="B101" s="859">
        <f t="shared" si="1"/>
        <v>4.9000000000000002E-2</v>
      </c>
      <c r="C101" s="859">
        <v>2.9000000000000001E-2</v>
      </c>
      <c r="D101" s="859">
        <v>0.01</v>
      </c>
      <c r="E101" s="859">
        <v>0</v>
      </c>
      <c r="F101" s="859">
        <v>0.01</v>
      </c>
      <c r="G101" s="602">
        <v>0</v>
      </c>
      <c r="H101" s="602">
        <v>0</v>
      </c>
      <c r="I101" s="602">
        <v>0</v>
      </c>
      <c r="J101" s="602">
        <v>0</v>
      </c>
      <c r="K101" s="602">
        <v>0</v>
      </c>
      <c r="L101" s="602">
        <v>0</v>
      </c>
      <c r="M101" s="602">
        <v>0</v>
      </c>
      <c r="N101" s="1264">
        <v>0</v>
      </c>
      <c r="O101" s="1264">
        <v>0</v>
      </c>
      <c r="P101" s="1264">
        <v>0</v>
      </c>
    </row>
    <row r="102" spans="1:16" x14ac:dyDescent="0.2">
      <c r="A102" t="s">
        <v>1766</v>
      </c>
      <c r="B102" s="859">
        <f t="shared" si="1"/>
        <v>3.9E-2</v>
      </c>
      <c r="C102" s="859">
        <v>2.9000000000000001E-2</v>
      </c>
      <c r="D102" s="859">
        <v>0.01</v>
      </c>
      <c r="E102" s="859">
        <v>0</v>
      </c>
      <c r="F102" s="859">
        <v>0</v>
      </c>
      <c r="G102" s="602">
        <v>0</v>
      </c>
      <c r="H102" s="602">
        <v>0</v>
      </c>
      <c r="I102" s="602">
        <v>0</v>
      </c>
      <c r="J102" s="602">
        <v>0</v>
      </c>
      <c r="K102" s="602">
        <v>0</v>
      </c>
      <c r="L102" s="602">
        <v>0</v>
      </c>
      <c r="M102" s="602">
        <v>0</v>
      </c>
      <c r="N102" s="1264">
        <v>0</v>
      </c>
      <c r="O102" s="1264">
        <v>0</v>
      </c>
      <c r="P102" s="1264">
        <v>0</v>
      </c>
    </row>
    <row r="103" spans="1:16" x14ac:dyDescent="0.2">
      <c r="A103" t="s">
        <v>858</v>
      </c>
      <c r="B103" s="859">
        <f t="shared" si="1"/>
        <v>7.400000000000001E-2</v>
      </c>
      <c r="C103" s="859">
        <v>2.9000000000000001E-2</v>
      </c>
      <c r="D103" s="859">
        <v>0.01</v>
      </c>
      <c r="E103" s="859">
        <v>3.5000000000000003E-2</v>
      </c>
      <c r="F103" s="859">
        <v>0</v>
      </c>
      <c r="G103" s="602">
        <v>0</v>
      </c>
      <c r="H103" s="602">
        <v>0</v>
      </c>
      <c r="I103" s="602">
        <v>0</v>
      </c>
      <c r="J103" s="602">
        <v>0</v>
      </c>
      <c r="K103" s="602">
        <v>0</v>
      </c>
      <c r="L103" s="602">
        <v>0</v>
      </c>
      <c r="M103" s="602">
        <v>0</v>
      </c>
      <c r="N103" s="1264">
        <v>0</v>
      </c>
      <c r="O103" s="1264">
        <v>0</v>
      </c>
      <c r="P103" s="1264">
        <v>0</v>
      </c>
    </row>
    <row r="104" spans="1:16" x14ac:dyDescent="0.2">
      <c r="A104" t="s">
        <v>859</v>
      </c>
      <c r="B104" s="859">
        <f t="shared" si="1"/>
        <v>0.05</v>
      </c>
      <c r="C104" s="859">
        <v>2.9000000000000001E-2</v>
      </c>
      <c r="D104" s="859">
        <v>0.01</v>
      </c>
      <c r="E104" s="859">
        <v>0</v>
      </c>
      <c r="F104" s="859">
        <v>1.0999999999999999E-2</v>
      </c>
      <c r="G104" s="602">
        <v>0</v>
      </c>
      <c r="H104" s="602">
        <v>0</v>
      </c>
      <c r="I104" s="602">
        <v>0</v>
      </c>
      <c r="J104" s="602">
        <v>0</v>
      </c>
      <c r="K104" s="602">
        <v>0</v>
      </c>
      <c r="L104" s="602">
        <v>0</v>
      </c>
      <c r="M104" s="602">
        <v>0</v>
      </c>
      <c r="N104" s="1264">
        <v>0</v>
      </c>
      <c r="O104" s="1264">
        <v>0</v>
      </c>
      <c r="P104" s="1264">
        <v>0</v>
      </c>
    </row>
    <row r="105" spans="1:16" x14ac:dyDescent="0.2">
      <c r="A105" t="s">
        <v>1767</v>
      </c>
      <c r="B105" s="859">
        <f t="shared" si="1"/>
        <v>2.9000000000000001E-2</v>
      </c>
      <c r="C105" s="859">
        <v>2.9000000000000001E-2</v>
      </c>
      <c r="D105" s="859">
        <v>0</v>
      </c>
      <c r="E105" s="859">
        <v>0</v>
      </c>
      <c r="F105" s="859">
        <v>0</v>
      </c>
      <c r="G105" s="602">
        <v>0</v>
      </c>
      <c r="H105" s="602">
        <v>0</v>
      </c>
      <c r="I105" s="602">
        <v>0</v>
      </c>
      <c r="J105" s="602">
        <v>0</v>
      </c>
      <c r="K105" s="602">
        <v>0</v>
      </c>
      <c r="L105" s="602">
        <v>0</v>
      </c>
      <c r="M105" s="602">
        <v>0</v>
      </c>
      <c r="N105" s="1264">
        <v>0</v>
      </c>
      <c r="O105" s="1264">
        <v>0</v>
      </c>
      <c r="P105" s="1264">
        <v>0</v>
      </c>
    </row>
    <row r="106" spans="1:16" x14ac:dyDescent="0.2">
      <c r="A106" t="s">
        <v>860</v>
      </c>
      <c r="B106" s="859">
        <f t="shared" si="1"/>
        <v>5.4000000000000006E-2</v>
      </c>
      <c r="C106" s="859">
        <v>2.9000000000000001E-2</v>
      </c>
      <c r="D106" s="859">
        <v>0.01</v>
      </c>
      <c r="E106" s="859">
        <v>1.4999999999999999E-2</v>
      </c>
      <c r="F106" s="859">
        <v>0</v>
      </c>
      <c r="G106" s="602">
        <v>0</v>
      </c>
      <c r="H106" s="602">
        <v>0</v>
      </c>
      <c r="I106" s="602">
        <v>0</v>
      </c>
      <c r="J106" s="602">
        <v>0</v>
      </c>
      <c r="K106" s="602">
        <v>0</v>
      </c>
      <c r="L106" s="602">
        <v>0</v>
      </c>
      <c r="M106" s="602">
        <v>0</v>
      </c>
      <c r="N106" s="1264">
        <v>0</v>
      </c>
      <c r="O106" s="1264">
        <v>0</v>
      </c>
      <c r="P106" s="1264">
        <v>0</v>
      </c>
    </row>
    <row r="107" spans="1:16" x14ac:dyDescent="0.2">
      <c r="A107" t="s">
        <v>861</v>
      </c>
      <c r="B107" s="859">
        <f t="shared" si="1"/>
        <v>8.2000000000000003E-2</v>
      </c>
      <c r="C107" s="859">
        <v>2.9000000000000001E-2</v>
      </c>
      <c r="D107" s="859">
        <v>1.2999999999999999E-2</v>
      </c>
      <c r="E107" s="859">
        <v>0.04</v>
      </c>
      <c r="F107" s="859">
        <v>0</v>
      </c>
      <c r="G107" s="602">
        <v>0</v>
      </c>
      <c r="H107" s="602">
        <v>0</v>
      </c>
      <c r="I107" s="602">
        <v>0</v>
      </c>
      <c r="J107" s="602">
        <v>0</v>
      </c>
      <c r="K107" s="602">
        <v>0</v>
      </c>
      <c r="L107" s="602">
        <v>0</v>
      </c>
      <c r="M107" s="602">
        <v>0</v>
      </c>
      <c r="N107" s="1264">
        <v>0</v>
      </c>
      <c r="O107" s="1264">
        <v>0</v>
      </c>
      <c r="P107" s="1264">
        <v>0</v>
      </c>
    </row>
    <row r="108" spans="1:16" x14ac:dyDescent="0.2">
      <c r="A108" t="s">
        <v>862</v>
      </c>
      <c r="B108" s="859">
        <f t="shared" si="1"/>
        <v>4.9000000000000002E-2</v>
      </c>
      <c r="C108" s="859">
        <v>2.9000000000000001E-2</v>
      </c>
      <c r="D108" s="859">
        <v>0.02</v>
      </c>
      <c r="E108" s="859">
        <v>0</v>
      </c>
      <c r="F108" s="859">
        <v>0</v>
      </c>
      <c r="G108" s="602">
        <v>0</v>
      </c>
      <c r="H108" s="602">
        <v>0</v>
      </c>
      <c r="I108" s="602">
        <v>0</v>
      </c>
      <c r="J108" s="602">
        <v>0</v>
      </c>
      <c r="K108" s="602">
        <v>0</v>
      </c>
      <c r="L108" s="602">
        <v>0</v>
      </c>
      <c r="M108" s="602">
        <v>0</v>
      </c>
      <c r="N108" s="1264">
        <v>0</v>
      </c>
      <c r="O108" s="1264">
        <v>0</v>
      </c>
      <c r="P108" s="1264">
        <v>0</v>
      </c>
    </row>
    <row r="109" spans="1:16" x14ac:dyDescent="0.2">
      <c r="A109" t="s">
        <v>863</v>
      </c>
      <c r="B109" s="859">
        <f t="shared" si="1"/>
        <v>6.9000000000000006E-2</v>
      </c>
      <c r="C109" s="859">
        <v>2.9000000000000001E-2</v>
      </c>
      <c r="D109" s="859">
        <v>0.04</v>
      </c>
      <c r="E109" s="859">
        <v>0</v>
      </c>
      <c r="F109" s="859">
        <v>0</v>
      </c>
      <c r="G109" s="602">
        <v>0</v>
      </c>
      <c r="H109" s="602">
        <v>0</v>
      </c>
      <c r="I109" s="602">
        <v>0</v>
      </c>
      <c r="J109" s="602">
        <v>0</v>
      </c>
      <c r="K109" s="602">
        <v>0</v>
      </c>
      <c r="L109" s="602">
        <v>0</v>
      </c>
      <c r="M109" s="602">
        <v>0</v>
      </c>
      <c r="N109" s="1264">
        <v>0</v>
      </c>
      <c r="O109" s="1264">
        <v>0</v>
      </c>
      <c r="P109" s="1264">
        <v>0</v>
      </c>
    </row>
    <row r="110" spans="1:16" x14ac:dyDescent="0.2">
      <c r="A110" t="s">
        <v>864</v>
      </c>
      <c r="B110" s="859">
        <f t="shared" si="1"/>
        <v>4.4999999999999998E-2</v>
      </c>
      <c r="C110" s="859">
        <v>2.9000000000000001E-2</v>
      </c>
      <c r="D110" s="859">
        <v>5.0000000000000001E-3</v>
      </c>
      <c r="E110" s="859">
        <v>0</v>
      </c>
      <c r="F110" s="859">
        <v>1.0999999999999999E-2</v>
      </c>
      <c r="G110" s="602">
        <v>0</v>
      </c>
      <c r="H110" s="602">
        <v>0</v>
      </c>
      <c r="I110" s="602">
        <v>0</v>
      </c>
      <c r="J110" s="602">
        <v>0</v>
      </c>
      <c r="K110" s="602">
        <v>0</v>
      </c>
      <c r="L110" s="602">
        <v>0</v>
      </c>
      <c r="M110" s="602">
        <v>0</v>
      </c>
      <c r="N110" s="1264">
        <v>0</v>
      </c>
      <c r="O110" s="1264">
        <v>0</v>
      </c>
      <c r="P110" s="1264">
        <v>0</v>
      </c>
    </row>
    <row r="111" spans="1:16" x14ac:dyDescent="0.2">
      <c r="A111" t="s">
        <v>865</v>
      </c>
      <c r="B111" s="859">
        <f t="shared" si="1"/>
        <v>0.05</v>
      </c>
      <c r="C111" s="859">
        <v>2.9000000000000001E-2</v>
      </c>
      <c r="D111" s="859">
        <v>5.0000000000000001E-3</v>
      </c>
      <c r="E111" s="859">
        <v>0</v>
      </c>
      <c r="F111" s="859">
        <v>1.6E-2</v>
      </c>
      <c r="G111" s="602">
        <v>0</v>
      </c>
      <c r="H111" s="602">
        <v>0</v>
      </c>
      <c r="I111" s="602">
        <v>0</v>
      </c>
      <c r="J111" s="602">
        <v>0</v>
      </c>
      <c r="K111" s="602">
        <v>0</v>
      </c>
      <c r="L111" s="602">
        <v>0</v>
      </c>
      <c r="M111" s="602">
        <v>0</v>
      </c>
      <c r="N111" s="1264">
        <v>0</v>
      </c>
      <c r="O111" s="1264">
        <v>0</v>
      </c>
      <c r="P111" s="1264">
        <v>0</v>
      </c>
    </row>
    <row r="112" spans="1:16" x14ac:dyDescent="0.2">
      <c r="A112" t="s">
        <v>866</v>
      </c>
      <c r="B112" s="859">
        <f t="shared" si="1"/>
        <v>6.4000000000000001E-2</v>
      </c>
      <c r="C112" s="859">
        <v>2.9000000000000001E-2</v>
      </c>
      <c r="D112" s="859">
        <v>0</v>
      </c>
      <c r="E112" s="859">
        <v>3.5000000000000003E-2</v>
      </c>
      <c r="F112" s="859">
        <v>0</v>
      </c>
      <c r="G112" s="602">
        <v>0</v>
      </c>
      <c r="H112" s="602">
        <v>0</v>
      </c>
      <c r="I112" s="602">
        <v>0</v>
      </c>
      <c r="J112" s="602">
        <v>0</v>
      </c>
      <c r="K112" s="602">
        <v>0</v>
      </c>
      <c r="L112" s="602">
        <v>0</v>
      </c>
      <c r="M112" s="602">
        <v>0</v>
      </c>
      <c r="N112" s="1264">
        <v>0</v>
      </c>
      <c r="O112" s="1264">
        <v>0</v>
      </c>
      <c r="P112" s="1264">
        <v>0</v>
      </c>
    </row>
    <row r="113" spans="1:16" x14ac:dyDescent="0.2">
      <c r="A113" t="s">
        <v>867</v>
      </c>
      <c r="B113" s="859">
        <f t="shared" si="1"/>
        <v>6.9000000000000006E-2</v>
      </c>
      <c r="C113" s="859">
        <v>2.9000000000000001E-2</v>
      </c>
      <c r="D113" s="859">
        <v>0.03</v>
      </c>
      <c r="E113" s="859">
        <v>0.01</v>
      </c>
      <c r="F113" s="859">
        <v>0</v>
      </c>
      <c r="G113" s="602">
        <v>0</v>
      </c>
      <c r="H113" s="602">
        <v>0</v>
      </c>
      <c r="I113" s="602">
        <v>0</v>
      </c>
      <c r="J113" s="602">
        <v>0</v>
      </c>
      <c r="K113" s="602">
        <v>0</v>
      </c>
      <c r="L113" s="602">
        <v>0</v>
      </c>
      <c r="M113" s="602">
        <v>0</v>
      </c>
      <c r="N113" s="1264">
        <v>0</v>
      </c>
      <c r="O113" s="1264">
        <v>0</v>
      </c>
      <c r="P113" s="1264">
        <v>0</v>
      </c>
    </row>
    <row r="114" spans="1:16" x14ac:dyDescent="0.2">
      <c r="A114" t="s">
        <v>1768</v>
      </c>
      <c r="B114" s="859">
        <f t="shared" si="1"/>
        <v>2.9000000000000001E-2</v>
      </c>
      <c r="C114" s="859">
        <v>2.9000000000000001E-2</v>
      </c>
      <c r="D114" s="859">
        <v>0</v>
      </c>
      <c r="E114" s="859">
        <v>0</v>
      </c>
      <c r="F114" s="859">
        <v>0</v>
      </c>
      <c r="G114" s="602">
        <v>0</v>
      </c>
      <c r="H114" s="602">
        <v>0</v>
      </c>
      <c r="I114" s="602">
        <v>0</v>
      </c>
      <c r="J114" s="602">
        <v>0</v>
      </c>
      <c r="K114" s="602">
        <v>0</v>
      </c>
      <c r="L114" s="602">
        <v>0</v>
      </c>
      <c r="M114" s="602">
        <v>0</v>
      </c>
      <c r="N114" s="1264">
        <v>0</v>
      </c>
      <c r="O114" s="1264">
        <v>0</v>
      </c>
      <c r="P114" s="1264">
        <v>0</v>
      </c>
    </row>
    <row r="115" spans="1:16" x14ac:dyDescent="0.2">
      <c r="A115" t="s">
        <v>1769</v>
      </c>
      <c r="B115" s="859">
        <f t="shared" si="1"/>
        <v>2.9000000000000001E-2</v>
      </c>
      <c r="C115" s="859">
        <v>2.9000000000000001E-2</v>
      </c>
      <c r="D115" s="859">
        <v>0</v>
      </c>
      <c r="E115" s="859">
        <v>0</v>
      </c>
      <c r="F115" s="859">
        <v>0</v>
      </c>
      <c r="G115" s="602">
        <v>0</v>
      </c>
      <c r="H115" s="602">
        <v>0</v>
      </c>
      <c r="I115" s="602">
        <v>0</v>
      </c>
      <c r="J115" s="602">
        <v>0</v>
      </c>
      <c r="K115" s="602">
        <v>0</v>
      </c>
      <c r="L115" s="602">
        <v>0</v>
      </c>
      <c r="M115" s="602">
        <v>0</v>
      </c>
      <c r="N115" s="1264">
        <v>0</v>
      </c>
      <c r="O115" s="1264">
        <v>0</v>
      </c>
      <c r="P115" s="1264">
        <v>0</v>
      </c>
    </row>
    <row r="116" spans="1:16" x14ac:dyDescent="0.2">
      <c r="A116" t="s">
        <v>868</v>
      </c>
      <c r="B116" s="859">
        <f t="shared" si="1"/>
        <v>7.9000000000000001E-2</v>
      </c>
      <c r="C116" s="859">
        <v>2.9000000000000001E-2</v>
      </c>
      <c r="D116" s="859">
        <v>0.01</v>
      </c>
      <c r="E116" s="859">
        <v>0.03</v>
      </c>
      <c r="F116" s="859">
        <v>0.01</v>
      </c>
      <c r="G116" s="602">
        <v>0</v>
      </c>
      <c r="H116" s="602">
        <v>0</v>
      </c>
      <c r="I116" s="602">
        <v>0</v>
      </c>
      <c r="J116" s="602">
        <v>0</v>
      </c>
      <c r="K116" s="602">
        <v>0</v>
      </c>
      <c r="L116" s="602">
        <v>0</v>
      </c>
      <c r="M116" s="602">
        <v>0</v>
      </c>
      <c r="N116" s="1264">
        <v>0</v>
      </c>
      <c r="O116" s="1264">
        <v>0</v>
      </c>
      <c r="P116" s="1264">
        <v>0</v>
      </c>
    </row>
    <row r="117" spans="1:16" x14ac:dyDescent="0.2">
      <c r="A117" t="s">
        <v>869</v>
      </c>
      <c r="B117" s="859">
        <f t="shared" si="1"/>
        <v>4.9000000000000002E-2</v>
      </c>
      <c r="C117" s="859">
        <v>2.9000000000000001E-2</v>
      </c>
      <c r="D117" s="859">
        <v>0.02</v>
      </c>
      <c r="E117" s="859">
        <v>0</v>
      </c>
      <c r="F117" s="859">
        <v>0</v>
      </c>
      <c r="G117" s="602">
        <v>0</v>
      </c>
      <c r="H117" s="602">
        <v>0</v>
      </c>
      <c r="I117" s="602">
        <v>0</v>
      </c>
      <c r="J117" s="602">
        <v>0</v>
      </c>
      <c r="K117" s="602">
        <v>0</v>
      </c>
      <c r="L117" s="602">
        <v>0</v>
      </c>
      <c r="M117" s="602">
        <v>0</v>
      </c>
      <c r="N117" s="1264">
        <v>0</v>
      </c>
      <c r="O117" s="1264">
        <v>0</v>
      </c>
      <c r="P117" s="1264">
        <v>0</v>
      </c>
    </row>
    <row r="118" spans="1:16" x14ac:dyDescent="0.2">
      <c r="A118" t="s">
        <v>870</v>
      </c>
      <c r="B118" s="859">
        <f t="shared" si="1"/>
        <v>8.4849999999999995E-2</v>
      </c>
      <c r="C118" s="859">
        <v>2.9000000000000001E-2</v>
      </c>
      <c r="D118" s="859">
        <v>9.8499999999999994E-3</v>
      </c>
      <c r="E118" s="859">
        <v>3.5000000000000003E-2</v>
      </c>
      <c r="F118" s="859">
        <v>1.0999999999999999E-2</v>
      </c>
      <c r="G118" s="602">
        <v>0</v>
      </c>
      <c r="H118" s="602">
        <v>0</v>
      </c>
      <c r="I118" s="602">
        <v>0</v>
      </c>
      <c r="J118" s="602">
        <v>0</v>
      </c>
      <c r="K118" s="602">
        <v>0</v>
      </c>
      <c r="L118" s="602">
        <v>0</v>
      </c>
      <c r="M118" s="602">
        <v>0</v>
      </c>
      <c r="N118" s="1264">
        <v>0</v>
      </c>
      <c r="O118" s="1264">
        <v>0</v>
      </c>
      <c r="P118" s="1264">
        <v>0</v>
      </c>
    </row>
    <row r="119" spans="1:16" x14ac:dyDescent="0.2">
      <c r="A119" t="s">
        <v>1770</v>
      </c>
      <c r="B119" s="859">
        <f t="shared" si="1"/>
        <v>7.9000000000000001E-2</v>
      </c>
      <c r="C119" s="859">
        <v>2.9000000000000001E-2</v>
      </c>
      <c r="D119" s="859">
        <v>0.05</v>
      </c>
      <c r="E119" s="859">
        <v>0</v>
      </c>
      <c r="F119" s="859">
        <v>0</v>
      </c>
      <c r="G119" s="602">
        <v>0</v>
      </c>
      <c r="H119" s="602">
        <v>0</v>
      </c>
      <c r="I119" s="602">
        <v>0</v>
      </c>
      <c r="J119" s="602">
        <v>0</v>
      </c>
      <c r="K119" s="602">
        <v>0</v>
      </c>
      <c r="L119" s="602">
        <v>0</v>
      </c>
      <c r="M119" s="602">
        <v>0</v>
      </c>
      <c r="N119" s="1264">
        <v>0</v>
      </c>
      <c r="O119" s="1264">
        <v>0</v>
      </c>
      <c r="P119" s="1264">
        <v>0</v>
      </c>
    </row>
    <row r="120" spans="1:16" x14ac:dyDescent="0.2">
      <c r="A120" t="s">
        <v>871</v>
      </c>
      <c r="B120" s="859">
        <f t="shared" si="1"/>
        <v>6.9000000000000006E-2</v>
      </c>
      <c r="C120" s="859">
        <v>2.9000000000000001E-2</v>
      </c>
      <c r="D120" s="859">
        <v>0.04</v>
      </c>
      <c r="E120" s="859">
        <v>0</v>
      </c>
      <c r="F120" s="859">
        <v>0</v>
      </c>
      <c r="G120" s="602">
        <v>0</v>
      </c>
      <c r="H120" s="602">
        <v>0</v>
      </c>
      <c r="I120" s="602">
        <v>0</v>
      </c>
      <c r="J120" s="602">
        <v>0</v>
      </c>
      <c r="K120" s="602">
        <v>0</v>
      </c>
      <c r="L120" s="602">
        <v>0</v>
      </c>
      <c r="M120" s="602">
        <v>0</v>
      </c>
      <c r="N120" s="1264">
        <v>0</v>
      </c>
      <c r="O120" s="1264">
        <v>0</v>
      </c>
      <c r="P120" s="1264">
        <v>0</v>
      </c>
    </row>
    <row r="121" spans="1:16" x14ac:dyDescent="0.2">
      <c r="A121" t="s">
        <v>872</v>
      </c>
      <c r="B121" s="859">
        <f t="shared" si="1"/>
        <v>7.4999999999999997E-2</v>
      </c>
      <c r="C121" s="859">
        <v>2.9000000000000001E-2</v>
      </c>
      <c r="D121" s="859">
        <v>5.0000000000000001E-3</v>
      </c>
      <c r="E121" s="859">
        <v>0.03</v>
      </c>
      <c r="F121" s="859">
        <v>1.0999999999999999E-2</v>
      </c>
      <c r="G121" s="602">
        <v>0</v>
      </c>
      <c r="H121" s="602">
        <v>0</v>
      </c>
      <c r="I121" s="602">
        <v>0</v>
      </c>
      <c r="J121" s="602">
        <v>0</v>
      </c>
      <c r="K121" s="602">
        <v>0</v>
      </c>
      <c r="L121" s="602">
        <v>0</v>
      </c>
      <c r="M121" s="602">
        <v>0</v>
      </c>
      <c r="N121" s="1264">
        <v>0</v>
      </c>
      <c r="O121" s="1264">
        <v>0</v>
      </c>
      <c r="P121" s="1264">
        <v>0</v>
      </c>
    </row>
    <row r="122" spans="1:16" x14ac:dyDescent="0.2">
      <c r="A122" t="s">
        <v>873</v>
      </c>
      <c r="B122" s="859">
        <f t="shared" si="1"/>
        <v>6.9000000000000006E-2</v>
      </c>
      <c r="C122" s="859">
        <v>2.9000000000000001E-2</v>
      </c>
      <c r="D122" s="859">
        <v>0.01</v>
      </c>
      <c r="E122" s="859">
        <v>0.03</v>
      </c>
      <c r="F122" s="859">
        <v>0</v>
      </c>
      <c r="G122" s="602">
        <v>0</v>
      </c>
      <c r="H122" s="602">
        <v>0</v>
      </c>
      <c r="I122" s="602">
        <v>0</v>
      </c>
      <c r="J122" s="602">
        <v>0</v>
      </c>
      <c r="K122" s="602">
        <v>0</v>
      </c>
      <c r="L122" s="602">
        <v>0</v>
      </c>
      <c r="M122" s="602">
        <v>0</v>
      </c>
      <c r="N122" s="1264">
        <v>0</v>
      </c>
      <c r="O122" s="1264">
        <v>0</v>
      </c>
      <c r="P122" s="1264">
        <v>0</v>
      </c>
    </row>
    <row r="123" spans="1:16" x14ac:dyDescent="0.2">
      <c r="A123" t="s">
        <v>874</v>
      </c>
      <c r="B123" s="859">
        <f t="shared" si="1"/>
        <v>3.7000000000000005E-2</v>
      </c>
      <c r="C123" s="859">
        <v>2.9000000000000001E-2</v>
      </c>
      <c r="D123" s="859">
        <v>8.0000000000000002E-3</v>
      </c>
      <c r="E123" s="859">
        <v>0</v>
      </c>
      <c r="F123" s="859">
        <v>0</v>
      </c>
      <c r="G123" s="602">
        <v>0</v>
      </c>
      <c r="H123" s="602">
        <v>0</v>
      </c>
      <c r="I123" s="602">
        <v>0</v>
      </c>
      <c r="J123" s="602">
        <v>0</v>
      </c>
      <c r="K123" s="602">
        <v>0</v>
      </c>
      <c r="L123" s="602">
        <v>0</v>
      </c>
      <c r="M123" s="602">
        <v>0</v>
      </c>
      <c r="N123" s="1264">
        <v>0</v>
      </c>
      <c r="O123" s="1264">
        <v>0</v>
      </c>
      <c r="P123" s="1264">
        <v>0</v>
      </c>
    </row>
    <row r="124" spans="1:16" x14ac:dyDescent="0.2">
      <c r="A124" t="s">
        <v>875</v>
      </c>
      <c r="B124" s="859">
        <f t="shared" si="1"/>
        <v>6.9000000000000006E-2</v>
      </c>
      <c r="C124" s="859">
        <v>2.9000000000000001E-2</v>
      </c>
      <c r="D124" s="859">
        <v>0.01</v>
      </c>
      <c r="E124" s="859">
        <v>0.03</v>
      </c>
      <c r="F124" s="859">
        <v>0</v>
      </c>
      <c r="G124" s="602">
        <v>0</v>
      </c>
      <c r="H124" s="602">
        <v>0</v>
      </c>
      <c r="I124" s="602">
        <v>0</v>
      </c>
      <c r="J124" s="602">
        <v>0</v>
      </c>
      <c r="K124" s="602">
        <v>0</v>
      </c>
      <c r="L124" s="602">
        <v>0</v>
      </c>
      <c r="M124" s="602">
        <v>0</v>
      </c>
      <c r="N124" s="1264">
        <v>0</v>
      </c>
      <c r="O124" s="1264">
        <v>0</v>
      </c>
      <c r="P124" s="1264">
        <v>0</v>
      </c>
    </row>
    <row r="125" spans="1:16" x14ac:dyDescent="0.2">
      <c r="A125" t="s">
        <v>1771</v>
      </c>
      <c r="B125" s="859">
        <f t="shared" si="1"/>
        <v>4.3999999999999997E-2</v>
      </c>
      <c r="C125" s="859">
        <v>2.9000000000000001E-2</v>
      </c>
      <c r="D125" s="859">
        <v>1.4999999999999999E-2</v>
      </c>
      <c r="E125" s="859">
        <v>0</v>
      </c>
      <c r="F125" s="859">
        <v>0</v>
      </c>
      <c r="G125" s="602">
        <v>0</v>
      </c>
      <c r="H125" s="602">
        <v>0</v>
      </c>
      <c r="I125" s="602">
        <v>0</v>
      </c>
      <c r="J125" s="602">
        <v>0</v>
      </c>
      <c r="K125" s="602">
        <v>0</v>
      </c>
      <c r="L125" s="602">
        <v>0</v>
      </c>
      <c r="M125" s="602">
        <v>0</v>
      </c>
      <c r="N125" s="1264">
        <v>0</v>
      </c>
      <c r="O125" s="1264">
        <v>0</v>
      </c>
      <c r="P125" s="1264">
        <v>0</v>
      </c>
    </row>
    <row r="126" spans="1:16" x14ac:dyDescent="0.2">
      <c r="A126" t="s">
        <v>876</v>
      </c>
      <c r="B126" s="859">
        <f t="shared" si="1"/>
        <v>6.9000000000000006E-2</v>
      </c>
      <c r="C126" s="859">
        <v>2.9000000000000001E-2</v>
      </c>
      <c r="D126" s="859">
        <v>0.02</v>
      </c>
      <c r="E126" s="859">
        <v>0.02</v>
      </c>
      <c r="F126" s="859">
        <v>0</v>
      </c>
      <c r="G126" s="602">
        <v>0</v>
      </c>
      <c r="H126" s="602">
        <v>0</v>
      </c>
      <c r="I126" s="602">
        <v>0</v>
      </c>
      <c r="J126" s="602">
        <v>0</v>
      </c>
      <c r="K126" s="602">
        <v>0</v>
      </c>
      <c r="L126" s="602">
        <v>0</v>
      </c>
      <c r="M126" s="602">
        <v>0</v>
      </c>
      <c r="N126" s="1264">
        <v>0</v>
      </c>
      <c r="O126" s="1264">
        <v>0</v>
      </c>
      <c r="P126" s="1264">
        <v>0</v>
      </c>
    </row>
    <row r="127" spans="1:16" x14ac:dyDescent="0.2">
      <c r="A127" t="s">
        <v>877</v>
      </c>
      <c r="B127" s="859">
        <f t="shared" si="1"/>
        <v>4.9000000000000002E-2</v>
      </c>
      <c r="C127" s="859">
        <v>2.9000000000000001E-2</v>
      </c>
      <c r="D127" s="859">
        <v>0.02</v>
      </c>
      <c r="E127" s="859">
        <v>0</v>
      </c>
      <c r="F127" s="859">
        <v>0</v>
      </c>
      <c r="G127" s="602">
        <v>0</v>
      </c>
      <c r="H127" s="602">
        <v>0</v>
      </c>
      <c r="I127" s="602">
        <v>0</v>
      </c>
      <c r="J127" s="602">
        <v>0</v>
      </c>
      <c r="K127" s="602">
        <v>0</v>
      </c>
      <c r="L127" s="602">
        <v>0</v>
      </c>
      <c r="M127" s="602">
        <v>0</v>
      </c>
      <c r="N127" s="1264">
        <v>0</v>
      </c>
      <c r="O127" s="1264">
        <v>0</v>
      </c>
      <c r="P127" s="1264">
        <v>0</v>
      </c>
    </row>
    <row r="128" spans="1:16" x14ac:dyDescent="0.2">
      <c r="A128" t="s">
        <v>878</v>
      </c>
      <c r="B128" s="859">
        <f t="shared" si="1"/>
        <v>7.2499999999999995E-2</v>
      </c>
      <c r="C128" s="859">
        <v>2.9000000000000001E-2</v>
      </c>
      <c r="D128" s="859">
        <v>2.5000000000000001E-3</v>
      </c>
      <c r="E128" s="859">
        <v>0.03</v>
      </c>
      <c r="F128" s="859">
        <v>1.0999999999999999E-2</v>
      </c>
      <c r="G128" s="602">
        <v>0</v>
      </c>
      <c r="H128" s="602">
        <v>0</v>
      </c>
      <c r="I128" s="602">
        <v>0</v>
      </c>
      <c r="J128" s="602">
        <v>0</v>
      </c>
      <c r="K128" s="602">
        <v>0</v>
      </c>
      <c r="L128" s="602">
        <v>0</v>
      </c>
      <c r="M128" s="602">
        <v>0</v>
      </c>
      <c r="N128" s="1264">
        <v>0</v>
      </c>
      <c r="O128" s="1264">
        <v>0</v>
      </c>
      <c r="P128" s="1264">
        <v>0</v>
      </c>
    </row>
    <row r="129" spans="1:16" x14ac:dyDescent="0.2">
      <c r="A129" t="s">
        <v>2028</v>
      </c>
      <c r="B129" s="859">
        <f t="shared" si="1"/>
        <v>4.4999999999999998E-2</v>
      </c>
      <c r="C129" s="859">
        <v>2.9000000000000001E-2</v>
      </c>
      <c r="D129" s="859">
        <v>5.0000000000000001E-3</v>
      </c>
      <c r="E129" s="859">
        <v>0</v>
      </c>
      <c r="F129" s="859">
        <v>1.0999999999999999E-2</v>
      </c>
      <c r="G129" s="602">
        <v>0</v>
      </c>
      <c r="H129" s="602">
        <v>0</v>
      </c>
      <c r="I129" s="602">
        <v>0</v>
      </c>
      <c r="J129" s="602">
        <v>0</v>
      </c>
      <c r="K129" s="602">
        <v>0</v>
      </c>
      <c r="L129" s="602">
        <v>0</v>
      </c>
      <c r="M129" s="602">
        <v>0</v>
      </c>
      <c r="N129" s="1264">
        <v>0</v>
      </c>
      <c r="O129" s="1264">
        <v>0</v>
      </c>
      <c r="P129" s="1264">
        <v>0</v>
      </c>
    </row>
    <row r="130" spans="1:16" x14ac:dyDescent="0.2">
      <c r="A130" t="s">
        <v>879</v>
      </c>
      <c r="B130" s="859">
        <f t="shared" si="1"/>
        <v>5.8999999999999997E-2</v>
      </c>
      <c r="C130" s="859">
        <v>2.9000000000000001E-2</v>
      </c>
      <c r="D130" s="859">
        <v>0</v>
      </c>
      <c r="E130" s="859">
        <v>0.03</v>
      </c>
      <c r="F130" s="859">
        <v>0</v>
      </c>
      <c r="G130" s="602">
        <v>0</v>
      </c>
      <c r="H130" s="602">
        <v>0</v>
      </c>
      <c r="I130" s="602">
        <v>0</v>
      </c>
      <c r="J130" s="602">
        <v>0</v>
      </c>
      <c r="K130" s="602">
        <v>0</v>
      </c>
      <c r="L130" s="602">
        <v>0</v>
      </c>
      <c r="M130" s="602">
        <v>0</v>
      </c>
      <c r="N130" s="1264">
        <v>0</v>
      </c>
      <c r="O130" s="1264">
        <v>0</v>
      </c>
      <c r="P130" s="1264">
        <v>0</v>
      </c>
    </row>
    <row r="131" spans="1:16" x14ac:dyDescent="0.2">
      <c r="A131" t="s">
        <v>880</v>
      </c>
      <c r="B131" s="859">
        <f t="shared" si="1"/>
        <v>3.9E-2</v>
      </c>
      <c r="C131" s="859">
        <v>2.9000000000000001E-2</v>
      </c>
      <c r="D131" s="859">
        <v>0.01</v>
      </c>
      <c r="E131" s="859">
        <v>0</v>
      </c>
      <c r="F131" s="859">
        <v>0</v>
      </c>
      <c r="G131" s="602">
        <v>0</v>
      </c>
      <c r="H131" s="602">
        <v>0</v>
      </c>
      <c r="I131" s="602">
        <v>0</v>
      </c>
      <c r="J131" s="602">
        <v>0</v>
      </c>
      <c r="K131" s="602">
        <v>0</v>
      </c>
      <c r="L131" s="602">
        <v>0</v>
      </c>
      <c r="M131" s="602">
        <v>0</v>
      </c>
      <c r="N131" s="1264">
        <v>0</v>
      </c>
      <c r="O131" s="1264">
        <v>0</v>
      </c>
      <c r="P131" s="1264">
        <v>0</v>
      </c>
    </row>
    <row r="132" spans="1:16" x14ac:dyDescent="0.2">
      <c r="A132" t="s">
        <v>881</v>
      </c>
      <c r="B132" s="859">
        <f t="shared" ref="B132:B195" si="2">F132+E132+D132+C132</f>
        <v>6.8125000000000005E-2</v>
      </c>
      <c r="C132" s="859">
        <v>2.9000000000000001E-2</v>
      </c>
      <c r="D132" s="859">
        <v>0.01</v>
      </c>
      <c r="E132" s="859">
        <v>1.8124999999999999E-2</v>
      </c>
      <c r="F132" s="859">
        <v>1.0999999999999999E-2</v>
      </c>
      <c r="G132" s="602">
        <v>0</v>
      </c>
      <c r="H132" s="602">
        <v>0</v>
      </c>
      <c r="I132" s="602">
        <v>0</v>
      </c>
      <c r="J132" s="602">
        <v>0</v>
      </c>
      <c r="K132" s="602">
        <v>0</v>
      </c>
      <c r="L132" s="602">
        <v>0</v>
      </c>
      <c r="M132" s="602">
        <v>0</v>
      </c>
      <c r="N132" s="1264">
        <v>0</v>
      </c>
      <c r="O132" s="1264">
        <v>0</v>
      </c>
      <c r="P132" s="1264">
        <v>0</v>
      </c>
    </row>
    <row r="133" spans="1:16" x14ac:dyDescent="0.2">
      <c r="A133" t="s">
        <v>882</v>
      </c>
      <c r="B133" s="859">
        <f t="shared" si="2"/>
        <v>8.514999999999999E-2</v>
      </c>
      <c r="C133" s="859">
        <v>2.9000000000000001E-2</v>
      </c>
      <c r="D133" s="859">
        <v>9.8499999999999994E-3</v>
      </c>
      <c r="E133" s="859">
        <v>3.5299999999999998E-2</v>
      </c>
      <c r="F133" s="859">
        <v>1.0999999999999999E-2</v>
      </c>
      <c r="G133" s="602">
        <v>0</v>
      </c>
      <c r="H133" s="602">
        <v>0</v>
      </c>
      <c r="I133" s="602">
        <v>0</v>
      </c>
      <c r="J133" s="602">
        <v>0</v>
      </c>
      <c r="K133" s="602">
        <v>0</v>
      </c>
      <c r="L133" s="602">
        <v>0</v>
      </c>
      <c r="M133" s="602">
        <v>0</v>
      </c>
      <c r="N133" s="1264">
        <v>0</v>
      </c>
      <c r="O133" s="1264">
        <v>0</v>
      </c>
      <c r="P133" s="1264">
        <v>0</v>
      </c>
    </row>
    <row r="134" spans="1:16" x14ac:dyDescent="0.2">
      <c r="A134" t="s">
        <v>883</v>
      </c>
      <c r="B134" s="859">
        <f t="shared" si="2"/>
        <v>8.6349999999999996E-2</v>
      </c>
      <c r="C134" s="859">
        <v>2.9000000000000001E-2</v>
      </c>
      <c r="D134" s="859">
        <v>9.8499999999999994E-3</v>
      </c>
      <c r="E134" s="859">
        <v>3.6499999999999998E-2</v>
      </c>
      <c r="F134" s="859">
        <v>1.0999999999999999E-2</v>
      </c>
      <c r="G134" s="602">
        <v>0</v>
      </c>
      <c r="H134" s="602">
        <v>0</v>
      </c>
      <c r="I134" s="602">
        <v>0</v>
      </c>
      <c r="J134" s="602">
        <v>0</v>
      </c>
      <c r="K134" s="602">
        <v>0</v>
      </c>
      <c r="L134" s="602">
        <v>0</v>
      </c>
      <c r="M134" s="602">
        <v>0</v>
      </c>
      <c r="N134" s="1264">
        <v>0</v>
      </c>
      <c r="O134" s="1264">
        <v>0</v>
      </c>
      <c r="P134" s="1264">
        <v>0</v>
      </c>
    </row>
    <row r="135" spans="1:16" x14ac:dyDescent="0.2">
      <c r="A135" t="s">
        <v>884</v>
      </c>
      <c r="B135" s="859">
        <f t="shared" si="2"/>
        <v>6.7000000000000004E-2</v>
      </c>
      <c r="C135" s="859">
        <v>2.9000000000000001E-2</v>
      </c>
      <c r="D135" s="859">
        <v>8.0000000000000002E-3</v>
      </c>
      <c r="E135" s="859">
        <v>0.03</v>
      </c>
      <c r="F135" s="859">
        <v>0</v>
      </c>
      <c r="G135" s="602">
        <v>0</v>
      </c>
      <c r="H135" s="602">
        <v>0</v>
      </c>
      <c r="I135" s="602">
        <v>0</v>
      </c>
      <c r="J135" s="602">
        <v>0</v>
      </c>
      <c r="K135" s="602">
        <v>0</v>
      </c>
      <c r="L135" s="602">
        <v>0</v>
      </c>
      <c r="M135" s="602">
        <v>0</v>
      </c>
      <c r="N135" s="1264">
        <v>0</v>
      </c>
      <c r="O135" s="1264">
        <v>0</v>
      </c>
      <c r="P135" s="1264">
        <v>0</v>
      </c>
    </row>
    <row r="136" spans="1:16" x14ac:dyDescent="0.2">
      <c r="A136" t="s">
        <v>885</v>
      </c>
      <c r="B136" s="859">
        <f t="shared" si="2"/>
        <v>3.9E-2</v>
      </c>
      <c r="C136" s="859">
        <v>2.9000000000000001E-2</v>
      </c>
      <c r="D136" s="859">
        <v>0</v>
      </c>
      <c r="E136" s="859">
        <v>0.01</v>
      </c>
      <c r="F136" s="859">
        <v>0</v>
      </c>
      <c r="G136" s="602">
        <v>0</v>
      </c>
      <c r="H136" s="602">
        <v>0</v>
      </c>
      <c r="I136" s="602">
        <v>0</v>
      </c>
      <c r="J136" s="602">
        <v>0</v>
      </c>
      <c r="K136" s="602">
        <v>0</v>
      </c>
      <c r="L136" s="602">
        <v>0</v>
      </c>
      <c r="M136" s="602">
        <v>0</v>
      </c>
      <c r="N136" s="1264">
        <v>0</v>
      </c>
      <c r="O136" s="1264">
        <v>0</v>
      </c>
      <c r="P136" s="1264">
        <v>0</v>
      </c>
    </row>
    <row r="137" spans="1:16" x14ac:dyDescent="0.2">
      <c r="A137" t="s">
        <v>886</v>
      </c>
      <c r="B137" s="859">
        <f t="shared" si="2"/>
        <v>9.0300000000000005E-2</v>
      </c>
      <c r="C137" s="859">
        <v>2.9000000000000001E-2</v>
      </c>
      <c r="D137" s="859">
        <v>1.23E-2</v>
      </c>
      <c r="E137" s="859">
        <v>3.9E-2</v>
      </c>
      <c r="F137" s="859">
        <v>0.01</v>
      </c>
      <c r="G137" s="602">
        <v>0</v>
      </c>
      <c r="H137" s="602">
        <v>0</v>
      </c>
      <c r="I137" s="602">
        <v>0</v>
      </c>
      <c r="J137" s="602">
        <v>0</v>
      </c>
      <c r="K137" s="602">
        <v>0</v>
      </c>
      <c r="L137" s="602">
        <v>0</v>
      </c>
      <c r="M137" s="602">
        <v>0</v>
      </c>
      <c r="N137" s="1264">
        <v>0</v>
      </c>
      <c r="O137" s="1264">
        <v>0</v>
      </c>
      <c r="P137" s="1264">
        <v>0</v>
      </c>
    </row>
    <row r="138" spans="1:16" x14ac:dyDescent="0.2">
      <c r="A138" t="s">
        <v>887</v>
      </c>
      <c r="B138" s="859">
        <f t="shared" si="2"/>
        <v>4.9000000000000002E-2</v>
      </c>
      <c r="C138" s="859">
        <v>2.9000000000000001E-2</v>
      </c>
      <c r="D138" s="859">
        <v>0</v>
      </c>
      <c r="E138" s="859">
        <v>0.02</v>
      </c>
      <c r="F138" s="859">
        <v>0</v>
      </c>
      <c r="G138" s="602">
        <v>0</v>
      </c>
      <c r="H138" s="602">
        <v>0</v>
      </c>
      <c r="I138" s="602">
        <v>0</v>
      </c>
      <c r="J138" s="602">
        <v>0</v>
      </c>
      <c r="K138" s="602">
        <v>0</v>
      </c>
      <c r="L138" s="602">
        <v>0</v>
      </c>
      <c r="M138" s="602">
        <v>0</v>
      </c>
      <c r="N138" s="1264">
        <v>0</v>
      </c>
      <c r="O138" s="1264">
        <v>0</v>
      </c>
      <c r="P138" s="1264">
        <v>0</v>
      </c>
    </row>
    <row r="139" spans="1:16" x14ac:dyDescent="0.2">
      <c r="A139" t="s">
        <v>1772</v>
      </c>
      <c r="B139" s="859">
        <f t="shared" si="2"/>
        <v>6.5000000000000002E-2</v>
      </c>
      <c r="C139" s="859">
        <v>2.9000000000000001E-2</v>
      </c>
      <c r="D139" s="859">
        <v>3.5999999999999997E-2</v>
      </c>
      <c r="E139" s="859">
        <v>0</v>
      </c>
      <c r="F139" s="859">
        <v>0</v>
      </c>
      <c r="G139" s="602">
        <v>0</v>
      </c>
      <c r="H139" s="602">
        <v>0</v>
      </c>
      <c r="I139" s="602">
        <v>0</v>
      </c>
      <c r="J139" s="602">
        <v>0</v>
      </c>
      <c r="K139" s="602">
        <v>0</v>
      </c>
      <c r="L139" s="602">
        <v>0</v>
      </c>
      <c r="M139" s="602">
        <v>0</v>
      </c>
      <c r="N139" s="1264">
        <v>0</v>
      </c>
      <c r="O139" s="1264">
        <v>0</v>
      </c>
      <c r="P139" s="1264">
        <v>0</v>
      </c>
    </row>
    <row r="140" spans="1:16" x14ac:dyDescent="0.2">
      <c r="A140" t="s">
        <v>888</v>
      </c>
      <c r="B140" s="859">
        <f t="shared" si="2"/>
        <v>5.2699999999999997E-2</v>
      </c>
      <c r="C140" s="859">
        <v>2.9000000000000001E-2</v>
      </c>
      <c r="D140" s="859">
        <v>0.02</v>
      </c>
      <c r="E140" s="859">
        <v>0</v>
      </c>
      <c r="F140" s="859">
        <v>3.7000000000000002E-3</v>
      </c>
      <c r="G140" s="602">
        <v>0</v>
      </c>
      <c r="H140" s="602">
        <v>0</v>
      </c>
      <c r="I140" s="602">
        <v>0</v>
      </c>
      <c r="J140" s="602">
        <v>0</v>
      </c>
      <c r="K140" s="602">
        <v>0</v>
      </c>
      <c r="L140" s="602">
        <v>0</v>
      </c>
      <c r="M140" s="602">
        <v>0</v>
      </c>
      <c r="N140" s="1264">
        <v>0</v>
      </c>
      <c r="O140" s="1264">
        <v>0</v>
      </c>
      <c r="P140" s="1264">
        <v>0</v>
      </c>
    </row>
    <row r="141" spans="1:16" x14ac:dyDescent="0.2">
      <c r="A141" t="s">
        <v>889</v>
      </c>
      <c r="B141" s="859">
        <f t="shared" si="2"/>
        <v>5.4000000000000006E-2</v>
      </c>
      <c r="C141" s="859">
        <v>2.9000000000000001E-2</v>
      </c>
      <c r="D141" s="859">
        <v>0</v>
      </c>
      <c r="E141" s="859">
        <v>2.5000000000000001E-2</v>
      </c>
      <c r="F141" s="859">
        <v>0</v>
      </c>
      <c r="G141" s="602">
        <v>0</v>
      </c>
      <c r="H141" s="602">
        <v>0</v>
      </c>
      <c r="I141" s="602">
        <v>0</v>
      </c>
      <c r="J141" s="602">
        <v>0</v>
      </c>
      <c r="K141" s="602">
        <v>0</v>
      </c>
      <c r="L141" s="602">
        <v>0</v>
      </c>
      <c r="M141" s="602">
        <v>0</v>
      </c>
      <c r="N141" s="1264">
        <v>0</v>
      </c>
      <c r="O141" s="1264">
        <v>0</v>
      </c>
      <c r="P141" s="1264">
        <v>0</v>
      </c>
    </row>
    <row r="142" spans="1:16" x14ac:dyDescent="0.2">
      <c r="A142" t="s">
        <v>890</v>
      </c>
      <c r="B142" s="859">
        <f t="shared" si="2"/>
        <v>5.5E-2</v>
      </c>
      <c r="C142" s="859">
        <v>2.9000000000000001E-2</v>
      </c>
      <c r="D142" s="859">
        <v>2.5999999999999999E-2</v>
      </c>
      <c r="E142" s="859">
        <v>0</v>
      </c>
      <c r="F142" s="859">
        <v>0</v>
      </c>
      <c r="G142" s="602">
        <v>0</v>
      </c>
      <c r="H142" s="602">
        <v>0</v>
      </c>
      <c r="I142" s="602">
        <v>0</v>
      </c>
      <c r="J142" s="602">
        <v>0</v>
      </c>
      <c r="K142" s="602">
        <v>0</v>
      </c>
      <c r="L142" s="602">
        <v>0</v>
      </c>
      <c r="M142" s="602">
        <v>0</v>
      </c>
      <c r="N142" s="1264">
        <v>0</v>
      </c>
      <c r="O142" s="1264">
        <v>0</v>
      </c>
      <c r="P142" s="1264">
        <v>0</v>
      </c>
    </row>
    <row r="143" spans="1:16" x14ac:dyDescent="0.2">
      <c r="A143" t="s">
        <v>891</v>
      </c>
      <c r="B143" s="859">
        <f t="shared" si="2"/>
        <v>8.4000000000000005E-2</v>
      </c>
      <c r="C143" s="859">
        <v>2.9000000000000001E-2</v>
      </c>
      <c r="D143" s="859">
        <v>0.01</v>
      </c>
      <c r="E143" s="859">
        <v>0.04</v>
      </c>
      <c r="F143" s="859">
        <v>5.0000000000000001E-3</v>
      </c>
      <c r="G143" s="602">
        <v>0</v>
      </c>
      <c r="H143" s="602">
        <v>0</v>
      </c>
      <c r="I143" s="602">
        <v>0</v>
      </c>
      <c r="J143" s="602">
        <v>0</v>
      </c>
      <c r="K143" s="602">
        <v>0</v>
      </c>
      <c r="L143" s="602">
        <v>0</v>
      </c>
      <c r="M143" s="602">
        <v>0</v>
      </c>
      <c r="N143" s="1264">
        <v>0</v>
      </c>
      <c r="O143" s="1264">
        <v>0</v>
      </c>
      <c r="P143" s="1264">
        <v>0</v>
      </c>
    </row>
    <row r="144" spans="1:16" x14ac:dyDescent="0.2">
      <c r="A144" t="s">
        <v>892</v>
      </c>
      <c r="B144" s="859">
        <f t="shared" si="2"/>
        <v>4.9000000000000002E-2</v>
      </c>
      <c r="C144" s="859">
        <v>2.9000000000000001E-2</v>
      </c>
      <c r="D144" s="859">
        <v>0.02</v>
      </c>
      <c r="E144" s="859">
        <v>0</v>
      </c>
      <c r="F144" s="859">
        <v>0</v>
      </c>
      <c r="G144" s="602">
        <v>0</v>
      </c>
      <c r="H144" s="602">
        <v>0</v>
      </c>
      <c r="I144" s="602">
        <v>0</v>
      </c>
      <c r="J144" s="602">
        <v>0</v>
      </c>
      <c r="K144" s="602">
        <v>0</v>
      </c>
      <c r="L144" s="602">
        <v>0</v>
      </c>
      <c r="M144" s="602">
        <v>0</v>
      </c>
      <c r="N144" s="1264">
        <v>0</v>
      </c>
      <c r="O144" s="1264">
        <v>0</v>
      </c>
      <c r="P144" s="1264">
        <v>0</v>
      </c>
    </row>
    <row r="145" spans="1:16" x14ac:dyDescent="0.2">
      <c r="A145" t="s">
        <v>893</v>
      </c>
      <c r="B145" s="859">
        <f t="shared" si="2"/>
        <v>8.4999999999999992E-2</v>
      </c>
      <c r="C145" s="859">
        <v>2.9000000000000001E-2</v>
      </c>
      <c r="D145" s="859">
        <v>2.5999999999999999E-2</v>
      </c>
      <c r="E145" s="859">
        <v>0.03</v>
      </c>
      <c r="F145" s="859">
        <v>0</v>
      </c>
      <c r="G145" s="602">
        <v>0</v>
      </c>
      <c r="H145" s="602">
        <v>0</v>
      </c>
      <c r="I145" s="602">
        <v>0</v>
      </c>
      <c r="J145" s="602">
        <v>0</v>
      </c>
      <c r="K145" s="602">
        <v>0</v>
      </c>
      <c r="L145" s="602">
        <v>0</v>
      </c>
      <c r="M145" s="602">
        <v>0</v>
      </c>
      <c r="N145" s="1264">
        <v>0</v>
      </c>
      <c r="O145" s="1264">
        <v>0</v>
      </c>
      <c r="P145" s="1264">
        <v>0</v>
      </c>
    </row>
    <row r="146" spans="1:16" x14ac:dyDescent="0.2">
      <c r="A146" t="s">
        <v>894</v>
      </c>
      <c r="B146" s="859">
        <f t="shared" si="2"/>
        <v>3.3000000000000002E-2</v>
      </c>
      <c r="C146" s="859">
        <v>2.9000000000000001E-2</v>
      </c>
      <c r="D146" s="859">
        <v>0</v>
      </c>
      <c r="E146" s="859">
        <v>0</v>
      </c>
      <c r="F146" s="859">
        <v>4.0000000000000001E-3</v>
      </c>
      <c r="G146" s="602">
        <v>0</v>
      </c>
      <c r="H146" s="602">
        <v>0</v>
      </c>
      <c r="I146" s="602">
        <v>0</v>
      </c>
      <c r="J146" s="602">
        <v>0</v>
      </c>
      <c r="K146" s="602">
        <v>0</v>
      </c>
      <c r="L146" s="602">
        <v>0</v>
      </c>
      <c r="M146" s="602">
        <v>0</v>
      </c>
      <c r="N146" s="1264">
        <v>0</v>
      </c>
      <c r="O146" s="1264">
        <v>0</v>
      </c>
      <c r="P146" s="1264">
        <v>0</v>
      </c>
    </row>
    <row r="147" spans="1:16" x14ac:dyDescent="0.2">
      <c r="A147" t="s">
        <v>895</v>
      </c>
      <c r="B147" s="859">
        <f t="shared" si="2"/>
        <v>8.5300000000000001E-2</v>
      </c>
      <c r="C147" s="859">
        <v>2.9000000000000001E-2</v>
      </c>
      <c r="D147" s="859">
        <v>0.01</v>
      </c>
      <c r="E147" s="859">
        <v>3.8800000000000001E-2</v>
      </c>
      <c r="F147" s="859">
        <v>7.4999999999999997E-3</v>
      </c>
      <c r="G147" s="602">
        <v>0</v>
      </c>
      <c r="H147" s="602">
        <v>0</v>
      </c>
      <c r="I147" s="602">
        <v>0</v>
      </c>
      <c r="J147" s="602">
        <v>0</v>
      </c>
      <c r="K147" s="602">
        <v>0</v>
      </c>
      <c r="L147" s="602">
        <v>0</v>
      </c>
      <c r="M147" s="602">
        <v>0</v>
      </c>
      <c r="N147" s="1264">
        <v>0</v>
      </c>
      <c r="O147" s="1264">
        <v>0</v>
      </c>
      <c r="P147" s="1264">
        <v>0</v>
      </c>
    </row>
    <row r="148" spans="1:16" x14ac:dyDescent="0.2">
      <c r="A148" t="s">
        <v>896</v>
      </c>
      <c r="B148" s="859">
        <f t="shared" si="2"/>
        <v>4.65E-2</v>
      </c>
      <c r="C148" s="859">
        <v>2.9000000000000001E-2</v>
      </c>
      <c r="D148" s="859">
        <v>0.01</v>
      </c>
      <c r="E148" s="859">
        <v>0</v>
      </c>
      <c r="F148" s="859">
        <v>7.4999999999999997E-3</v>
      </c>
      <c r="G148" s="602">
        <v>0</v>
      </c>
      <c r="H148" s="602">
        <v>0</v>
      </c>
      <c r="I148" s="602">
        <v>0</v>
      </c>
      <c r="J148" s="602">
        <v>0</v>
      </c>
      <c r="K148" s="602">
        <v>0</v>
      </c>
      <c r="L148" s="602">
        <v>0</v>
      </c>
      <c r="M148" s="602">
        <v>0</v>
      </c>
      <c r="N148" s="1264">
        <v>0</v>
      </c>
      <c r="O148" s="1264">
        <v>0</v>
      </c>
      <c r="P148" s="1264">
        <v>0</v>
      </c>
    </row>
    <row r="149" spans="1:16" x14ac:dyDescent="0.2">
      <c r="A149" t="s">
        <v>1773</v>
      </c>
      <c r="B149" s="859">
        <f t="shared" si="2"/>
        <v>2.9000000000000001E-2</v>
      </c>
      <c r="C149" s="859">
        <v>2.9000000000000001E-2</v>
      </c>
      <c r="D149" s="859">
        <v>0</v>
      </c>
      <c r="E149" s="859">
        <v>0</v>
      </c>
      <c r="F149" s="859">
        <v>0</v>
      </c>
      <c r="G149" s="602">
        <v>0</v>
      </c>
      <c r="H149" s="602">
        <v>0</v>
      </c>
      <c r="I149" s="602">
        <v>0</v>
      </c>
      <c r="J149" s="602">
        <v>0</v>
      </c>
      <c r="K149" s="602">
        <v>0</v>
      </c>
      <c r="L149" s="602">
        <v>0</v>
      </c>
      <c r="M149" s="602">
        <v>0</v>
      </c>
      <c r="N149" s="1264">
        <v>0</v>
      </c>
      <c r="O149" s="1264">
        <v>0</v>
      </c>
      <c r="P149" s="1264">
        <v>0</v>
      </c>
    </row>
    <row r="150" spans="1:16" x14ac:dyDescent="0.2">
      <c r="A150" t="s">
        <v>897</v>
      </c>
      <c r="B150" s="859">
        <f t="shared" si="2"/>
        <v>8.6500000000000007E-2</v>
      </c>
      <c r="C150" s="859">
        <v>2.9000000000000001E-2</v>
      </c>
      <c r="D150" s="859">
        <v>0.01</v>
      </c>
      <c r="E150" s="859">
        <v>4.4999999999999998E-2</v>
      </c>
      <c r="F150" s="859">
        <v>2.5000000000000001E-3</v>
      </c>
      <c r="G150" s="602">
        <v>0</v>
      </c>
      <c r="H150" s="602">
        <v>0</v>
      </c>
      <c r="I150" s="602">
        <v>0</v>
      </c>
      <c r="J150" s="602">
        <v>0</v>
      </c>
      <c r="K150" s="602">
        <v>0</v>
      </c>
      <c r="L150" s="602">
        <v>0</v>
      </c>
      <c r="M150" s="602">
        <v>0</v>
      </c>
      <c r="N150" s="1264">
        <v>0</v>
      </c>
      <c r="O150" s="1264">
        <v>0</v>
      </c>
      <c r="P150" s="1264">
        <v>0</v>
      </c>
    </row>
    <row r="151" spans="1:16" x14ac:dyDescent="0.2">
      <c r="A151" t="s">
        <v>898</v>
      </c>
      <c r="B151" s="859">
        <f t="shared" si="2"/>
        <v>8.6500000000000007E-2</v>
      </c>
      <c r="C151" s="859">
        <v>2.9000000000000001E-2</v>
      </c>
      <c r="D151" s="859">
        <v>0.01</v>
      </c>
      <c r="E151" s="859">
        <v>0.04</v>
      </c>
      <c r="F151" s="859">
        <v>7.4999999999999997E-3</v>
      </c>
      <c r="G151" s="602">
        <v>0</v>
      </c>
      <c r="H151" s="602">
        <v>0</v>
      </c>
      <c r="I151" s="602">
        <v>0</v>
      </c>
      <c r="J151" s="602">
        <v>0</v>
      </c>
      <c r="K151" s="602">
        <v>0</v>
      </c>
      <c r="L151" s="602">
        <v>0</v>
      </c>
      <c r="M151" s="602">
        <v>0</v>
      </c>
      <c r="N151" s="1264">
        <v>0</v>
      </c>
      <c r="O151" s="1264">
        <v>0</v>
      </c>
      <c r="P151" s="1264">
        <v>0</v>
      </c>
    </row>
    <row r="152" spans="1:16" x14ac:dyDescent="0.2">
      <c r="A152" t="s">
        <v>899</v>
      </c>
      <c r="B152" s="859">
        <f t="shared" si="2"/>
        <v>8.7500000000000008E-2</v>
      </c>
      <c r="C152" s="859">
        <v>2.9000000000000001E-2</v>
      </c>
      <c r="D152" s="859">
        <v>7.4999999999999997E-3</v>
      </c>
      <c r="E152" s="859">
        <v>0.04</v>
      </c>
      <c r="F152" s="859">
        <v>1.0999999999999999E-2</v>
      </c>
      <c r="G152" s="602">
        <v>0</v>
      </c>
      <c r="H152" s="602">
        <v>0</v>
      </c>
      <c r="I152" s="602">
        <v>0</v>
      </c>
      <c r="J152" s="602">
        <v>0</v>
      </c>
      <c r="K152" s="602">
        <v>0</v>
      </c>
      <c r="L152" s="602">
        <v>0</v>
      </c>
      <c r="M152" s="602">
        <v>0</v>
      </c>
      <c r="N152" s="1264">
        <v>0</v>
      </c>
      <c r="O152" s="1264">
        <v>0</v>
      </c>
      <c r="P152" s="1264">
        <v>0</v>
      </c>
    </row>
    <row r="153" spans="1:16" x14ac:dyDescent="0.2">
      <c r="A153" t="s">
        <v>900</v>
      </c>
      <c r="B153" s="859">
        <f t="shared" si="2"/>
        <v>6.9000000000000006E-2</v>
      </c>
      <c r="C153" s="859">
        <v>2.9000000000000001E-2</v>
      </c>
      <c r="D153" s="859">
        <v>0.01</v>
      </c>
      <c r="E153" s="859">
        <v>0.03</v>
      </c>
      <c r="F153" s="859">
        <v>0</v>
      </c>
      <c r="G153" s="602">
        <v>0</v>
      </c>
      <c r="H153" s="602">
        <v>0</v>
      </c>
      <c r="I153" s="602">
        <v>0</v>
      </c>
      <c r="J153" s="602">
        <v>0</v>
      </c>
      <c r="K153" s="602">
        <v>0</v>
      </c>
      <c r="L153" s="602">
        <v>0</v>
      </c>
      <c r="M153" s="602">
        <v>0</v>
      </c>
      <c r="N153" s="1264">
        <v>0</v>
      </c>
      <c r="O153" s="1264">
        <v>0</v>
      </c>
      <c r="P153" s="1264">
        <v>0</v>
      </c>
    </row>
    <row r="154" spans="1:16" x14ac:dyDescent="0.2">
      <c r="A154" t="s">
        <v>1774</v>
      </c>
      <c r="B154" s="859">
        <f t="shared" si="2"/>
        <v>4.65E-2</v>
      </c>
      <c r="C154" s="859">
        <v>2.9000000000000001E-2</v>
      </c>
      <c r="D154" s="859">
        <v>0.01</v>
      </c>
      <c r="E154" s="859">
        <v>0</v>
      </c>
      <c r="F154" s="859">
        <v>7.4999999999999997E-3</v>
      </c>
      <c r="G154" s="602">
        <v>0</v>
      </c>
      <c r="H154" s="602">
        <v>0</v>
      </c>
      <c r="I154" s="602">
        <v>0</v>
      </c>
      <c r="J154" s="602">
        <v>0</v>
      </c>
      <c r="K154" s="602">
        <v>0</v>
      </c>
      <c r="L154" s="602">
        <v>0</v>
      </c>
      <c r="M154" s="602">
        <v>0</v>
      </c>
      <c r="N154" s="1264">
        <v>0</v>
      </c>
      <c r="O154" s="1264">
        <v>0</v>
      </c>
      <c r="P154" s="1264">
        <v>0</v>
      </c>
    </row>
    <row r="155" spans="1:16" x14ac:dyDescent="0.2">
      <c r="A155" t="s">
        <v>901</v>
      </c>
      <c r="B155" s="859">
        <f t="shared" si="2"/>
        <v>4.9000000000000002E-2</v>
      </c>
      <c r="C155" s="859">
        <v>2.9000000000000001E-2</v>
      </c>
      <c r="D155" s="859">
        <v>0</v>
      </c>
      <c r="E155" s="859">
        <v>0.02</v>
      </c>
      <c r="F155" s="859">
        <v>0</v>
      </c>
      <c r="G155" s="602">
        <v>0</v>
      </c>
      <c r="H155" s="602">
        <v>0</v>
      </c>
      <c r="I155" s="602">
        <v>0</v>
      </c>
      <c r="J155" s="602">
        <v>0</v>
      </c>
      <c r="K155" s="602">
        <v>0</v>
      </c>
      <c r="L155" s="602">
        <v>0</v>
      </c>
      <c r="M155" s="602">
        <v>0</v>
      </c>
      <c r="N155" s="1264">
        <v>0</v>
      </c>
      <c r="O155" s="1264">
        <v>0</v>
      </c>
      <c r="P155" s="1264">
        <v>0</v>
      </c>
    </row>
    <row r="156" spans="1:16" x14ac:dyDescent="0.2">
      <c r="A156" t="s">
        <v>1775</v>
      </c>
      <c r="B156" s="859">
        <f t="shared" si="2"/>
        <v>4.9000000000000002E-2</v>
      </c>
      <c r="C156" s="859">
        <v>2.9000000000000001E-2</v>
      </c>
      <c r="D156" s="859">
        <v>0.02</v>
      </c>
      <c r="E156" s="859">
        <v>0</v>
      </c>
      <c r="F156" s="859">
        <v>0</v>
      </c>
      <c r="G156" s="602">
        <v>0</v>
      </c>
      <c r="H156" s="602">
        <v>0</v>
      </c>
      <c r="I156" s="602">
        <v>0</v>
      </c>
      <c r="J156" s="602">
        <v>0</v>
      </c>
      <c r="K156" s="602">
        <v>0</v>
      </c>
      <c r="L156" s="602">
        <v>0</v>
      </c>
      <c r="M156" s="602">
        <v>0</v>
      </c>
      <c r="N156" s="1264">
        <v>0</v>
      </c>
      <c r="O156" s="1264">
        <v>0</v>
      </c>
      <c r="P156" s="1264">
        <v>0</v>
      </c>
    </row>
    <row r="157" spans="1:16" x14ac:dyDescent="0.2">
      <c r="A157" t="s">
        <v>1776</v>
      </c>
      <c r="B157" s="859">
        <f t="shared" si="2"/>
        <v>6.9000000000000006E-2</v>
      </c>
      <c r="C157" s="859">
        <v>2.9000000000000001E-2</v>
      </c>
      <c r="D157" s="859">
        <v>0.02</v>
      </c>
      <c r="E157" s="859">
        <v>0.02</v>
      </c>
      <c r="F157" s="859">
        <v>0</v>
      </c>
      <c r="G157" s="602">
        <v>0</v>
      </c>
      <c r="H157" s="602">
        <v>0</v>
      </c>
      <c r="I157" s="602">
        <v>0</v>
      </c>
      <c r="J157" s="602">
        <v>0</v>
      </c>
      <c r="K157" s="602">
        <v>0</v>
      </c>
      <c r="L157" s="602">
        <v>0</v>
      </c>
      <c r="M157" s="602">
        <v>0</v>
      </c>
      <c r="N157" s="1264">
        <v>0</v>
      </c>
      <c r="O157" s="1264">
        <v>0</v>
      </c>
      <c r="P157" s="1264">
        <v>0</v>
      </c>
    </row>
    <row r="158" spans="1:16" x14ac:dyDescent="0.2">
      <c r="A158" t="s">
        <v>902</v>
      </c>
      <c r="B158" s="859">
        <f t="shared" si="2"/>
        <v>3.9E-2</v>
      </c>
      <c r="C158" s="859">
        <v>2.9000000000000001E-2</v>
      </c>
      <c r="D158" s="859">
        <v>0.01</v>
      </c>
      <c r="E158" s="859">
        <v>0</v>
      </c>
      <c r="F158" s="859">
        <v>0</v>
      </c>
      <c r="G158" s="602">
        <v>0</v>
      </c>
      <c r="H158" s="602">
        <v>0</v>
      </c>
      <c r="I158" s="602">
        <v>0</v>
      </c>
      <c r="J158" s="602">
        <v>0</v>
      </c>
      <c r="K158" s="602">
        <v>0</v>
      </c>
      <c r="L158" s="602">
        <v>0</v>
      </c>
      <c r="M158" s="602">
        <v>0</v>
      </c>
      <c r="N158" s="1264">
        <v>0</v>
      </c>
      <c r="O158" s="1264">
        <v>0</v>
      </c>
      <c r="P158" s="1264">
        <v>0</v>
      </c>
    </row>
    <row r="159" spans="1:16" x14ac:dyDescent="0.2">
      <c r="A159" t="s">
        <v>903</v>
      </c>
      <c r="B159" s="859">
        <f t="shared" si="2"/>
        <v>9.4500000000000001E-2</v>
      </c>
      <c r="C159" s="859">
        <v>2.9000000000000001E-2</v>
      </c>
      <c r="D159" s="859">
        <v>2.5499999999999998E-2</v>
      </c>
      <c r="E159" s="859">
        <v>0.04</v>
      </c>
      <c r="F159" s="859">
        <v>0</v>
      </c>
      <c r="G159" s="602">
        <v>0</v>
      </c>
      <c r="H159" s="602">
        <v>0</v>
      </c>
      <c r="I159" s="602">
        <v>0</v>
      </c>
      <c r="J159" s="602">
        <v>0</v>
      </c>
      <c r="K159" s="602">
        <v>0</v>
      </c>
      <c r="L159" s="602">
        <v>0</v>
      </c>
      <c r="M159" s="602">
        <v>0</v>
      </c>
      <c r="N159" s="1264">
        <v>0</v>
      </c>
      <c r="O159" s="1264">
        <v>0</v>
      </c>
      <c r="P159" s="1264">
        <v>0</v>
      </c>
    </row>
    <row r="160" spans="1:16" x14ac:dyDescent="0.2">
      <c r="A160" t="s">
        <v>904</v>
      </c>
      <c r="B160" s="859">
        <f t="shared" si="2"/>
        <v>5.45E-2</v>
      </c>
      <c r="C160" s="859">
        <v>2.9000000000000001E-2</v>
      </c>
      <c r="D160" s="859">
        <v>2.5499999999999998E-2</v>
      </c>
      <c r="E160" s="859">
        <v>0</v>
      </c>
      <c r="F160" s="859">
        <v>0</v>
      </c>
      <c r="G160" s="602">
        <v>0</v>
      </c>
      <c r="H160" s="602">
        <v>0</v>
      </c>
      <c r="I160" s="602">
        <v>0</v>
      </c>
      <c r="J160" s="602">
        <v>0</v>
      </c>
      <c r="K160" s="602">
        <v>0</v>
      </c>
      <c r="L160" s="602">
        <v>0</v>
      </c>
      <c r="M160" s="602">
        <v>0</v>
      </c>
      <c r="N160" s="1264">
        <v>0</v>
      </c>
      <c r="O160" s="1264">
        <v>0</v>
      </c>
      <c r="P160" s="1264">
        <v>0</v>
      </c>
    </row>
    <row r="161" spans="1:16" x14ac:dyDescent="0.2">
      <c r="A161" t="s">
        <v>1777</v>
      </c>
      <c r="B161" s="859">
        <f t="shared" si="2"/>
        <v>6.9000000000000006E-2</v>
      </c>
      <c r="C161" s="859">
        <v>2.9000000000000001E-2</v>
      </c>
      <c r="D161" s="859">
        <v>0.04</v>
      </c>
      <c r="E161" s="859">
        <v>0</v>
      </c>
      <c r="F161" s="859">
        <v>0</v>
      </c>
      <c r="G161" s="602">
        <v>0</v>
      </c>
      <c r="H161" s="602">
        <v>0</v>
      </c>
      <c r="I161" s="602">
        <v>0</v>
      </c>
      <c r="J161" s="602">
        <v>0</v>
      </c>
      <c r="K161" s="602">
        <v>0</v>
      </c>
      <c r="L161" s="602">
        <v>0</v>
      </c>
      <c r="M161" s="602">
        <v>0</v>
      </c>
      <c r="N161" s="1264">
        <v>0</v>
      </c>
      <c r="O161" s="1264">
        <v>0</v>
      </c>
      <c r="P161" s="1264">
        <v>0</v>
      </c>
    </row>
    <row r="162" spans="1:16" x14ac:dyDescent="0.2">
      <c r="A162" t="s">
        <v>1778</v>
      </c>
      <c r="B162" s="859">
        <f t="shared" si="2"/>
        <v>7.2700000000000001E-2</v>
      </c>
      <c r="C162" s="859">
        <v>2.9000000000000001E-2</v>
      </c>
      <c r="D162" s="859">
        <v>0.02</v>
      </c>
      <c r="E162" s="859">
        <v>0.02</v>
      </c>
      <c r="F162" s="859">
        <v>3.7000000000000002E-3</v>
      </c>
      <c r="G162" s="602">
        <v>0</v>
      </c>
      <c r="H162" s="602">
        <v>0</v>
      </c>
      <c r="I162" s="602">
        <v>0</v>
      </c>
      <c r="J162" s="602">
        <v>0</v>
      </c>
      <c r="K162" s="602">
        <v>0</v>
      </c>
      <c r="L162" s="602">
        <v>0</v>
      </c>
      <c r="M162" s="602">
        <v>0</v>
      </c>
      <c r="N162" s="1264">
        <v>0</v>
      </c>
      <c r="O162" s="1264">
        <v>0</v>
      </c>
      <c r="P162" s="1264">
        <v>0</v>
      </c>
    </row>
    <row r="163" spans="1:16" x14ac:dyDescent="0.2">
      <c r="A163" t="s">
        <v>905</v>
      </c>
      <c r="B163" s="859">
        <f t="shared" si="2"/>
        <v>7.1300000000000002E-2</v>
      </c>
      <c r="C163" s="859">
        <v>2.9000000000000001E-2</v>
      </c>
      <c r="D163" s="859">
        <v>1.23E-2</v>
      </c>
      <c r="E163" s="859">
        <v>0.03</v>
      </c>
      <c r="F163" s="859">
        <v>0</v>
      </c>
      <c r="G163" s="602">
        <v>0</v>
      </c>
      <c r="H163" s="602">
        <v>0</v>
      </c>
      <c r="I163" s="602">
        <v>0</v>
      </c>
      <c r="J163" s="602">
        <v>0</v>
      </c>
      <c r="K163" s="602">
        <v>0</v>
      </c>
      <c r="L163" s="602">
        <v>0</v>
      </c>
      <c r="M163" s="602">
        <v>0</v>
      </c>
      <c r="N163" s="1264">
        <v>0</v>
      </c>
      <c r="O163" s="1264">
        <v>0</v>
      </c>
      <c r="P163" s="1264">
        <v>0</v>
      </c>
    </row>
    <row r="164" spans="1:16" x14ac:dyDescent="0.2">
      <c r="A164" t="s">
        <v>1779</v>
      </c>
      <c r="B164" s="859">
        <f t="shared" si="2"/>
        <v>3.9E-2</v>
      </c>
      <c r="C164" s="859">
        <v>2.9000000000000001E-2</v>
      </c>
      <c r="D164" s="859">
        <v>0.01</v>
      </c>
      <c r="E164" s="859">
        <v>0</v>
      </c>
      <c r="F164" s="859">
        <v>0</v>
      </c>
      <c r="G164" s="602">
        <v>0</v>
      </c>
      <c r="H164" s="602">
        <v>0</v>
      </c>
      <c r="I164" s="602">
        <v>0</v>
      </c>
      <c r="J164" s="602">
        <v>0</v>
      </c>
      <c r="K164" s="602">
        <v>0</v>
      </c>
      <c r="L164" s="602">
        <v>0</v>
      </c>
      <c r="M164" s="602">
        <v>0</v>
      </c>
      <c r="N164" s="1264">
        <v>0</v>
      </c>
      <c r="O164" s="1264">
        <v>0</v>
      </c>
      <c r="P164" s="1264">
        <v>0</v>
      </c>
    </row>
    <row r="165" spans="1:16" x14ac:dyDescent="0.2">
      <c r="A165" t="s">
        <v>1780</v>
      </c>
      <c r="B165" s="859">
        <f t="shared" si="2"/>
        <v>3.9E-2</v>
      </c>
      <c r="C165" s="859">
        <v>2.9000000000000001E-2</v>
      </c>
      <c r="D165" s="859">
        <v>0.01</v>
      </c>
      <c r="E165" s="859">
        <v>0</v>
      </c>
      <c r="F165" s="859">
        <v>0</v>
      </c>
      <c r="G165" s="602">
        <v>0</v>
      </c>
      <c r="H165" s="602">
        <v>0</v>
      </c>
      <c r="I165" s="602">
        <v>0</v>
      </c>
      <c r="J165" s="602">
        <v>0</v>
      </c>
      <c r="K165" s="602">
        <v>0</v>
      </c>
      <c r="L165" s="602">
        <v>0</v>
      </c>
      <c r="M165" s="602">
        <v>0</v>
      </c>
      <c r="N165" s="1264">
        <v>0</v>
      </c>
      <c r="O165" s="1264">
        <v>0</v>
      </c>
      <c r="P165" s="1264">
        <v>0</v>
      </c>
    </row>
    <row r="166" spans="1:16" x14ac:dyDescent="0.2">
      <c r="A166" t="s">
        <v>1781</v>
      </c>
      <c r="B166" s="859">
        <f t="shared" si="2"/>
        <v>4.9000000000000002E-2</v>
      </c>
      <c r="C166" s="859">
        <v>2.9000000000000001E-2</v>
      </c>
      <c r="D166" s="859">
        <v>0.01</v>
      </c>
      <c r="E166" s="859">
        <v>0</v>
      </c>
      <c r="F166" s="859">
        <v>0.01</v>
      </c>
      <c r="G166" s="602">
        <v>0</v>
      </c>
      <c r="H166" s="602">
        <v>0</v>
      </c>
      <c r="I166" s="602">
        <v>0</v>
      </c>
      <c r="J166" s="602">
        <v>0</v>
      </c>
      <c r="K166" s="602">
        <v>0</v>
      </c>
      <c r="L166" s="602">
        <v>0</v>
      </c>
      <c r="M166" s="602">
        <v>0</v>
      </c>
      <c r="N166" s="1264">
        <v>0</v>
      </c>
      <c r="O166" s="1264">
        <v>0</v>
      </c>
      <c r="P166" s="1264">
        <v>0</v>
      </c>
    </row>
    <row r="167" spans="1:16" x14ac:dyDescent="0.2">
      <c r="A167" t="s">
        <v>906</v>
      </c>
      <c r="B167" s="859">
        <f t="shared" si="2"/>
        <v>3.9E-2</v>
      </c>
      <c r="C167" s="859">
        <v>2.9000000000000001E-2</v>
      </c>
      <c r="D167" s="859">
        <v>0.01</v>
      </c>
      <c r="E167" s="859">
        <v>0</v>
      </c>
      <c r="F167" s="859">
        <v>0</v>
      </c>
      <c r="G167" s="602">
        <v>0</v>
      </c>
      <c r="H167" s="602">
        <v>0</v>
      </c>
      <c r="I167" s="602">
        <v>0</v>
      </c>
      <c r="J167" s="602">
        <v>0</v>
      </c>
      <c r="K167" s="602">
        <v>0</v>
      </c>
      <c r="L167" s="602">
        <v>0</v>
      </c>
      <c r="M167" s="602">
        <v>0</v>
      </c>
      <c r="N167" s="1264">
        <v>0</v>
      </c>
      <c r="O167" s="1264">
        <v>0</v>
      </c>
      <c r="P167" s="1264">
        <v>0</v>
      </c>
    </row>
    <row r="168" spans="1:16" x14ac:dyDescent="0.2">
      <c r="A168" t="s">
        <v>907</v>
      </c>
      <c r="B168" s="859">
        <f t="shared" si="2"/>
        <v>0.08</v>
      </c>
      <c r="C168" s="859">
        <v>2.9000000000000001E-2</v>
      </c>
      <c r="D168" s="859">
        <v>0.01</v>
      </c>
      <c r="E168" s="859">
        <v>0.03</v>
      </c>
      <c r="F168" s="859">
        <v>1.0999999999999999E-2</v>
      </c>
      <c r="G168" s="602">
        <v>0</v>
      </c>
      <c r="H168" s="602">
        <v>0</v>
      </c>
      <c r="I168" s="602">
        <v>0</v>
      </c>
      <c r="J168" s="602">
        <v>0</v>
      </c>
      <c r="K168" s="602">
        <v>0</v>
      </c>
      <c r="L168" s="602">
        <v>0</v>
      </c>
      <c r="M168" s="602">
        <v>0</v>
      </c>
      <c r="N168" s="1264">
        <v>0</v>
      </c>
      <c r="O168" s="1264">
        <v>0</v>
      </c>
      <c r="P168" s="1264">
        <v>0</v>
      </c>
    </row>
    <row r="169" spans="1:16" x14ac:dyDescent="0.2">
      <c r="A169" t="s">
        <v>908</v>
      </c>
      <c r="B169" s="859">
        <f t="shared" si="2"/>
        <v>3.9E-2</v>
      </c>
      <c r="C169" s="859">
        <v>2.9000000000000001E-2</v>
      </c>
      <c r="D169" s="859">
        <v>0.01</v>
      </c>
      <c r="E169" s="859">
        <v>0</v>
      </c>
      <c r="F169" s="859">
        <v>0</v>
      </c>
      <c r="G169" s="602">
        <v>0</v>
      </c>
      <c r="H169" s="602">
        <v>0</v>
      </c>
      <c r="I169" s="602">
        <v>0</v>
      </c>
      <c r="J169" s="602">
        <v>0</v>
      </c>
      <c r="K169" s="602">
        <v>0</v>
      </c>
      <c r="L169" s="602">
        <v>0</v>
      </c>
      <c r="M169" s="602">
        <v>0</v>
      </c>
      <c r="N169" s="1264">
        <v>0</v>
      </c>
      <c r="O169" s="1264">
        <v>0</v>
      </c>
      <c r="P169" s="1264">
        <v>0</v>
      </c>
    </row>
    <row r="170" spans="1:16" x14ac:dyDescent="0.2">
      <c r="A170" t="s">
        <v>909</v>
      </c>
      <c r="B170" s="859">
        <f t="shared" si="2"/>
        <v>6.9000000000000006E-2</v>
      </c>
      <c r="C170" s="859">
        <v>2.9000000000000001E-2</v>
      </c>
      <c r="D170" s="859">
        <v>0.01</v>
      </c>
      <c r="E170" s="859">
        <v>0.03</v>
      </c>
      <c r="F170" s="859">
        <v>0</v>
      </c>
      <c r="G170" s="602">
        <v>0</v>
      </c>
      <c r="H170" s="602">
        <v>0</v>
      </c>
      <c r="I170" s="602">
        <v>0</v>
      </c>
      <c r="J170" s="602">
        <v>0</v>
      </c>
      <c r="K170" s="602">
        <v>0</v>
      </c>
      <c r="L170" s="602">
        <v>0</v>
      </c>
      <c r="M170" s="602">
        <v>0</v>
      </c>
      <c r="N170" s="1264">
        <v>0</v>
      </c>
      <c r="O170" s="1264">
        <v>0</v>
      </c>
      <c r="P170" s="1264">
        <v>0</v>
      </c>
    </row>
    <row r="171" spans="1:16" x14ac:dyDescent="0.2">
      <c r="A171" t="s">
        <v>910</v>
      </c>
      <c r="B171" s="859">
        <f t="shared" si="2"/>
        <v>6.9000000000000006E-2</v>
      </c>
      <c r="C171" s="859">
        <v>2.9000000000000001E-2</v>
      </c>
      <c r="D171" s="859">
        <v>3.1E-2</v>
      </c>
      <c r="E171" s="859">
        <v>0</v>
      </c>
      <c r="F171" s="859">
        <v>8.9999999999999993E-3</v>
      </c>
      <c r="G171" s="602">
        <v>0</v>
      </c>
      <c r="H171" s="602">
        <v>0</v>
      </c>
      <c r="I171" s="602">
        <v>0</v>
      </c>
      <c r="J171" s="602">
        <v>0</v>
      </c>
      <c r="K171" s="602">
        <v>0</v>
      </c>
      <c r="L171" s="602">
        <v>0</v>
      </c>
      <c r="M171" s="602">
        <v>0</v>
      </c>
      <c r="N171" s="1264">
        <v>0</v>
      </c>
      <c r="O171" s="1264">
        <v>0</v>
      </c>
      <c r="P171" s="1264">
        <v>0</v>
      </c>
    </row>
    <row r="172" spans="1:16" x14ac:dyDescent="0.2">
      <c r="A172" t="s">
        <v>911</v>
      </c>
      <c r="B172" s="859">
        <f t="shared" si="2"/>
        <v>7.6499999999999999E-2</v>
      </c>
      <c r="C172" s="859">
        <v>2.9000000000000001E-2</v>
      </c>
      <c r="D172" s="859">
        <v>2.75E-2</v>
      </c>
      <c r="E172" s="859">
        <v>0.02</v>
      </c>
      <c r="F172" s="859">
        <v>0</v>
      </c>
      <c r="G172" s="602">
        <v>0</v>
      </c>
      <c r="H172" s="602">
        <v>0</v>
      </c>
      <c r="I172" s="602">
        <v>0</v>
      </c>
      <c r="J172" s="602">
        <v>0</v>
      </c>
      <c r="K172" s="602">
        <v>0</v>
      </c>
      <c r="L172" s="602">
        <v>0</v>
      </c>
      <c r="M172" s="602">
        <v>0</v>
      </c>
      <c r="N172" s="1264">
        <v>0</v>
      </c>
      <c r="O172" s="1264">
        <v>0</v>
      </c>
      <c r="P172" s="1264">
        <v>0</v>
      </c>
    </row>
    <row r="173" spans="1:16" x14ac:dyDescent="0.2">
      <c r="A173" t="s">
        <v>912</v>
      </c>
      <c r="B173" s="859">
        <f t="shared" si="2"/>
        <v>3.9E-2</v>
      </c>
      <c r="C173" s="859">
        <v>2.9000000000000001E-2</v>
      </c>
      <c r="D173" s="859">
        <v>0.01</v>
      </c>
      <c r="E173" s="859">
        <v>0</v>
      </c>
      <c r="F173" s="859">
        <v>0</v>
      </c>
      <c r="G173" s="602">
        <v>0</v>
      </c>
      <c r="H173" s="602">
        <v>0</v>
      </c>
      <c r="I173" s="602">
        <v>0</v>
      </c>
      <c r="J173" s="602">
        <v>0</v>
      </c>
      <c r="K173" s="602">
        <v>0</v>
      </c>
      <c r="L173" s="602">
        <v>0</v>
      </c>
      <c r="M173" s="602">
        <v>0</v>
      </c>
      <c r="N173" s="1264">
        <v>0</v>
      </c>
      <c r="O173" s="1264">
        <v>0</v>
      </c>
      <c r="P173" s="1264">
        <v>0</v>
      </c>
    </row>
    <row r="174" spans="1:16" x14ac:dyDescent="0.2">
      <c r="A174" t="s">
        <v>913</v>
      </c>
      <c r="B174" s="859">
        <f t="shared" si="2"/>
        <v>7.5999999999999998E-2</v>
      </c>
      <c r="C174" s="859">
        <v>2.9000000000000001E-2</v>
      </c>
      <c r="D174" s="859">
        <v>0.01</v>
      </c>
      <c r="E174" s="859">
        <v>3.6999999999999998E-2</v>
      </c>
      <c r="F174" s="859">
        <v>0</v>
      </c>
      <c r="G174" s="602">
        <v>0</v>
      </c>
      <c r="H174" s="602">
        <v>0</v>
      </c>
      <c r="I174" s="602">
        <v>0</v>
      </c>
      <c r="J174" s="602">
        <v>0</v>
      </c>
      <c r="K174" s="602">
        <v>0</v>
      </c>
      <c r="L174" s="602">
        <v>0</v>
      </c>
      <c r="M174" s="602">
        <v>0</v>
      </c>
      <c r="N174" s="1264">
        <v>0</v>
      </c>
      <c r="O174" s="1264">
        <v>0</v>
      </c>
      <c r="P174" s="1264">
        <v>0</v>
      </c>
    </row>
    <row r="175" spans="1:16" x14ac:dyDescent="0.2">
      <c r="A175" t="s">
        <v>914</v>
      </c>
      <c r="B175" s="859">
        <f t="shared" si="2"/>
        <v>3.9E-2</v>
      </c>
      <c r="C175" s="859">
        <v>2.9000000000000001E-2</v>
      </c>
      <c r="D175" s="859">
        <v>0.01</v>
      </c>
      <c r="E175" s="859">
        <v>0</v>
      </c>
      <c r="F175" s="859">
        <v>0</v>
      </c>
      <c r="G175" s="602">
        <v>0</v>
      </c>
      <c r="H175" s="602">
        <v>0</v>
      </c>
      <c r="I175" s="602">
        <v>0</v>
      </c>
      <c r="J175" s="602">
        <v>0</v>
      </c>
      <c r="K175" s="602">
        <v>0</v>
      </c>
      <c r="L175" s="602">
        <v>0</v>
      </c>
      <c r="M175" s="602">
        <v>0</v>
      </c>
      <c r="N175" s="1264">
        <v>0</v>
      </c>
      <c r="O175" s="1264">
        <v>0</v>
      </c>
      <c r="P175" s="1264">
        <v>0</v>
      </c>
    </row>
    <row r="176" spans="1:16" x14ac:dyDescent="0.2">
      <c r="A176" t="s">
        <v>1782</v>
      </c>
      <c r="B176" s="859">
        <f t="shared" si="2"/>
        <v>6.5000000000000002E-2</v>
      </c>
      <c r="C176" s="859">
        <v>2.9000000000000001E-2</v>
      </c>
      <c r="D176" s="859">
        <v>3.5999999999999997E-2</v>
      </c>
      <c r="E176" s="859">
        <v>0</v>
      </c>
      <c r="F176" s="859">
        <v>0</v>
      </c>
      <c r="G176" s="602">
        <v>0</v>
      </c>
      <c r="H176" s="602">
        <v>0</v>
      </c>
      <c r="I176" s="602">
        <v>0</v>
      </c>
      <c r="J176" s="602">
        <v>0</v>
      </c>
      <c r="K176" s="602">
        <v>0</v>
      </c>
      <c r="L176" s="602">
        <v>0</v>
      </c>
      <c r="M176" s="602">
        <v>0</v>
      </c>
      <c r="N176" s="1264">
        <v>0</v>
      </c>
      <c r="O176" s="1264">
        <v>0</v>
      </c>
      <c r="P176" s="1264">
        <v>0</v>
      </c>
    </row>
    <row r="177" spans="1:16" x14ac:dyDescent="0.2">
      <c r="A177" t="s">
        <v>915</v>
      </c>
      <c r="B177" s="859">
        <f t="shared" si="2"/>
        <v>7.3999999999999996E-2</v>
      </c>
      <c r="C177" s="859">
        <v>2.9000000000000001E-2</v>
      </c>
      <c r="D177" s="859">
        <v>0.01</v>
      </c>
      <c r="E177" s="859">
        <v>0.03</v>
      </c>
      <c r="F177" s="859">
        <v>5.0000000000000001E-3</v>
      </c>
      <c r="G177" s="602">
        <v>0</v>
      </c>
      <c r="H177" s="602">
        <v>0</v>
      </c>
      <c r="I177" s="602">
        <v>0</v>
      </c>
      <c r="J177" s="602">
        <v>0</v>
      </c>
      <c r="K177" s="602">
        <v>0</v>
      </c>
      <c r="L177" s="602">
        <v>0</v>
      </c>
      <c r="M177" s="602">
        <v>0</v>
      </c>
      <c r="N177" s="1264">
        <v>0</v>
      </c>
      <c r="O177" s="1264">
        <v>0</v>
      </c>
      <c r="P177" s="1264">
        <v>0</v>
      </c>
    </row>
    <row r="178" spans="1:16" x14ac:dyDescent="0.2">
      <c r="A178" t="s">
        <v>916</v>
      </c>
      <c r="B178" s="859">
        <f t="shared" si="2"/>
        <v>8.1500000000000003E-2</v>
      </c>
      <c r="C178" s="859">
        <v>2.9000000000000001E-2</v>
      </c>
      <c r="D178" s="859">
        <v>0</v>
      </c>
      <c r="E178" s="859">
        <v>0.05</v>
      </c>
      <c r="F178" s="859">
        <v>2.5000000000000001E-3</v>
      </c>
      <c r="G178" s="602">
        <v>0</v>
      </c>
      <c r="H178" s="602">
        <v>0</v>
      </c>
      <c r="I178" s="602">
        <v>0</v>
      </c>
      <c r="J178" s="602">
        <v>0</v>
      </c>
      <c r="K178" s="602">
        <v>0</v>
      </c>
      <c r="L178" s="602">
        <v>0</v>
      </c>
      <c r="M178" s="602">
        <v>0</v>
      </c>
      <c r="N178" s="1264">
        <v>0</v>
      </c>
      <c r="O178" s="1264">
        <v>0</v>
      </c>
      <c r="P178" s="1264">
        <v>0</v>
      </c>
    </row>
    <row r="179" spans="1:16" x14ac:dyDescent="0.2">
      <c r="A179" t="s">
        <v>917</v>
      </c>
      <c r="B179" s="859">
        <f t="shared" si="2"/>
        <v>8.1500000000000003E-2</v>
      </c>
      <c r="C179" s="859">
        <v>2.9000000000000001E-2</v>
      </c>
      <c r="D179" s="859">
        <v>0.01</v>
      </c>
      <c r="E179" s="859">
        <v>4.2500000000000003E-2</v>
      </c>
      <c r="F179" s="859">
        <v>0</v>
      </c>
      <c r="G179" s="602">
        <v>0</v>
      </c>
      <c r="H179" s="602">
        <v>0</v>
      </c>
      <c r="I179" s="602">
        <v>0</v>
      </c>
      <c r="J179" s="602">
        <v>0</v>
      </c>
      <c r="K179" s="602">
        <v>0</v>
      </c>
      <c r="L179" s="602">
        <v>0</v>
      </c>
      <c r="M179" s="602">
        <v>0</v>
      </c>
      <c r="N179" s="1264">
        <v>0</v>
      </c>
      <c r="O179" s="1264">
        <v>0</v>
      </c>
      <c r="P179" s="1264">
        <v>0</v>
      </c>
    </row>
    <row r="180" spans="1:16" x14ac:dyDescent="0.2">
      <c r="A180" t="s">
        <v>1783</v>
      </c>
      <c r="B180" s="859">
        <f t="shared" si="2"/>
        <v>5.5E-2</v>
      </c>
      <c r="C180" s="859">
        <v>2.9000000000000001E-2</v>
      </c>
      <c r="D180" s="859">
        <v>2.5999999999999999E-2</v>
      </c>
      <c r="E180" s="859">
        <v>0</v>
      </c>
      <c r="F180" s="859">
        <v>0</v>
      </c>
      <c r="G180" s="602">
        <v>0</v>
      </c>
      <c r="H180" s="602">
        <v>0</v>
      </c>
      <c r="I180" s="602">
        <v>0</v>
      </c>
      <c r="J180" s="602">
        <v>0</v>
      </c>
      <c r="K180" s="602">
        <v>0</v>
      </c>
      <c r="L180" s="602">
        <v>0</v>
      </c>
      <c r="M180" s="602">
        <v>0</v>
      </c>
      <c r="N180" s="1264">
        <v>0</v>
      </c>
      <c r="O180" s="1264">
        <v>0</v>
      </c>
      <c r="P180" s="1264">
        <v>0</v>
      </c>
    </row>
    <row r="181" spans="1:16" x14ac:dyDescent="0.2">
      <c r="A181" t="s">
        <v>1784</v>
      </c>
      <c r="B181" s="859">
        <f t="shared" si="2"/>
        <v>5.4000000000000006E-2</v>
      </c>
      <c r="C181" s="859">
        <v>2.9000000000000001E-2</v>
      </c>
      <c r="D181" s="859">
        <v>2.5000000000000001E-2</v>
      </c>
      <c r="E181" s="859">
        <v>0</v>
      </c>
      <c r="F181" s="859">
        <v>0</v>
      </c>
      <c r="G181" s="602">
        <v>0</v>
      </c>
      <c r="H181" s="602">
        <v>0</v>
      </c>
      <c r="I181" s="602">
        <v>0</v>
      </c>
      <c r="J181" s="602">
        <v>0</v>
      </c>
      <c r="K181" s="602">
        <v>0</v>
      </c>
      <c r="L181" s="602">
        <v>0</v>
      </c>
      <c r="M181" s="602">
        <v>0</v>
      </c>
      <c r="N181" s="1264">
        <v>0</v>
      </c>
      <c r="O181" s="1264">
        <v>0</v>
      </c>
      <c r="P181" s="1264">
        <v>0</v>
      </c>
    </row>
    <row r="182" spans="1:16" x14ac:dyDescent="0.2">
      <c r="A182" t="s">
        <v>918</v>
      </c>
      <c r="B182" s="859">
        <f t="shared" si="2"/>
        <v>7.9000000000000001E-2</v>
      </c>
      <c r="C182" s="859">
        <v>2.9000000000000001E-2</v>
      </c>
      <c r="D182" s="859">
        <v>0.01</v>
      </c>
      <c r="E182" s="859">
        <v>0.04</v>
      </c>
      <c r="F182" s="859">
        <v>0</v>
      </c>
      <c r="G182" s="602">
        <v>0</v>
      </c>
      <c r="H182" s="602">
        <v>0</v>
      </c>
      <c r="I182" s="602">
        <v>0</v>
      </c>
      <c r="J182" s="602">
        <v>0</v>
      </c>
      <c r="K182" s="602">
        <v>0</v>
      </c>
      <c r="L182" s="602">
        <v>0</v>
      </c>
      <c r="M182" s="602">
        <v>0</v>
      </c>
      <c r="N182" s="1264">
        <v>0</v>
      </c>
      <c r="O182" s="1264">
        <v>0</v>
      </c>
      <c r="P182" s="1264">
        <v>0</v>
      </c>
    </row>
    <row r="183" spans="1:16" x14ac:dyDescent="0.2">
      <c r="A183" t="s">
        <v>919</v>
      </c>
      <c r="B183" s="859">
        <f t="shared" si="2"/>
        <v>3.9E-2</v>
      </c>
      <c r="C183" s="859">
        <v>2.9000000000000001E-2</v>
      </c>
      <c r="D183" s="859">
        <v>0.01</v>
      </c>
      <c r="E183" s="859">
        <v>0</v>
      </c>
      <c r="F183" s="859">
        <v>0</v>
      </c>
      <c r="G183" s="602">
        <v>0</v>
      </c>
      <c r="H183" s="602">
        <v>0</v>
      </c>
      <c r="I183" s="602">
        <v>0</v>
      </c>
      <c r="J183" s="602">
        <v>0</v>
      </c>
      <c r="K183" s="602">
        <v>0</v>
      </c>
      <c r="L183" s="602">
        <v>0</v>
      </c>
      <c r="M183" s="602">
        <v>0</v>
      </c>
      <c r="N183" s="1264">
        <v>0</v>
      </c>
      <c r="O183" s="1264">
        <v>0</v>
      </c>
      <c r="P183" s="1264">
        <v>0</v>
      </c>
    </row>
    <row r="184" spans="1:16" x14ac:dyDescent="0.2">
      <c r="A184" t="s">
        <v>920</v>
      </c>
      <c r="B184" s="859">
        <f t="shared" si="2"/>
        <v>5.4000000000000006E-2</v>
      </c>
      <c r="C184" s="859">
        <v>2.9000000000000001E-2</v>
      </c>
      <c r="D184" s="859">
        <v>2.5000000000000001E-2</v>
      </c>
      <c r="E184" s="859">
        <v>0</v>
      </c>
      <c r="F184" s="859">
        <v>0</v>
      </c>
      <c r="G184" s="602">
        <v>0</v>
      </c>
      <c r="H184" s="602">
        <v>0</v>
      </c>
      <c r="I184" s="602">
        <v>0</v>
      </c>
      <c r="J184" s="602">
        <v>0</v>
      </c>
      <c r="K184" s="602">
        <v>0</v>
      </c>
      <c r="L184" s="602">
        <v>0</v>
      </c>
      <c r="M184" s="602">
        <v>0</v>
      </c>
      <c r="N184" s="1264">
        <v>0</v>
      </c>
      <c r="O184" s="1264">
        <v>0</v>
      </c>
      <c r="P184" s="1264">
        <v>0</v>
      </c>
    </row>
    <row r="185" spans="1:16" x14ac:dyDescent="0.2">
      <c r="A185" t="s">
        <v>921</v>
      </c>
      <c r="B185" s="859">
        <f t="shared" si="2"/>
        <v>8.6499999999999994E-2</v>
      </c>
      <c r="C185" s="859">
        <v>2.9000000000000001E-2</v>
      </c>
      <c r="D185" s="859">
        <v>2.75E-2</v>
      </c>
      <c r="E185" s="859">
        <v>0.03</v>
      </c>
      <c r="F185" s="859">
        <v>0</v>
      </c>
      <c r="G185" s="602">
        <v>0</v>
      </c>
      <c r="H185" s="602">
        <v>0</v>
      </c>
      <c r="I185" s="602">
        <v>0</v>
      </c>
      <c r="J185" s="602">
        <v>0</v>
      </c>
      <c r="K185" s="602">
        <v>0</v>
      </c>
      <c r="L185" s="602">
        <v>0</v>
      </c>
      <c r="M185" s="602">
        <v>0</v>
      </c>
      <c r="N185" s="1264">
        <v>0</v>
      </c>
      <c r="O185" s="1264">
        <v>0</v>
      </c>
      <c r="P185" s="1264">
        <v>0</v>
      </c>
    </row>
    <row r="186" spans="1:16" x14ac:dyDescent="0.2">
      <c r="A186" t="s">
        <v>922</v>
      </c>
      <c r="B186" s="859">
        <f t="shared" si="2"/>
        <v>4.1500000000000002E-2</v>
      </c>
      <c r="C186" s="859">
        <v>2.9000000000000001E-2</v>
      </c>
      <c r="D186" s="859">
        <v>0.01</v>
      </c>
      <c r="E186" s="859">
        <v>0</v>
      </c>
      <c r="F186" s="859">
        <v>2.5000000000000001E-3</v>
      </c>
      <c r="G186" s="602">
        <v>0</v>
      </c>
      <c r="H186" s="602">
        <v>0</v>
      </c>
      <c r="I186" s="602">
        <v>0</v>
      </c>
      <c r="J186" s="602">
        <v>0</v>
      </c>
      <c r="K186" s="602">
        <v>0</v>
      </c>
      <c r="L186" s="602">
        <v>0</v>
      </c>
      <c r="M186" s="602">
        <v>0</v>
      </c>
      <c r="N186" s="1264">
        <v>0</v>
      </c>
      <c r="O186" s="1264">
        <v>0</v>
      </c>
      <c r="P186" s="1264">
        <v>0</v>
      </c>
    </row>
    <row r="187" spans="1:16" x14ac:dyDescent="0.2">
      <c r="A187" t="s">
        <v>1785</v>
      </c>
      <c r="B187" s="859">
        <f t="shared" si="2"/>
        <v>3.9E-2</v>
      </c>
      <c r="C187" s="859">
        <v>2.9000000000000001E-2</v>
      </c>
      <c r="D187" s="859">
        <v>0.01</v>
      </c>
      <c r="E187" s="859">
        <v>0</v>
      </c>
      <c r="F187" s="859">
        <v>0</v>
      </c>
      <c r="G187" s="602">
        <v>0</v>
      </c>
      <c r="H187" s="602">
        <v>0</v>
      </c>
      <c r="I187" s="602">
        <v>0</v>
      </c>
      <c r="J187" s="602">
        <v>0</v>
      </c>
      <c r="K187" s="602">
        <v>0</v>
      </c>
      <c r="L187" s="602">
        <v>0</v>
      </c>
      <c r="M187" s="602">
        <v>0</v>
      </c>
      <c r="N187" s="1264">
        <v>0</v>
      </c>
      <c r="O187" s="1264">
        <v>0</v>
      </c>
      <c r="P187" s="1264">
        <v>0</v>
      </c>
    </row>
    <row r="188" spans="1:16" x14ac:dyDescent="0.2">
      <c r="A188" t="s">
        <v>1786</v>
      </c>
      <c r="B188" s="859">
        <f t="shared" si="2"/>
        <v>2.9000000000000001E-2</v>
      </c>
      <c r="C188" s="859">
        <v>2.9000000000000001E-2</v>
      </c>
      <c r="D188" s="859">
        <v>0</v>
      </c>
      <c r="E188" s="859">
        <v>0</v>
      </c>
      <c r="F188" s="859">
        <v>0</v>
      </c>
      <c r="G188" s="602">
        <v>0</v>
      </c>
      <c r="H188" s="602">
        <v>0</v>
      </c>
      <c r="I188" s="602">
        <v>0</v>
      </c>
      <c r="J188" s="602">
        <v>0</v>
      </c>
      <c r="K188" s="602">
        <v>0</v>
      </c>
      <c r="L188" s="602">
        <v>0</v>
      </c>
      <c r="M188" s="602">
        <v>0</v>
      </c>
      <c r="N188" s="1264">
        <v>0</v>
      </c>
      <c r="O188" s="1264">
        <v>0</v>
      </c>
      <c r="P188" s="1264">
        <v>0</v>
      </c>
    </row>
    <row r="189" spans="1:16" x14ac:dyDescent="0.2">
      <c r="A189" t="s">
        <v>923</v>
      </c>
      <c r="B189" s="859">
        <f t="shared" si="2"/>
        <v>4.9000000000000002E-2</v>
      </c>
      <c r="C189" s="859">
        <v>2.9000000000000001E-2</v>
      </c>
      <c r="D189" s="859">
        <v>0.02</v>
      </c>
      <c r="E189" s="859">
        <v>0</v>
      </c>
      <c r="F189" s="859">
        <v>0</v>
      </c>
      <c r="G189" s="602">
        <v>0</v>
      </c>
      <c r="H189" s="602">
        <v>0</v>
      </c>
      <c r="I189" s="602">
        <v>0</v>
      </c>
      <c r="J189" s="602">
        <v>0</v>
      </c>
      <c r="K189" s="602">
        <v>0</v>
      </c>
      <c r="L189" s="602">
        <v>0</v>
      </c>
      <c r="M189" s="602">
        <v>0</v>
      </c>
      <c r="N189" s="1264">
        <v>0</v>
      </c>
      <c r="O189" s="1264">
        <v>0</v>
      </c>
      <c r="P189" s="1264">
        <v>0</v>
      </c>
    </row>
    <row r="190" spans="1:16" x14ac:dyDescent="0.2">
      <c r="A190" t="s">
        <v>924</v>
      </c>
      <c r="B190" s="859">
        <f t="shared" si="2"/>
        <v>5.8999999999999997E-2</v>
      </c>
      <c r="C190" s="859">
        <v>2.9000000000000001E-2</v>
      </c>
      <c r="D190" s="859">
        <v>0</v>
      </c>
      <c r="E190" s="859">
        <v>0.03</v>
      </c>
      <c r="F190" s="859">
        <v>0</v>
      </c>
      <c r="G190" s="602">
        <v>0</v>
      </c>
      <c r="H190" s="602">
        <v>0</v>
      </c>
      <c r="I190" s="602">
        <v>0</v>
      </c>
      <c r="J190" s="602">
        <v>0</v>
      </c>
      <c r="K190" s="602">
        <v>0</v>
      </c>
      <c r="L190" s="602">
        <v>0</v>
      </c>
      <c r="M190" s="602">
        <v>0</v>
      </c>
      <c r="N190" s="1264">
        <v>0</v>
      </c>
      <c r="O190" s="1264">
        <v>0</v>
      </c>
      <c r="P190" s="1264">
        <v>0</v>
      </c>
    </row>
    <row r="191" spans="1:16" x14ac:dyDescent="0.2">
      <c r="A191" t="s">
        <v>925</v>
      </c>
      <c r="B191" s="859">
        <f t="shared" si="2"/>
        <v>6.9000000000000006E-2</v>
      </c>
      <c r="C191" s="859">
        <v>2.9000000000000001E-2</v>
      </c>
      <c r="D191" s="859">
        <v>0.01</v>
      </c>
      <c r="E191" s="859">
        <v>0.03</v>
      </c>
      <c r="F191" s="859">
        <v>0</v>
      </c>
      <c r="G191" s="602">
        <v>0</v>
      </c>
      <c r="H191" s="602">
        <v>0</v>
      </c>
      <c r="I191" s="602">
        <v>0</v>
      </c>
      <c r="J191" s="602">
        <v>0</v>
      </c>
      <c r="K191" s="602">
        <v>0</v>
      </c>
      <c r="L191" s="602">
        <v>0</v>
      </c>
      <c r="M191" s="602">
        <v>0</v>
      </c>
      <c r="N191" s="1264">
        <v>0</v>
      </c>
      <c r="O191" s="1264">
        <v>0</v>
      </c>
      <c r="P191" s="1264">
        <v>0</v>
      </c>
    </row>
    <row r="192" spans="1:16" x14ac:dyDescent="0.2">
      <c r="A192" t="s">
        <v>926</v>
      </c>
      <c r="B192" s="859">
        <f t="shared" si="2"/>
        <v>7.5499999999999998E-2</v>
      </c>
      <c r="C192" s="859">
        <v>2.9000000000000001E-2</v>
      </c>
      <c r="D192" s="859">
        <v>1.6500000000000001E-2</v>
      </c>
      <c r="E192" s="859">
        <v>0.03</v>
      </c>
      <c r="F192" s="859">
        <v>0</v>
      </c>
      <c r="G192" s="602">
        <v>0</v>
      </c>
      <c r="H192" s="602">
        <v>0</v>
      </c>
      <c r="I192" s="602">
        <v>0</v>
      </c>
      <c r="J192" s="602">
        <v>0</v>
      </c>
      <c r="K192" s="602">
        <v>0</v>
      </c>
      <c r="L192" s="602">
        <v>0</v>
      </c>
      <c r="M192" s="602">
        <v>0</v>
      </c>
      <c r="N192" s="1264">
        <v>0</v>
      </c>
      <c r="O192" s="1264">
        <v>0</v>
      </c>
      <c r="P192" s="1264">
        <v>0</v>
      </c>
    </row>
    <row r="193" spans="1:16" x14ac:dyDescent="0.2">
      <c r="A193" t="s">
        <v>927</v>
      </c>
      <c r="B193" s="859">
        <f t="shared" si="2"/>
        <v>8.3750000000000005E-2</v>
      </c>
      <c r="C193" s="859">
        <v>2.9000000000000001E-2</v>
      </c>
      <c r="D193" s="859">
        <v>0.02</v>
      </c>
      <c r="E193" s="859">
        <v>0.02</v>
      </c>
      <c r="F193" s="859">
        <v>1.4749999999999999E-2</v>
      </c>
      <c r="G193" s="602">
        <v>0</v>
      </c>
      <c r="H193" s="602">
        <v>0</v>
      </c>
      <c r="I193" s="602">
        <v>0</v>
      </c>
      <c r="J193" s="602">
        <v>0</v>
      </c>
      <c r="K193" s="602">
        <v>0</v>
      </c>
      <c r="L193" s="602">
        <v>0</v>
      </c>
      <c r="M193" s="602">
        <v>0</v>
      </c>
      <c r="N193" s="1264">
        <v>0</v>
      </c>
      <c r="O193" s="1264">
        <v>0</v>
      </c>
      <c r="P193" s="1264">
        <v>0</v>
      </c>
    </row>
    <row r="194" spans="1:16" x14ac:dyDescent="0.2">
      <c r="A194" t="s">
        <v>928</v>
      </c>
      <c r="B194" s="859">
        <f t="shared" si="2"/>
        <v>0.104</v>
      </c>
      <c r="C194" s="859">
        <v>2.9000000000000001E-2</v>
      </c>
      <c r="D194" s="859">
        <v>6.5000000000000002E-2</v>
      </c>
      <c r="E194" s="859">
        <v>0.01</v>
      </c>
      <c r="F194" s="859">
        <v>0</v>
      </c>
      <c r="G194" s="602">
        <v>0</v>
      </c>
      <c r="H194" s="602">
        <v>0</v>
      </c>
      <c r="I194" s="602">
        <v>0</v>
      </c>
      <c r="J194" s="602">
        <v>0</v>
      </c>
      <c r="K194" s="602">
        <v>0</v>
      </c>
      <c r="L194" s="602">
        <v>0</v>
      </c>
      <c r="M194" s="602">
        <v>0</v>
      </c>
      <c r="N194" s="1264">
        <v>0</v>
      </c>
      <c r="O194" s="1264">
        <v>0</v>
      </c>
      <c r="P194" s="1264">
        <v>0</v>
      </c>
    </row>
    <row r="195" spans="1:16" x14ac:dyDescent="0.2">
      <c r="A195" t="s">
        <v>929</v>
      </c>
      <c r="B195" s="859">
        <f t="shared" si="2"/>
        <v>0.10400000000000001</v>
      </c>
      <c r="C195" s="859">
        <v>2.9000000000000001E-2</v>
      </c>
      <c r="D195" s="859">
        <v>3.1E-2</v>
      </c>
      <c r="E195" s="859">
        <v>3.5000000000000003E-2</v>
      </c>
      <c r="F195" s="859">
        <v>8.9999999999999993E-3</v>
      </c>
      <c r="G195" s="602">
        <v>0</v>
      </c>
      <c r="H195" s="602">
        <v>0</v>
      </c>
      <c r="I195" s="602">
        <v>0</v>
      </c>
      <c r="J195" s="602">
        <v>0</v>
      </c>
      <c r="K195" s="602">
        <v>0</v>
      </c>
      <c r="L195" s="602">
        <v>0</v>
      </c>
      <c r="M195" s="602">
        <v>0</v>
      </c>
      <c r="N195" s="1264">
        <v>0</v>
      </c>
      <c r="O195" s="1264">
        <v>0</v>
      </c>
      <c r="P195" s="1264">
        <v>0</v>
      </c>
    </row>
    <row r="196" spans="1:16" x14ac:dyDescent="0.2">
      <c r="A196" t="s">
        <v>930</v>
      </c>
      <c r="B196" s="859">
        <f t="shared" ref="B196:B223" si="3">F196+E196+D196+C196</f>
        <v>4.9000000000000002E-2</v>
      </c>
      <c r="C196" s="859">
        <v>2.9000000000000001E-2</v>
      </c>
      <c r="D196" s="859">
        <v>0</v>
      </c>
      <c r="E196" s="859">
        <v>0.02</v>
      </c>
      <c r="F196" s="859">
        <v>0</v>
      </c>
      <c r="G196" s="602">
        <v>0</v>
      </c>
      <c r="H196" s="602">
        <v>0</v>
      </c>
      <c r="I196" s="602">
        <v>0</v>
      </c>
      <c r="J196" s="602">
        <v>0</v>
      </c>
      <c r="K196" s="602">
        <v>0</v>
      </c>
      <c r="L196" s="602">
        <v>0</v>
      </c>
      <c r="M196" s="602">
        <v>0</v>
      </c>
      <c r="N196" s="1264">
        <v>0</v>
      </c>
      <c r="O196" s="1264">
        <v>0</v>
      </c>
      <c r="P196" s="1264">
        <v>0</v>
      </c>
    </row>
    <row r="197" spans="1:16" x14ac:dyDescent="0.2">
      <c r="A197" t="s">
        <v>2368</v>
      </c>
      <c r="B197" s="859">
        <f>C197</f>
        <v>2.9000000000000001E-2</v>
      </c>
      <c r="C197" s="859">
        <v>2.9000000000000001E-2</v>
      </c>
      <c r="D197" s="859">
        <v>0</v>
      </c>
      <c r="E197" s="859">
        <v>0</v>
      </c>
      <c r="F197" s="859">
        <v>0</v>
      </c>
      <c r="G197" s="602">
        <f>'Heating Recap'!$H$55</f>
        <v>105</v>
      </c>
      <c r="H197" s="602">
        <f>'Plumbing Recap'!$F$77</f>
        <v>9821</v>
      </c>
      <c r="I197" s="602">
        <f>'ALT #1'!$B$125</f>
        <v>5887</v>
      </c>
      <c r="J197" s="602">
        <f>'ALT #2'!$B$125</f>
        <v>21</v>
      </c>
      <c r="K197" s="602">
        <f>'ALT #3'!B125</f>
        <v>301</v>
      </c>
      <c r="L197" s="602">
        <f>'ALT #4'!B125</f>
        <v>-77</v>
      </c>
      <c r="M197" s="602">
        <f>'ALT #5'!B125</f>
        <v>119</v>
      </c>
      <c r="N197" s="1264">
        <f>'ALT #6'!B125</f>
        <v>119</v>
      </c>
      <c r="O197" s="1264">
        <f>'ALT #7'!B125</f>
        <v>119</v>
      </c>
      <c r="P197" s="1264">
        <f>'ALT #8'!B125</f>
        <v>119</v>
      </c>
    </row>
    <row r="198" spans="1:16" x14ac:dyDescent="0.2">
      <c r="A198" t="s">
        <v>931</v>
      </c>
      <c r="B198" s="859">
        <f t="shared" si="3"/>
        <v>8.4000000000000005E-2</v>
      </c>
      <c r="C198" s="859">
        <v>2.9000000000000001E-2</v>
      </c>
      <c r="D198" s="859">
        <v>0.01</v>
      </c>
      <c r="E198" s="859">
        <v>4.4999999999999998E-2</v>
      </c>
      <c r="F198" s="859">
        <v>0</v>
      </c>
      <c r="G198" s="602">
        <v>0</v>
      </c>
      <c r="H198" s="602">
        <v>0</v>
      </c>
      <c r="I198" s="602">
        <v>0</v>
      </c>
      <c r="J198" s="602">
        <v>0</v>
      </c>
      <c r="K198" s="602">
        <v>0</v>
      </c>
      <c r="L198" s="602">
        <v>0</v>
      </c>
      <c r="M198" s="602">
        <v>0</v>
      </c>
      <c r="N198" s="1264">
        <v>0</v>
      </c>
      <c r="O198" s="1264">
        <v>0</v>
      </c>
      <c r="P198" s="1264">
        <v>0</v>
      </c>
    </row>
    <row r="199" spans="1:16" x14ac:dyDescent="0.2">
      <c r="A199" t="s">
        <v>932</v>
      </c>
      <c r="B199" s="859">
        <f t="shared" si="3"/>
        <v>7.0000000000000007E-2</v>
      </c>
      <c r="C199" s="859">
        <v>2.9000000000000001E-2</v>
      </c>
      <c r="D199" s="859">
        <v>0.01</v>
      </c>
      <c r="E199" s="859">
        <v>0.03</v>
      </c>
      <c r="F199" s="859">
        <v>1E-3</v>
      </c>
      <c r="G199" s="602">
        <v>0</v>
      </c>
      <c r="H199" s="602">
        <v>0</v>
      </c>
      <c r="I199" s="602">
        <v>0</v>
      </c>
      <c r="J199" s="602">
        <v>0</v>
      </c>
      <c r="K199" s="602">
        <v>0</v>
      </c>
      <c r="L199" s="602">
        <v>0</v>
      </c>
      <c r="M199" s="602">
        <v>0</v>
      </c>
      <c r="N199" s="1264">
        <v>0</v>
      </c>
      <c r="O199" s="1264">
        <v>0</v>
      </c>
      <c r="P199" s="1264">
        <v>0</v>
      </c>
    </row>
    <row r="200" spans="1:16" x14ac:dyDescent="0.2">
      <c r="A200" t="s">
        <v>933</v>
      </c>
      <c r="B200" s="859">
        <f t="shared" si="3"/>
        <v>6.3750000000000001E-2</v>
      </c>
      <c r="C200" s="859">
        <v>2.9000000000000001E-2</v>
      </c>
      <c r="D200" s="859">
        <v>0.02</v>
      </c>
      <c r="E200" s="859">
        <v>0</v>
      </c>
      <c r="F200" s="859">
        <v>1.4749999999999999E-2</v>
      </c>
      <c r="G200" s="602">
        <v>0</v>
      </c>
      <c r="H200" s="602">
        <v>0</v>
      </c>
      <c r="I200" s="602">
        <v>0</v>
      </c>
      <c r="J200" s="602">
        <v>0</v>
      </c>
      <c r="K200" s="602">
        <v>0</v>
      </c>
      <c r="L200" s="602">
        <v>0</v>
      </c>
      <c r="M200" s="602">
        <v>0</v>
      </c>
      <c r="N200" s="1264">
        <v>0</v>
      </c>
      <c r="O200" s="1264">
        <v>0</v>
      </c>
      <c r="P200" s="1264">
        <v>0</v>
      </c>
    </row>
    <row r="201" spans="1:16" x14ac:dyDescent="0.2">
      <c r="A201" t="s">
        <v>1787</v>
      </c>
      <c r="B201" s="859">
        <f t="shared" si="3"/>
        <v>3.9E-2</v>
      </c>
      <c r="C201" s="859">
        <v>2.9000000000000001E-2</v>
      </c>
      <c r="D201" s="859">
        <v>0.01</v>
      </c>
      <c r="E201" s="859">
        <v>0</v>
      </c>
      <c r="F201" s="859">
        <v>0</v>
      </c>
      <c r="G201" s="602">
        <v>0</v>
      </c>
      <c r="H201" s="602">
        <v>0</v>
      </c>
      <c r="I201" s="602">
        <v>0</v>
      </c>
      <c r="J201" s="602">
        <v>0</v>
      </c>
      <c r="K201" s="602">
        <v>0</v>
      </c>
      <c r="L201" s="602">
        <v>0</v>
      </c>
      <c r="M201" s="602">
        <v>0</v>
      </c>
      <c r="N201" s="1264">
        <v>0</v>
      </c>
      <c r="O201" s="1264">
        <v>0</v>
      </c>
      <c r="P201" s="1264">
        <v>0</v>
      </c>
    </row>
    <row r="202" spans="1:16" x14ac:dyDescent="0.2">
      <c r="A202" t="s">
        <v>934</v>
      </c>
      <c r="B202" s="859">
        <f t="shared" si="3"/>
        <v>3.9E-2</v>
      </c>
      <c r="C202" s="859">
        <v>2.9000000000000001E-2</v>
      </c>
      <c r="D202" s="859">
        <v>0.01</v>
      </c>
      <c r="E202" s="859">
        <v>0</v>
      </c>
      <c r="F202" s="859">
        <v>0</v>
      </c>
      <c r="G202" s="602">
        <v>0</v>
      </c>
      <c r="H202" s="602">
        <v>0</v>
      </c>
      <c r="I202" s="602">
        <v>0</v>
      </c>
      <c r="J202" s="602">
        <v>0</v>
      </c>
      <c r="K202" s="602">
        <v>0</v>
      </c>
      <c r="L202" s="602">
        <v>0</v>
      </c>
      <c r="M202" s="602">
        <v>0</v>
      </c>
      <c r="N202" s="1264">
        <v>0</v>
      </c>
      <c r="O202" s="1264">
        <v>0</v>
      </c>
      <c r="P202" s="1264">
        <v>0</v>
      </c>
    </row>
    <row r="203" spans="1:16" x14ac:dyDescent="0.2">
      <c r="A203" t="s">
        <v>935</v>
      </c>
      <c r="B203" s="859">
        <f t="shared" si="3"/>
        <v>8.5000000000000006E-2</v>
      </c>
      <c r="C203" s="859">
        <v>2.9000000000000001E-2</v>
      </c>
      <c r="D203" s="859">
        <v>7.4999999999999997E-3</v>
      </c>
      <c r="E203" s="859">
        <v>3.7499999999999999E-2</v>
      </c>
      <c r="F203" s="859">
        <v>1.0999999999999999E-2</v>
      </c>
      <c r="G203" s="602">
        <v>0</v>
      </c>
      <c r="H203" s="602">
        <v>0</v>
      </c>
      <c r="I203" s="602">
        <v>0</v>
      </c>
      <c r="J203" s="602">
        <v>0</v>
      </c>
      <c r="K203" s="602">
        <v>0</v>
      </c>
      <c r="L203" s="602">
        <v>0</v>
      </c>
      <c r="M203" s="602">
        <v>0</v>
      </c>
      <c r="N203" s="1264">
        <v>0</v>
      </c>
      <c r="O203" s="1264">
        <v>0</v>
      </c>
      <c r="P203" s="1264">
        <v>0</v>
      </c>
    </row>
    <row r="204" spans="1:16" x14ac:dyDescent="0.2">
      <c r="A204" t="s">
        <v>936</v>
      </c>
      <c r="B204" s="859">
        <f t="shared" si="3"/>
        <v>6.7000000000000004E-2</v>
      </c>
      <c r="C204" s="859">
        <v>2.9000000000000001E-2</v>
      </c>
      <c r="D204" s="859">
        <v>8.0000000000000002E-3</v>
      </c>
      <c r="E204" s="859">
        <v>0.03</v>
      </c>
      <c r="F204" s="859">
        <v>0</v>
      </c>
      <c r="G204" s="602">
        <v>0</v>
      </c>
      <c r="H204" s="602">
        <v>0</v>
      </c>
      <c r="I204" s="602">
        <v>0</v>
      </c>
      <c r="J204" s="602">
        <v>0</v>
      </c>
      <c r="K204" s="602">
        <v>0</v>
      </c>
      <c r="L204" s="602">
        <v>0</v>
      </c>
      <c r="M204" s="602">
        <v>0</v>
      </c>
      <c r="N204" s="1264">
        <v>0</v>
      </c>
      <c r="O204" s="1264">
        <v>0</v>
      </c>
      <c r="P204" s="1264">
        <v>0</v>
      </c>
    </row>
    <row r="205" spans="1:16" x14ac:dyDescent="0.2">
      <c r="A205" t="s">
        <v>937</v>
      </c>
      <c r="B205" s="859">
        <f t="shared" si="3"/>
        <v>8.4000000000000005E-2</v>
      </c>
      <c r="C205" s="859">
        <v>2.9000000000000001E-2</v>
      </c>
      <c r="D205" s="859">
        <v>1.4999999999999999E-2</v>
      </c>
      <c r="E205" s="859">
        <v>0.04</v>
      </c>
      <c r="F205" s="859">
        <v>0</v>
      </c>
      <c r="G205" s="602">
        <v>0</v>
      </c>
      <c r="H205" s="602">
        <v>0</v>
      </c>
      <c r="I205" s="602">
        <v>0</v>
      </c>
      <c r="J205" s="602">
        <v>0</v>
      </c>
      <c r="K205" s="602">
        <v>0</v>
      </c>
      <c r="L205" s="602">
        <v>0</v>
      </c>
      <c r="M205" s="602">
        <v>0</v>
      </c>
      <c r="N205" s="1264">
        <v>0</v>
      </c>
      <c r="O205" s="1264">
        <v>0</v>
      </c>
      <c r="P205" s="1264">
        <v>0</v>
      </c>
    </row>
    <row r="206" spans="1:16" x14ac:dyDescent="0.2">
      <c r="A206" t="s">
        <v>1788</v>
      </c>
      <c r="B206" s="859">
        <f t="shared" si="3"/>
        <v>2.9000000000000001E-2</v>
      </c>
      <c r="C206" s="859">
        <v>2.9000000000000001E-2</v>
      </c>
      <c r="D206" s="859">
        <v>0</v>
      </c>
      <c r="E206" s="859">
        <v>0</v>
      </c>
      <c r="F206" s="859">
        <v>0</v>
      </c>
      <c r="G206" s="602">
        <v>0</v>
      </c>
      <c r="H206" s="602">
        <v>0</v>
      </c>
      <c r="I206" s="602">
        <v>0</v>
      </c>
      <c r="J206" s="602">
        <v>0</v>
      </c>
      <c r="K206" s="602">
        <v>0</v>
      </c>
      <c r="L206" s="602">
        <v>0</v>
      </c>
      <c r="M206" s="602">
        <v>0</v>
      </c>
      <c r="N206" s="1264">
        <v>0</v>
      </c>
      <c r="O206" s="1264">
        <v>0</v>
      </c>
      <c r="P206" s="1264">
        <v>0</v>
      </c>
    </row>
    <row r="207" spans="1:16" x14ac:dyDescent="0.2">
      <c r="A207" t="s">
        <v>938</v>
      </c>
      <c r="B207" s="859">
        <f t="shared" si="3"/>
        <v>8.4000000000000005E-2</v>
      </c>
      <c r="C207" s="859">
        <v>2.9000000000000001E-2</v>
      </c>
      <c r="D207" s="859">
        <v>0.01</v>
      </c>
      <c r="E207" s="859">
        <v>0.04</v>
      </c>
      <c r="F207" s="859">
        <v>5.0000000000000001E-3</v>
      </c>
      <c r="G207" s="602">
        <v>0</v>
      </c>
      <c r="H207" s="602">
        <v>0</v>
      </c>
      <c r="I207" s="602">
        <v>0</v>
      </c>
      <c r="J207" s="602">
        <v>0</v>
      </c>
      <c r="K207" s="602">
        <v>0</v>
      </c>
      <c r="L207" s="602">
        <v>0</v>
      </c>
      <c r="M207" s="602">
        <v>0</v>
      </c>
      <c r="N207" s="1264">
        <v>0</v>
      </c>
      <c r="O207" s="1264">
        <v>0</v>
      </c>
      <c r="P207" s="1264">
        <v>0</v>
      </c>
    </row>
    <row r="208" spans="1:16" x14ac:dyDescent="0.2">
      <c r="A208" t="s">
        <v>939</v>
      </c>
      <c r="B208" s="859">
        <f t="shared" si="3"/>
        <v>6.9000000000000006E-2</v>
      </c>
      <c r="C208" s="859">
        <v>2.9000000000000001E-2</v>
      </c>
      <c r="D208" s="859">
        <v>0.01</v>
      </c>
      <c r="E208" s="859">
        <v>0.03</v>
      </c>
      <c r="F208" s="859">
        <v>0</v>
      </c>
      <c r="G208" s="602">
        <v>0</v>
      </c>
      <c r="H208" s="602">
        <v>0</v>
      </c>
      <c r="I208" s="602">
        <v>0</v>
      </c>
      <c r="J208" s="602">
        <v>0</v>
      </c>
      <c r="K208" s="602">
        <v>0</v>
      </c>
      <c r="L208" s="602">
        <v>0</v>
      </c>
      <c r="M208" s="602">
        <v>0</v>
      </c>
      <c r="N208" s="1264">
        <v>0</v>
      </c>
      <c r="O208" s="1264">
        <v>0</v>
      </c>
      <c r="P208" s="1264">
        <v>0</v>
      </c>
    </row>
    <row r="209" spans="1:16" x14ac:dyDescent="0.2">
      <c r="A209" t="s">
        <v>1789</v>
      </c>
      <c r="B209" s="859">
        <f t="shared" si="3"/>
        <v>2.9000000000000001E-2</v>
      </c>
      <c r="C209" s="859">
        <v>2.9000000000000001E-2</v>
      </c>
      <c r="D209" s="859">
        <v>0</v>
      </c>
      <c r="E209" s="859">
        <v>0</v>
      </c>
      <c r="F209" s="859">
        <v>0</v>
      </c>
      <c r="G209" s="602">
        <v>0</v>
      </c>
      <c r="H209" s="602">
        <v>0</v>
      </c>
      <c r="I209" s="602">
        <v>0</v>
      </c>
      <c r="J209" s="602">
        <v>0</v>
      </c>
      <c r="K209" s="602">
        <v>0</v>
      </c>
      <c r="L209" s="602">
        <v>0</v>
      </c>
      <c r="M209" s="602">
        <v>0</v>
      </c>
      <c r="N209" s="1264">
        <v>0</v>
      </c>
      <c r="O209" s="1264">
        <v>0</v>
      </c>
      <c r="P209" s="1264">
        <v>0</v>
      </c>
    </row>
    <row r="210" spans="1:16" x14ac:dyDescent="0.2">
      <c r="A210" t="s">
        <v>940</v>
      </c>
      <c r="B210" s="859">
        <f t="shared" si="3"/>
        <v>8.8999999999999996E-2</v>
      </c>
      <c r="C210" s="859">
        <v>2.9000000000000001E-2</v>
      </c>
      <c r="D210" s="859">
        <v>0.03</v>
      </c>
      <c r="E210" s="859">
        <v>0.03</v>
      </c>
      <c r="F210" s="859">
        <v>0</v>
      </c>
      <c r="G210" s="602">
        <v>0</v>
      </c>
      <c r="H210" s="602">
        <v>0</v>
      </c>
      <c r="I210" s="602">
        <v>0</v>
      </c>
      <c r="J210" s="602">
        <v>0</v>
      </c>
      <c r="K210" s="602">
        <v>0</v>
      </c>
      <c r="L210" s="602">
        <v>0</v>
      </c>
      <c r="M210" s="602">
        <v>0</v>
      </c>
      <c r="N210" s="1264">
        <v>0</v>
      </c>
      <c r="O210" s="1264">
        <v>0</v>
      </c>
      <c r="P210" s="1264">
        <v>0</v>
      </c>
    </row>
    <row r="211" spans="1:16" x14ac:dyDescent="0.2">
      <c r="A211" t="s">
        <v>941</v>
      </c>
      <c r="B211" s="859">
        <f t="shared" si="3"/>
        <v>4.3999999999999997E-2</v>
      </c>
      <c r="C211" s="859">
        <v>2.9000000000000001E-2</v>
      </c>
      <c r="D211" s="859">
        <v>1.4999999999999999E-2</v>
      </c>
      <c r="E211" s="859">
        <v>0</v>
      </c>
      <c r="F211" s="859">
        <v>0</v>
      </c>
      <c r="G211" s="602">
        <v>0</v>
      </c>
      <c r="H211" s="602">
        <v>0</v>
      </c>
      <c r="I211" s="602">
        <v>0</v>
      </c>
      <c r="J211" s="602">
        <v>0</v>
      </c>
      <c r="K211" s="602">
        <v>0</v>
      </c>
      <c r="L211" s="602">
        <v>0</v>
      </c>
      <c r="M211" s="602">
        <v>0</v>
      </c>
      <c r="N211" s="1264">
        <v>0</v>
      </c>
      <c r="O211" s="1264">
        <v>0</v>
      </c>
      <c r="P211" s="1264">
        <v>0</v>
      </c>
    </row>
    <row r="212" spans="1:16" x14ac:dyDescent="0.2">
      <c r="A212" t="s">
        <v>1790</v>
      </c>
      <c r="B212" s="859">
        <f t="shared" si="3"/>
        <v>2.9000000000000001E-2</v>
      </c>
      <c r="C212" s="859">
        <v>2.9000000000000001E-2</v>
      </c>
      <c r="D212" s="859">
        <v>0</v>
      </c>
      <c r="E212" s="859">
        <v>0</v>
      </c>
      <c r="F212" s="859">
        <v>0</v>
      </c>
      <c r="G212" s="602">
        <v>0</v>
      </c>
      <c r="H212" s="602">
        <v>0</v>
      </c>
      <c r="I212" s="602">
        <v>0</v>
      </c>
      <c r="J212" s="602">
        <v>0</v>
      </c>
      <c r="K212" s="602">
        <v>0</v>
      </c>
      <c r="L212" s="602">
        <v>0</v>
      </c>
      <c r="M212" s="602">
        <v>0</v>
      </c>
      <c r="N212" s="1264">
        <v>0</v>
      </c>
      <c r="O212" s="1264">
        <v>0</v>
      </c>
      <c r="P212" s="1264">
        <v>0</v>
      </c>
    </row>
    <row r="213" spans="1:16" x14ac:dyDescent="0.2">
      <c r="A213" t="s">
        <v>1791</v>
      </c>
      <c r="B213" s="859">
        <f t="shared" si="3"/>
        <v>6.7000000000000004E-2</v>
      </c>
      <c r="C213" s="859">
        <v>2.9000000000000001E-2</v>
      </c>
      <c r="D213" s="859">
        <v>8.0000000000000002E-3</v>
      </c>
      <c r="E213" s="859">
        <v>0.03</v>
      </c>
      <c r="F213" s="859">
        <v>0</v>
      </c>
      <c r="G213" s="602">
        <v>0</v>
      </c>
      <c r="H213" s="602">
        <v>0</v>
      </c>
      <c r="I213" s="602">
        <v>0</v>
      </c>
      <c r="J213" s="602">
        <v>0</v>
      </c>
      <c r="K213" s="602">
        <v>0</v>
      </c>
      <c r="L213" s="602">
        <v>0</v>
      </c>
      <c r="M213" s="602">
        <v>0</v>
      </c>
      <c r="N213" s="1264">
        <v>0</v>
      </c>
      <c r="O213" s="1264">
        <v>0</v>
      </c>
      <c r="P213" s="1264">
        <v>0</v>
      </c>
    </row>
    <row r="214" spans="1:16" x14ac:dyDescent="0.2">
      <c r="A214" t="s">
        <v>942</v>
      </c>
      <c r="B214" s="859">
        <f t="shared" si="3"/>
        <v>8.6000000000000007E-2</v>
      </c>
      <c r="C214" s="859">
        <v>2.9000000000000001E-2</v>
      </c>
      <c r="D214" s="859">
        <v>7.4999999999999997E-3</v>
      </c>
      <c r="E214" s="859">
        <v>3.85E-2</v>
      </c>
      <c r="F214" s="859">
        <v>1.0999999999999999E-2</v>
      </c>
      <c r="G214" s="602">
        <v>0</v>
      </c>
      <c r="H214" s="602">
        <v>0</v>
      </c>
      <c r="I214" s="602">
        <v>0</v>
      </c>
      <c r="J214" s="602">
        <v>0</v>
      </c>
      <c r="K214" s="602">
        <v>0</v>
      </c>
      <c r="L214" s="602">
        <v>0</v>
      </c>
      <c r="M214" s="602">
        <v>0</v>
      </c>
      <c r="N214" s="1264">
        <v>0</v>
      </c>
      <c r="O214" s="1264">
        <v>0</v>
      </c>
      <c r="P214" s="1264">
        <v>0</v>
      </c>
    </row>
    <row r="215" spans="1:16" x14ac:dyDescent="0.2">
      <c r="A215" t="s">
        <v>943</v>
      </c>
      <c r="B215" s="859">
        <f t="shared" si="3"/>
        <v>8.3500000000000005E-2</v>
      </c>
      <c r="C215" s="859">
        <v>2.9000000000000001E-2</v>
      </c>
      <c r="D215" s="859">
        <v>5.0000000000000001E-3</v>
      </c>
      <c r="E215" s="859">
        <v>3.85E-2</v>
      </c>
      <c r="F215" s="859">
        <v>1.0999999999999999E-2</v>
      </c>
      <c r="G215" s="602">
        <v>0</v>
      </c>
      <c r="H215" s="602">
        <v>0</v>
      </c>
      <c r="I215" s="602">
        <v>0</v>
      </c>
      <c r="J215" s="602">
        <v>0</v>
      </c>
      <c r="K215" s="602">
        <v>0</v>
      </c>
      <c r="L215" s="602">
        <v>0</v>
      </c>
      <c r="M215" s="602">
        <v>0</v>
      </c>
      <c r="N215" s="1264">
        <v>0</v>
      </c>
      <c r="O215" s="1264">
        <v>0</v>
      </c>
      <c r="P215" s="1264">
        <v>0</v>
      </c>
    </row>
    <row r="216" spans="1:16" x14ac:dyDescent="0.2">
      <c r="A216" t="s">
        <v>944</v>
      </c>
      <c r="B216" s="859">
        <f t="shared" si="3"/>
        <v>0.08</v>
      </c>
      <c r="C216" s="859">
        <v>2.9000000000000001E-2</v>
      </c>
      <c r="D216" s="859">
        <v>5.0000000000000001E-3</v>
      </c>
      <c r="E216" s="859">
        <v>3.5000000000000003E-2</v>
      </c>
      <c r="F216" s="859">
        <v>1.0999999999999999E-2</v>
      </c>
      <c r="G216" s="602">
        <v>0</v>
      </c>
      <c r="H216" s="602">
        <v>0</v>
      </c>
      <c r="I216" s="602">
        <v>0</v>
      </c>
      <c r="J216" s="602">
        <v>0</v>
      </c>
      <c r="K216" s="602">
        <v>0</v>
      </c>
      <c r="L216" s="602">
        <v>0</v>
      </c>
      <c r="M216" s="602">
        <v>0</v>
      </c>
      <c r="N216" s="1264">
        <v>0</v>
      </c>
      <c r="O216" s="1264">
        <v>0</v>
      </c>
      <c r="P216" s="1264">
        <v>0</v>
      </c>
    </row>
    <row r="217" spans="1:16" x14ac:dyDescent="0.2">
      <c r="A217" t="s">
        <v>945</v>
      </c>
      <c r="B217" s="859">
        <f t="shared" si="3"/>
        <v>6.8500000000000005E-2</v>
      </c>
      <c r="C217" s="859">
        <v>2.9000000000000001E-2</v>
      </c>
      <c r="D217" s="859">
        <v>0</v>
      </c>
      <c r="E217" s="859">
        <v>3.95E-2</v>
      </c>
      <c r="F217" s="859">
        <v>0</v>
      </c>
      <c r="G217" s="602">
        <v>0</v>
      </c>
      <c r="H217" s="602">
        <v>0</v>
      </c>
      <c r="I217" s="602">
        <v>0</v>
      </c>
      <c r="J217" s="602">
        <v>0</v>
      </c>
      <c r="K217" s="602">
        <v>0</v>
      </c>
      <c r="L217" s="602">
        <v>0</v>
      </c>
      <c r="M217" s="602">
        <v>0</v>
      </c>
      <c r="N217" s="1264">
        <v>0</v>
      </c>
      <c r="O217" s="1264">
        <v>0</v>
      </c>
      <c r="P217" s="1264">
        <v>0</v>
      </c>
    </row>
    <row r="218" spans="1:16" x14ac:dyDescent="0.2">
      <c r="A218" t="s">
        <v>946</v>
      </c>
      <c r="B218" s="859">
        <f t="shared" si="3"/>
        <v>0.112</v>
      </c>
      <c r="C218" s="859">
        <v>2.9000000000000001E-2</v>
      </c>
      <c r="D218" s="859">
        <v>1.2999999999999999E-2</v>
      </c>
      <c r="E218" s="859">
        <v>7.0000000000000007E-2</v>
      </c>
      <c r="F218" s="859">
        <v>0</v>
      </c>
      <c r="G218" s="602">
        <v>0</v>
      </c>
      <c r="H218" s="602">
        <v>0</v>
      </c>
      <c r="I218" s="602">
        <v>0</v>
      </c>
      <c r="J218" s="602">
        <v>0</v>
      </c>
      <c r="K218" s="602">
        <v>0</v>
      </c>
      <c r="L218" s="602">
        <v>0</v>
      </c>
      <c r="M218" s="602">
        <v>0</v>
      </c>
      <c r="N218" s="1264">
        <v>0</v>
      </c>
      <c r="O218" s="1264">
        <v>0</v>
      </c>
      <c r="P218" s="1264">
        <v>0</v>
      </c>
    </row>
    <row r="219" spans="1:16" x14ac:dyDescent="0.2">
      <c r="A219" t="s">
        <v>947</v>
      </c>
      <c r="B219" s="859">
        <f t="shared" si="3"/>
        <v>8.4900000000000003E-2</v>
      </c>
      <c r="C219" s="859">
        <v>2.9000000000000001E-2</v>
      </c>
      <c r="D219" s="859">
        <v>0.01</v>
      </c>
      <c r="E219" s="859">
        <v>4.0899999999999999E-2</v>
      </c>
      <c r="F219" s="859">
        <v>5.0000000000000001E-3</v>
      </c>
      <c r="G219" s="602">
        <v>0</v>
      </c>
      <c r="H219" s="602">
        <v>0</v>
      </c>
      <c r="I219" s="602">
        <v>0</v>
      </c>
      <c r="J219" s="602">
        <v>0</v>
      </c>
      <c r="K219" s="602">
        <v>0</v>
      </c>
      <c r="L219" s="602">
        <v>0</v>
      </c>
      <c r="M219" s="602">
        <v>0</v>
      </c>
      <c r="N219" s="1264">
        <v>0</v>
      </c>
      <c r="O219" s="1264">
        <v>0</v>
      </c>
      <c r="P219" s="1264">
        <v>0</v>
      </c>
    </row>
    <row r="220" spans="1:16" x14ac:dyDescent="0.2">
      <c r="A220" t="s">
        <v>948</v>
      </c>
      <c r="B220" s="859">
        <f t="shared" si="3"/>
        <v>5.4000000000000006E-2</v>
      </c>
      <c r="C220" s="859">
        <v>2.9000000000000001E-2</v>
      </c>
      <c r="D220" s="859">
        <v>0</v>
      </c>
      <c r="E220" s="859">
        <v>2.5000000000000001E-2</v>
      </c>
      <c r="F220" s="859">
        <v>0</v>
      </c>
      <c r="G220" s="602">
        <v>0</v>
      </c>
      <c r="H220" s="602">
        <v>0</v>
      </c>
      <c r="I220" s="602">
        <v>0</v>
      </c>
      <c r="J220" s="602">
        <v>0</v>
      </c>
      <c r="K220" s="602">
        <v>0</v>
      </c>
      <c r="L220" s="602">
        <v>0</v>
      </c>
      <c r="M220" s="602">
        <v>0</v>
      </c>
      <c r="N220" s="1264">
        <v>0</v>
      </c>
      <c r="O220" s="1264">
        <v>0</v>
      </c>
      <c r="P220" s="1264">
        <v>0</v>
      </c>
    </row>
    <row r="221" spans="1:16" x14ac:dyDescent="0.2">
      <c r="A221" t="s">
        <v>949</v>
      </c>
      <c r="B221" s="859">
        <f t="shared" si="3"/>
        <v>5.8999999999999997E-2</v>
      </c>
      <c r="C221" s="859">
        <v>2.9000000000000001E-2</v>
      </c>
      <c r="D221" s="859">
        <v>0.01</v>
      </c>
      <c r="E221" s="859">
        <v>0.02</v>
      </c>
      <c r="F221" s="859">
        <v>0</v>
      </c>
      <c r="G221" s="602">
        <v>0</v>
      </c>
      <c r="H221" s="602">
        <v>0</v>
      </c>
      <c r="I221" s="602">
        <v>0</v>
      </c>
      <c r="J221" s="602">
        <v>0</v>
      </c>
      <c r="K221" s="602">
        <v>0</v>
      </c>
      <c r="L221" s="602">
        <v>0</v>
      </c>
      <c r="M221" s="602">
        <v>0</v>
      </c>
      <c r="N221" s="1264">
        <v>0</v>
      </c>
      <c r="O221" s="1264">
        <v>0</v>
      </c>
      <c r="P221" s="1264">
        <v>0</v>
      </c>
    </row>
    <row r="222" spans="1:16" x14ac:dyDescent="0.2">
      <c r="A222" t="s">
        <v>950</v>
      </c>
      <c r="B222" s="859">
        <f t="shared" si="3"/>
        <v>5.8999999999999997E-2</v>
      </c>
      <c r="C222" s="859">
        <v>2.9000000000000001E-2</v>
      </c>
      <c r="D222" s="859">
        <v>0</v>
      </c>
      <c r="E222" s="859">
        <v>0.03</v>
      </c>
      <c r="F222" s="859">
        <v>0</v>
      </c>
      <c r="G222" s="602">
        <v>0</v>
      </c>
      <c r="H222" s="602">
        <v>0</v>
      </c>
      <c r="I222" s="602">
        <v>0</v>
      </c>
      <c r="J222" s="602">
        <v>0</v>
      </c>
      <c r="K222" s="602">
        <v>0</v>
      </c>
      <c r="L222" s="602">
        <v>0</v>
      </c>
      <c r="M222" s="602">
        <v>0</v>
      </c>
      <c r="N222" s="1264">
        <v>0</v>
      </c>
      <c r="O222" s="1264">
        <v>0</v>
      </c>
      <c r="P222" s="1264">
        <v>0</v>
      </c>
    </row>
    <row r="223" spans="1:16" x14ac:dyDescent="0.2">
      <c r="A223" t="s">
        <v>1792</v>
      </c>
      <c r="B223" s="859">
        <f t="shared" si="3"/>
        <v>2.9000000000000001E-2</v>
      </c>
      <c r="C223" s="859">
        <v>2.9000000000000001E-2</v>
      </c>
      <c r="D223" s="859">
        <v>0</v>
      </c>
      <c r="E223" s="859">
        <v>0</v>
      </c>
      <c r="F223" s="859">
        <v>0</v>
      </c>
      <c r="G223" s="602">
        <v>0</v>
      </c>
      <c r="H223" s="602">
        <v>0</v>
      </c>
      <c r="I223" s="602">
        <v>0</v>
      </c>
      <c r="J223" s="602">
        <v>0</v>
      </c>
      <c r="K223" s="602">
        <v>0</v>
      </c>
      <c r="L223" s="602">
        <v>0</v>
      </c>
      <c r="M223" s="602">
        <v>0</v>
      </c>
      <c r="N223" s="1264">
        <v>0</v>
      </c>
      <c r="O223" s="1264">
        <v>0</v>
      </c>
      <c r="P223" s="1264">
        <v>0</v>
      </c>
    </row>
    <row r="224" spans="1:16" ht="13.5" thickBot="1" x14ac:dyDescent="0.25"/>
    <row r="225" spans="2:13" ht="13.5" thickBot="1" x14ac:dyDescent="0.25">
      <c r="C225" s="1763" t="s">
        <v>2183</v>
      </c>
      <c r="D225" s="1764"/>
      <c r="E225"/>
      <c r="F225" s="1237" t="s">
        <v>2168</v>
      </c>
      <c r="G225" s="1238"/>
      <c r="H225" s="1238"/>
      <c r="I225" s="1265"/>
      <c r="J225" s="1265"/>
      <c r="K225" s="1265"/>
      <c r="L225" s="1265"/>
      <c r="M225" s="1272"/>
    </row>
    <row r="226" spans="2:13" ht="13.5" thickBot="1" x14ac:dyDescent="0.25">
      <c r="C226" s="1765" t="s">
        <v>2177</v>
      </c>
      <c r="D226" s="1766"/>
      <c r="E226"/>
      <c r="F226" s="1605" t="s">
        <v>2169</v>
      </c>
      <c r="G226" s="1605"/>
      <c r="H226" s="1188">
        <f>(M216+M217+1)</f>
        <v>1</v>
      </c>
      <c r="I226" s="1189"/>
      <c r="J226" s="1189"/>
      <c r="K226" s="1189"/>
      <c r="L226" s="1189"/>
      <c r="M226" s="1189"/>
    </row>
    <row r="227" spans="2:13" ht="51.75" thickBot="1" x14ac:dyDescent="0.25">
      <c r="B227" s="1234" t="s">
        <v>2184</v>
      </c>
      <c r="C227" s="1765"/>
      <c r="D227" s="1766"/>
      <c r="E227"/>
      <c r="F227" s="1243" t="s">
        <v>2344</v>
      </c>
      <c r="G227" s="1244" t="s">
        <v>2170</v>
      </c>
      <c r="H227" s="1244" t="s">
        <v>2171</v>
      </c>
      <c r="I227" s="1266" t="s">
        <v>2172</v>
      </c>
      <c r="J227" s="1269" t="s">
        <v>2173</v>
      </c>
      <c r="K227" s="1269" t="s">
        <v>2175</v>
      </c>
      <c r="L227" s="1269" t="s">
        <v>2343</v>
      </c>
      <c r="M227" s="1269" t="s">
        <v>2176</v>
      </c>
    </row>
    <row r="228" spans="2:13" ht="13.5" thickBot="1" x14ac:dyDescent="0.25">
      <c r="B228" s="1236">
        <f>VLOOKUP(1,E228:M235,9,FALSE)</f>
        <v>20</v>
      </c>
      <c r="C228" s="1765"/>
      <c r="D228" s="1766"/>
      <c r="E228" s="1197">
        <f>IF(AND(F228&gt;=MIN(G228,H228),F228&lt;=MAX(G228,H228)),1,0)</f>
        <v>1</v>
      </c>
      <c r="F228" s="1188">
        <f>H226</f>
        <v>1</v>
      </c>
      <c r="G228" s="1189">
        <v>1</v>
      </c>
      <c r="H228" s="1189">
        <v>500</v>
      </c>
      <c r="I228" s="1189">
        <v>20</v>
      </c>
      <c r="J228" s="1189">
        <v>0</v>
      </c>
      <c r="K228" s="1189"/>
      <c r="L228" s="1189"/>
      <c r="M228" s="1189">
        <f>ROUNDUP(L228+I228,0)</f>
        <v>20</v>
      </c>
    </row>
    <row r="229" spans="2:13" ht="13.5" thickBot="1" x14ac:dyDescent="0.25">
      <c r="C229" s="1765"/>
      <c r="D229" s="1766"/>
      <c r="E229" s="1197">
        <f t="shared" ref="E229:E235" si="4">IF(AND(F229&gt;=MIN(G229,H229),F229&lt;=MAX(G229,H229)),1,0)</f>
        <v>0</v>
      </c>
      <c r="F229" s="1188">
        <f>F228</f>
        <v>1</v>
      </c>
      <c r="G229" s="1189">
        <v>501</v>
      </c>
      <c r="H229" s="1189">
        <v>2000</v>
      </c>
      <c r="I229" s="1189">
        <v>35</v>
      </c>
      <c r="J229" s="1189">
        <v>0</v>
      </c>
      <c r="K229" s="1189"/>
      <c r="L229" s="1189"/>
      <c r="M229" s="1189">
        <f t="shared" ref="M229:M234" si="5">ROUNDUP(L229+I229,0)</f>
        <v>35</v>
      </c>
    </row>
    <row r="230" spans="2:13" ht="13.5" thickBot="1" x14ac:dyDescent="0.25">
      <c r="C230" s="1765"/>
      <c r="D230" s="1766"/>
      <c r="E230" s="1197">
        <f t="shared" si="4"/>
        <v>0</v>
      </c>
      <c r="F230" s="1188">
        <f t="shared" ref="F230:F235" si="6">F229</f>
        <v>1</v>
      </c>
      <c r="G230" s="1189">
        <v>2001</v>
      </c>
      <c r="H230" s="1189">
        <v>25000</v>
      </c>
      <c r="I230" s="1189">
        <v>35</v>
      </c>
      <c r="J230" s="1189">
        <v>8</v>
      </c>
      <c r="K230" s="1189">
        <f>ROUNDUP((F230-2000)/1000,0)</f>
        <v>-2</v>
      </c>
      <c r="L230" s="1189">
        <f t="shared" ref="L230:L235" si="7">K230*J230</f>
        <v>-16</v>
      </c>
      <c r="M230" s="1189">
        <f t="shared" si="5"/>
        <v>19</v>
      </c>
    </row>
    <row r="231" spans="2:13" ht="13.5" thickBot="1" x14ac:dyDescent="0.25">
      <c r="C231" s="1765"/>
      <c r="D231" s="1766"/>
      <c r="E231" s="1197">
        <f t="shared" si="4"/>
        <v>0</v>
      </c>
      <c r="F231" s="1188">
        <f t="shared" si="6"/>
        <v>1</v>
      </c>
      <c r="G231" s="1189">
        <v>25001</v>
      </c>
      <c r="H231" s="1189">
        <v>50000</v>
      </c>
      <c r="I231" s="1189">
        <v>220</v>
      </c>
      <c r="J231" s="1189">
        <v>8</v>
      </c>
      <c r="K231" s="1189">
        <f>ROUNDUP((F231-25000)/1000,0)</f>
        <v>-25</v>
      </c>
      <c r="L231" s="1189">
        <f t="shared" si="7"/>
        <v>-200</v>
      </c>
      <c r="M231" s="1189">
        <f t="shared" si="5"/>
        <v>20</v>
      </c>
    </row>
    <row r="232" spans="2:13" ht="13.5" thickBot="1" x14ac:dyDescent="0.25">
      <c r="C232" s="1765"/>
      <c r="D232" s="1766"/>
      <c r="E232" s="1197">
        <f t="shared" si="4"/>
        <v>0</v>
      </c>
      <c r="F232" s="1188">
        <f t="shared" si="6"/>
        <v>1</v>
      </c>
      <c r="G232" s="1189">
        <v>50001</v>
      </c>
      <c r="H232" s="1189">
        <v>100000</v>
      </c>
      <c r="I232" s="1189">
        <v>420</v>
      </c>
      <c r="J232" s="1189">
        <v>7</v>
      </c>
      <c r="K232" s="1189">
        <f>ROUNDUP((F232-50000)/1000,0)</f>
        <v>-50</v>
      </c>
      <c r="L232" s="1189">
        <f t="shared" si="7"/>
        <v>-350</v>
      </c>
      <c r="M232" s="1189">
        <f t="shared" si="5"/>
        <v>70</v>
      </c>
    </row>
    <row r="233" spans="2:13" ht="13.5" thickBot="1" x14ac:dyDescent="0.25">
      <c r="C233" s="1765"/>
      <c r="D233" s="1766"/>
      <c r="E233" s="1197">
        <f t="shared" si="4"/>
        <v>0</v>
      </c>
      <c r="F233" s="1188">
        <f t="shared" si="6"/>
        <v>1</v>
      </c>
      <c r="G233" s="1189">
        <v>100001</v>
      </c>
      <c r="H233" s="1189">
        <v>500000</v>
      </c>
      <c r="I233" s="1189">
        <v>770</v>
      </c>
      <c r="J233" s="1189">
        <v>5.6</v>
      </c>
      <c r="K233" s="1189">
        <f>ROUNDUP((F233-100000)/1000,0)</f>
        <v>-100</v>
      </c>
      <c r="L233" s="1189">
        <f t="shared" si="7"/>
        <v>-560</v>
      </c>
      <c r="M233" s="1189">
        <f t="shared" si="5"/>
        <v>210</v>
      </c>
    </row>
    <row r="234" spans="2:13" ht="13.5" thickBot="1" x14ac:dyDescent="0.25">
      <c r="C234" s="1765"/>
      <c r="D234" s="1766"/>
      <c r="E234" s="1197">
        <f t="shared" si="4"/>
        <v>0</v>
      </c>
      <c r="F234" s="1188">
        <f t="shared" si="6"/>
        <v>1</v>
      </c>
      <c r="G234" s="1189">
        <v>500001</v>
      </c>
      <c r="H234" s="1189">
        <v>1000000</v>
      </c>
      <c r="I234" s="1189">
        <v>3010</v>
      </c>
      <c r="J234" s="1189">
        <v>4.75</v>
      </c>
      <c r="K234" s="1189">
        <f>ROUNDUP((F234-500000)/1000,0)</f>
        <v>-500</v>
      </c>
      <c r="L234" s="1189">
        <f t="shared" si="7"/>
        <v>-2375</v>
      </c>
      <c r="M234" s="1189">
        <f t="shared" si="5"/>
        <v>635</v>
      </c>
    </row>
    <row r="235" spans="2:13" ht="13.5" thickBot="1" x14ac:dyDescent="0.25">
      <c r="C235" s="1765"/>
      <c r="D235" s="1766"/>
      <c r="E235" s="1197">
        <f t="shared" si="4"/>
        <v>0</v>
      </c>
      <c r="F235" s="1188">
        <f t="shared" si="6"/>
        <v>1</v>
      </c>
      <c r="G235" s="1189">
        <v>1000001</v>
      </c>
      <c r="H235" s="1189">
        <v>50000000</v>
      </c>
      <c r="I235" s="1189">
        <v>5385</v>
      </c>
      <c r="J235" s="1189">
        <v>3.65</v>
      </c>
      <c r="K235" s="1189">
        <f>ROUNDUP((F235-1000000)/1000,0)</f>
        <v>-1000</v>
      </c>
      <c r="L235" s="1189">
        <f t="shared" si="7"/>
        <v>-3650</v>
      </c>
      <c r="M235" s="1189">
        <f>ROUNDUP(L235+I235,0)</f>
        <v>1735</v>
      </c>
    </row>
    <row r="236" spans="2:13" ht="13.5" thickBot="1" x14ac:dyDescent="0.25">
      <c r="C236" s="1765"/>
      <c r="D236" s="1766"/>
      <c r="E236"/>
      <c r="F236"/>
      <c r="G236"/>
      <c r="H236"/>
    </row>
    <row r="237" spans="2:13" ht="13.5" thickBot="1" x14ac:dyDescent="0.25">
      <c r="C237" s="1767" t="s">
        <v>2182</v>
      </c>
      <c r="D237" s="1768"/>
      <c r="E237"/>
      <c r="F237" s="1240" t="s">
        <v>2181</v>
      </c>
      <c r="G237" s="1241"/>
      <c r="H237" s="1241"/>
      <c r="I237" s="1267"/>
      <c r="J237" s="1267"/>
      <c r="K237" s="1267"/>
      <c r="L237" s="1267"/>
      <c r="M237" s="1273"/>
    </row>
    <row r="238" spans="2:13" x14ac:dyDescent="0.2">
      <c r="C238" s="1769" t="s">
        <v>2177</v>
      </c>
      <c r="D238" s="1770"/>
      <c r="E238"/>
      <c r="F238" s="1605" t="s">
        <v>2169</v>
      </c>
      <c r="G238" s="1605"/>
      <c r="H238" s="1188">
        <f>M216+M217+1</f>
        <v>1</v>
      </c>
      <c r="I238" s="1189"/>
      <c r="J238" s="1189"/>
      <c r="K238" s="1189"/>
      <c r="L238" s="1189"/>
      <c r="M238" s="1189"/>
    </row>
    <row r="239" spans="2:13" ht="51" x14ac:dyDescent="0.2">
      <c r="B239" s="1234" t="s">
        <v>2185</v>
      </c>
      <c r="C239" s="1771"/>
      <c r="D239" s="1772"/>
      <c r="E239"/>
      <c r="F239" s="1243" t="s">
        <v>2344</v>
      </c>
      <c r="G239" s="1244" t="s">
        <v>2170</v>
      </c>
      <c r="H239" s="1244" t="s">
        <v>2171</v>
      </c>
      <c r="I239" s="1266" t="s">
        <v>2172</v>
      </c>
      <c r="J239" s="1269" t="s">
        <v>2346</v>
      </c>
      <c r="K239" s="1269" t="s">
        <v>2347</v>
      </c>
      <c r="L239" s="1269" t="s">
        <v>2324</v>
      </c>
      <c r="M239" s="1269" t="s">
        <v>2176</v>
      </c>
    </row>
    <row r="240" spans="2:13" x14ac:dyDescent="0.2">
      <c r="B240" s="1235">
        <f>VLOOKUP(1,E240:M243,9,FALSE)</f>
        <v>14</v>
      </c>
      <c r="C240" s="1771"/>
      <c r="D240" s="1772"/>
      <c r="E240" s="1197">
        <f>IF(AND(F240&gt;=MIN(G240,H240),F240&lt;=MAX(G240,H240)),1,0)</f>
        <v>1</v>
      </c>
      <c r="F240" s="1188">
        <f>H238</f>
        <v>1</v>
      </c>
      <c r="G240" s="1189">
        <v>1</v>
      </c>
      <c r="H240" s="1189">
        <v>100</v>
      </c>
      <c r="I240" s="1189">
        <v>13.6</v>
      </c>
      <c r="J240" s="1189">
        <v>0</v>
      </c>
      <c r="K240" s="1189"/>
      <c r="L240" s="1189"/>
      <c r="M240" s="1189">
        <f>ROUNDUP(L240+I240,0)</f>
        <v>14</v>
      </c>
    </row>
    <row r="241" spans="3:13" x14ac:dyDescent="0.2">
      <c r="C241" s="1771"/>
      <c r="D241" s="1772"/>
      <c r="E241" s="1197">
        <f>IF(AND(F241&gt;=MIN(G241,H241),F241&lt;=MAX(G241,H241)),1,0)</f>
        <v>0</v>
      </c>
      <c r="F241" s="1188">
        <f>F240</f>
        <v>1</v>
      </c>
      <c r="G241" s="1189">
        <v>101</v>
      </c>
      <c r="H241" s="1189">
        <v>400</v>
      </c>
      <c r="I241" s="1268">
        <v>16.75</v>
      </c>
      <c r="J241" s="1189">
        <v>0</v>
      </c>
      <c r="K241" s="1189">
        <v>0</v>
      </c>
      <c r="L241" s="1189">
        <f>K241*J241</f>
        <v>0</v>
      </c>
      <c r="M241" s="1189">
        <f>ROUNDUP(L241+I241,0)</f>
        <v>17</v>
      </c>
    </row>
    <row r="242" spans="3:13" x14ac:dyDescent="0.2">
      <c r="C242" s="1771"/>
      <c r="D242" s="1772"/>
      <c r="E242" s="1197">
        <f>IF(AND(F242&gt;=MIN(G242,H242),F242&lt;=MAX(G242,H242)),1,0)</f>
        <v>0</v>
      </c>
      <c r="F242" s="1188">
        <f>F241</f>
        <v>1</v>
      </c>
      <c r="G242" s="1189">
        <v>401</v>
      </c>
      <c r="H242" s="1189">
        <v>800</v>
      </c>
      <c r="I242" s="1189">
        <v>19.899999999999999</v>
      </c>
      <c r="J242" s="1189">
        <v>0</v>
      </c>
      <c r="K242" s="1189">
        <v>0</v>
      </c>
      <c r="L242" s="1189">
        <f>K242*J242</f>
        <v>0</v>
      </c>
      <c r="M242" s="1189">
        <f>ROUNDUP(L242+I242,0)</f>
        <v>20</v>
      </c>
    </row>
    <row r="243" spans="3:13" ht="13.5" thickBot="1" x14ac:dyDescent="0.25">
      <c r="C243" s="1773"/>
      <c r="D243" s="1774"/>
      <c r="E243" s="1197">
        <f>IF(AND(F243&gt;=MIN(G243,H243),F243&lt;=MAX(G243,H243)),1,0)</f>
        <v>0</v>
      </c>
      <c r="F243" s="1188">
        <f>F242</f>
        <v>1</v>
      </c>
      <c r="G243" s="1189">
        <v>801</v>
      </c>
      <c r="H243" s="1189">
        <v>50000000</v>
      </c>
      <c r="I243" s="1189">
        <v>19.899999999999999</v>
      </c>
      <c r="J243" s="1189">
        <v>3.75</v>
      </c>
      <c r="K243" s="1189">
        <f>ROUNDUP((F243-800)/100,0)</f>
        <v>-8</v>
      </c>
      <c r="L243" s="1189">
        <f>K243*J243</f>
        <v>-30</v>
      </c>
      <c r="M243" s="1189">
        <f>ROUNDUP(L243+I243,0)</f>
        <v>-11</v>
      </c>
    </row>
  </sheetData>
  <sortState xmlns:xlrd2="http://schemas.microsoft.com/office/spreadsheetml/2017/richdata2" ref="A4:F223">
    <sortCondition ref="A4"/>
  </sortState>
  <customSheetViews>
    <customSheetView guid="{C88CD669-B349-4A86-8041-5686C62E698E}" state="hidden">
      <pane ySplit="1" topLeftCell="A158" activePane="bottomLeft" state="frozen"/>
      <selection pane="bottomLeft" activeCell="S210" sqref="S210"/>
      <pageMargins left="0.7" right="0.7" top="0.75" bottom="0.75" header="0.3" footer="0.3"/>
      <pageSetup orientation="portrait" r:id="rId1"/>
    </customSheetView>
    <customSheetView guid="{14A9C729-6567-47B0-B521-30EFFF4E950A}" state="hidden">
      <selection activeCell="E14" sqref="E14"/>
      <pageMargins left="0.7" right="0.7" top="0.75" bottom="0.75" header="0.3" footer="0.3"/>
    </customSheetView>
    <customSheetView guid="{198460B7-6D23-4AED-A971-BF824A975991}" state="hidden">
      <selection activeCell="E14" sqref="E14"/>
      <pageMargins left="0.7" right="0.7" top="0.75" bottom="0.75" header="0.3" footer="0.3"/>
    </customSheetView>
  </customSheetViews>
  <mergeCells count="7">
    <mergeCell ref="G2:P2"/>
    <mergeCell ref="C238:D243"/>
    <mergeCell ref="F238:G238"/>
    <mergeCell ref="C225:D225"/>
    <mergeCell ref="C226:D236"/>
    <mergeCell ref="F226:G226"/>
    <mergeCell ref="C237:D237"/>
  </mergeCells>
  <phoneticPr fontId="73" type="noConversion"/>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57"/>
  <sheetViews>
    <sheetView topLeftCell="A31" zoomScale="85" zoomScaleNormal="85" workbookViewId="0">
      <selection activeCell="G40" sqref="G40"/>
    </sheetView>
  </sheetViews>
  <sheetFormatPr defaultColWidth="9.140625" defaultRowHeight="12.75" x14ac:dyDescent="0.2"/>
  <cols>
    <col min="1" max="1" width="52.85546875" style="420" customWidth="1"/>
    <col min="2" max="3" width="37.140625" style="420" customWidth="1"/>
    <col min="4" max="4" width="41" style="420" customWidth="1"/>
    <col min="5" max="5" width="27.5703125" style="420" customWidth="1"/>
    <col min="6" max="6" width="30.85546875" style="420" customWidth="1"/>
    <col min="7" max="7" width="32.140625" style="420" customWidth="1"/>
    <col min="8" max="8" width="38.5703125" style="420" customWidth="1"/>
    <col min="9" max="9" width="28.7109375" style="420" customWidth="1"/>
    <col min="10" max="10" width="34" style="420" customWidth="1"/>
    <col min="11" max="11" width="14.7109375" style="420" customWidth="1"/>
    <col min="12" max="12" width="25.7109375" style="420" customWidth="1"/>
    <col min="13" max="13" width="23.28515625" style="420" customWidth="1"/>
    <col min="14" max="14" width="17.7109375" style="420" customWidth="1"/>
    <col min="15" max="15" width="34.7109375" style="420" customWidth="1"/>
    <col min="16" max="16" width="17.5703125" style="486" customWidth="1"/>
    <col min="17" max="17" width="9.140625" style="420"/>
    <col min="18" max="18" width="18" style="420" customWidth="1"/>
    <col min="19" max="19" width="40.140625" style="420" customWidth="1"/>
    <col min="20" max="20" width="14" style="420" customWidth="1"/>
    <col min="21" max="16384" width="9.140625" style="420"/>
  </cols>
  <sheetData>
    <row r="1" spans="1:20" x14ac:dyDescent="0.2">
      <c r="A1" s="1813" t="s">
        <v>299</v>
      </c>
      <c r="B1" s="1813"/>
      <c r="C1" s="1813"/>
      <c r="D1" s="1813"/>
      <c r="E1" s="1813"/>
      <c r="F1" s="1813"/>
      <c r="G1" s="1813"/>
      <c r="H1" s="1813"/>
      <c r="I1" s="1813"/>
      <c r="J1" s="1813"/>
      <c r="K1" s="1813"/>
      <c r="P1" s="420"/>
    </row>
    <row r="3" spans="1:20" s="424" customFormat="1" x14ac:dyDescent="0.2">
      <c r="A3" s="421" t="s">
        <v>300</v>
      </c>
      <c r="B3" s="421" t="s">
        <v>415</v>
      </c>
      <c r="C3" s="421" t="s">
        <v>416</v>
      </c>
      <c r="D3" s="421" t="s">
        <v>301</v>
      </c>
      <c r="E3" s="421" t="s">
        <v>167</v>
      </c>
      <c r="F3" s="421" t="s">
        <v>304</v>
      </c>
      <c r="G3" s="421" t="s">
        <v>302</v>
      </c>
      <c r="H3" s="421" t="s">
        <v>303</v>
      </c>
      <c r="I3" s="421" t="s">
        <v>131</v>
      </c>
      <c r="J3" s="421"/>
      <c r="K3" s="422" t="s">
        <v>537</v>
      </c>
      <c r="L3" s="423" t="s">
        <v>278</v>
      </c>
      <c r="M3" s="423" t="s">
        <v>157</v>
      </c>
      <c r="N3" s="421" t="s">
        <v>511</v>
      </c>
      <c r="O3" s="421" t="s">
        <v>1796</v>
      </c>
      <c r="P3" s="485" t="s">
        <v>1530</v>
      </c>
      <c r="R3" s="421" t="s">
        <v>1846</v>
      </c>
      <c r="S3" s="421" t="s">
        <v>1847</v>
      </c>
      <c r="T3" s="485" t="s">
        <v>1530</v>
      </c>
    </row>
    <row r="4" spans="1:20" x14ac:dyDescent="0.2">
      <c r="E4" s="425"/>
      <c r="I4" s="425"/>
      <c r="L4" s="426"/>
      <c r="M4" s="426"/>
      <c r="N4" s="420" t="s">
        <v>1845</v>
      </c>
      <c r="O4" s="420" t="s">
        <v>1844</v>
      </c>
      <c r="R4" s="420" t="s">
        <v>1845</v>
      </c>
      <c r="S4" s="420" t="s">
        <v>1844</v>
      </c>
    </row>
    <row r="5" spans="1:20" x14ac:dyDescent="0.2">
      <c r="A5" s="420" t="s">
        <v>955</v>
      </c>
      <c r="D5" s="420" t="s">
        <v>2025</v>
      </c>
      <c r="E5" s="425" t="s">
        <v>164</v>
      </c>
      <c r="F5" s="420" t="s">
        <v>410</v>
      </c>
      <c r="G5" s="427">
        <v>0</v>
      </c>
      <c r="H5" s="428" t="s">
        <v>306</v>
      </c>
      <c r="I5" s="429" t="s">
        <v>307</v>
      </c>
      <c r="K5" s="420" t="s">
        <v>538</v>
      </c>
      <c r="L5" s="426" t="s">
        <v>666</v>
      </c>
      <c r="M5" s="426" t="s">
        <v>163</v>
      </c>
      <c r="N5" s="420" t="s">
        <v>602</v>
      </c>
      <c r="O5" s="420" t="s">
        <v>1797</v>
      </c>
      <c r="P5" s="486">
        <v>0.25</v>
      </c>
      <c r="R5" s="420" t="s">
        <v>1857</v>
      </c>
      <c r="S5" s="420" t="s">
        <v>1858</v>
      </c>
      <c r="T5" s="486">
        <v>4</v>
      </c>
    </row>
    <row r="6" spans="1:20" x14ac:dyDescent="0.2">
      <c r="A6" s="420" t="s">
        <v>2373</v>
      </c>
      <c r="B6" s="420" t="s">
        <v>2374</v>
      </c>
      <c r="C6" s="420" t="s">
        <v>1136</v>
      </c>
      <c r="D6" s="420" t="s">
        <v>305</v>
      </c>
      <c r="E6" s="425" t="s">
        <v>310</v>
      </c>
      <c r="F6" s="420" t="s">
        <v>308</v>
      </c>
      <c r="H6" s="428" t="s">
        <v>311</v>
      </c>
      <c r="I6" s="429" t="s">
        <v>312</v>
      </c>
      <c r="K6" s="420" t="s">
        <v>539</v>
      </c>
      <c r="L6" s="426" t="s">
        <v>667</v>
      </c>
      <c r="M6" s="426" t="s">
        <v>743</v>
      </c>
      <c r="N6" s="420" t="s">
        <v>614</v>
      </c>
      <c r="O6" s="420" t="s">
        <v>1798</v>
      </c>
      <c r="P6" s="486">
        <v>1</v>
      </c>
      <c r="R6" s="420" t="s">
        <v>1885</v>
      </c>
      <c r="S6" s="420" t="s">
        <v>2180</v>
      </c>
      <c r="T6" s="486">
        <v>24</v>
      </c>
    </row>
    <row r="7" spans="1:20" x14ac:dyDescent="0.2">
      <c r="A7" s="420" t="s">
        <v>956</v>
      </c>
      <c r="B7" s="420" t="s">
        <v>1137</v>
      </c>
      <c r="C7" s="420" t="s">
        <v>1138</v>
      </c>
      <c r="D7" s="420" t="s">
        <v>309</v>
      </c>
      <c r="E7" s="425" t="s">
        <v>315</v>
      </c>
      <c r="F7" s="420" t="s">
        <v>1121</v>
      </c>
      <c r="I7" s="429" t="s">
        <v>316</v>
      </c>
      <c r="K7" s="420" t="s">
        <v>540</v>
      </c>
      <c r="L7" s="426" t="s">
        <v>668</v>
      </c>
      <c r="M7" s="426" t="s">
        <v>744</v>
      </c>
      <c r="N7" s="420" t="s">
        <v>1911</v>
      </c>
      <c r="O7" s="420" t="s">
        <v>1912</v>
      </c>
      <c r="P7" s="486">
        <v>0.5</v>
      </c>
      <c r="R7" s="420" t="s">
        <v>1873</v>
      </c>
      <c r="S7" s="420" t="s">
        <v>1874</v>
      </c>
      <c r="T7" s="486">
        <v>6</v>
      </c>
    </row>
    <row r="8" spans="1:20" x14ac:dyDescent="0.2">
      <c r="A8" s="420" t="s">
        <v>957</v>
      </c>
      <c r="B8" s="420" t="s">
        <v>1345</v>
      </c>
      <c r="C8" s="420" t="s">
        <v>1346</v>
      </c>
      <c r="D8" s="420" t="s">
        <v>314</v>
      </c>
      <c r="E8" s="425" t="s">
        <v>319</v>
      </c>
      <c r="F8" s="420" t="s">
        <v>1122</v>
      </c>
      <c r="H8" s="421" t="s">
        <v>320</v>
      </c>
      <c r="I8" s="429" t="s">
        <v>321</v>
      </c>
      <c r="K8" s="420" t="s">
        <v>541</v>
      </c>
      <c r="L8" s="426" t="s">
        <v>669</v>
      </c>
      <c r="M8" s="426" t="s">
        <v>165</v>
      </c>
      <c r="N8" s="420" t="s">
        <v>608</v>
      </c>
      <c r="O8" s="420" t="s">
        <v>1801</v>
      </c>
      <c r="P8" s="486">
        <v>1</v>
      </c>
      <c r="R8" s="420" t="s">
        <v>1863</v>
      </c>
      <c r="S8" s="420" t="s">
        <v>1864</v>
      </c>
      <c r="T8" s="486">
        <v>36</v>
      </c>
    </row>
    <row r="9" spans="1:20" x14ac:dyDescent="0.2">
      <c r="A9" s="420" t="s">
        <v>958</v>
      </c>
      <c r="B9" s="420" t="s">
        <v>1347</v>
      </c>
      <c r="C9" s="420" t="s">
        <v>1348</v>
      </c>
      <c r="D9" s="420" t="s">
        <v>318</v>
      </c>
      <c r="E9" s="425" t="s">
        <v>324</v>
      </c>
      <c r="F9" s="420" t="s">
        <v>313</v>
      </c>
      <c r="H9" s="441"/>
      <c r="I9" s="429" t="s">
        <v>325</v>
      </c>
      <c r="K9" s="420" t="s">
        <v>542</v>
      </c>
      <c r="L9" s="426" t="s">
        <v>670</v>
      </c>
      <c r="M9" s="426" t="s">
        <v>745</v>
      </c>
      <c r="N9" s="420" t="s">
        <v>610</v>
      </c>
      <c r="O9" s="420" t="s">
        <v>1802</v>
      </c>
      <c r="P9" s="486">
        <v>1</v>
      </c>
      <c r="R9" s="420" t="s">
        <v>1851</v>
      </c>
      <c r="S9" s="420" t="s">
        <v>1852</v>
      </c>
      <c r="T9" s="486">
        <v>4</v>
      </c>
    </row>
    <row r="10" spans="1:20" x14ac:dyDescent="0.2">
      <c r="A10" s="420" t="s">
        <v>959</v>
      </c>
      <c r="B10" s="420" t="s">
        <v>1349</v>
      </c>
      <c r="C10" s="420" t="s">
        <v>1350</v>
      </c>
      <c r="D10" s="420" t="s">
        <v>323</v>
      </c>
      <c r="E10" s="425" t="s">
        <v>327</v>
      </c>
      <c r="F10" s="420" t="s">
        <v>317</v>
      </c>
      <c r="H10" s="442">
        <v>0.29166666666666669</v>
      </c>
      <c r="I10" s="429"/>
      <c r="K10" s="420" t="s">
        <v>543</v>
      </c>
      <c r="L10" s="426" t="s">
        <v>671</v>
      </c>
      <c r="M10" s="426" t="s">
        <v>746</v>
      </c>
      <c r="N10" s="420" t="s">
        <v>619</v>
      </c>
      <c r="O10" s="420" t="s">
        <v>1803</v>
      </c>
      <c r="P10" s="486">
        <v>3</v>
      </c>
      <c r="R10" s="420" t="s">
        <v>1871</v>
      </c>
      <c r="S10" s="420" t="s">
        <v>1872</v>
      </c>
      <c r="T10" s="486">
        <v>48</v>
      </c>
    </row>
    <row r="11" spans="1:20" x14ac:dyDescent="0.2">
      <c r="A11" s="420" t="s">
        <v>960</v>
      </c>
      <c r="B11" s="420" t="s">
        <v>2149</v>
      </c>
      <c r="C11" s="420" t="s">
        <v>1135</v>
      </c>
      <c r="D11" s="420" t="s">
        <v>326</v>
      </c>
      <c r="E11" s="425" t="s">
        <v>330</v>
      </c>
      <c r="F11" s="420" t="s">
        <v>322</v>
      </c>
      <c r="H11" s="442">
        <v>0.3125</v>
      </c>
      <c r="I11" s="431" t="s">
        <v>56</v>
      </c>
      <c r="K11" s="420" t="s">
        <v>544</v>
      </c>
      <c r="L11" s="426" t="s">
        <v>672</v>
      </c>
      <c r="M11" s="426" t="s">
        <v>747</v>
      </c>
      <c r="N11" s="420" t="s">
        <v>528</v>
      </c>
      <c r="O11" s="420" t="s">
        <v>1804</v>
      </c>
      <c r="P11" s="486">
        <v>3</v>
      </c>
      <c r="R11" s="420" t="s">
        <v>1859</v>
      </c>
      <c r="S11" s="420" t="s">
        <v>1860</v>
      </c>
      <c r="T11" s="486">
        <v>8</v>
      </c>
    </row>
    <row r="12" spans="1:20" x14ac:dyDescent="0.2">
      <c r="A12" s="420" t="s">
        <v>1734</v>
      </c>
      <c r="B12" s="420" t="s">
        <v>1735</v>
      </c>
      <c r="C12" s="420" t="s">
        <v>1432</v>
      </c>
      <c r="D12" s="420" t="s">
        <v>2381</v>
      </c>
      <c r="F12" s="420" t="s">
        <v>773</v>
      </c>
      <c r="H12" s="442">
        <v>0.33333333333333298</v>
      </c>
      <c r="I12" s="432"/>
      <c r="K12" s="420" t="s">
        <v>545</v>
      </c>
      <c r="L12" s="426" t="s">
        <v>673</v>
      </c>
      <c r="N12" s="420" t="s">
        <v>529</v>
      </c>
      <c r="O12" s="420" t="s">
        <v>1805</v>
      </c>
      <c r="P12" s="486">
        <v>4</v>
      </c>
      <c r="R12" s="420" t="s">
        <v>1855</v>
      </c>
      <c r="S12" s="420" t="s">
        <v>1856</v>
      </c>
      <c r="T12" s="486">
        <v>4</v>
      </c>
    </row>
    <row r="13" spans="1:20" x14ac:dyDescent="0.2">
      <c r="A13" s="420" t="s">
        <v>961</v>
      </c>
      <c r="B13" s="420" t="s">
        <v>1351</v>
      </c>
      <c r="C13" s="420" t="s">
        <v>1352</v>
      </c>
      <c r="D13" s="420" t="s">
        <v>329</v>
      </c>
      <c r="F13" s="420" t="s">
        <v>2383</v>
      </c>
      <c r="H13" s="442">
        <v>0.35416666666666702</v>
      </c>
      <c r="I13" s="432" t="s">
        <v>335</v>
      </c>
      <c r="K13" s="420" t="s">
        <v>546</v>
      </c>
      <c r="L13" s="426" t="s">
        <v>674</v>
      </c>
      <c r="N13" s="420" t="s">
        <v>599</v>
      </c>
      <c r="O13" s="420" t="s">
        <v>1806</v>
      </c>
      <c r="P13" s="486">
        <v>1</v>
      </c>
      <c r="R13" s="420" t="s">
        <v>1867</v>
      </c>
      <c r="S13" s="420" t="s">
        <v>1868</v>
      </c>
      <c r="T13" s="486">
        <v>6</v>
      </c>
    </row>
    <row r="14" spans="1:20" x14ac:dyDescent="0.2">
      <c r="A14" s="420" t="s">
        <v>962</v>
      </c>
      <c r="B14" s="420" t="s">
        <v>1353</v>
      </c>
      <c r="C14" s="420" t="s">
        <v>1354</v>
      </c>
      <c r="D14" s="420" t="s">
        <v>2372</v>
      </c>
      <c r="E14" s="499" t="s">
        <v>338</v>
      </c>
      <c r="F14" s="420" t="s">
        <v>328</v>
      </c>
      <c r="G14" s="499" t="s">
        <v>338</v>
      </c>
      <c r="H14" s="442">
        <v>0.375</v>
      </c>
      <c r="I14" s="428" t="s">
        <v>339</v>
      </c>
      <c r="K14" s="420" t="s">
        <v>547</v>
      </c>
      <c r="L14" s="426" t="s">
        <v>675</v>
      </c>
      <c r="N14" s="420" t="s">
        <v>607</v>
      </c>
      <c r="O14" s="420" t="s">
        <v>1807</v>
      </c>
      <c r="P14" s="486">
        <v>1</v>
      </c>
      <c r="R14" s="420" t="s">
        <v>1906</v>
      </c>
      <c r="S14" s="420" t="s">
        <v>1907</v>
      </c>
      <c r="T14" s="486">
        <v>3</v>
      </c>
    </row>
    <row r="15" spans="1:20" x14ac:dyDescent="0.2">
      <c r="A15" s="420" t="s">
        <v>963</v>
      </c>
      <c r="B15" s="420" t="s">
        <v>1355</v>
      </c>
      <c r="C15" s="420" t="s">
        <v>1354</v>
      </c>
      <c r="D15" s="420" t="s">
        <v>332</v>
      </c>
      <c r="F15" s="420" t="s">
        <v>331</v>
      </c>
      <c r="H15" s="442">
        <v>0.39583333333333398</v>
      </c>
      <c r="K15" s="420" t="s">
        <v>548</v>
      </c>
      <c r="L15" s="426" t="s">
        <v>162</v>
      </c>
      <c r="N15" s="420" t="s">
        <v>530</v>
      </c>
      <c r="O15" s="420" t="s">
        <v>1808</v>
      </c>
      <c r="P15" s="486">
        <v>2</v>
      </c>
      <c r="R15" s="420" t="s">
        <v>1891</v>
      </c>
      <c r="S15" s="420" t="s">
        <v>1892</v>
      </c>
      <c r="T15" s="486">
        <v>24</v>
      </c>
    </row>
    <row r="16" spans="1:20" x14ac:dyDescent="0.2">
      <c r="A16" s="420" t="s">
        <v>1221</v>
      </c>
      <c r="B16" s="420" t="s">
        <v>1222</v>
      </c>
      <c r="C16" s="420" t="s">
        <v>1223</v>
      </c>
      <c r="D16" s="420" t="s">
        <v>2380</v>
      </c>
      <c r="E16" s="420" t="s">
        <v>346</v>
      </c>
      <c r="F16" s="420" t="s">
        <v>333</v>
      </c>
      <c r="G16" s="420" t="s">
        <v>346</v>
      </c>
      <c r="H16" s="442">
        <v>0.41666666666666702</v>
      </c>
      <c r="K16" s="420" t="s">
        <v>549</v>
      </c>
      <c r="L16" s="426" t="s">
        <v>676</v>
      </c>
      <c r="N16" s="420" t="s">
        <v>531</v>
      </c>
      <c r="O16" s="420" t="s">
        <v>1808</v>
      </c>
      <c r="P16" s="486">
        <v>3</v>
      </c>
      <c r="R16" s="420" t="s">
        <v>1901</v>
      </c>
      <c r="S16" s="420" t="s">
        <v>1900</v>
      </c>
      <c r="T16" s="486">
        <v>6</v>
      </c>
    </row>
    <row r="17" spans="1:20" x14ac:dyDescent="0.2">
      <c r="A17" s="420" t="s">
        <v>964</v>
      </c>
      <c r="B17" s="420" t="s">
        <v>1356</v>
      </c>
      <c r="C17" s="420" t="s">
        <v>1357</v>
      </c>
      <c r="D17" s="420" t="s">
        <v>2017</v>
      </c>
      <c r="E17" s="420" t="s">
        <v>261</v>
      </c>
      <c r="F17" s="420" t="s">
        <v>336</v>
      </c>
      <c r="G17" s="420" t="s">
        <v>261</v>
      </c>
      <c r="H17" s="442">
        <v>0.4375</v>
      </c>
      <c r="K17" s="420" t="s">
        <v>550</v>
      </c>
      <c r="L17" s="426" t="s">
        <v>677</v>
      </c>
      <c r="N17" s="420" t="s">
        <v>526</v>
      </c>
      <c r="O17" s="420" t="s">
        <v>1809</v>
      </c>
      <c r="P17" s="486">
        <v>4</v>
      </c>
      <c r="R17" s="420" t="s">
        <v>1893</v>
      </c>
      <c r="S17" s="420" t="s">
        <v>1894</v>
      </c>
      <c r="T17" s="486">
        <v>4</v>
      </c>
    </row>
    <row r="18" spans="1:20" x14ac:dyDescent="0.2">
      <c r="A18" s="420" t="s">
        <v>965</v>
      </c>
      <c r="B18" s="420" t="s">
        <v>1358</v>
      </c>
      <c r="C18" s="420" t="s">
        <v>1359</v>
      </c>
      <c r="D18" s="420" t="s">
        <v>2349</v>
      </c>
      <c r="F18" s="420" t="s">
        <v>2382</v>
      </c>
      <c r="G18" s="420" t="s">
        <v>1703</v>
      </c>
      <c r="H18" s="442">
        <v>0.45833333333333398</v>
      </c>
      <c r="K18" s="420" t="s">
        <v>551</v>
      </c>
      <c r="L18" s="426" t="s">
        <v>678</v>
      </c>
      <c r="N18" s="420" t="s">
        <v>527</v>
      </c>
      <c r="O18" s="420" t="s">
        <v>1809</v>
      </c>
      <c r="P18" s="486">
        <v>5</v>
      </c>
      <c r="R18" s="420" t="s">
        <v>1902</v>
      </c>
      <c r="S18" s="420" t="s">
        <v>1903</v>
      </c>
      <c r="T18" s="486">
        <v>3</v>
      </c>
    </row>
    <row r="19" spans="1:20" x14ac:dyDescent="0.2">
      <c r="A19" s="420" t="s">
        <v>966</v>
      </c>
      <c r="B19" s="420" t="s">
        <v>2023</v>
      </c>
      <c r="C19" s="420" t="s">
        <v>1136</v>
      </c>
      <c r="D19" s="420" t="s">
        <v>1072</v>
      </c>
      <c r="E19" s="421" t="s">
        <v>351</v>
      </c>
      <c r="F19" s="420" t="s">
        <v>1204</v>
      </c>
      <c r="H19" s="442">
        <v>0.47916666666666702</v>
      </c>
      <c r="K19" s="420" t="s">
        <v>552</v>
      </c>
      <c r="L19" s="426" t="s">
        <v>679</v>
      </c>
      <c r="N19" s="420" t="s">
        <v>1833</v>
      </c>
      <c r="O19" s="420" t="s">
        <v>1834</v>
      </c>
      <c r="P19" s="486">
        <v>1</v>
      </c>
      <c r="R19" s="420" t="s">
        <v>1897</v>
      </c>
      <c r="S19" s="420" t="s">
        <v>1898</v>
      </c>
      <c r="T19" s="486">
        <v>2</v>
      </c>
    </row>
    <row r="20" spans="1:20" x14ac:dyDescent="0.2">
      <c r="A20" s="420" t="s">
        <v>967</v>
      </c>
      <c r="B20" s="420" t="s">
        <v>1360</v>
      </c>
      <c r="C20" s="420" t="s">
        <v>1344</v>
      </c>
      <c r="D20" s="420" t="s">
        <v>2024</v>
      </c>
      <c r="F20" s="420" t="s">
        <v>340</v>
      </c>
      <c r="H20" s="442">
        <v>0.5</v>
      </c>
      <c r="K20" s="420" t="s">
        <v>553</v>
      </c>
      <c r="L20" s="426" t="s">
        <v>161</v>
      </c>
      <c r="N20" s="420" t="s">
        <v>595</v>
      </c>
      <c r="O20" s="420" t="s">
        <v>1810</v>
      </c>
      <c r="P20" s="486">
        <v>5</v>
      </c>
      <c r="R20" s="420" t="s">
        <v>1899</v>
      </c>
      <c r="S20" s="420" t="s">
        <v>1900</v>
      </c>
      <c r="T20" s="486">
        <v>4</v>
      </c>
    </row>
    <row r="21" spans="1:20" x14ac:dyDescent="0.2">
      <c r="A21" s="420" t="s">
        <v>968</v>
      </c>
      <c r="B21" s="420" t="s">
        <v>1361</v>
      </c>
      <c r="C21" s="420" t="s">
        <v>1362</v>
      </c>
      <c r="D21" s="420" t="s">
        <v>334</v>
      </c>
      <c r="E21" s="420" t="s">
        <v>355</v>
      </c>
      <c r="F21" s="420" t="s">
        <v>2119</v>
      </c>
      <c r="H21" s="442">
        <v>0.52083333333333304</v>
      </c>
      <c r="K21" s="420" t="s">
        <v>554</v>
      </c>
      <c r="L21" s="426" t="s">
        <v>680</v>
      </c>
      <c r="N21" s="420" t="s">
        <v>596</v>
      </c>
      <c r="O21" s="420" t="s">
        <v>1810</v>
      </c>
      <c r="P21" s="486">
        <v>6</v>
      </c>
      <c r="R21" s="420" t="s">
        <v>1895</v>
      </c>
      <c r="S21" s="420" t="s">
        <v>1896</v>
      </c>
      <c r="T21" s="486">
        <v>2</v>
      </c>
    </row>
    <row r="22" spans="1:20" x14ac:dyDescent="0.2">
      <c r="A22" s="420" t="s">
        <v>969</v>
      </c>
      <c r="B22" s="420" t="s">
        <v>1363</v>
      </c>
      <c r="C22" s="420" t="s">
        <v>1364</v>
      </c>
      <c r="D22" s="420" t="s">
        <v>337</v>
      </c>
      <c r="E22" s="420" t="s">
        <v>358</v>
      </c>
      <c r="F22" s="420" t="s">
        <v>342</v>
      </c>
      <c r="H22" s="442">
        <v>0.54166666666666696</v>
      </c>
      <c r="K22" s="420" t="s">
        <v>555</v>
      </c>
      <c r="L22" s="426" t="s">
        <v>681</v>
      </c>
      <c r="N22" s="420" t="s">
        <v>598</v>
      </c>
      <c r="O22" s="420" t="s">
        <v>1811</v>
      </c>
      <c r="P22" s="486">
        <v>1</v>
      </c>
      <c r="R22" s="420" t="s">
        <v>1904</v>
      </c>
      <c r="S22" s="420" t="s">
        <v>1905</v>
      </c>
      <c r="T22" s="486">
        <v>1</v>
      </c>
    </row>
    <row r="23" spans="1:20" x14ac:dyDescent="0.2">
      <c r="A23" s="420" t="s">
        <v>1365</v>
      </c>
      <c r="B23" s="420" t="s">
        <v>1366</v>
      </c>
      <c r="C23" s="420" t="s">
        <v>1367</v>
      </c>
      <c r="D23" s="420" t="s">
        <v>341</v>
      </c>
      <c r="F23" s="420" t="s">
        <v>344</v>
      </c>
      <c r="H23" s="442">
        <v>0.5625</v>
      </c>
      <c r="K23" s="420" t="s">
        <v>556</v>
      </c>
      <c r="L23" s="426" t="s">
        <v>682</v>
      </c>
      <c r="N23" s="420" t="s">
        <v>536</v>
      </c>
      <c r="O23" s="420" t="s">
        <v>1812</v>
      </c>
      <c r="P23" s="486">
        <v>1</v>
      </c>
      <c r="R23" s="420" t="s">
        <v>530</v>
      </c>
      <c r="S23" s="420" t="s">
        <v>1808</v>
      </c>
      <c r="T23" s="486">
        <v>6</v>
      </c>
    </row>
    <row r="24" spans="1:20" x14ac:dyDescent="0.2">
      <c r="A24" s="420" t="s">
        <v>970</v>
      </c>
      <c r="B24" s="420" t="s">
        <v>1368</v>
      </c>
      <c r="C24" s="420" t="s">
        <v>1344</v>
      </c>
      <c r="D24" s="420" t="s">
        <v>343</v>
      </c>
      <c r="F24" s="420" t="s">
        <v>347</v>
      </c>
      <c r="H24" s="442">
        <v>0.58333333333333304</v>
      </c>
      <c r="K24" s="420" t="s">
        <v>557</v>
      </c>
      <c r="L24" s="426" t="s">
        <v>683</v>
      </c>
      <c r="N24" s="420" t="s">
        <v>600</v>
      </c>
      <c r="O24" s="420" t="s">
        <v>1813</v>
      </c>
      <c r="P24" s="486">
        <v>1</v>
      </c>
      <c r="R24" s="420" t="s">
        <v>1850</v>
      </c>
      <c r="S24" s="420" t="s">
        <v>1849</v>
      </c>
      <c r="T24" s="486">
        <v>3</v>
      </c>
    </row>
    <row r="25" spans="1:20" x14ac:dyDescent="0.2">
      <c r="A25" s="420" t="s">
        <v>971</v>
      </c>
      <c r="B25" s="420" t="s">
        <v>1369</v>
      </c>
      <c r="C25" s="420" t="s">
        <v>1370</v>
      </c>
      <c r="D25" s="420" t="s">
        <v>345</v>
      </c>
      <c r="E25" s="422" t="s">
        <v>1608</v>
      </c>
      <c r="F25" s="420" t="s">
        <v>349</v>
      </c>
      <c r="H25" s="442">
        <v>0.60416666666666696</v>
      </c>
      <c r="J25" s="434" t="s">
        <v>439</v>
      </c>
      <c r="K25" s="420" t="s">
        <v>558</v>
      </c>
      <c r="L25" s="426" t="s">
        <v>684</v>
      </c>
      <c r="N25" s="420" t="s">
        <v>611</v>
      </c>
      <c r="O25" s="420" t="s">
        <v>1814</v>
      </c>
      <c r="P25" s="486">
        <v>1</v>
      </c>
      <c r="R25" s="420" t="s">
        <v>1888</v>
      </c>
      <c r="S25" s="420" t="s">
        <v>1889</v>
      </c>
      <c r="T25" s="486">
        <v>4</v>
      </c>
    </row>
    <row r="26" spans="1:20" x14ac:dyDescent="0.2">
      <c r="A26" s="420" t="s">
        <v>972</v>
      </c>
      <c r="B26" s="420" t="s">
        <v>1371</v>
      </c>
      <c r="C26" s="420" t="s">
        <v>1372</v>
      </c>
      <c r="D26" s="420" t="s">
        <v>348</v>
      </c>
      <c r="F26" s="420" t="s">
        <v>352</v>
      </c>
      <c r="H26" s="442">
        <v>0.625</v>
      </c>
      <c r="K26" s="420" t="s">
        <v>559</v>
      </c>
      <c r="L26" s="426" t="s">
        <v>685</v>
      </c>
      <c r="N26" s="420" t="s">
        <v>606</v>
      </c>
      <c r="O26" s="420" t="s">
        <v>1815</v>
      </c>
      <c r="P26" s="486">
        <v>1</v>
      </c>
      <c r="R26" s="420" t="s">
        <v>1879</v>
      </c>
      <c r="S26" s="420" t="s">
        <v>1880</v>
      </c>
      <c r="T26" s="486">
        <v>6</v>
      </c>
    </row>
    <row r="27" spans="1:20" x14ac:dyDescent="0.2">
      <c r="A27" s="420" t="s">
        <v>973</v>
      </c>
      <c r="B27" s="420" t="s">
        <v>1373</v>
      </c>
      <c r="C27" s="420" t="s">
        <v>1374</v>
      </c>
      <c r="D27" s="420" t="s">
        <v>350</v>
      </c>
      <c r="E27" s="420" t="s">
        <v>191</v>
      </c>
      <c r="F27" s="420" t="s">
        <v>353</v>
      </c>
      <c r="H27" s="442">
        <v>0.64583333333333304</v>
      </c>
      <c r="J27" s="420" t="s">
        <v>450</v>
      </c>
      <c r="K27" s="420" t="s">
        <v>560</v>
      </c>
      <c r="L27" s="426" t="s">
        <v>686</v>
      </c>
      <c r="N27" s="420" t="s">
        <v>1916</v>
      </c>
      <c r="O27" s="420" t="s">
        <v>1915</v>
      </c>
      <c r="P27" s="486">
        <v>16</v>
      </c>
      <c r="R27" s="420" t="s">
        <v>1883</v>
      </c>
      <c r="S27" s="420" t="s">
        <v>1884</v>
      </c>
      <c r="T27" s="486">
        <v>6</v>
      </c>
    </row>
    <row r="28" spans="1:20" x14ac:dyDescent="0.2">
      <c r="A28" s="420" t="s">
        <v>974</v>
      </c>
      <c r="B28" s="420" t="s">
        <v>1375</v>
      </c>
      <c r="C28" s="420" t="s">
        <v>1223</v>
      </c>
      <c r="D28" s="420" t="s">
        <v>1123</v>
      </c>
      <c r="E28" s="420" t="s">
        <v>1609</v>
      </c>
      <c r="F28" s="420" t="s">
        <v>357</v>
      </c>
      <c r="H28" s="442">
        <v>0.66666666666666696</v>
      </c>
      <c r="J28" s="420" t="s">
        <v>622</v>
      </c>
      <c r="K28" s="420" t="s">
        <v>561</v>
      </c>
      <c r="L28" s="426" t="s">
        <v>687</v>
      </c>
      <c r="N28" s="420" t="s">
        <v>605</v>
      </c>
      <c r="O28" s="420" t="s">
        <v>1816</v>
      </c>
      <c r="P28" s="486">
        <v>1</v>
      </c>
      <c r="R28" s="420" t="s">
        <v>1861</v>
      </c>
      <c r="S28" s="420" t="s">
        <v>1862</v>
      </c>
      <c r="T28" s="486">
        <v>3</v>
      </c>
    </row>
    <row r="29" spans="1:20" x14ac:dyDescent="0.2">
      <c r="A29" s="420" t="s">
        <v>975</v>
      </c>
      <c r="B29" s="420" t="s">
        <v>1376</v>
      </c>
      <c r="C29" s="420" t="s">
        <v>1126</v>
      </c>
      <c r="D29" s="420" t="s">
        <v>1603</v>
      </c>
      <c r="H29" s="442">
        <v>0.687500000000001</v>
      </c>
      <c r="J29" s="420" t="s">
        <v>449</v>
      </c>
      <c r="K29" s="420" t="s">
        <v>562</v>
      </c>
      <c r="L29" s="426" t="s">
        <v>688</v>
      </c>
      <c r="N29" s="420" t="s">
        <v>609</v>
      </c>
      <c r="O29" s="420" t="s">
        <v>1817</v>
      </c>
      <c r="P29" s="486">
        <v>1</v>
      </c>
      <c r="R29" s="420" t="s">
        <v>1881</v>
      </c>
      <c r="S29" s="420" t="s">
        <v>1882</v>
      </c>
      <c r="T29" s="486">
        <v>4</v>
      </c>
    </row>
    <row r="30" spans="1:20" x14ac:dyDescent="0.2">
      <c r="A30" s="420" t="s">
        <v>1377</v>
      </c>
      <c r="B30" s="420" t="s">
        <v>1378</v>
      </c>
      <c r="C30" s="420" t="s">
        <v>1379</v>
      </c>
      <c r="D30" s="420" t="s">
        <v>354</v>
      </c>
      <c r="H30" s="442">
        <v>0.70833333333333504</v>
      </c>
      <c r="J30" s="420" t="s">
        <v>445</v>
      </c>
      <c r="L30" s="426" t="s">
        <v>160</v>
      </c>
      <c r="N30" s="420" t="s">
        <v>515</v>
      </c>
      <c r="O30" s="420" t="s">
        <v>1818</v>
      </c>
      <c r="P30" s="486">
        <v>2.5</v>
      </c>
      <c r="R30" s="420" t="s">
        <v>2179</v>
      </c>
      <c r="S30" s="420" t="s">
        <v>2178</v>
      </c>
      <c r="T30" s="486">
        <v>24</v>
      </c>
    </row>
    <row r="31" spans="1:20" x14ac:dyDescent="0.2">
      <c r="A31" s="420" t="s">
        <v>976</v>
      </c>
      <c r="B31" s="420" t="s">
        <v>1380</v>
      </c>
      <c r="C31" s="420" t="s">
        <v>1202</v>
      </c>
      <c r="D31" s="420" t="s">
        <v>1216</v>
      </c>
      <c r="H31" s="443" t="s">
        <v>356</v>
      </c>
      <c r="J31" s="420" t="s">
        <v>446</v>
      </c>
      <c r="L31" s="426" t="s">
        <v>159</v>
      </c>
      <c r="N31" s="420" t="s">
        <v>516</v>
      </c>
      <c r="O31" s="420" t="s">
        <v>1818</v>
      </c>
      <c r="P31" s="486">
        <v>3</v>
      </c>
      <c r="R31" s="420" t="s">
        <v>1869</v>
      </c>
      <c r="S31" s="420" t="s">
        <v>1870</v>
      </c>
      <c r="T31" s="486">
        <v>2</v>
      </c>
    </row>
    <row r="32" spans="1:20" x14ac:dyDescent="0.2">
      <c r="A32" s="420" t="s">
        <v>977</v>
      </c>
      <c r="B32" s="420" t="s">
        <v>1381</v>
      </c>
      <c r="C32" s="420" t="s">
        <v>1223</v>
      </c>
      <c r="D32" s="420" t="s">
        <v>1732</v>
      </c>
      <c r="H32" s="435"/>
      <c r="J32" s="420" t="s">
        <v>2070</v>
      </c>
      <c r="L32" s="426" t="s">
        <v>689</v>
      </c>
      <c r="N32" s="420" t="s">
        <v>517</v>
      </c>
      <c r="O32" s="420" t="s">
        <v>1818</v>
      </c>
      <c r="P32" s="486">
        <v>3</v>
      </c>
      <c r="R32" s="420" t="s">
        <v>1875</v>
      </c>
      <c r="S32" s="420" t="s">
        <v>1876</v>
      </c>
      <c r="T32" s="486">
        <v>1</v>
      </c>
    </row>
    <row r="33" spans="1:20" x14ac:dyDescent="0.2">
      <c r="A33" s="420" t="s">
        <v>1211</v>
      </c>
      <c r="B33" s="420" t="s">
        <v>1212</v>
      </c>
      <c r="C33" s="420" t="s">
        <v>1213</v>
      </c>
      <c r="D33" s="422" t="s">
        <v>645</v>
      </c>
      <c r="E33" s="422" t="s">
        <v>482</v>
      </c>
      <c r="F33" s="421" t="s">
        <v>359</v>
      </c>
      <c r="G33" s="433" t="s">
        <v>360</v>
      </c>
      <c r="H33" s="435"/>
      <c r="J33" s="420" t="s">
        <v>441</v>
      </c>
      <c r="L33" s="426" t="s">
        <v>690</v>
      </c>
      <c r="N33" s="420" t="s">
        <v>518</v>
      </c>
      <c r="O33" s="420" t="s">
        <v>1818</v>
      </c>
      <c r="P33" s="486">
        <v>3</v>
      </c>
      <c r="R33" s="420" t="s">
        <v>1890</v>
      </c>
      <c r="S33" s="420" t="s">
        <v>1849</v>
      </c>
      <c r="T33" s="486">
        <v>3</v>
      </c>
    </row>
    <row r="34" spans="1:20" x14ac:dyDescent="0.2">
      <c r="A34" s="420" t="s">
        <v>1382</v>
      </c>
      <c r="B34" s="420" t="s">
        <v>1383</v>
      </c>
      <c r="C34" s="420" t="s">
        <v>1384</v>
      </c>
      <c r="D34" s="430"/>
      <c r="E34" s="438"/>
      <c r="H34" s="435"/>
      <c r="J34" s="420" t="s">
        <v>442</v>
      </c>
      <c r="L34" s="426" t="s">
        <v>691</v>
      </c>
      <c r="N34" s="420" t="s">
        <v>519</v>
      </c>
      <c r="O34" s="420" t="s">
        <v>1818</v>
      </c>
      <c r="P34" s="486">
        <v>3</v>
      </c>
      <c r="R34" s="420" t="s">
        <v>1886</v>
      </c>
      <c r="S34" s="420" t="s">
        <v>1887</v>
      </c>
      <c r="T34" s="486">
        <v>3</v>
      </c>
    </row>
    <row r="35" spans="1:20" ht="51" x14ac:dyDescent="0.2">
      <c r="A35" s="420" t="s">
        <v>978</v>
      </c>
      <c r="B35" s="420" t="s">
        <v>1224</v>
      </c>
      <c r="C35" s="420" t="s">
        <v>1225</v>
      </c>
      <c r="D35" s="437" t="s">
        <v>358</v>
      </c>
      <c r="E35" s="438" t="s">
        <v>483</v>
      </c>
      <c r="F35" s="496" t="s">
        <v>2116</v>
      </c>
      <c r="G35" s="435" t="s">
        <v>2118</v>
      </c>
      <c r="H35" s="435"/>
      <c r="I35" s="435"/>
      <c r="J35" s="420" t="s">
        <v>443</v>
      </c>
      <c r="L35" s="426" t="s">
        <v>692</v>
      </c>
      <c r="N35" s="420" t="s">
        <v>1835</v>
      </c>
      <c r="O35" s="420" t="s">
        <v>1836</v>
      </c>
      <c r="P35" s="486">
        <v>1</v>
      </c>
      <c r="R35" s="420" t="s">
        <v>1848</v>
      </c>
      <c r="S35" s="420" t="s">
        <v>1849</v>
      </c>
      <c r="T35" s="486">
        <v>3</v>
      </c>
    </row>
    <row r="36" spans="1:20" ht="76.5" x14ac:dyDescent="0.2">
      <c r="A36" s="420" t="s">
        <v>411</v>
      </c>
      <c r="D36" s="437" t="s">
        <v>641</v>
      </c>
      <c r="E36" s="438" t="s">
        <v>484</v>
      </c>
      <c r="F36" s="496" t="s">
        <v>2021</v>
      </c>
      <c r="G36" s="435" t="s">
        <v>2022</v>
      </c>
      <c r="H36" s="435"/>
      <c r="I36" s="435"/>
      <c r="J36" s="420" t="s">
        <v>447</v>
      </c>
      <c r="L36" s="426" t="s">
        <v>693</v>
      </c>
      <c r="N36" s="420" t="s">
        <v>601</v>
      </c>
      <c r="O36" s="420" t="s">
        <v>1819</v>
      </c>
      <c r="P36" s="486">
        <v>3</v>
      </c>
      <c r="R36" s="420" t="s">
        <v>1865</v>
      </c>
      <c r="S36" s="420" t="s">
        <v>1866</v>
      </c>
      <c r="T36" s="486">
        <v>1</v>
      </c>
    </row>
    <row r="37" spans="1:20" ht="48.75" customHeight="1" x14ac:dyDescent="0.2">
      <c r="A37" s="420" t="s">
        <v>979</v>
      </c>
      <c r="B37" s="420" t="s">
        <v>1385</v>
      </c>
      <c r="C37" s="420" t="s">
        <v>1386</v>
      </c>
      <c r="D37" s="430" t="s">
        <v>642</v>
      </c>
      <c r="E37" s="438" t="s">
        <v>485</v>
      </c>
      <c r="F37" s="496" t="s">
        <v>2385</v>
      </c>
      <c r="G37" s="435" t="s">
        <v>2386</v>
      </c>
      <c r="H37" s="435"/>
      <c r="I37" s="435"/>
      <c r="J37" s="420" t="s">
        <v>1656</v>
      </c>
      <c r="L37" s="426" t="s">
        <v>694</v>
      </c>
      <c r="N37" s="420" t="s">
        <v>613</v>
      </c>
      <c r="O37" s="420" t="s">
        <v>1820</v>
      </c>
      <c r="P37" s="486">
        <v>1</v>
      </c>
      <c r="R37" s="420" t="s">
        <v>1877</v>
      </c>
      <c r="S37" s="420" t="s">
        <v>1878</v>
      </c>
      <c r="T37" s="486">
        <v>3</v>
      </c>
    </row>
    <row r="38" spans="1:20" ht="37.5" customHeight="1" x14ac:dyDescent="0.2">
      <c r="A38" s="420" t="s">
        <v>412</v>
      </c>
      <c r="D38" s="430" t="s">
        <v>643</v>
      </c>
      <c r="E38" s="437" t="s">
        <v>486</v>
      </c>
      <c r="F38" s="496" t="s">
        <v>361</v>
      </c>
      <c r="G38" s="436" t="s">
        <v>1672</v>
      </c>
      <c r="H38" s="435"/>
      <c r="I38" s="435"/>
      <c r="J38" s="420" t="s">
        <v>440</v>
      </c>
      <c r="L38" s="426" t="s">
        <v>695</v>
      </c>
      <c r="N38" s="420" t="s">
        <v>615</v>
      </c>
      <c r="O38" s="420" t="s">
        <v>1821</v>
      </c>
      <c r="P38" s="486">
        <v>1</v>
      </c>
      <c r="R38" s="420" t="s">
        <v>1853</v>
      </c>
      <c r="S38" s="420" t="s">
        <v>1854</v>
      </c>
      <c r="T38" s="486">
        <v>3</v>
      </c>
    </row>
    <row r="39" spans="1:20" ht="51" x14ac:dyDescent="0.2">
      <c r="A39" s="420" t="s">
        <v>1124</v>
      </c>
      <c r="B39" s="420" t="s">
        <v>1125</v>
      </c>
      <c r="C39" s="420" t="s">
        <v>1126</v>
      </c>
      <c r="D39" s="430" t="s">
        <v>644</v>
      </c>
      <c r="E39" s="437" t="s">
        <v>487</v>
      </c>
      <c r="F39" s="496" t="s">
        <v>2459</v>
      </c>
      <c r="G39" s="435" t="s">
        <v>2461</v>
      </c>
      <c r="J39" s="420" t="s">
        <v>1657</v>
      </c>
      <c r="L39" s="426" t="s">
        <v>696</v>
      </c>
      <c r="N39" s="420" t="s">
        <v>618</v>
      </c>
      <c r="O39" s="420" t="s">
        <v>1822</v>
      </c>
      <c r="P39" s="486">
        <v>2</v>
      </c>
      <c r="T39" s="486"/>
    </row>
    <row r="40" spans="1:20" x14ac:dyDescent="0.2">
      <c r="A40" s="420" t="s">
        <v>980</v>
      </c>
      <c r="E40" s="437" t="s">
        <v>488</v>
      </c>
      <c r="F40" s="496"/>
      <c r="G40" s="435"/>
      <c r="J40" s="420" t="s">
        <v>444</v>
      </c>
      <c r="L40" s="426" t="s">
        <v>158</v>
      </c>
      <c r="N40" s="420" t="s">
        <v>612</v>
      </c>
      <c r="O40" s="420" t="s">
        <v>1823</v>
      </c>
      <c r="P40" s="486">
        <v>1</v>
      </c>
      <c r="T40" s="486"/>
    </row>
    <row r="41" spans="1:20" x14ac:dyDescent="0.2">
      <c r="A41" s="420" t="s">
        <v>981</v>
      </c>
      <c r="E41" s="437" t="s">
        <v>489</v>
      </c>
      <c r="F41" s="496"/>
      <c r="G41" s="435"/>
      <c r="H41" s="422" t="s">
        <v>1533</v>
      </c>
      <c r="I41" s="422" t="s">
        <v>577</v>
      </c>
      <c r="J41" s="420" t="s">
        <v>623</v>
      </c>
      <c r="L41" s="426" t="s">
        <v>697</v>
      </c>
      <c r="N41" s="420" t="s">
        <v>617</v>
      </c>
      <c r="O41" s="420" t="s">
        <v>1824</v>
      </c>
      <c r="P41" s="486">
        <v>3</v>
      </c>
      <c r="T41" s="486"/>
    </row>
    <row r="42" spans="1:20" x14ac:dyDescent="0.2">
      <c r="A42" s="420" t="s">
        <v>1402</v>
      </c>
      <c r="B42" s="420" t="s">
        <v>1403</v>
      </c>
      <c r="C42" s="420" t="s">
        <v>1404</v>
      </c>
      <c r="E42" s="438" t="s">
        <v>490</v>
      </c>
      <c r="F42" s="496"/>
      <c r="G42" s="435"/>
      <c r="L42" s="426" t="s">
        <v>698</v>
      </c>
      <c r="M42" s="437"/>
      <c r="N42" s="420" t="s">
        <v>520</v>
      </c>
      <c r="O42" s="420" t="s">
        <v>1825</v>
      </c>
      <c r="P42" s="486">
        <v>3</v>
      </c>
    </row>
    <row r="43" spans="1:20" x14ac:dyDescent="0.2">
      <c r="A43" s="420" t="s">
        <v>982</v>
      </c>
      <c r="B43" s="420" t="s">
        <v>1400</v>
      </c>
      <c r="C43" s="420" t="s">
        <v>1401</v>
      </c>
      <c r="E43" s="438" t="s">
        <v>491</v>
      </c>
      <c r="H43" s="420" t="s">
        <v>566</v>
      </c>
      <c r="I43" s="420" t="s">
        <v>566</v>
      </c>
      <c r="L43" s="426" t="s">
        <v>699</v>
      </c>
      <c r="M43" s="437"/>
      <c r="N43" s="420" t="s">
        <v>521</v>
      </c>
      <c r="O43" s="420" t="s">
        <v>1825</v>
      </c>
      <c r="P43" s="486">
        <v>3</v>
      </c>
    </row>
    <row r="44" spans="1:20" x14ac:dyDescent="0.2">
      <c r="A44" s="420" t="s">
        <v>1387</v>
      </c>
      <c r="B44" s="420" t="s">
        <v>1388</v>
      </c>
      <c r="C44" s="420" t="s">
        <v>1389</v>
      </c>
      <c r="E44" s="437" t="s">
        <v>492</v>
      </c>
      <c r="H44" s="420" t="s">
        <v>1584</v>
      </c>
      <c r="I44" s="420" t="s">
        <v>1075</v>
      </c>
      <c r="L44" s="426" t="s">
        <v>700</v>
      </c>
      <c r="M44" s="437"/>
      <c r="N44" s="420" t="s">
        <v>522</v>
      </c>
      <c r="O44" s="420" t="s">
        <v>1825</v>
      </c>
      <c r="P44" s="486">
        <v>3</v>
      </c>
    </row>
    <row r="45" spans="1:20" x14ac:dyDescent="0.2">
      <c r="A45" s="420" t="s">
        <v>1522</v>
      </c>
      <c r="B45" s="420" t="s">
        <v>1523</v>
      </c>
      <c r="C45" s="420" t="s">
        <v>1524</v>
      </c>
      <c r="E45" s="437" t="s">
        <v>503</v>
      </c>
      <c r="H45" s="420" t="s">
        <v>1536</v>
      </c>
      <c r="I45" s="420" t="s">
        <v>2121</v>
      </c>
      <c r="L45" s="426" t="s">
        <v>701</v>
      </c>
      <c r="M45" s="437"/>
      <c r="N45" s="420" t="s">
        <v>523</v>
      </c>
      <c r="O45" s="420" t="s">
        <v>1825</v>
      </c>
      <c r="P45" s="486">
        <v>3</v>
      </c>
    </row>
    <row r="46" spans="1:20" x14ac:dyDescent="0.2">
      <c r="A46" s="420" t="s">
        <v>983</v>
      </c>
      <c r="B46" s="420" t="s">
        <v>1390</v>
      </c>
      <c r="C46" s="420" t="s">
        <v>1391</v>
      </c>
      <c r="E46" s="437" t="s">
        <v>504</v>
      </c>
      <c r="H46" s="420" t="s">
        <v>1597</v>
      </c>
      <c r="I46" s="420" t="s">
        <v>2122</v>
      </c>
      <c r="L46" s="426" t="s">
        <v>702</v>
      </c>
      <c r="M46" s="437"/>
      <c r="N46" s="420" t="s">
        <v>524</v>
      </c>
      <c r="O46" s="420" t="s">
        <v>1825</v>
      </c>
      <c r="P46" s="486">
        <v>3</v>
      </c>
    </row>
    <row r="47" spans="1:20" x14ac:dyDescent="0.2">
      <c r="A47" s="420" t="s">
        <v>1392</v>
      </c>
      <c r="B47" s="420" t="s">
        <v>1393</v>
      </c>
      <c r="C47" s="420" t="s">
        <v>1394</v>
      </c>
      <c r="E47" s="437" t="s">
        <v>493</v>
      </c>
      <c r="H47" s="420" t="s">
        <v>1534</v>
      </c>
      <c r="I47" s="420" t="s">
        <v>2123</v>
      </c>
      <c r="L47" s="426" t="s">
        <v>703</v>
      </c>
      <c r="M47" s="437"/>
      <c r="N47" s="420" t="s">
        <v>525</v>
      </c>
      <c r="O47" s="420" t="s">
        <v>1825</v>
      </c>
      <c r="P47" s="486">
        <v>3</v>
      </c>
    </row>
    <row r="48" spans="1:20" x14ac:dyDescent="0.2">
      <c r="A48" s="420" t="s">
        <v>984</v>
      </c>
      <c r="B48" s="420" t="s">
        <v>1395</v>
      </c>
      <c r="C48" s="420" t="s">
        <v>1350</v>
      </c>
      <c r="D48" s="483"/>
      <c r="E48" s="430" t="s">
        <v>494</v>
      </c>
      <c r="H48" s="420" t="s">
        <v>2120</v>
      </c>
      <c r="I48" s="420" t="s">
        <v>2124</v>
      </c>
      <c r="L48" s="426" t="s">
        <v>704</v>
      </c>
      <c r="M48" s="437"/>
      <c r="N48" s="420" t="s">
        <v>603</v>
      </c>
      <c r="O48" s="420" t="s">
        <v>1826</v>
      </c>
      <c r="P48" s="486">
        <v>4</v>
      </c>
    </row>
    <row r="49" spans="1:19" x14ac:dyDescent="0.2">
      <c r="A49" s="420" t="s">
        <v>985</v>
      </c>
      <c r="B49" s="420" t="s">
        <v>1396</v>
      </c>
      <c r="C49" s="420" t="s">
        <v>1397</v>
      </c>
      <c r="E49" s="437" t="s">
        <v>505</v>
      </c>
      <c r="H49" s="420" t="s">
        <v>1535</v>
      </c>
      <c r="I49" s="420" t="s">
        <v>2125</v>
      </c>
      <c r="L49" s="426" t="s">
        <v>705</v>
      </c>
      <c r="M49" s="437"/>
      <c r="N49" s="420" t="s">
        <v>604</v>
      </c>
      <c r="O49" s="420" t="s">
        <v>1826</v>
      </c>
      <c r="P49" s="486">
        <v>5</v>
      </c>
    </row>
    <row r="50" spans="1:19" x14ac:dyDescent="0.2">
      <c r="A50" s="420" t="s">
        <v>986</v>
      </c>
      <c r="B50" s="420" t="s">
        <v>1398</v>
      </c>
      <c r="C50" s="420" t="s">
        <v>1399</v>
      </c>
      <c r="D50" s="435"/>
      <c r="E50" s="437" t="s">
        <v>495</v>
      </c>
      <c r="H50" s="420" t="s">
        <v>1698</v>
      </c>
      <c r="I50" s="420" t="s">
        <v>2126</v>
      </c>
      <c r="L50" s="426" t="s">
        <v>706</v>
      </c>
      <c r="M50" s="437"/>
      <c r="N50" s="420" t="s">
        <v>1913</v>
      </c>
      <c r="O50" s="420" t="s">
        <v>1914</v>
      </c>
      <c r="P50" s="486">
        <v>24</v>
      </c>
    </row>
    <row r="51" spans="1:19" x14ac:dyDescent="0.2">
      <c r="A51" s="420" t="s">
        <v>987</v>
      </c>
      <c r="B51" s="420" t="s">
        <v>1509</v>
      </c>
      <c r="C51" s="420" t="s">
        <v>1510</v>
      </c>
      <c r="D51" s="436"/>
      <c r="E51" s="437" t="s">
        <v>496</v>
      </c>
      <c r="H51" s="420" t="s">
        <v>1537</v>
      </c>
      <c r="I51" s="420" t="s">
        <v>2127</v>
      </c>
      <c r="L51" s="426" t="s">
        <v>707</v>
      </c>
      <c r="M51" s="437"/>
      <c r="N51" s="420" t="s">
        <v>616</v>
      </c>
      <c r="O51" s="420" t="s">
        <v>1827</v>
      </c>
      <c r="P51" s="486">
        <v>0.25</v>
      </c>
      <c r="S51" s="421" t="s">
        <v>2030</v>
      </c>
    </row>
    <row r="52" spans="1:19" x14ac:dyDescent="0.2">
      <c r="A52" s="420" t="s">
        <v>988</v>
      </c>
      <c r="B52" s="420" t="s">
        <v>1508</v>
      </c>
      <c r="C52" s="420" t="s">
        <v>1505</v>
      </c>
      <c r="D52" s="436"/>
      <c r="E52" s="437" t="s">
        <v>753</v>
      </c>
      <c r="F52" s="441"/>
      <c r="H52" s="420" t="s">
        <v>1538</v>
      </c>
      <c r="I52" s="420" t="s">
        <v>2128</v>
      </c>
      <c r="L52" s="426" t="s">
        <v>708</v>
      </c>
      <c r="M52" s="437"/>
      <c r="N52" s="420" t="s">
        <v>1909</v>
      </c>
      <c r="O52" s="420" t="s">
        <v>1910</v>
      </c>
      <c r="P52" s="486">
        <v>1</v>
      </c>
    </row>
    <row r="53" spans="1:19" x14ac:dyDescent="0.2">
      <c r="A53" s="420" t="s">
        <v>2015</v>
      </c>
      <c r="B53" s="420" t="s">
        <v>2016</v>
      </c>
      <c r="C53" s="420" t="s">
        <v>1379</v>
      </c>
      <c r="D53" s="436"/>
      <c r="E53" s="437" t="s">
        <v>497</v>
      </c>
      <c r="I53" s="420" t="s">
        <v>2129</v>
      </c>
      <c r="L53" s="426" t="s">
        <v>709</v>
      </c>
      <c r="M53" s="437"/>
      <c r="N53" s="420" t="s">
        <v>594</v>
      </c>
      <c r="O53" s="420" t="s">
        <v>1828</v>
      </c>
      <c r="P53" s="486">
        <v>1</v>
      </c>
      <c r="S53" s="420" t="s">
        <v>2031</v>
      </c>
    </row>
    <row r="54" spans="1:19" x14ac:dyDescent="0.2">
      <c r="A54" s="420" t="s">
        <v>413</v>
      </c>
      <c r="B54" s="420" t="s">
        <v>1507</v>
      </c>
      <c r="C54" s="420" t="s">
        <v>1436</v>
      </c>
      <c r="D54" s="436"/>
      <c r="E54" s="437" t="s">
        <v>498</v>
      </c>
      <c r="I54" s="420" t="s">
        <v>2130</v>
      </c>
      <c r="L54" s="426" t="s">
        <v>710</v>
      </c>
      <c r="M54" s="437"/>
      <c r="N54" s="420" t="s">
        <v>620</v>
      </c>
      <c r="O54" s="420" t="s">
        <v>1829</v>
      </c>
      <c r="P54" s="486">
        <v>5</v>
      </c>
      <c r="S54" s="420" t="s">
        <v>2050</v>
      </c>
    </row>
    <row r="55" spans="1:19" x14ac:dyDescent="0.2">
      <c r="A55" s="420" t="s">
        <v>989</v>
      </c>
      <c r="B55" s="420" t="s">
        <v>1506</v>
      </c>
      <c r="C55" s="420" t="s">
        <v>1463</v>
      </c>
      <c r="E55" s="438" t="s">
        <v>499</v>
      </c>
      <c r="I55" s="420" t="s">
        <v>2131</v>
      </c>
      <c r="L55" s="426" t="s">
        <v>711</v>
      </c>
      <c r="M55" s="437"/>
      <c r="N55" s="420" t="s">
        <v>1839</v>
      </c>
      <c r="O55" s="420" t="s">
        <v>1840</v>
      </c>
      <c r="P55" s="486">
        <v>3</v>
      </c>
      <c r="S55" s="420" t="s">
        <v>2054</v>
      </c>
    </row>
    <row r="56" spans="1:19" x14ac:dyDescent="0.2">
      <c r="A56" s="420" t="s">
        <v>990</v>
      </c>
      <c r="B56" s="420" t="s">
        <v>1504</v>
      </c>
      <c r="C56" s="420" t="s">
        <v>1505</v>
      </c>
      <c r="E56" s="437" t="s">
        <v>500</v>
      </c>
      <c r="I56" s="420" t="s">
        <v>2132</v>
      </c>
      <c r="L56" s="426" t="s">
        <v>712</v>
      </c>
      <c r="M56" s="437"/>
      <c r="N56" s="420" t="s">
        <v>1841</v>
      </c>
      <c r="O56" s="420" t="s">
        <v>1840</v>
      </c>
      <c r="P56" s="486">
        <v>3</v>
      </c>
      <c r="S56" s="420" t="s">
        <v>2032</v>
      </c>
    </row>
    <row r="57" spans="1:19" x14ac:dyDescent="0.2">
      <c r="A57" s="420" t="s">
        <v>991</v>
      </c>
      <c r="B57" s="420" t="s">
        <v>1405</v>
      </c>
      <c r="C57" s="420" t="s">
        <v>1136</v>
      </c>
      <c r="D57" s="484"/>
      <c r="E57" s="437" t="s">
        <v>501</v>
      </c>
      <c r="I57" s="420" t="s">
        <v>2133</v>
      </c>
      <c r="L57" s="426" t="s">
        <v>713</v>
      </c>
      <c r="M57" s="437"/>
      <c r="N57" s="420" t="s">
        <v>1842</v>
      </c>
      <c r="O57" s="420" t="s">
        <v>1843</v>
      </c>
      <c r="P57" s="486">
        <v>1</v>
      </c>
      <c r="S57" s="420" t="s">
        <v>2053</v>
      </c>
    </row>
    <row r="58" spans="1:19" x14ac:dyDescent="0.2">
      <c r="A58" s="420" t="s">
        <v>992</v>
      </c>
      <c r="B58" s="420" t="s">
        <v>1406</v>
      </c>
      <c r="C58" s="420" t="s">
        <v>1407</v>
      </c>
      <c r="E58" s="437" t="s">
        <v>502</v>
      </c>
      <c r="I58" s="420" t="s">
        <v>2134</v>
      </c>
      <c r="L58" s="426" t="s">
        <v>714</v>
      </c>
      <c r="M58" s="437"/>
      <c r="N58" s="420" t="s">
        <v>512</v>
      </c>
      <c r="O58" s="420" t="s">
        <v>1830</v>
      </c>
      <c r="P58" s="486">
        <v>3</v>
      </c>
      <c r="S58" s="420" t="s">
        <v>2037</v>
      </c>
    </row>
    <row r="59" spans="1:19" x14ac:dyDescent="0.2">
      <c r="A59" s="420" t="s">
        <v>993</v>
      </c>
      <c r="B59" s="420" t="s">
        <v>1408</v>
      </c>
      <c r="C59" s="420" t="s">
        <v>1389</v>
      </c>
      <c r="D59" s="441"/>
      <c r="E59" s="437" t="s">
        <v>757</v>
      </c>
      <c r="L59" s="426" t="s">
        <v>715</v>
      </c>
      <c r="M59" s="437"/>
      <c r="N59" s="420" t="s">
        <v>513</v>
      </c>
      <c r="O59" s="420" t="s">
        <v>1830</v>
      </c>
      <c r="P59" s="486">
        <v>3</v>
      </c>
      <c r="S59" s="420" t="s">
        <v>2059</v>
      </c>
    </row>
    <row r="60" spans="1:19" x14ac:dyDescent="0.2">
      <c r="A60" s="420" t="s">
        <v>1409</v>
      </c>
      <c r="B60" s="420" t="s">
        <v>1410</v>
      </c>
      <c r="C60" s="420" t="s">
        <v>1411</v>
      </c>
      <c r="E60" s="437" t="s">
        <v>755</v>
      </c>
      <c r="F60" s="441"/>
      <c r="L60" s="426" t="s">
        <v>716</v>
      </c>
      <c r="N60" s="420" t="s">
        <v>514</v>
      </c>
      <c r="O60" s="420" t="s">
        <v>1830</v>
      </c>
      <c r="P60" s="486">
        <v>3</v>
      </c>
      <c r="S60" s="420" t="s">
        <v>2036</v>
      </c>
    </row>
    <row r="61" spans="1:19" x14ac:dyDescent="0.2">
      <c r="A61" s="420" t="s">
        <v>994</v>
      </c>
      <c r="B61" s="420" t="s">
        <v>1503</v>
      </c>
      <c r="C61" s="420" t="s">
        <v>1386</v>
      </c>
      <c r="E61" s="437" t="s">
        <v>755</v>
      </c>
      <c r="F61" s="441"/>
      <c r="L61" s="426" t="s">
        <v>717</v>
      </c>
      <c r="N61" s="420" t="s">
        <v>1837</v>
      </c>
      <c r="O61" s="420" t="s">
        <v>1838</v>
      </c>
      <c r="P61" s="486">
        <v>1</v>
      </c>
      <c r="S61" s="420" t="s">
        <v>2041</v>
      </c>
    </row>
    <row r="62" spans="1:19" x14ac:dyDescent="0.2">
      <c r="A62" s="420" t="s">
        <v>995</v>
      </c>
      <c r="B62" s="420" t="s">
        <v>1421</v>
      </c>
      <c r="C62" s="420" t="s">
        <v>1422</v>
      </c>
      <c r="E62" s="437" t="s">
        <v>756</v>
      </c>
      <c r="L62" s="426" t="s">
        <v>718</v>
      </c>
      <c r="N62" s="420" t="s">
        <v>597</v>
      </c>
      <c r="O62" s="420" t="s">
        <v>1831</v>
      </c>
      <c r="P62" s="486">
        <v>0.5</v>
      </c>
      <c r="S62" s="420" t="s">
        <v>2055</v>
      </c>
    </row>
    <row r="63" spans="1:19" x14ac:dyDescent="0.2">
      <c r="A63" s="420" t="s">
        <v>996</v>
      </c>
      <c r="B63" s="420" t="s">
        <v>1412</v>
      </c>
      <c r="C63" s="420" t="s">
        <v>1126</v>
      </c>
      <c r="F63" s="441"/>
      <c r="H63" s="422" t="s">
        <v>87</v>
      </c>
      <c r="I63" s="422" t="s">
        <v>1539</v>
      </c>
      <c r="J63" s="422" t="s">
        <v>1547</v>
      </c>
      <c r="L63" s="426" t="s">
        <v>719</v>
      </c>
      <c r="N63" s="420" t="s">
        <v>532</v>
      </c>
      <c r="O63" s="420" t="s">
        <v>1832</v>
      </c>
      <c r="P63" s="486">
        <v>0.5</v>
      </c>
      <c r="S63" s="420" t="s">
        <v>2063</v>
      </c>
    </row>
    <row r="64" spans="1:19" x14ac:dyDescent="0.2">
      <c r="A64" s="420" t="s">
        <v>1206</v>
      </c>
      <c r="B64" s="420" t="s">
        <v>1139</v>
      </c>
      <c r="C64" s="420" t="s">
        <v>1126</v>
      </c>
      <c r="H64" s="439"/>
      <c r="L64" s="426" t="s">
        <v>720</v>
      </c>
      <c r="N64" s="420" t="s">
        <v>533</v>
      </c>
      <c r="O64" s="420" t="s">
        <v>1832</v>
      </c>
      <c r="P64" s="486">
        <v>0.5</v>
      </c>
      <c r="S64" s="420" t="s">
        <v>1555</v>
      </c>
    </row>
    <row r="65" spans="1:19" x14ac:dyDescent="0.2">
      <c r="A65" s="420" t="s">
        <v>997</v>
      </c>
      <c r="B65" s="420" t="s">
        <v>1416</v>
      </c>
      <c r="C65" s="420" t="s">
        <v>1417</v>
      </c>
      <c r="H65" s="439">
        <v>120</v>
      </c>
      <c r="I65" s="420" t="s">
        <v>566</v>
      </c>
      <c r="J65" s="420" t="s">
        <v>1549</v>
      </c>
      <c r="L65" s="426" t="s">
        <v>721</v>
      </c>
      <c r="N65" s="420" t="s">
        <v>534</v>
      </c>
      <c r="O65" s="420" t="s">
        <v>1832</v>
      </c>
      <c r="P65" s="486">
        <v>0.75</v>
      </c>
      <c r="S65" s="420" t="s">
        <v>2047</v>
      </c>
    </row>
    <row r="66" spans="1:19" x14ac:dyDescent="0.2">
      <c r="A66" s="420" t="s">
        <v>998</v>
      </c>
      <c r="B66" s="420" t="s">
        <v>1418</v>
      </c>
      <c r="C66" s="420" t="s">
        <v>1126</v>
      </c>
      <c r="H66" s="439">
        <v>150</v>
      </c>
      <c r="I66" s="420" t="s">
        <v>1544</v>
      </c>
      <c r="J66" s="420" t="s">
        <v>1564</v>
      </c>
      <c r="L66" s="426" t="s">
        <v>722</v>
      </c>
      <c r="N66" s="420" t="s">
        <v>535</v>
      </c>
      <c r="O66" s="420" t="s">
        <v>1832</v>
      </c>
      <c r="P66" s="486">
        <v>0.75</v>
      </c>
      <c r="S66" s="420" t="s">
        <v>2046</v>
      </c>
    </row>
    <row r="67" spans="1:19" x14ac:dyDescent="0.2">
      <c r="A67" s="420" t="s">
        <v>999</v>
      </c>
      <c r="B67" s="420" t="s">
        <v>1419</v>
      </c>
      <c r="C67" s="420" t="s">
        <v>1379</v>
      </c>
      <c r="D67" s="441"/>
      <c r="H67" s="439">
        <v>170</v>
      </c>
      <c r="I67" s="420" t="s">
        <v>1542</v>
      </c>
      <c r="J67" s="420" t="s">
        <v>1565</v>
      </c>
      <c r="L67" s="426" t="s">
        <v>723</v>
      </c>
      <c r="S67" s="420" t="s">
        <v>2044</v>
      </c>
    </row>
    <row r="68" spans="1:19" x14ac:dyDescent="0.2">
      <c r="A68" s="420" t="s">
        <v>1000</v>
      </c>
      <c r="B68" s="420" t="s">
        <v>1420</v>
      </c>
      <c r="C68" s="420" t="s">
        <v>1337</v>
      </c>
      <c r="H68" s="439">
        <v>220</v>
      </c>
      <c r="I68" s="420" t="s">
        <v>1576</v>
      </c>
      <c r="J68" s="420" t="s">
        <v>1554</v>
      </c>
      <c r="L68" s="426" t="s">
        <v>724</v>
      </c>
      <c r="S68" s="420" t="s">
        <v>2049</v>
      </c>
    </row>
    <row r="69" spans="1:19" x14ac:dyDescent="0.2">
      <c r="A69" s="420" t="s">
        <v>1001</v>
      </c>
      <c r="B69" s="420" t="s">
        <v>1501</v>
      </c>
      <c r="C69" s="420" t="s">
        <v>1502</v>
      </c>
      <c r="H69" s="439">
        <v>300</v>
      </c>
      <c r="I69" s="420" t="s">
        <v>1546</v>
      </c>
      <c r="J69" s="420" t="s">
        <v>1566</v>
      </c>
      <c r="L69" s="426" t="s">
        <v>725</v>
      </c>
      <c r="S69" s="420" t="s">
        <v>2033</v>
      </c>
    </row>
    <row r="70" spans="1:19" ht="25.5" x14ac:dyDescent="0.2">
      <c r="A70" s="420" t="s">
        <v>1002</v>
      </c>
      <c r="F70" s="441"/>
      <c r="H70" s="439">
        <v>400</v>
      </c>
      <c r="I70" s="420" t="s">
        <v>1540</v>
      </c>
      <c r="J70" s="420" t="s">
        <v>1548</v>
      </c>
      <c r="L70" s="426" t="s">
        <v>726</v>
      </c>
      <c r="M70" s="440" t="s">
        <v>1082</v>
      </c>
      <c r="N70" s="440" t="s">
        <v>1595</v>
      </c>
      <c r="O70" s="484"/>
      <c r="S70" s="420" t="s">
        <v>2045</v>
      </c>
    </row>
    <row r="71" spans="1:19" x14ac:dyDescent="0.2">
      <c r="A71" s="420" t="s">
        <v>1003</v>
      </c>
      <c r="B71" s="420" t="s">
        <v>1423</v>
      </c>
      <c r="C71" s="420" t="s">
        <v>1424</v>
      </c>
      <c r="F71" s="441"/>
      <c r="I71" s="420" t="s">
        <v>1543</v>
      </c>
      <c r="J71" s="420" t="s">
        <v>1552</v>
      </c>
      <c r="L71" s="426" t="s">
        <v>727</v>
      </c>
      <c r="S71" s="420" t="s">
        <v>2048</v>
      </c>
    </row>
    <row r="72" spans="1:19" x14ac:dyDescent="0.2">
      <c r="A72" s="420" t="s">
        <v>2018</v>
      </c>
      <c r="B72" s="420" t="s">
        <v>2139</v>
      </c>
      <c r="C72" s="420" t="s">
        <v>1218</v>
      </c>
      <c r="I72" s="420" t="s">
        <v>1635</v>
      </c>
      <c r="J72" s="420" t="s">
        <v>1553</v>
      </c>
      <c r="L72" s="426" t="s">
        <v>728</v>
      </c>
      <c r="M72" s="420" t="s">
        <v>1183</v>
      </c>
      <c r="N72" s="497">
        <v>0</v>
      </c>
      <c r="S72" s="420" t="s">
        <v>2038</v>
      </c>
    </row>
    <row r="73" spans="1:19" x14ac:dyDescent="0.2">
      <c r="A73" s="420" t="s">
        <v>1004</v>
      </c>
      <c r="B73" s="420" t="s">
        <v>1219</v>
      </c>
      <c r="C73" s="420" t="s">
        <v>1136</v>
      </c>
      <c r="H73" s="422" t="s">
        <v>1748</v>
      </c>
      <c r="I73" s="420" t="s">
        <v>1541</v>
      </c>
      <c r="J73" s="420" t="s">
        <v>1551</v>
      </c>
      <c r="L73" s="426" t="s">
        <v>729</v>
      </c>
      <c r="M73" s="420" t="s">
        <v>1076</v>
      </c>
      <c r="N73" s="497">
        <v>0.05</v>
      </c>
      <c r="O73" s="497"/>
      <c r="S73" s="420" t="s">
        <v>2052</v>
      </c>
    </row>
    <row r="74" spans="1:19" x14ac:dyDescent="0.2">
      <c r="A74" s="420" t="s">
        <v>1005</v>
      </c>
      <c r="B74" s="420" t="s">
        <v>1489</v>
      </c>
      <c r="C74" s="420" t="s">
        <v>1490</v>
      </c>
      <c r="H74" s="437"/>
      <c r="I74" s="420" t="s">
        <v>1545</v>
      </c>
      <c r="J74" s="420" t="s">
        <v>1567</v>
      </c>
      <c r="L74" s="426" t="s">
        <v>730</v>
      </c>
      <c r="M74" s="420" t="s">
        <v>1107</v>
      </c>
      <c r="N74" s="497">
        <v>0.1</v>
      </c>
      <c r="O74" s="497"/>
      <c r="S74" s="420" t="s">
        <v>2144</v>
      </c>
    </row>
    <row r="75" spans="1:19" x14ac:dyDescent="0.2">
      <c r="A75" s="420" t="s">
        <v>1130</v>
      </c>
      <c r="B75" s="420" t="s">
        <v>1131</v>
      </c>
      <c r="C75" s="420" t="s">
        <v>1132</v>
      </c>
      <c r="D75" s="441"/>
      <c r="H75" s="437" t="s">
        <v>1183</v>
      </c>
      <c r="J75" s="420" t="s">
        <v>1550</v>
      </c>
      <c r="L75" s="426" t="s">
        <v>731</v>
      </c>
      <c r="M75" s="420" t="s">
        <v>1099</v>
      </c>
      <c r="N75" s="497">
        <v>0.15</v>
      </c>
      <c r="O75" s="497"/>
      <c r="S75" s="420" t="s">
        <v>2035</v>
      </c>
    </row>
    <row r="76" spans="1:19" x14ac:dyDescent="0.2">
      <c r="A76" s="420" t="s">
        <v>1006</v>
      </c>
      <c r="B76" s="420" t="s">
        <v>1413</v>
      </c>
      <c r="C76" s="420" t="s">
        <v>1414</v>
      </c>
      <c r="H76" s="437" t="s">
        <v>450</v>
      </c>
      <c r="I76" s="422" t="s">
        <v>419</v>
      </c>
      <c r="L76" s="426" t="s">
        <v>732</v>
      </c>
      <c r="M76" s="420" t="s">
        <v>1100</v>
      </c>
      <c r="N76" s="497">
        <v>0.2</v>
      </c>
      <c r="O76" s="497"/>
      <c r="S76" s="420" t="s">
        <v>2040</v>
      </c>
    </row>
    <row r="77" spans="1:19" x14ac:dyDescent="0.2">
      <c r="A77" s="420" t="s">
        <v>1007</v>
      </c>
      <c r="B77" s="420" t="s">
        <v>1415</v>
      </c>
      <c r="C77" s="420" t="s">
        <v>1202</v>
      </c>
      <c r="H77" s="437" t="s">
        <v>448</v>
      </c>
      <c r="J77" s="422" t="s">
        <v>425</v>
      </c>
      <c r="L77" s="426" t="s">
        <v>733</v>
      </c>
      <c r="M77" s="420" t="s">
        <v>1077</v>
      </c>
      <c r="N77" s="497">
        <v>0.25</v>
      </c>
      <c r="O77" s="497"/>
      <c r="S77" s="420" t="s">
        <v>2039</v>
      </c>
    </row>
    <row r="78" spans="1:19" x14ac:dyDescent="0.2">
      <c r="A78" s="420" t="s">
        <v>1008</v>
      </c>
      <c r="B78" s="420" t="s">
        <v>1487</v>
      </c>
      <c r="C78" s="420" t="s">
        <v>1488</v>
      </c>
      <c r="H78" s="437" t="s">
        <v>762</v>
      </c>
      <c r="I78" s="420" t="s">
        <v>566</v>
      </c>
      <c r="L78" s="426" t="s">
        <v>734</v>
      </c>
      <c r="M78" s="420" t="s">
        <v>1108</v>
      </c>
      <c r="N78" s="497">
        <v>0.3</v>
      </c>
      <c r="O78" s="497"/>
      <c r="S78" s="420" t="s">
        <v>2060</v>
      </c>
    </row>
    <row r="79" spans="1:19" x14ac:dyDescent="0.2">
      <c r="A79" s="420" t="s">
        <v>1009</v>
      </c>
      <c r="B79" s="420" t="s">
        <v>1425</v>
      </c>
      <c r="C79" s="420" t="s">
        <v>1426</v>
      </c>
      <c r="F79" s="441"/>
      <c r="H79" s="437" t="s">
        <v>454</v>
      </c>
      <c r="I79" s="420" t="s">
        <v>1570</v>
      </c>
      <c r="J79" s="420" t="s">
        <v>566</v>
      </c>
      <c r="L79" s="426" t="s">
        <v>735</v>
      </c>
      <c r="M79" s="420" t="s">
        <v>1110</v>
      </c>
      <c r="N79" s="497">
        <v>0.35</v>
      </c>
      <c r="O79" s="497"/>
      <c r="S79" s="420" t="s">
        <v>2058</v>
      </c>
    </row>
    <row r="80" spans="1:19" x14ac:dyDescent="0.2">
      <c r="A80" s="420" t="s">
        <v>1010</v>
      </c>
      <c r="B80" s="420" t="s">
        <v>1485</v>
      </c>
      <c r="C80" s="420" t="s">
        <v>1486</v>
      </c>
      <c r="H80" s="437" t="s">
        <v>455</v>
      </c>
      <c r="I80" s="420" t="s">
        <v>1574</v>
      </c>
      <c r="J80" s="420" t="s">
        <v>1582</v>
      </c>
      <c r="L80" s="426" t="s">
        <v>736</v>
      </c>
      <c r="N80" s="497">
        <v>0.4</v>
      </c>
      <c r="O80" s="497"/>
      <c r="S80" s="420" t="s">
        <v>2061</v>
      </c>
    </row>
    <row r="81" spans="1:19" x14ac:dyDescent="0.2">
      <c r="A81" s="420" t="s">
        <v>1011</v>
      </c>
      <c r="H81" s="437" t="s">
        <v>449</v>
      </c>
      <c r="I81" s="420" t="s">
        <v>1558</v>
      </c>
      <c r="J81" s="420" t="s">
        <v>1579</v>
      </c>
      <c r="L81" s="426" t="s">
        <v>737</v>
      </c>
      <c r="N81" s="497">
        <v>0.45</v>
      </c>
      <c r="O81" s="497"/>
      <c r="P81" s="420"/>
      <c r="S81" s="420" t="s">
        <v>2065</v>
      </c>
    </row>
    <row r="82" spans="1:19" x14ac:dyDescent="0.2">
      <c r="A82" s="420" t="s">
        <v>1012</v>
      </c>
      <c r="B82" s="420" t="s">
        <v>1427</v>
      </c>
      <c r="C82" s="420" t="s">
        <v>1428</v>
      </c>
      <c r="H82" s="437" t="s">
        <v>456</v>
      </c>
      <c r="I82" s="420" t="s">
        <v>1573</v>
      </c>
      <c r="J82" s="420" t="s">
        <v>2146</v>
      </c>
      <c r="L82" s="426" t="s">
        <v>738</v>
      </c>
      <c r="N82" s="497">
        <v>0.5</v>
      </c>
      <c r="O82" s="497"/>
      <c r="P82" s="420"/>
      <c r="S82" s="420" t="s">
        <v>2062</v>
      </c>
    </row>
    <row r="83" spans="1:19" ht="25.5" x14ac:dyDescent="0.2">
      <c r="A83" s="420" t="s">
        <v>1525</v>
      </c>
      <c r="B83" s="420" t="s">
        <v>1526</v>
      </c>
      <c r="C83" s="420" t="s">
        <v>1136</v>
      </c>
      <c r="D83" s="441"/>
      <c r="H83" s="437" t="s">
        <v>457</v>
      </c>
      <c r="I83" s="420" t="s">
        <v>1576</v>
      </c>
      <c r="J83" s="420" t="s">
        <v>1583</v>
      </c>
      <c r="L83" s="426" t="s">
        <v>739</v>
      </c>
      <c r="M83" s="440" t="s">
        <v>1083</v>
      </c>
      <c r="N83" s="497">
        <v>0.55000000000000004</v>
      </c>
      <c r="O83" s="497"/>
      <c r="P83" s="420"/>
      <c r="S83" s="420" t="s">
        <v>2064</v>
      </c>
    </row>
    <row r="84" spans="1:19" x14ac:dyDescent="0.2">
      <c r="A84" s="420" t="s">
        <v>1429</v>
      </c>
      <c r="B84" s="420" t="s">
        <v>1430</v>
      </c>
      <c r="C84" s="420" t="s">
        <v>1431</v>
      </c>
      <c r="H84" s="437" t="s">
        <v>137</v>
      </c>
      <c r="I84" s="420" t="s">
        <v>1555</v>
      </c>
      <c r="J84" s="420" t="s">
        <v>1580</v>
      </c>
      <c r="L84" s="426" t="s">
        <v>740</v>
      </c>
      <c r="N84" s="497">
        <v>0.6</v>
      </c>
      <c r="O84" s="497"/>
      <c r="P84" s="420"/>
      <c r="S84" s="420" t="s">
        <v>2043</v>
      </c>
    </row>
    <row r="85" spans="1:19" x14ac:dyDescent="0.2">
      <c r="A85" s="420" t="s">
        <v>1013</v>
      </c>
      <c r="B85" s="420" t="s">
        <v>2148</v>
      </c>
      <c r="C85" s="420" t="s">
        <v>1432</v>
      </c>
      <c r="H85" s="438" t="s">
        <v>1918</v>
      </c>
      <c r="I85" s="420" t="s">
        <v>1561</v>
      </c>
      <c r="J85" s="420" t="s">
        <v>1577</v>
      </c>
      <c r="L85" s="426" t="s">
        <v>741</v>
      </c>
      <c r="M85" s="420" t="s">
        <v>1183</v>
      </c>
      <c r="N85" s="497">
        <v>0.65</v>
      </c>
      <c r="O85" s="497"/>
      <c r="P85" s="420"/>
      <c r="S85" s="420" t="s">
        <v>2034</v>
      </c>
    </row>
    <row r="86" spans="1:19" x14ac:dyDescent="0.2">
      <c r="A86" s="420" t="s">
        <v>1014</v>
      </c>
      <c r="B86" s="420" t="s">
        <v>1433</v>
      </c>
      <c r="C86" s="420" t="s">
        <v>1434</v>
      </c>
      <c r="H86" s="438" t="s">
        <v>458</v>
      </c>
      <c r="I86" s="420" t="s">
        <v>1562</v>
      </c>
      <c r="J86" s="420" t="s">
        <v>2147</v>
      </c>
      <c r="L86" s="426" t="s">
        <v>742</v>
      </c>
      <c r="M86" s="420" t="s">
        <v>1076</v>
      </c>
      <c r="N86" s="497">
        <v>0.7</v>
      </c>
      <c r="O86" s="497"/>
      <c r="P86" s="420"/>
      <c r="S86" s="420" t="s">
        <v>2051</v>
      </c>
    </row>
    <row r="87" spans="1:19" x14ac:dyDescent="0.2">
      <c r="A87" s="420" t="s">
        <v>1015</v>
      </c>
      <c r="B87" s="420" t="s">
        <v>1435</v>
      </c>
      <c r="C87" s="420" t="s">
        <v>1436</v>
      </c>
      <c r="F87" s="441"/>
      <c r="H87" s="438" t="s">
        <v>460</v>
      </c>
      <c r="I87" s="420" t="s">
        <v>1575</v>
      </c>
      <c r="J87" s="420" t="s">
        <v>1581</v>
      </c>
      <c r="M87" s="420" t="s">
        <v>1092</v>
      </c>
      <c r="N87" s="497">
        <v>0.75</v>
      </c>
      <c r="O87" s="497"/>
      <c r="P87" s="420"/>
      <c r="S87" s="420" t="s">
        <v>2042</v>
      </c>
    </row>
    <row r="88" spans="1:19" x14ac:dyDescent="0.2">
      <c r="A88" s="420" t="s">
        <v>1016</v>
      </c>
      <c r="F88" s="441"/>
      <c r="H88" s="437" t="s">
        <v>459</v>
      </c>
      <c r="I88" s="420" t="s">
        <v>1569</v>
      </c>
      <c r="J88" s="488" t="s">
        <v>1578</v>
      </c>
      <c r="M88" s="420" t="s">
        <v>421</v>
      </c>
      <c r="N88" s="497">
        <v>0.8</v>
      </c>
      <c r="O88" s="497"/>
      <c r="P88" s="420"/>
      <c r="S88" s="420" t="s">
        <v>2145</v>
      </c>
    </row>
    <row r="89" spans="1:19" x14ac:dyDescent="0.2">
      <c r="A89" s="420" t="s">
        <v>1017</v>
      </c>
      <c r="B89" s="420" t="s">
        <v>1437</v>
      </c>
      <c r="C89" s="420" t="s">
        <v>1436</v>
      </c>
      <c r="H89" s="437" t="s">
        <v>1746</v>
      </c>
      <c r="I89" s="420" t="s">
        <v>1572</v>
      </c>
      <c r="J89" s="422" t="s">
        <v>1598</v>
      </c>
      <c r="M89" s="420" t="s">
        <v>1983</v>
      </c>
      <c r="N89" s="497">
        <v>0.85</v>
      </c>
      <c r="O89" s="497"/>
      <c r="P89" s="420"/>
      <c r="S89" s="420" t="s">
        <v>2056</v>
      </c>
    </row>
    <row r="90" spans="1:19" x14ac:dyDescent="0.2">
      <c r="A90" s="420" t="s">
        <v>1018</v>
      </c>
      <c r="B90" s="420" t="s">
        <v>1438</v>
      </c>
      <c r="C90" s="420" t="s">
        <v>1436</v>
      </c>
      <c r="H90" s="437" t="s">
        <v>774</v>
      </c>
      <c r="I90" s="420" t="s">
        <v>1556</v>
      </c>
      <c r="M90" s="420" t="s">
        <v>1099</v>
      </c>
      <c r="N90" s="497">
        <v>0.9</v>
      </c>
      <c r="O90" s="497"/>
      <c r="P90" s="420"/>
      <c r="S90" s="420" t="s">
        <v>2057</v>
      </c>
    </row>
    <row r="91" spans="1:19" x14ac:dyDescent="0.2">
      <c r="A91" s="420" t="s">
        <v>1019</v>
      </c>
      <c r="B91" s="420" t="s">
        <v>1439</v>
      </c>
      <c r="C91" s="420" t="s">
        <v>1136</v>
      </c>
      <c r="H91" s="437" t="s">
        <v>461</v>
      </c>
      <c r="I91" s="420" t="s">
        <v>1557</v>
      </c>
      <c r="J91" s="420" t="s">
        <v>1599</v>
      </c>
      <c r="M91" s="420" t="s">
        <v>1084</v>
      </c>
      <c r="N91" s="497">
        <v>0.95</v>
      </c>
      <c r="O91" s="440" t="s">
        <v>1972</v>
      </c>
      <c r="P91" s="420"/>
      <c r="S91" s="420" t="s">
        <v>2066</v>
      </c>
    </row>
    <row r="92" spans="1:19" x14ac:dyDescent="0.2">
      <c r="A92" s="420" t="s">
        <v>1020</v>
      </c>
      <c r="B92" s="420" t="s">
        <v>1440</v>
      </c>
      <c r="C92" s="420" t="s">
        <v>1379</v>
      </c>
      <c r="H92" s="437" t="s">
        <v>763</v>
      </c>
      <c r="I92" s="420" t="s">
        <v>2350</v>
      </c>
      <c r="J92" s="420" t="s">
        <v>1600</v>
      </c>
      <c r="M92" s="420" t="s">
        <v>1077</v>
      </c>
      <c r="N92" s="497">
        <v>1</v>
      </c>
      <c r="O92" s="497"/>
      <c r="P92" s="420"/>
      <c r="S92" s="420" t="s">
        <v>1559</v>
      </c>
    </row>
    <row r="93" spans="1:19" x14ac:dyDescent="0.2">
      <c r="A93" s="420" t="s">
        <v>1441</v>
      </c>
      <c r="B93" s="420" t="s">
        <v>1442</v>
      </c>
      <c r="C93" s="420" t="s">
        <v>1443</v>
      </c>
      <c r="H93" s="437" t="s">
        <v>462</v>
      </c>
      <c r="I93" s="420" t="s">
        <v>1571</v>
      </c>
      <c r="J93" s="420" t="s">
        <v>2387</v>
      </c>
      <c r="M93" s="420" t="s">
        <v>1108</v>
      </c>
      <c r="O93" s="420" t="s">
        <v>2012</v>
      </c>
      <c r="P93" s="420"/>
      <c r="S93" s="420" t="s">
        <v>2067</v>
      </c>
    </row>
    <row r="94" spans="1:19" x14ac:dyDescent="0.2">
      <c r="A94" s="420" t="s">
        <v>1021</v>
      </c>
      <c r="B94" s="420" t="s">
        <v>1483</v>
      </c>
      <c r="C94" s="420" t="s">
        <v>1484</v>
      </c>
      <c r="H94" s="438" t="s">
        <v>764</v>
      </c>
      <c r="I94" s="420" t="s">
        <v>1560</v>
      </c>
      <c r="M94" s="420" t="s">
        <v>1110</v>
      </c>
      <c r="O94" s="420" t="s">
        <v>1183</v>
      </c>
      <c r="P94" s="420"/>
    </row>
    <row r="95" spans="1:19" x14ac:dyDescent="0.2">
      <c r="A95" s="420" t="s">
        <v>1022</v>
      </c>
      <c r="B95" s="420" t="s">
        <v>1482</v>
      </c>
      <c r="C95" s="420" t="s">
        <v>1384</v>
      </c>
      <c r="H95" s="438" t="s">
        <v>464</v>
      </c>
      <c r="I95" s="420" t="s">
        <v>1563</v>
      </c>
      <c r="M95" s="420" t="s">
        <v>1100</v>
      </c>
      <c r="P95" s="420"/>
    </row>
    <row r="96" spans="1:19" x14ac:dyDescent="0.2">
      <c r="A96" s="420" t="s">
        <v>1023</v>
      </c>
      <c r="B96" s="420" t="s">
        <v>1220</v>
      </c>
      <c r="C96" s="420" t="s">
        <v>1136</v>
      </c>
      <c r="H96" s="438" t="s">
        <v>463</v>
      </c>
      <c r="I96" s="420" t="s">
        <v>1559</v>
      </c>
      <c r="P96" s="420"/>
    </row>
    <row r="97" spans="1:15" s="420" customFormat="1" x14ac:dyDescent="0.2">
      <c r="A97" s="420" t="s">
        <v>1024</v>
      </c>
      <c r="B97" s="420" t="s">
        <v>1444</v>
      </c>
      <c r="C97" s="420" t="s">
        <v>1394</v>
      </c>
      <c r="F97" s="441"/>
      <c r="H97" s="438" t="s">
        <v>1747</v>
      </c>
      <c r="I97" s="420" t="s">
        <v>1568</v>
      </c>
      <c r="M97" s="440" t="s">
        <v>1086</v>
      </c>
      <c r="O97" s="440" t="s">
        <v>472</v>
      </c>
    </row>
    <row r="98" spans="1:15" s="420" customFormat="1" x14ac:dyDescent="0.2">
      <c r="A98" s="420" t="s">
        <v>1025</v>
      </c>
      <c r="B98" s="420" t="s">
        <v>1445</v>
      </c>
      <c r="C98" s="420" t="s">
        <v>1136</v>
      </c>
      <c r="H98" s="438" t="s">
        <v>2013</v>
      </c>
    </row>
    <row r="99" spans="1:15" s="420" customFormat="1" x14ac:dyDescent="0.2">
      <c r="A99" s="420" t="s">
        <v>1026</v>
      </c>
      <c r="B99" s="420" t="s">
        <v>1446</v>
      </c>
      <c r="C99" s="420" t="s">
        <v>1411</v>
      </c>
      <c r="H99" s="438" t="s">
        <v>2014</v>
      </c>
      <c r="I99" s="422" t="s">
        <v>1601</v>
      </c>
      <c r="J99" s="422" t="s">
        <v>1636</v>
      </c>
      <c r="M99" s="420" t="s">
        <v>1183</v>
      </c>
      <c r="O99" s="420" t="s">
        <v>1183</v>
      </c>
    </row>
    <row r="100" spans="1:15" s="420" customFormat="1" x14ac:dyDescent="0.2">
      <c r="A100" s="420" t="s">
        <v>1027</v>
      </c>
      <c r="B100" s="420" t="s">
        <v>1336</v>
      </c>
      <c r="C100" s="420" t="s">
        <v>1337</v>
      </c>
      <c r="H100" s="438" t="s">
        <v>624</v>
      </c>
      <c r="M100" s="420" t="s">
        <v>1088</v>
      </c>
      <c r="O100" s="420" t="s">
        <v>1968</v>
      </c>
    </row>
    <row r="101" spans="1:15" s="420" customFormat="1" x14ac:dyDescent="0.2">
      <c r="A101" s="420" t="s">
        <v>1028</v>
      </c>
      <c r="B101" s="420" t="s">
        <v>1480</v>
      </c>
      <c r="C101" s="420" t="s">
        <v>1481</v>
      </c>
      <c r="H101" s="438" t="s">
        <v>440</v>
      </c>
      <c r="I101" s="420" t="s">
        <v>566</v>
      </c>
      <c r="J101" s="420" t="s">
        <v>566</v>
      </c>
      <c r="M101" s="420" t="s">
        <v>1087</v>
      </c>
      <c r="O101" s="420" t="s">
        <v>1969</v>
      </c>
    </row>
    <row r="102" spans="1:15" s="420" customFormat="1" x14ac:dyDescent="0.2">
      <c r="A102" s="420" t="s">
        <v>1029</v>
      </c>
      <c r="B102" s="420" t="s">
        <v>1478</v>
      </c>
      <c r="C102" s="420" t="s">
        <v>1479</v>
      </c>
      <c r="H102" s="438" t="s">
        <v>465</v>
      </c>
      <c r="I102" s="420" t="s">
        <v>1919</v>
      </c>
      <c r="J102" s="420" t="s">
        <v>1637</v>
      </c>
      <c r="M102" s="420" t="s">
        <v>1101</v>
      </c>
    </row>
    <row r="103" spans="1:15" s="420" customFormat="1" x14ac:dyDescent="0.2">
      <c r="A103" s="420" t="s">
        <v>1030</v>
      </c>
      <c r="B103" s="420" t="s">
        <v>1343</v>
      </c>
      <c r="C103" s="420" t="s">
        <v>1344</v>
      </c>
      <c r="H103" s="437" t="s">
        <v>1657</v>
      </c>
      <c r="I103" s="420" t="s">
        <v>2421</v>
      </c>
      <c r="M103" s="420" t="s">
        <v>490</v>
      </c>
    </row>
    <row r="104" spans="1:15" s="420" customFormat="1" x14ac:dyDescent="0.2">
      <c r="A104" s="420" t="s">
        <v>1031</v>
      </c>
      <c r="B104" s="420" t="s">
        <v>1459</v>
      </c>
      <c r="C104" s="420" t="s">
        <v>1407</v>
      </c>
      <c r="F104" s="441"/>
      <c r="H104" s="437" t="s">
        <v>2143</v>
      </c>
      <c r="I104" s="420" t="s">
        <v>2106</v>
      </c>
      <c r="J104" s="420" t="s">
        <v>2420</v>
      </c>
      <c r="M104" s="420" t="s">
        <v>1089</v>
      </c>
      <c r="O104" s="440" t="s">
        <v>657</v>
      </c>
    </row>
    <row r="105" spans="1:15" s="420" customFormat="1" x14ac:dyDescent="0.2">
      <c r="A105" s="420" t="s">
        <v>1201</v>
      </c>
      <c r="B105" s="420" t="s">
        <v>1531</v>
      </c>
      <c r="C105" s="420" t="s">
        <v>1344</v>
      </c>
      <c r="H105" s="437" t="s">
        <v>761</v>
      </c>
      <c r="I105" s="420" t="s">
        <v>2135</v>
      </c>
      <c r="J105" s="420" t="s">
        <v>2107</v>
      </c>
      <c r="M105" s="420" t="s">
        <v>1098</v>
      </c>
    </row>
    <row r="106" spans="1:15" s="420" customFormat="1" x14ac:dyDescent="0.2">
      <c r="A106" s="420" t="s">
        <v>1032</v>
      </c>
      <c r="B106" s="420" t="s">
        <v>1476</v>
      </c>
      <c r="C106" s="420" t="s">
        <v>1477</v>
      </c>
      <c r="H106" s="437" t="s">
        <v>466</v>
      </c>
      <c r="J106" s="420" t="s">
        <v>2108</v>
      </c>
      <c r="O106" s="420" t="s">
        <v>1980</v>
      </c>
    </row>
    <row r="107" spans="1:15" s="420" customFormat="1" ht="25.5" x14ac:dyDescent="0.2">
      <c r="A107" s="420" t="s">
        <v>1033</v>
      </c>
      <c r="B107" s="420" t="s">
        <v>1338</v>
      </c>
      <c r="C107" s="420" t="s">
        <v>1339</v>
      </c>
      <c r="H107" s="420" t="s">
        <v>444</v>
      </c>
      <c r="I107" s="422" t="s">
        <v>424</v>
      </c>
      <c r="J107" s="422" t="s">
        <v>1799</v>
      </c>
      <c r="M107" s="440" t="s">
        <v>1922</v>
      </c>
      <c r="O107" s="420" t="s">
        <v>1981</v>
      </c>
    </row>
    <row r="108" spans="1:15" s="420" customFormat="1" x14ac:dyDescent="0.2">
      <c r="A108" s="420" t="s">
        <v>1034</v>
      </c>
      <c r="B108" s="420" t="s">
        <v>1340</v>
      </c>
      <c r="C108" s="420" t="s">
        <v>1138</v>
      </c>
      <c r="H108" s="420" t="s">
        <v>776</v>
      </c>
      <c r="O108" s="420" t="s">
        <v>765</v>
      </c>
    </row>
    <row r="109" spans="1:15" s="420" customFormat="1" x14ac:dyDescent="0.2">
      <c r="A109" s="420" t="s">
        <v>1035</v>
      </c>
      <c r="B109" s="420" t="s">
        <v>1341</v>
      </c>
      <c r="C109" s="420" t="s">
        <v>1342</v>
      </c>
      <c r="H109" s="420" t="s">
        <v>775</v>
      </c>
      <c r="I109" s="420" t="s">
        <v>566</v>
      </c>
      <c r="J109" s="420" t="s">
        <v>956</v>
      </c>
      <c r="M109" s="420" t="s">
        <v>1183</v>
      </c>
      <c r="O109" s="420" t="s">
        <v>417</v>
      </c>
    </row>
    <row r="110" spans="1:15" s="420" customFormat="1" x14ac:dyDescent="0.2">
      <c r="A110" s="420" t="s">
        <v>1036</v>
      </c>
      <c r="F110" s="441"/>
      <c r="I110" s="420" t="s">
        <v>1737</v>
      </c>
      <c r="J110" s="420" t="s">
        <v>1734</v>
      </c>
      <c r="M110" s="420" t="s">
        <v>192</v>
      </c>
      <c r="O110" s="420" t="s">
        <v>1978</v>
      </c>
    </row>
    <row r="111" spans="1:15" s="420" customFormat="1" x14ac:dyDescent="0.2">
      <c r="A111" s="420" t="s">
        <v>1037</v>
      </c>
      <c r="B111" s="420" t="s">
        <v>1500</v>
      </c>
      <c r="C111" s="420" t="s">
        <v>1411</v>
      </c>
      <c r="I111" s="420" t="s">
        <v>1738</v>
      </c>
      <c r="J111" s="420" t="s">
        <v>966</v>
      </c>
      <c r="M111" s="420" t="s">
        <v>421</v>
      </c>
      <c r="O111" s="420" t="s">
        <v>1699</v>
      </c>
    </row>
    <row r="112" spans="1:15" s="420" customFormat="1" x14ac:dyDescent="0.2">
      <c r="A112" s="420" t="s">
        <v>1038</v>
      </c>
      <c r="B112" s="420" t="s">
        <v>1475</v>
      </c>
      <c r="C112" s="420" t="s">
        <v>1225</v>
      </c>
      <c r="I112" s="420" t="s">
        <v>1739</v>
      </c>
      <c r="J112" s="420" t="s">
        <v>1206</v>
      </c>
      <c r="M112" s="420" t="s">
        <v>1077</v>
      </c>
      <c r="O112" s="420" t="s">
        <v>1979</v>
      </c>
    </row>
    <row r="113" spans="1:15" s="420" customFormat="1" x14ac:dyDescent="0.2">
      <c r="A113" s="420" t="s">
        <v>1039</v>
      </c>
      <c r="B113" s="420" t="s">
        <v>1474</v>
      </c>
      <c r="C113" s="420" t="s">
        <v>1354</v>
      </c>
      <c r="J113" s="420" t="s">
        <v>1800</v>
      </c>
      <c r="O113" s="420" t="s">
        <v>123</v>
      </c>
    </row>
    <row r="114" spans="1:15" s="420" customFormat="1" x14ac:dyDescent="0.2">
      <c r="A114" s="420" t="s">
        <v>1040</v>
      </c>
      <c r="B114" s="420" t="s">
        <v>1473</v>
      </c>
      <c r="C114" s="420" t="s">
        <v>1436</v>
      </c>
      <c r="J114" s="420" t="s">
        <v>1065</v>
      </c>
      <c r="M114" s="440" t="s">
        <v>1921</v>
      </c>
      <c r="O114" s="420" t="s">
        <v>419</v>
      </c>
    </row>
    <row r="115" spans="1:15" s="420" customFormat="1" x14ac:dyDescent="0.2">
      <c r="A115" s="420" t="s">
        <v>1142</v>
      </c>
      <c r="B115" s="420" t="s">
        <v>1143</v>
      </c>
      <c r="C115" s="420" t="s">
        <v>1144</v>
      </c>
      <c r="O115" s="420" t="s">
        <v>418</v>
      </c>
    </row>
    <row r="116" spans="1:15" s="420" customFormat="1" x14ac:dyDescent="0.2">
      <c r="A116" s="420" t="s">
        <v>1041</v>
      </c>
      <c r="B116" s="420" t="s">
        <v>1447</v>
      </c>
      <c r="C116" s="420" t="s">
        <v>1379</v>
      </c>
      <c r="H116" s="422" t="s">
        <v>1636</v>
      </c>
      <c r="I116" s="422" t="s">
        <v>1736</v>
      </c>
      <c r="J116" s="422" t="s">
        <v>579</v>
      </c>
      <c r="M116" s="420" t="s">
        <v>1183</v>
      </c>
    </row>
    <row r="117" spans="1:15" s="420" customFormat="1" x14ac:dyDescent="0.2">
      <c r="A117" s="420" t="s">
        <v>2375</v>
      </c>
      <c r="B117" s="420" t="s">
        <v>2376</v>
      </c>
      <c r="C117" s="420" t="s">
        <v>2377</v>
      </c>
      <c r="F117" s="441"/>
      <c r="M117" s="420" t="s">
        <v>1924</v>
      </c>
    </row>
    <row r="118" spans="1:15" s="420" customFormat="1" x14ac:dyDescent="0.2">
      <c r="A118" s="420" t="s">
        <v>1042</v>
      </c>
      <c r="B118" s="420" t="s">
        <v>1448</v>
      </c>
      <c r="C118" s="420" t="s">
        <v>1449</v>
      </c>
      <c r="H118" s="420" t="s">
        <v>566</v>
      </c>
      <c r="I118" s="420" t="s">
        <v>566</v>
      </c>
      <c r="J118" s="420" t="s">
        <v>566</v>
      </c>
      <c r="M118" s="420" t="s">
        <v>1923</v>
      </c>
    </row>
    <row r="119" spans="1:15" s="420" customFormat="1" x14ac:dyDescent="0.2">
      <c r="A119" s="420" t="s">
        <v>1512</v>
      </c>
      <c r="B119" s="420" t="s">
        <v>1513</v>
      </c>
      <c r="C119" s="420" t="s">
        <v>1136</v>
      </c>
      <c r="H119" s="420" t="s">
        <v>1637</v>
      </c>
      <c r="I119" s="420" t="s">
        <v>1740</v>
      </c>
      <c r="J119" s="420" t="s">
        <v>1597</v>
      </c>
    </row>
    <row r="120" spans="1:15" s="420" customFormat="1" x14ac:dyDescent="0.2">
      <c r="A120" s="420" t="s">
        <v>2136</v>
      </c>
      <c r="B120" s="420" t="s">
        <v>2137</v>
      </c>
      <c r="C120" s="420" t="s">
        <v>2138</v>
      </c>
      <c r="H120" s="420" t="s">
        <v>2108</v>
      </c>
      <c r="I120" s="420" t="s">
        <v>1741</v>
      </c>
      <c r="J120" s="420" t="s">
        <v>1920</v>
      </c>
    </row>
    <row r="121" spans="1:15" s="420" customFormat="1" x14ac:dyDescent="0.2">
      <c r="A121" s="420" t="s">
        <v>1043</v>
      </c>
      <c r="B121" s="420" t="s">
        <v>1462</v>
      </c>
      <c r="C121" s="420" t="s">
        <v>1463</v>
      </c>
      <c r="H121" s="420" t="s">
        <v>2420</v>
      </c>
      <c r="I121" s="420" t="s">
        <v>1742</v>
      </c>
      <c r="J121" s="420" t="s">
        <v>1538</v>
      </c>
    </row>
    <row r="122" spans="1:15" s="420" customFormat="1" x14ac:dyDescent="0.2">
      <c r="A122" s="420" t="s">
        <v>1044</v>
      </c>
      <c r="B122" s="420" t="s">
        <v>1464</v>
      </c>
      <c r="C122" s="420" t="s">
        <v>1374</v>
      </c>
      <c r="H122" s="420" t="s">
        <v>2422</v>
      </c>
      <c r="I122" s="420" t="s">
        <v>1743</v>
      </c>
    </row>
    <row r="123" spans="1:15" s="420" customFormat="1" x14ac:dyDescent="0.2">
      <c r="A123" s="420" t="s">
        <v>1045</v>
      </c>
      <c r="H123" s="420" t="s">
        <v>2423</v>
      </c>
      <c r="I123" s="420" t="s">
        <v>1744</v>
      </c>
    </row>
    <row r="124" spans="1:15" s="420" customFormat="1" x14ac:dyDescent="0.2">
      <c r="A124" s="420" t="s">
        <v>1046</v>
      </c>
      <c r="B124" s="420" t="s">
        <v>1465</v>
      </c>
      <c r="C124" s="420" t="s">
        <v>1138</v>
      </c>
      <c r="I124" s="420" t="s">
        <v>1745</v>
      </c>
    </row>
    <row r="125" spans="1:15" s="420" customFormat="1" x14ac:dyDescent="0.2">
      <c r="A125" s="420" t="s">
        <v>1047</v>
      </c>
      <c r="B125" s="420" t="s">
        <v>1466</v>
      </c>
      <c r="C125" s="420" t="s">
        <v>1337</v>
      </c>
    </row>
    <row r="126" spans="1:15" s="420" customFormat="1" x14ac:dyDescent="0.2">
      <c r="A126" s="420" t="s">
        <v>1048</v>
      </c>
      <c r="B126" s="420" t="s">
        <v>1217</v>
      </c>
      <c r="C126" s="420" t="s">
        <v>1218</v>
      </c>
    </row>
    <row r="127" spans="1:15" s="420" customFormat="1" x14ac:dyDescent="0.2">
      <c r="A127" s="420" t="s">
        <v>1049</v>
      </c>
      <c r="B127" s="420" t="s">
        <v>1467</v>
      </c>
      <c r="C127" s="420" t="s">
        <v>1468</v>
      </c>
    </row>
    <row r="128" spans="1:15" s="420" customFormat="1" x14ac:dyDescent="0.2">
      <c r="A128" s="420" t="s">
        <v>1469</v>
      </c>
      <c r="B128" s="420" t="s">
        <v>1470</v>
      </c>
      <c r="C128" s="420" t="s">
        <v>1471</v>
      </c>
    </row>
    <row r="129" spans="1:3" s="420" customFormat="1" x14ac:dyDescent="0.2">
      <c r="A129" s="420" t="s">
        <v>1050</v>
      </c>
      <c r="B129" s="420" t="s">
        <v>1472</v>
      </c>
      <c r="C129" s="420" t="s">
        <v>1372</v>
      </c>
    </row>
    <row r="130" spans="1:3" s="420" customFormat="1" x14ac:dyDescent="0.2">
      <c r="A130" s="420" t="s">
        <v>1051</v>
      </c>
      <c r="B130" s="420" t="s">
        <v>1585</v>
      </c>
      <c r="C130" s="420" t="s">
        <v>1411</v>
      </c>
    </row>
    <row r="131" spans="1:3" s="420" customFormat="1" x14ac:dyDescent="0.2">
      <c r="A131" s="420" t="s">
        <v>1052</v>
      </c>
      <c r="B131" s="420" t="s">
        <v>1511</v>
      </c>
      <c r="C131" s="420" t="s">
        <v>1354</v>
      </c>
    </row>
    <row r="132" spans="1:3" s="420" customFormat="1" x14ac:dyDescent="0.2">
      <c r="A132" s="420" t="s">
        <v>2360</v>
      </c>
      <c r="B132" s="420" t="s">
        <v>2378</v>
      </c>
      <c r="C132" s="420" t="s">
        <v>2361</v>
      </c>
    </row>
    <row r="133" spans="1:3" s="420" customFormat="1" x14ac:dyDescent="0.2">
      <c r="A133" s="420" t="s">
        <v>1053</v>
      </c>
      <c r="B133" s="420" t="s">
        <v>1458</v>
      </c>
      <c r="C133" s="420" t="s">
        <v>1436</v>
      </c>
    </row>
    <row r="134" spans="1:3" s="420" customFormat="1" x14ac:dyDescent="0.2">
      <c r="A134" s="420" t="s">
        <v>2357</v>
      </c>
      <c r="B134" s="420" t="s">
        <v>2358</v>
      </c>
      <c r="C134" s="420" t="s">
        <v>2359</v>
      </c>
    </row>
    <row r="135" spans="1:3" s="420" customFormat="1" x14ac:dyDescent="0.2">
      <c r="A135" s="420" t="s">
        <v>2026</v>
      </c>
      <c r="B135" s="420" t="s">
        <v>2027</v>
      </c>
      <c r="C135" s="420" t="s">
        <v>1389</v>
      </c>
    </row>
    <row r="136" spans="1:3" s="420" customFormat="1" x14ac:dyDescent="0.2">
      <c r="A136" s="420" t="s">
        <v>1054</v>
      </c>
      <c r="B136" s="420" t="s">
        <v>1491</v>
      </c>
      <c r="C136" s="420" t="s">
        <v>1428</v>
      </c>
    </row>
    <row r="137" spans="1:3" s="420" customFormat="1" x14ac:dyDescent="0.2">
      <c r="A137" s="420" t="s">
        <v>1055</v>
      </c>
      <c r="B137" s="420" t="s">
        <v>1492</v>
      </c>
      <c r="C137" s="420" t="s">
        <v>1426</v>
      </c>
    </row>
    <row r="138" spans="1:3" s="420" customFormat="1" x14ac:dyDescent="0.2">
      <c r="A138" s="420" t="s">
        <v>1056</v>
      </c>
      <c r="B138" s="420" t="s">
        <v>1493</v>
      </c>
      <c r="C138" s="420" t="s">
        <v>1337</v>
      </c>
    </row>
    <row r="139" spans="1:3" s="420" customFormat="1" x14ac:dyDescent="0.2">
      <c r="A139" s="420" t="s">
        <v>1057</v>
      </c>
      <c r="B139" s="420" t="s">
        <v>1450</v>
      </c>
      <c r="C139" s="420" t="s">
        <v>1339</v>
      </c>
    </row>
    <row r="140" spans="1:3" s="420" customFormat="1" x14ac:dyDescent="0.2">
      <c r="A140" s="420" t="s">
        <v>1133</v>
      </c>
      <c r="B140" s="420" t="s">
        <v>1134</v>
      </c>
      <c r="C140" s="420" t="s">
        <v>1135</v>
      </c>
    </row>
    <row r="141" spans="1:3" s="420" customFormat="1" x14ac:dyDescent="0.2">
      <c r="A141" s="420" t="s">
        <v>1058</v>
      </c>
      <c r="B141" s="420" t="s">
        <v>1494</v>
      </c>
      <c r="C141" s="420" t="s">
        <v>1495</v>
      </c>
    </row>
    <row r="142" spans="1:3" s="420" customFormat="1" x14ac:dyDescent="0.2">
      <c r="A142" s="420" t="s">
        <v>1059</v>
      </c>
    </row>
    <row r="143" spans="1:3" s="420" customFormat="1" x14ac:dyDescent="0.2">
      <c r="A143" s="420" t="s">
        <v>414</v>
      </c>
      <c r="B143" s="420" t="s">
        <v>1451</v>
      </c>
      <c r="C143" s="420" t="s">
        <v>1364</v>
      </c>
    </row>
    <row r="144" spans="1:3" s="420" customFormat="1" x14ac:dyDescent="0.2">
      <c r="A144" s="420" t="s">
        <v>1060</v>
      </c>
      <c r="B144" s="420" t="s">
        <v>1497</v>
      </c>
      <c r="C144" s="420" t="s">
        <v>1498</v>
      </c>
    </row>
    <row r="145" spans="1:3" s="420" customFormat="1" x14ac:dyDescent="0.2">
      <c r="A145" s="420" t="s">
        <v>1061</v>
      </c>
      <c r="B145" s="420" t="s">
        <v>1496</v>
      </c>
      <c r="C145" s="420" t="s">
        <v>1436</v>
      </c>
    </row>
    <row r="146" spans="1:3" s="420" customFormat="1" x14ac:dyDescent="0.2">
      <c r="A146" s="420" t="s">
        <v>1062</v>
      </c>
      <c r="B146" s="420" t="s">
        <v>2140</v>
      </c>
      <c r="C146" s="420" t="s">
        <v>1432</v>
      </c>
    </row>
    <row r="147" spans="1:3" s="420" customFormat="1" x14ac:dyDescent="0.2">
      <c r="A147" s="420" t="s">
        <v>1063</v>
      </c>
      <c r="B147" s="420" t="s">
        <v>1499</v>
      </c>
      <c r="C147" s="420" t="s">
        <v>1436</v>
      </c>
    </row>
    <row r="148" spans="1:3" s="420" customFormat="1" x14ac:dyDescent="0.2">
      <c r="A148" s="420" t="s">
        <v>1064</v>
      </c>
      <c r="B148" s="420" t="s">
        <v>1452</v>
      </c>
      <c r="C148" s="420" t="s">
        <v>1453</v>
      </c>
    </row>
    <row r="149" spans="1:3" s="420" customFormat="1" x14ac:dyDescent="0.2">
      <c r="A149" s="420" t="s">
        <v>2088</v>
      </c>
      <c r="B149" s="420" t="s">
        <v>1454</v>
      </c>
      <c r="C149" s="420" t="s">
        <v>1436</v>
      </c>
    </row>
    <row r="150" spans="1:3" s="420" customFormat="1" x14ac:dyDescent="0.2">
      <c r="A150" s="420" t="s">
        <v>1065</v>
      </c>
      <c r="B150" s="420" t="s">
        <v>1455</v>
      </c>
      <c r="C150" s="420" t="s">
        <v>1223</v>
      </c>
    </row>
    <row r="151" spans="1:3" x14ac:dyDescent="0.2">
      <c r="A151" s="420" t="s">
        <v>1066</v>
      </c>
    </row>
    <row r="152" spans="1:3" x14ac:dyDescent="0.2">
      <c r="A152" s="420" t="s">
        <v>1067</v>
      </c>
      <c r="B152" s="420" t="s">
        <v>1460</v>
      </c>
      <c r="C152" s="420" t="s">
        <v>1223</v>
      </c>
    </row>
    <row r="153" spans="1:3" x14ac:dyDescent="0.2">
      <c r="A153" s="420" t="s">
        <v>1068</v>
      </c>
      <c r="B153" s="420" t="s">
        <v>1461</v>
      </c>
      <c r="C153" s="420" t="s">
        <v>1223</v>
      </c>
    </row>
    <row r="154" spans="1:3" x14ac:dyDescent="0.2">
      <c r="A154" s="420" t="s">
        <v>1069</v>
      </c>
      <c r="B154" s="420" t="s">
        <v>1446</v>
      </c>
      <c r="C154" s="420" t="s">
        <v>1411</v>
      </c>
    </row>
    <row r="155" spans="1:3" x14ac:dyDescent="0.2">
      <c r="A155" s="420" t="s">
        <v>1070</v>
      </c>
      <c r="B155" s="420" t="s">
        <v>1140</v>
      </c>
      <c r="C155" s="420" t="s">
        <v>1141</v>
      </c>
    </row>
    <row r="156" spans="1:3" x14ac:dyDescent="0.2">
      <c r="A156" s="420" t="s">
        <v>1145</v>
      </c>
      <c r="B156" s="420" t="s">
        <v>2379</v>
      </c>
      <c r="C156" s="420" t="s">
        <v>1364</v>
      </c>
    </row>
    <row r="157" spans="1:3" x14ac:dyDescent="0.2">
      <c r="A157" s="420" t="s">
        <v>1071</v>
      </c>
      <c r="B157" s="420" t="s">
        <v>1456</v>
      </c>
      <c r="C157" s="420" t="s">
        <v>1457</v>
      </c>
    </row>
  </sheetData>
  <autoFilter ref="A4:T4" xr:uid="{00000000-0009-0000-0000-000018000000}"/>
  <sortState xmlns:xlrd2="http://schemas.microsoft.com/office/spreadsheetml/2017/richdata2" ref="F35:G40">
    <sortCondition ref="F35"/>
  </sortState>
  <customSheetViews>
    <customSheetView guid="{C88CD669-B349-4A86-8041-5686C62E698E}" scale="85" showAutoFilter="1" state="hidden" topLeftCell="A58">
      <selection activeCell="F104" sqref="F104"/>
      <pageMargins left="0.7" right="0.7" top="0.75" bottom="0.75" header="0.3" footer="0.3"/>
      <pageSetup orientation="portrait" horizontalDpi="1200" verticalDpi="1200" r:id="rId1"/>
      <autoFilter ref="A4:T4" xr:uid="{60679085-FC93-4047-8AFD-CF61F35EBE97}"/>
    </customSheetView>
    <customSheetView guid="{14A9C729-6567-47B0-B521-30EFFF4E950A}" topLeftCell="C61">
      <selection activeCell="F79" sqref="F79"/>
      <pageMargins left="0.7" right="0.7" top="0.75" bottom="0.75" header="0.3" footer="0.3"/>
      <pageSetup orientation="portrait" horizontalDpi="1200" verticalDpi="1200" r:id="rId2"/>
    </customSheetView>
    <customSheetView guid="{198460B7-6D23-4AED-A971-BF824A975991}" state="hidden" topLeftCell="D1">
      <selection activeCell="G19" sqref="G19"/>
      <pageMargins left="0.7" right="0.7" top="0.75" bottom="0.75" header="0.3" footer="0.3"/>
      <pageSetup orientation="portrait" horizontalDpi="1200" verticalDpi="1200" r:id="rId3"/>
    </customSheetView>
  </customSheetViews>
  <mergeCells count="1">
    <mergeCell ref="A1:K1"/>
  </mergeCells>
  <pageMargins left="0.7" right="0.7" top="0.75" bottom="0.75" header="0.3" footer="0.3"/>
  <pageSetup orientation="portrait" horizontalDpi="1200" verticalDpi="1200"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DD2E-1F52-48C7-9670-01C1A62DD719}">
  <dimension ref="B1:B65"/>
  <sheetViews>
    <sheetView topLeftCell="A16" workbookViewId="0">
      <selection activeCell="C12" sqref="C12"/>
    </sheetView>
  </sheetViews>
  <sheetFormatPr defaultRowHeight="12.75" x14ac:dyDescent="0.2"/>
  <cols>
    <col min="2" max="2" width="30.5703125" customWidth="1"/>
  </cols>
  <sheetData>
    <row r="1" spans="2:2" x14ac:dyDescent="0.2">
      <c r="B1" s="440" t="s">
        <v>362</v>
      </c>
    </row>
    <row r="2" spans="2:2" x14ac:dyDescent="0.2">
      <c r="B2" s="420"/>
    </row>
    <row r="3" spans="2:2" x14ac:dyDescent="0.2">
      <c r="B3" s="441"/>
    </row>
    <row r="4" spans="2:2" x14ac:dyDescent="0.2">
      <c r="B4" s="420"/>
    </row>
    <row r="5" spans="2:2" x14ac:dyDescent="0.2">
      <c r="B5" s="420"/>
    </row>
    <row r="6" spans="2:2" x14ac:dyDescent="0.2">
      <c r="B6" s="420"/>
    </row>
    <row r="7" spans="2:2" x14ac:dyDescent="0.2">
      <c r="B7" s="420"/>
    </row>
    <row r="8" spans="2:2" x14ac:dyDescent="0.2">
      <c r="B8" s="420"/>
    </row>
    <row r="9" spans="2:2" x14ac:dyDescent="0.2">
      <c r="B9" s="420"/>
    </row>
    <row r="10" spans="2:2" x14ac:dyDescent="0.2">
      <c r="B10" s="441" t="s">
        <v>954</v>
      </c>
    </row>
    <row r="11" spans="2:2" x14ac:dyDescent="0.2">
      <c r="B11" s="441"/>
    </row>
    <row r="12" spans="2:2" x14ac:dyDescent="0.2">
      <c r="B12" s="420"/>
    </row>
    <row r="13" spans="2:2" x14ac:dyDescent="0.2">
      <c r="B13" s="420"/>
    </row>
    <row r="14" spans="2:2" x14ac:dyDescent="0.2">
      <c r="B14" s="420"/>
    </row>
    <row r="15" spans="2:2" x14ac:dyDescent="0.2">
      <c r="B15" s="420"/>
    </row>
    <row r="16" spans="2:2" x14ac:dyDescent="0.2">
      <c r="B16" s="420"/>
    </row>
    <row r="17" spans="2:2" x14ac:dyDescent="0.2">
      <c r="B17" s="420"/>
    </row>
    <row r="18" spans="2:2" x14ac:dyDescent="0.2">
      <c r="B18" s="420"/>
    </row>
    <row r="19" spans="2:2" x14ac:dyDescent="0.2">
      <c r="B19" s="441" t="s">
        <v>1596</v>
      </c>
    </row>
    <row r="20" spans="2:2" x14ac:dyDescent="0.2">
      <c r="B20" s="420"/>
    </row>
    <row r="21" spans="2:2" x14ac:dyDescent="0.2">
      <c r="B21" s="420"/>
    </row>
    <row r="22" spans="2:2" x14ac:dyDescent="0.2">
      <c r="B22" s="420"/>
    </row>
    <row r="23" spans="2:2" x14ac:dyDescent="0.2">
      <c r="B23" s="420"/>
    </row>
    <row r="24" spans="2:2" x14ac:dyDescent="0.2">
      <c r="B24" s="420"/>
    </row>
    <row r="25" spans="2:2" x14ac:dyDescent="0.2">
      <c r="B25" s="420"/>
    </row>
    <row r="26" spans="2:2" x14ac:dyDescent="0.2">
      <c r="B26" s="420"/>
    </row>
    <row r="27" spans="2:2" x14ac:dyDescent="0.2">
      <c r="B27" s="441"/>
    </row>
    <row r="28" spans="2:2" x14ac:dyDescent="0.2">
      <c r="B28" s="441"/>
    </row>
    <row r="29" spans="2:2" x14ac:dyDescent="0.2">
      <c r="B29" s="420" t="s">
        <v>2459</v>
      </c>
    </row>
    <row r="30" spans="2:2" x14ac:dyDescent="0.2">
      <c r="B30" s="420"/>
    </row>
    <row r="31" spans="2:2" x14ac:dyDescent="0.2">
      <c r="B31" s="420"/>
    </row>
    <row r="32" spans="2:2" x14ac:dyDescent="0.2">
      <c r="B32" s="420"/>
    </row>
    <row r="33" spans="2:2" x14ac:dyDescent="0.2">
      <c r="B33" s="420"/>
    </row>
    <row r="34" spans="2:2" x14ac:dyDescent="0.2">
      <c r="B34" s="420"/>
    </row>
    <row r="35" spans="2:2" x14ac:dyDescent="0.2">
      <c r="B35" s="420"/>
    </row>
    <row r="36" spans="2:2" x14ac:dyDescent="0.2">
      <c r="B36" s="420"/>
    </row>
    <row r="37" spans="2:2" x14ac:dyDescent="0.2">
      <c r="B37" s="441" t="s">
        <v>1695</v>
      </c>
    </row>
    <row r="38" spans="2:2" x14ac:dyDescent="0.2">
      <c r="B38" s="420"/>
    </row>
    <row r="39" spans="2:2" x14ac:dyDescent="0.2">
      <c r="B39" s="420"/>
    </row>
    <row r="40" spans="2:2" x14ac:dyDescent="0.2">
      <c r="B40" s="420"/>
    </row>
    <row r="41" spans="2:2" x14ac:dyDescent="0.2">
      <c r="B41" s="420"/>
    </row>
    <row r="42" spans="2:2" x14ac:dyDescent="0.2">
      <c r="B42" s="420"/>
    </row>
    <row r="43" spans="2:2" x14ac:dyDescent="0.2">
      <c r="B43" s="420"/>
    </row>
    <row r="44" spans="2:2" x14ac:dyDescent="0.2">
      <c r="B44" s="441" t="s">
        <v>1697</v>
      </c>
    </row>
    <row r="45" spans="2:2" x14ac:dyDescent="0.2">
      <c r="B45" s="420"/>
    </row>
    <row r="46" spans="2:2" x14ac:dyDescent="0.2">
      <c r="B46" s="420"/>
    </row>
    <row r="47" spans="2:2" x14ac:dyDescent="0.2">
      <c r="B47" s="420"/>
    </row>
    <row r="48" spans="2:2" x14ac:dyDescent="0.2">
      <c r="B48" s="420"/>
    </row>
    <row r="49" spans="2:2" x14ac:dyDescent="0.2">
      <c r="B49" s="420"/>
    </row>
    <row r="50" spans="2:2" x14ac:dyDescent="0.2">
      <c r="B50" s="441" t="s">
        <v>2020</v>
      </c>
    </row>
    <row r="51" spans="2:2" x14ac:dyDescent="0.2">
      <c r="B51" s="420"/>
    </row>
    <row r="52" spans="2:2" x14ac:dyDescent="0.2">
      <c r="B52" s="420"/>
    </row>
    <row r="53" spans="2:2" x14ac:dyDescent="0.2">
      <c r="B53" s="420"/>
    </row>
    <row r="54" spans="2:2" x14ac:dyDescent="0.2">
      <c r="B54" s="420"/>
    </row>
    <row r="55" spans="2:2" x14ac:dyDescent="0.2">
      <c r="B55" s="420"/>
    </row>
    <row r="56" spans="2:2" x14ac:dyDescent="0.2">
      <c r="B56" s="420"/>
    </row>
    <row r="57" spans="2:2" x14ac:dyDescent="0.2">
      <c r="B57" s="441" t="s">
        <v>2115</v>
      </c>
    </row>
    <row r="58" spans="2:2" x14ac:dyDescent="0.2">
      <c r="B58" s="420"/>
    </row>
    <row r="59" spans="2:2" x14ac:dyDescent="0.2">
      <c r="B59" s="420"/>
    </row>
    <row r="60" spans="2:2" x14ac:dyDescent="0.2">
      <c r="B60" s="420"/>
    </row>
    <row r="61" spans="2:2" x14ac:dyDescent="0.2">
      <c r="B61" s="420"/>
    </row>
    <row r="62" spans="2:2" x14ac:dyDescent="0.2">
      <c r="B62" s="420"/>
    </row>
    <row r="63" spans="2:2" x14ac:dyDescent="0.2">
      <c r="B63" s="420"/>
    </row>
    <row r="64" spans="2:2" x14ac:dyDescent="0.2">
      <c r="B64" s="420"/>
    </row>
    <row r="65" spans="2:2" x14ac:dyDescent="0.2">
      <c r="B65" s="420"/>
    </row>
  </sheetData>
  <customSheetViews>
    <customSheetView guid="{C88CD669-B349-4A86-8041-5686C62E698E}" state="hidden">
      <selection activeCell="AE45" sqref="AE45"/>
      <pageMargins left="0.7" right="0.7" top="0.75" bottom="0.75" header="0.3" footer="0.3"/>
    </customSheetView>
  </customSheetView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22"/>
  <sheetViews>
    <sheetView zoomScaleNormal="100" workbookViewId="0">
      <selection activeCell="L27" sqref="L27"/>
    </sheetView>
  </sheetViews>
  <sheetFormatPr defaultColWidth="9.140625" defaultRowHeight="14.25" x14ac:dyDescent="0.2"/>
  <cols>
    <col min="1" max="1" width="2" style="318" customWidth="1"/>
    <col min="2" max="2" width="42.28515625" style="318" customWidth="1"/>
    <col min="3" max="3" width="23.7109375" style="318" customWidth="1"/>
    <col min="4" max="5" width="23.7109375" style="319" customWidth="1"/>
    <col min="6" max="6" width="25.42578125" style="319" customWidth="1"/>
    <col min="7" max="7" width="14.85546875" style="319" customWidth="1"/>
    <col min="8" max="8" width="1.7109375" style="318" customWidth="1"/>
    <col min="9" max="16384" width="9.140625" style="318"/>
  </cols>
  <sheetData>
    <row r="1" spans="2:7" x14ac:dyDescent="0.2">
      <c r="B1" s="321"/>
      <c r="C1" s="322"/>
      <c r="D1" s="323"/>
      <c r="E1" s="323"/>
      <c r="F1" s="323"/>
      <c r="G1" s="884"/>
    </row>
    <row r="2" spans="2:7" x14ac:dyDescent="0.2">
      <c r="B2" s="324"/>
      <c r="C2" s="325"/>
      <c r="D2" s="326"/>
      <c r="E2" s="326"/>
      <c r="F2" s="326"/>
      <c r="G2" s="885"/>
    </row>
    <row r="3" spans="2:7" x14ac:dyDescent="0.2">
      <c r="B3" s="324"/>
      <c r="C3" s="325"/>
      <c r="D3" s="326"/>
      <c r="E3" s="326"/>
      <c r="F3" s="326"/>
      <c r="G3" s="885"/>
    </row>
    <row r="4" spans="2:7" x14ac:dyDescent="0.2">
      <c r="B4" s="324"/>
      <c r="C4" s="325"/>
      <c r="D4" s="326"/>
      <c r="E4" s="326"/>
      <c r="F4" s="326"/>
      <c r="G4" s="885"/>
    </row>
    <row r="5" spans="2:7" x14ac:dyDescent="0.2">
      <c r="B5" s="324"/>
      <c r="C5" s="325"/>
      <c r="D5" s="326"/>
      <c r="E5" s="326"/>
      <c r="F5" s="326"/>
      <c r="G5" s="885"/>
    </row>
    <row r="6" spans="2:7" x14ac:dyDescent="0.2">
      <c r="B6" s="324"/>
      <c r="C6" s="325"/>
      <c r="D6" s="326"/>
      <c r="E6" s="326"/>
      <c r="F6" s="326"/>
      <c r="G6" s="885"/>
    </row>
    <row r="7" spans="2:7" x14ac:dyDescent="0.2">
      <c r="B7" s="324"/>
      <c r="C7" s="325"/>
      <c r="D7" s="326"/>
      <c r="E7" s="326"/>
      <c r="F7" s="326"/>
      <c r="G7" s="885"/>
    </row>
    <row r="8" spans="2:7" x14ac:dyDescent="0.2">
      <c r="B8" s="1006" t="s">
        <v>1085</v>
      </c>
      <c r="C8" s="327">
        <f ca="1">NOW()</f>
        <v>44718.519324884262</v>
      </c>
      <c r="D8" s="1007" t="s">
        <v>1643</v>
      </c>
      <c r="E8" s="1004">
        <f>'PROJECT INFO'!H3</f>
        <v>44624</v>
      </c>
      <c r="F8" s="1007" t="s">
        <v>1166</v>
      </c>
      <c r="G8" s="1028">
        <f>'PROJECT INFO'!H14</f>
        <v>8.8099999999999998E-2</v>
      </c>
    </row>
    <row r="9" spans="2:7" x14ac:dyDescent="0.2">
      <c r="B9" s="1006" t="s">
        <v>1977</v>
      </c>
      <c r="C9" s="327" t="str">
        <f>'PROJECT INFO'!H7</f>
        <v>Ryan O'Connor</v>
      </c>
      <c r="D9" s="1007" t="s">
        <v>1644</v>
      </c>
      <c r="E9" s="1005">
        <f>'PROJECT INFO'!H4</f>
        <v>0.5</v>
      </c>
      <c r="F9" s="1007"/>
      <c r="G9" s="1028"/>
    </row>
    <row r="10" spans="2:7" x14ac:dyDescent="0.2">
      <c r="B10" s="1006" t="s">
        <v>95</v>
      </c>
      <c r="C10" s="1838" t="str">
        <f>'PROJECT INFO'!E3</f>
        <v>300 University Boulevard</v>
      </c>
      <c r="D10" s="1838"/>
      <c r="E10" s="872"/>
      <c r="F10" s="1007" t="s">
        <v>1932</v>
      </c>
      <c r="G10" s="1029">
        <f>'PROJECT INFO'!H24</f>
        <v>44757</v>
      </c>
    </row>
    <row r="11" spans="2:7" ht="14.25" customHeight="1" thickBot="1" x14ac:dyDescent="0.25">
      <c r="B11" s="1006" t="s">
        <v>657</v>
      </c>
      <c r="C11" s="1842" t="s">
        <v>1980</v>
      </c>
      <c r="D11" s="1842"/>
      <c r="E11" s="872"/>
      <c r="F11" s="1007" t="s">
        <v>1982</v>
      </c>
      <c r="G11" s="1029">
        <f>'PROJECT INFO'!H25</f>
        <v>45056</v>
      </c>
    </row>
    <row r="12" spans="2:7" ht="25.5" customHeight="1" thickBot="1" x14ac:dyDescent="0.25">
      <c r="B12" s="1835" t="s">
        <v>1949</v>
      </c>
      <c r="C12" s="1836"/>
      <c r="D12" s="1836"/>
      <c r="E12" s="1836"/>
      <c r="F12" s="1836"/>
      <c r="G12" s="1837"/>
    </row>
    <row r="13" spans="2:7" ht="16.5" customHeight="1" thickBot="1" x14ac:dyDescent="0.25">
      <c r="B13" s="1839" t="s">
        <v>2005</v>
      </c>
      <c r="C13" s="1840"/>
      <c r="D13" s="1840"/>
      <c r="E13" s="1840"/>
      <c r="F13" s="1840"/>
      <c r="G13" s="1841"/>
    </row>
    <row r="14" spans="2:7" ht="29.25" thickBot="1" x14ac:dyDescent="0.25">
      <c r="B14" s="328" t="s">
        <v>1926</v>
      </c>
      <c r="C14" s="329" t="s">
        <v>1945</v>
      </c>
      <c r="D14" s="330" t="s">
        <v>1078</v>
      </c>
      <c r="E14" s="330" t="s">
        <v>1079</v>
      </c>
      <c r="F14" s="330" t="s">
        <v>1109</v>
      </c>
      <c r="G14" s="876" t="s">
        <v>1921</v>
      </c>
    </row>
    <row r="15" spans="2:7" ht="16.5" customHeight="1" x14ac:dyDescent="0.2">
      <c r="B15" s="338" t="s">
        <v>1090</v>
      </c>
      <c r="C15" s="331"/>
      <c r="D15" s="331"/>
      <c r="E15" s="335"/>
      <c r="F15" s="335"/>
      <c r="G15" s="877"/>
    </row>
    <row r="16" spans="2:7" ht="16.5" customHeight="1" x14ac:dyDescent="0.2">
      <c r="B16" s="332" t="s">
        <v>1106</v>
      </c>
      <c r="C16" s="333"/>
      <c r="D16" s="333"/>
      <c r="E16" s="336"/>
      <c r="F16" s="336"/>
      <c r="G16" s="878"/>
    </row>
    <row r="17" spans="2:7" ht="16.5" customHeight="1" x14ac:dyDescent="0.2">
      <c r="B17" s="332" t="s">
        <v>1080</v>
      </c>
      <c r="C17" s="333"/>
      <c r="D17" s="333"/>
      <c r="E17" s="336"/>
      <c r="F17" s="336"/>
      <c r="G17" s="878"/>
    </row>
    <row r="18" spans="2:7" ht="16.5" customHeight="1" x14ac:dyDescent="0.2">
      <c r="B18" s="332" t="s">
        <v>1105</v>
      </c>
      <c r="C18" s="333"/>
      <c r="D18" s="333"/>
      <c r="E18" s="336"/>
      <c r="F18" s="336"/>
      <c r="G18" s="878"/>
    </row>
    <row r="19" spans="2:7" ht="16.5" customHeight="1" x14ac:dyDescent="0.2">
      <c r="B19" s="332" t="s">
        <v>1094</v>
      </c>
      <c r="C19" s="333"/>
      <c r="D19" s="333"/>
      <c r="E19" s="336"/>
      <c r="F19" s="336"/>
      <c r="G19" s="878"/>
    </row>
    <row r="20" spans="2:7" ht="16.5" customHeight="1" x14ac:dyDescent="0.2">
      <c r="B20" s="332" t="s">
        <v>1102</v>
      </c>
      <c r="C20" s="333"/>
      <c r="D20" s="333"/>
      <c r="E20" s="336"/>
      <c r="F20" s="336"/>
      <c r="G20" s="878"/>
    </row>
    <row r="21" spans="2:7" ht="16.5" customHeight="1" x14ac:dyDescent="0.2">
      <c r="B21" s="332" t="s">
        <v>1095</v>
      </c>
      <c r="C21" s="333"/>
      <c r="D21" s="333"/>
      <c r="E21" s="336"/>
      <c r="F21" s="336"/>
      <c r="G21" s="878"/>
    </row>
    <row r="22" spans="2:7" ht="16.5" customHeight="1" x14ac:dyDescent="0.2">
      <c r="B22" s="332" t="s">
        <v>1103</v>
      </c>
      <c r="C22" s="333"/>
      <c r="D22" s="333"/>
      <c r="E22" s="336"/>
      <c r="F22" s="336"/>
      <c r="G22" s="878"/>
    </row>
    <row r="23" spans="2:7" ht="16.5" customHeight="1" x14ac:dyDescent="0.2">
      <c r="B23" s="332" t="s">
        <v>1074</v>
      </c>
      <c r="C23" s="333"/>
      <c r="D23" s="333"/>
      <c r="E23" s="336"/>
      <c r="F23" s="336"/>
      <c r="G23" s="878"/>
    </row>
    <row r="24" spans="2:7" ht="16.5" customHeight="1" x14ac:dyDescent="0.2">
      <c r="B24" s="332" t="s">
        <v>1081</v>
      </c>
      <c r="C24" s="333"/>
      <c r="D24" s="333"/>
      <c r="E24" s="336"/>
      <c r="F24" s="336"/>
      <c r="G24" s="878"/>
    </row>
    <row r="25" spans="2:7" ht="16.5" customHeight="1" x14ac:dyDescent="0.2">
      <c r="B25" s="332" t="s">
        <v>1104</v>
      </c>
      <c r="C25" s="333"/>
      <c r="D25" s="333"/>
      <c r="E25" s="336"/>
      <c r="F25" s="336"/>
      <c r="G25" s="878"/>
    </row>
    <row r="26" spans="2:7" ht="16.5" customHeight="1" x14ac:dyDescent="0.2">
      <c r="B26" s="332" t="s">
        <v>1097</v>
      </c>
      <c r="C26" s="333"/>
      <c r="D26" s="333"/>
      <c r="E26" s="336"/>
      <c r="F26" s="336"/>
      <c r="G26" s="878"/>
    </row>
    <row r="27" spans="2:7" ht="16.5" customHeight="1" x14ac:dyDescent="0.2">
      <c r="B27" s="332" t="s">
        <v>1936</v>
      </c>
      <c r="C27" s="333"/>
      <c r="D27" s="333"/>
      <c r="E27" s="336"/>
      <c r="F27" s="336"/>
      <c r="G27" s="878"/>
    </row>
    <row r="28" spans="2:7" ht="16.5" customHeight="1" x14ac:dyDescent="0.2">
      <c r="B28" s="332" t="s">
        <v>1953</v>
      </c>
      <c r="C28" s="333"/>
      <c r="D28" s="333"/>
      <c r="E28" s="336"/>
      <c r="F28" s="336"/>
      <c r="G28" s="878"/>
    </row>
    <row r="29" spans="2:7" ht="16.5" customHeight="1" x14ac:dyDescent="0.2">
      <c r="B29" s="332" t="s">
        <v>1091</v>
      </c>
      <c r="C29" s="333"/>
      <c r="D29" s="333"/>
      <c r="E29" s="336"/>
      <c r="F29" s="336"/>
      <c r="G29" s="878"/>
    </row>
    <row r="30" spans="2:7" ht="16.5" customHeight="1" x14ac:dyDescent="0.2">
      <c r="B30" s="332" t="s">
        <v>1096</v>
      </c>
      <c r="C30" s="333"/>
      <c r="D30" s="333"/>
      <c r="E30" s="336"/>
      <c r="F30" s="336"/>
      <c r="G30" s="878"/>
    </row>
    <row r="31" spans="2:7" ht="16.5" customHeight="1" x14ac:dyDescent="0.2">
      <c r="B31" s="332" t="s">
        <v>1093</v>
      </c>
      <c r="C31" s="333"/>
      <c r="D31" s="333"/>
      <c r="E31" s="336"/>
      <c r="F31" s="336"/>
      <c r="G31" s="878"/>
    </row>
    <row r="32" spans="2:7" ht="16.5" customHeight="1" x14ac:dyDescent="0.2">
      <c r="B32" s="332" t="s">
        <v>1100</v>
      </c>
      <c r="C32" s="333"/>
      <c r="D32" s="333"/>
      <c r="E32" s="336"/>
      <c r="F32" s="336"/>
      <c r="G32" s="878"/>
    </row>
    <row r="33" spans="2:7" ht="16.5" customHeight="1" x14ac:dyDescent="0.2">
      <c r="B33" s="332" t="s">
        <v>1100</v>
      </c>
      <c r="C33" s="333"/>
      <c r="D33" s="333"/>
      <c r="E33" s="336"/>
      <c r="F33" s="336"/>
      <c r="G33" s="878"/>
    </row>
    <row r="34" spans="2:7" ht="16.5" customHeight="1" x14ac:dyDescent="0.2">
      <c r="B34" s="332" t="s">
        <v>1100</v>
      </c>
      <c r="C34" s="333"/>
      <c r="D34" s="333"/>
      <c r="E34" s="336"/>
      <c r="F34" s="336"/>
      <c r="G34" s="878"/>
    </row>
    <row r="35" spans="2:7" ht="16.5" customHeight="1" thickBot="1" x14ac:dyDescent="0.25">
      <c r="B35" s="332" t="s">
        <v>1100</v>
      </c>
      <c r="C35" s="480"/>
      <c r="D35" s="480"/>
      <c r="E35" s="999"/>
      <c r="F35" s="999"/>
      <c r="G35" s="880"/>
    </row>
    <row r="36" spans="2:7" ht="16.5" customHeight="1" thickBot="1" x14ac:dyDescent="0.25">
      <c r="B36" s="1832" t="s">
        <v>1947</v>
      </c>
      <c r="C36" s="1833"/>
      <c r="D36" s="1833"/>
      <c r="E36" s="1833"/>
      <c r="F36" s="1833"/>
      <c r="G36" s="1834"/>
    </row>
    <row r="37" spans="2:7" ht="29.25" thickBot="1" x14ac:dyDescent="0.25">
      <c r="B37" s="328" t="s">
        <v>1930</v>
      </c>
      <c r="C37" s="329" t="s">
        <v>1938</v>
      </c>
      <c r="D37" s="330" t="s">
        <v>2008</v>
      </c>
      <c r="E37" s="330" t="s">
        <v>1079</v>
      </c>
      <c r="F37" s="883" t="s">
        <v>1951</v>
      </c>
      <c r="G37" s="876" t="s">
        <v>1921</v>
      </c>
    </row>
    <row r="38" spans="2:7" ht="16.5" customHeight="1" thickBot="1" x14ac:dyDescent="0.25">
      <c r="B38" s="332" t="s">
        <v>1073</v>
      </c>
      <c r="C38" s="333"/>
      <c r="D38" s="333"/>
      <c r="E38" s="336"/>
      <c r="F38" s="336"/>
      <c r="G38" s="878"/>
    </row>
    <row r="39" spans="2:7" ht="16.5" customHeight="1" x14ac:dyDescent="0.2">
      <c r="B39" s="338" t="s">
        <v>2007</v>
      </c>
      <c r="C39" s="331"/>
      <c r="D39" s="331"/>
      <c r="E39" s="335"/>
      <c r="F39" s="335"/>
      <c r="G39" s="877"/>
    </row>
    <row r="40" spans="2:7" ht="16.5" customHeight="1" x14ac:dyDescent="0.2">
      <c r="B40" s="332" t="s">
        <v>1939</v>
      </c>
      <c r="C40" s="333"/>
      <c r="D40" s="333"/>
      <c r="E40" s="336"/>
      <c r="F40" s="336"/>
      <c r="G40" s="878"/>
    </row>
    <row r="41" spans="2:7" ht="16.5" customHeight="1" x14ac:dyDescent="0.2">
      <c r="B41" s="332" t="s">
        <v>1941</v>
      </c>
      <c r="C41" s="333"/>
      <c r="D41" s="333"/>
      <c r="E41" s="336"/>
      <c r="F41" s="336"/>
      <c r="G41" s="878"/>
    </row>
    <row r="42" spans="2:7" ht="16.5" customHeight="1" x14ac:dyDescent="0.2">
      <c r="B42" s="332" t="s">
        <v>1940</v>
      </c>
      <c r="C42" s="333"/>
      <c r="D42" s="333"/>
      <c r="E42" s="336"/>
      <c r="F42" s="336"/>
      <c r="G42" s="878"/>
    </row>
    <row r="43" spans="2:7" ht="16.5" customHeight="1" x14ac:dyDescent="0.2">
      <c r="B43" s="332" t="s">
        <v>1946</v>
      </c>
      <c r="C43" s="333"/>
      <c r="D43" s="333"/>
      <c r="E43" s="336"/>
      <c r="F43" s="336"/>
      <c r="G43" s="878"/>
    </row>
    <row r="44" spans="2:7" ht="16.5" customHeight="1" x14ac:dyDescent="0.2">
      <c r="B44" s="332" t="s">
        <v>1933</v>
      </c>
      <c r="C44" s="333"/>
      <c r="D44" s="333"/>
      <c r="E44" s="336"/>
      <c r="F44" s="336"/>
      <c r="G44" s="878"/>
    </row>
    <row r="45" spans="2:7" ht="16.5" customHeight="1" x14ac:dyDescent="0.2">
      <c r="B45" s="332" t="s">
        <v>1934</v>
      </c>
      <c r="C45" s="333"/>
      <c r="D45" s="333"/>
      <c r="E45" s="336"/>
      <c r="F45" s="336"/>
      <c r="G45" s="878"/>
    </row>
    <row r="46" spans="2:7" ht="16.5" customHeight="1" x14ac:dyDescent="0.2">
      <c r="B46" s="332" t="s">
        <v>1935</v>
      </c>
      <c r="C46" s="333"/>
      <c r="D46" s="333"/>
      <c r="E46" s="336"/>
      <c r="F46" s="336"/>
      <c r="G46" s="878"/>
    </row>
    <row r="47" spans="2:7" ht="16.5" customHeight="1" x14ac:dyDescent="0.2">
      <c r="B47" s="332" t="s">
        <v>2006</v>
      </c>
      <c r="C47" s="333"/>
      <c r="D47" s="333"/>
      <c r="E47" s="336"/>
      <c r="F47" s="336"/>
      <c r="G47" s="878"/>
    </row>
    <row r="48" spans="2:7" ht="16.5" customHeight="1" x14ac:dyDescent="0.2">
      <c r="B48" s="332" t="s">
        <v>1100</v>
      </c>
      <c r="C48" s="333"/>
      <c r="D48" s="333"/>
      <c r="E48" s="336"/>
      <c r="F48" s="336"/>
      <c r="G48" s="878"/>
    </row>
    <row r="49" spans="2:7" ht="16.5" customHeight="1" x14ac:dyDescent="0.2">
      <c r="B49" s="332" t="s">
        <v>1100</v>
      </c>
      <c r="C49" s="333"/>
      <c r="D49" s="333"/>
      <c r="E49" s="336"/>
      <c r="F49" s="336"/>
      <c r="G49" s="878"/>
    </row>
    <row r="50" spans="2:7" ht="16.5" customHeight="1" thickBot="1" x14ac:dyDescent="0.25">
      <c r="B50" s="332" t="s">
        <v>1100</v>
      </c>
      <c r="C50" s="480"/>
      <c r="D50" s="480"/>
      <c r="E50" s="999"/>
      <c r="F50" s="999"/>
      <c r="G50" s="880"/>
    </row>
    <row r="51" spans="2:7" ht="16.5" customHeight="1" thickBot="1" x14ac:dyDescent="0.25">
      <c r="B51" s="1825" t="s">
        <v>1996</v>
      </c>
      <c r="C51" s="1826"/>
      <c r="D51" s="1826"/>
      <c r="E51" s="1826"/>
      <c r="F51" s="1826"/>
      <c r="G51" s="1827"/>
    </row>
    <row r="52" spans="2:7" ht="29.25" thickBot="1" x14ac:dyDescent="0.25">
      <c r="B52" s="328" t="s">
        <v>1997</v>
      </c>
      <c r="C52" s="330" t="s">
        <v>2000</v>
      </c>
      <c r="D52" s="1828" t="s">
        <v>1951</v>
      </c>
      <c r="E52" s="1829"/>
      <c r="F52" s="1830"/>
      <c r="G52" s="876" t="s">
        <v>1921</v>
      </c>
    </row>
    <row r="53" spans="2:7" x14ac:dyDescent="0.2">
      <c r="B53" s="1025" t="s">
        <v>1944</v>
      </c>
      <c r="C53" s="335"/>
      <c r="D53" s="1831"/>
      <c r="E53" s="1831"/>
      <c r="F53" s="1831"/>
      <c r="G53" s="877"/>
    </row>
    <row r="54" spans="2:7" x14ac:dyDescent="0.2">
      <c r="B54" s="1026" t="s">
        <v>1931</v>
      </c>
      <c r="C54" s="336"/>
      <c r="D54" s="1815"/>
      <c r="E54" s="1815"/>
      <c r="F54" s="1815"/>
      <c r="G54" s="878"/>
    </row>
    <row r="55" spans="2:7" x14ac:dyDescent="0.2">
      <c r="B55" s="1026" t="s">
        <v>1999</v>
      </c>
      <c r="C55" s="336"/>
      <c r="D55" s="1815"/>
      <c r="E55" s="1815"/>
      <c r="F55" s="1815"/>
      <c r="G55" s="878"/>
    </row>
    <row r="56" spans="2:7" x14ac:dyDescent="0.2">
      <c r="B56" s="1026" t="s">
        <v>1973</v>
      </c>
      <c r="C56" s="336"/>
      <c r="D56" s="1815"/>
      <c r="E56" s="1815"/>
      <c r="F56" s="1815"/>
      <c r="G56" s="878"/>
    </row>
    <row r="57" spans="2:7" x14ac:dyDescent="0.2">
      <c r="B57" s="1026" t="s">
        <v>2002</v>
      </c>
      <c r="C57" s="336"/>
      <c r="D57" s="1815"/>
      <c r="E57" s="1815"/>
      <c r="F57" s="1815"/>
      <c r="G57" s="878"/>
    </row>
    <row r="58" spans="2:7" x14ac:dyDescent="0.2">
      <c r="B58" s="1026" t="s">
        <v>2010</v>
      </c>
      <c r="C58" s="336"/>
      <c r="D58" s="1815"/>
      <c r="E58" s="1815"/>
      <c r="F58" s="1815"/>
      <c r="G58" s="878"/>
    </row>
    <row r="59" spans="2:7" x14ac:dyDescent="0.2">
      <c r="B59" s="1026" t="s">
        <v>2011</v>
      </c>
      <c r="C59" s="336"/>
      <c r="D59" s="1815"/>
      <c r="E59" s="1815"/>
      <c r="F59" s="1815"/>
      <c r="G59" s="878"/>
    </row>
    <row r="60" spans="2:7" x14ac:dyDescent="0.2">
      <c r="B60" s="1026" t="s">
        <v>2009</v>
      </c>
      <c r="C60" s="336"/>
      <c r="D60" s="1815"/>
      <c r="E60" s="1815"/>
      <c r="F60" s="1815"/>
      <c r="G60" s="878"/>
    </row>
    <row r="61" spans="2:7" x14ac:dyDescent="0.2">
      <c r="B61" s="1026" t="s">
        <v>1998</v>
      </c>
      <c r="C61" s="336"/>
      <c r="D61" s="1815"/>
      <c r="E61" s="1815"/>
      <c r="F61" s="1815"/>
      <c r="G61" s="878"/>
    </row>
    <row r="62" spans="2:7" x14ac:dyDescent="0.2">
      <c r="B62" s="1026" t="s">
        <v>2001</v>
      </c>
      <c r="C62" s="336"/>
      <c r="D62" s="1815"/>
      <c r="E62" s="1815"/>
      <c r="F62" s="1815"/>
      <c r="G62" s="878"/>
    </row>
    <row r="63" spans="2:7" x14ac:dyDescent="0.2">
      <c r="B63" s="1026" t="s">
        <v>2004</v>
      </c>
      <c r="C63" s="336"/>
      <c r="D63" s="1815"/>
      <c r="E63" s="1815"/>
      <c r="F63" s="1815"/>
      <c r="G63" s="878"/>
    </row>
    <row r="64" spans="2:7" x14ac:dyDescent="0.2">
      <c r="B64" s="1026" t="s">
        <v>1100</v>
      </c>
      <c r="C64" s="336"/>
      <c r="D64" s="1815"/>
      <c r="E64" s="1815"/>
      <c r="F64" s="1815"/>
      <c r="G64" s="878"/>
    </row>
    <row r="65" spans="2:11" ht="15" thickBot="1" x14ac:dyDescent="0.25">
      <c r="B65" s="1027" t="s">
        <v>2003</v>
      </c>
      <c r="C65" s="999"/>
      <c r="D65" s="1814"/>
      <c r="E65" s="1814"/>
      <c r="F65" s="1814"/>
      <c r="G65" s="880"/>
    </row>
    <row r="66" spans="2:11" ht="16.5" customHeight="1" thickBot="1" x14ac:dyDescent="0.25">
      <c r="B66" s="1819" t="s">
        <v>418</v>
      </c>
      <c r="C66" s="1820"/>
      <c r="D66" s="1820"/>
      <c r="E66" s="1820"/>
      <c r="F66" s="1820"/>
      <c r="G66" s="1821"/>
    </row>
    <row r="67" spans="2:11" ht="29.25" thickBot="1" x14ac:dyDescent="0.25">
      <c r="B67" s="328" t="s">
        <v>1985</v>
      </c>
      <c r="C67" s="329" t="s">
        <v>1950</v>
      </c>
      <c r="D67" s="330" t="s">
        <v>1078</v>
      </c>
      <c r="E67" s="330" t="s">
        <v>1079</v>
      </c>
      <c r="F67" s="330" t="s">
        <v>1951</v>
      </c>
      <c r="G67" s="876" t="s">
        <v>1921</v>
      </c>
    </row>
    <row r="68" spans="2:11" x14ac:dyDescent="0.2">
      <c r="B68" s="1011" t="s">
        <v>1988</v>
      </c>
      <c r="C68" s="877"/>
      <c r="D68" s="331"/>
      <c r="E68" s="335"/>
      <c r="F68" s="1008"/>
      <c r="G68" s="877"/>
    </row>
    <row r="69" spans="2:11" x14ac:dyDescent="0.2">
      <c r="B69" s="1012" t="s">
        <v>1989</v>
      </c>
      <c r="C69" s="878"/>
      <c r="D69" s="333"/>
      <c r="E69" s="336"/>
      <c r="F69" s="1009"/>
      <c r="G69" s="878"/>
    </row>
    <row r="70" spans="2:11" x14ac:dyDescent="0.2">
      <c r="B70" s="1012" t="s">
        <v>1987</v>
      </c>
      <c r="C70" s="878"/>
      <c r="D70" s="333"/>
      <c r="E70" s="336"/>
      <c r="F70" s="1009"/>
      <c r="G70" s="878"/>
    </row>
    <row r="71" spans="2:11" x14ac:dyDescent="0.2">
      <c r="B71" s="1012" t="s">
        <v>1986</v>
      </c>
      <c r="C71" s="878"/>
      <c r="D71" s="333"/>
      <c r="E71" s="336"/>
      <c r="F71" s="1009"/>
      <c r="G71" s="878"/>
    </row>
    <row r="72" spans="2:11" x14ac:dyDescent="0.2">
      <c r="B72" s="1014" t="s">
        <v>1991</v>
      </c>
      <c r="C72" s="878"/>
      <c r="D72" s="333"/>
      <c r="E72" s="336"/>
      <c r="F72" s="1009"/>
      <c r="G72" s="878"/>
    </row>
    <row r="73" spans="2:11" ht="15" thickBot="1" x14ac:dyDescent="0.25">
      <c r="B73" s="1013" t="s">
        <v>1990</v>
      </c>
      <c r="C73" s="880"/>
      <c r="D73" s="480"/>
      <c r="E73" s="999"/>
      <c r="F73" s="1010"/>
      <c r="G73" s="880"/>
    </row>
    <row r="74" spans="2:11" ht="16.5" customHeight="1" thickBot="1" x14ac:dyDescent="0.25">
      <c r="B74" s="1848" t="s">
        <v>1925</v>
      </c>
      <c r="C74" s="1849"/>
      <c r="D74" s="1849"/>
      <c r="E74" s="1849"/>
      <c r="F74" s="1849"/>
      <c r="G74" s="1850"/>
    </row>
    <row r="75" spans="2:11" ht="29.25" thickBot="1" x14ac:dyDescent="0.25">
      <c r="B75" s="328" t="s">
        <v>1927</v>
      </c>
      <c r="C75" s="329" t="s">
        <v>1928</v>
      </c>
      <c r="D75" s="330" t="s">
        <v>1929</v>
      </c>
      <c r="E75" s="1828" t="s">
        <v>1951</v>
      </c>
      <c r="F75" s="1830"/>
      <c r="G75" s="876" t="s">
        <v>1921</v>
      </c>
    </row>
    <row r="76" spans="2:11" ht="16.5" customHeight="1" thickBot="1" x14ac:dyDescent="0.25">
      <c r="B76" s="332" t="s">
        <v>1942</v>
      </c>
      <c r="C76" s="333" t="str">
        <f>'PROJECT INFO'!H50</f>
        <v>One Year</v>
      </c>
      <c r="D76" s="331"/>
      <c r="E76" s="1843"/>
      <c r="F76" s="1844"/>
      <c r="G76" s="878"/>
    </row>
    <row r="77" spans="2:11" ht="16.5" customHeight="1" thickBot="1" x14ac:dyDescent="0.25">
      <c r="B77" s="1845" t="s">
        <v>1943</v>
      </c>
      <c r="C77" s="1846"/>
      <c r="D77" s="1846"/>
      <c r="E77" s="1846"/>
      <c r="F77" s="1846"/>
      <c r="G77" s="1847"/>
      <c r="K77" s="882"/>
    </row>
    <row r="78" spans="2:11" ht="29.25" thickBot="1" x14ac:dyDescent="0.25">
      <c r="B78" s="328" t="s">
        <v>1927</v>
      </c>
      <c r="C78" s="329" t="s">
        <v>1950</v>
      </c>
      <c r="D78" s="1828" t="s">
        <v>1951</v>
      </c>
      <c r="E78" s="1829"/>
      <c r="F78" s="1830"/>
      <c r="G78" s="876" t="s">
        <v>1921</v>
      </c>
    </row>
    <row r="79" spans="2:11" ht="16.5" customHeight="1" x14ac:dyDescent="0.2">
      <c r="B79" s="332" t="s">
        <v>1972</v>
      </c>
      <c r="C79" s="335" t="str">
        <f>'PROJECT INFO'!E40</f>
        <v>NONE</v>
      </c>
      <c r="D79" s="995" t="s">
        <v>1984</v>
      </c>
      <c r="E79" s="995" t="str">
        <f>'PROJECT INFO'!E41</f>
        <v>N/A</v>
      </c>
      <c r="F79" s="881"/>
      <c r="G79" s="878"/>
    </row>
    <row r="80" spans="2:11" ht="16.5" customHeight="1" x14ac:dyDescent="0.2">
      <c r="B80" s="332" t="s">
        <v>1618</v>
      </c>
      <c r="C80" s="336" t="str">
        <f>'PROJECT INFO'!H11</f>
        <v>No</v>
      </c>
      <c r="D80" s="1822"/>
      <c r="E80" s="1823"/>
      <c r="F80" s="1824"/>
      <c r="G80" s="878"/>
    </row>
    <row r="81" spans="2:7" ht="16.5" customHeight="1" x14ac:dyDescent="0.2">
      <c r="B81" s="332" t="s">
        <v>1963</v>
      </c>
      <c r="C81" s="336" t="str">
        <f>'PROJECT INFO'!H44</f>
        <v>No</v>
      </c>
      <c r="D81" s="1822"/>
      <c r="E81" s="1823"/>
      <c r="F81" s="1824"/>
      <c r="G81" s="878"/>
    </row>
    <row r="82" spans="2:7" ht="16.5" customHeight="1" x14ac:dyDescent="0.2">
      <c r="B82" s="332" t="s">
        <v>1966</v>
      </c>
      <c r="C82" s="336" t="str">
        <f>'PROJECT INFO'!H17</f>
        <v>No</v>
      </c>
      <c r="D82" s="1822"/>
      <c r="E82" s="1823"/>
      <c r="F82" s="1824"/>
      <c r="G82" s="878"/>
    </row>
    <row r="83" spans="2:7" ht="16.5" customHeight="1" x14ac:dyDescent="0.2">
      <c r="B83" s="875" t="s">
        <v>1944</v>
      </c>
      <c r="C83" s="336" t="str">
        <f>'PROJECT INFO'!H42</f>
        <v>No</v>
      </c>
      <c r="D83" s="1822"/>
      <c r="E83" s="1823"/>
      <c r="F83" s="1824"/>
      <c r="G83" s="879"/>
    </row>
    <row r="84" spans="2:7" ht="16.5" customHeight="1" x14ac:dyDescent="0.2">
      <c r="B84" s="875" t="s">
        <v>1957</v>
      </c>
      <c r="C84" s="336"/>
      <c r="D84" s="1822"/>
      <c r="E84" s="1823"/>
      <c r="F84" s="1824"/>
      <c r="G84" s="879"/>
    </row>
    <row r="85" spans="2:7" ht="16.5" customHeight="1" x14ac:dyDescent="0.2">
      <c r="B85" s="875" t="s">
        <v>1956</v>
      </c>
      <c r="C85" s="336"/>
      <c r="D85" s="1822"/>
      <c r="E85" s="1823"/>
      <c r="F85" s="1824"/>
      <c r="G85" s="879"/>
    </row>
    <row r="86" spans="2:7" ht="16.5" customHeight="1" x14ac:dyDescent="0.2">
      <c r="B86" s="875" t="s">
        <v>1973</v>
      </c>
      <c r="C86" s="336"/>
      <c r="D86" s="1822"/>
      <c r="E86" s="1823"/>
      <c r="F86" s="1824"/>
      <c r="G86" s="879"/>
    </row>
    <row r="87" spans="2:7" ht="16.5" customHeight="1" x14ac:dyDescent="0.2">
      <c r="B87" s="875" t="s">
        <v>1948</v>
      </c>
      <c r="C87" s="337" t="str">
        <f>'PROJECT INFO'!H23</f>
        <v>No</v>
      </c>
      <c r="D87" s="1822"/>
      <c r="E87" s="1823"/>
      <c r="F87" s="1824"/>
      <c r="G87" s="879"/>
    </row>
    <row r="88" spans="2:7" ht="16.5" customHeight="1" x14ac:dyDescent="0.2">
      <c r="B88" s="875" t="s">
        <v>1962</v>
      </c>
      <c r="C88" s="337" t="str">
        <f>'PROJECT INFO'!H20</f>
        <v>No</v>
      </c>
      <c r="D88" s="1822"/>
      <c r="E88" s="1823"/>
      <c r="F88" s="1824"/>
      <c r="G88" s="879"/>
    </row>
    <row r="89" spans="2:7" ht="16.5" customHeight="1" x14ac:dyDescent="0.2">
      <c r="B89" s="875" t="s">
        <v>1965</v>
      </c>
      <c r="C89" s="337" t="str">
        <f>'PROJECT INFO'!H22</f>
        <v>Yes</v>
      </c>
      <c r="D89" s="1822"/>
      <c r="E89" s="1823"/>
      <c r="F89" s="1824"/>
      <c r="G89" s="879"/>
    </row>
    <row r="90" spans="2:7" ht="16.5" customHeight="1" x14ac:dyDescent="0.2">
      <c r="B90" s="875" t="s">
        <v>1958</v>
      </c>
      <c r="C90" s="336"/>
      <c r="D90" s="1822"/>
      <c r="E90" s="1823"/>
      <c r="F90" s="1824"/>
      <c r="G90" s="879"/>
    </row>
    <row r="91" spans="2:7" ht="16.5" customHeight="1" x14ac:dyDescent="0.2">
      <c r="B91" s="875" t="s">
        <v>1967</v>
      </c>
      <c r="C91" s="337" t="str">
        <f>'PROJECT INFO'!H15</f>
        <v>Yes</v>
      </c>
      <c r="D91" s="1822"/>
      <c r="E91" s="1823"/>
      <c r="F91" s="1824"/>
      <c r="G91" s="879"/>
    </row>
    <row r="92" spans="2:7" ht="16.5" customHeight="1" x14ac:dyDescent="0.2">
      <c r="B92" s="875" t="s">
        <v>1964</v>
      </c>
      <c r="C92" s="337" t="str">
        <f>'PROJECT INFO'!H38</f>
        <v>No</v>
      </c>
      <c r="D92" s="1822"/>
      <c r="E92" s="1823"/>
      <c r="F92" s="1824"/>
      <c r="G92" s="879"/>
    </row>
    <row r="93" spans="2:7" ht="16.5" customHeight="1" x14ac:dyDescent="0.2">
      <c r="B93" s="875" t="s">
        <v>1970</v>
      </c>
      <c r="C93" s="337" t="str">
        <f>'PROJECT INFO'!H18</f>
        <v>No</v>
      </c>
      <c r="D93" s="1822"/>
      <c r="E93" s="1823"/>
      <c r="F93" s="1824"/>
      <c r="G93" s="879"/>
    </row>
    <row r="94" spans="2:7" ht="16.5" customHeight="1" x14ac:dyDescent="0.2">
      <c r="B94" s="875" t="s">
        <v>1960</v>
      </c>
      <c r="C94" s="336"/>
      <c r="D94" s="1822"/>
      <c r="E94" s="1823"/>
      <c r="F94" s="1824"/>
      <c r="G94" s="879"/>
    </row>
    <row r="95" spans="2:7" ht="16.5" customHeight="1" x14ac:dyDescent="0.2">
      <c r="B95" s="875" t="s">
        <v>1959</v>
      </c>
      <c r="C95" s="336"/>
      <c r="D95" s="1822"/>
      <c r="E95" s="1823"/>
      <c r="F95" s="1824"/>
      <c r="G95" s="879"/>
    </row>
    <row r="96" spans="2:7" ht="16.5" customHeight="1" x14ac:dyDescent="0.2">
      <c r="B96" s="875" t="s">
        <v>1937</v>
      </c>
      <c r="C96" s="337" t="str">
        <f>'PROJECT INFO'!H48</f>
        <v>No</v>
      </c>
      <c r="D96" s="1822"/>
      <c r="E96" s="1823"/>
      <c r="F96" s="1824"/>
      <c r="G96" s="879"/>
    </row>
    <row r="97" spans="2:7" ht="16.5" customHeight="1" x14ac:dyDescent="0.2">
      <c r="B97" s="875" t="s">
        <v>248</v>
      </c>
      <c r="C97" s="337" t="str">
        <f>'PROJECT INFO'!H21</f>
        <v>Yes</v>
      </c>
      <c r="D97" s="1822"/>
      <c r="E97" s="1823"/>
      <c r="F97" s="1824"/>
      <c r="G97" s="879"/>
    </row>
    <row r="98" spans="2:7" ht="16.5" customHeight="1" x14ac:dyDescent="0.2">
      <c r="B98" s="332" t="s">
        <v>1952</v>
      </c>
      <c r="C98" s="336" t="str">
        <f>'PROJECT INFO'!H43</f>
        <v>No</v>
      </c>
      <c r="D98" s="1822"/>
      <c r="E98" s="1823"/>
      <c r="F98" s="1824"/>
      <c r="G98" s="878"/>
    </row>
    <row r="99" spans="2:7" ht="16.5" customHeight="1" x14ac:dyDescent="0.2">
      <c r="B99" s="338" t="s">
        <v>1100</v>
      </c>
      <c r="C99" s="336"/>
      <c r="D99" s="1822"/>
      <c r="E99" s="1823"/>
      <c r="F99" s="1824"/>
      <c r="G99" s="1001"/>
    </row>
    <row r="100" spans="2:7" ht="16.5" customHeight="1" x14ac:dyDescent="0.2">
      <c r="B100" s="332" t="s">
        <v>1100</v>
      </c>
      <c r="C100" s="336"/>
      <c r="D100" s="1822"/>
      <c r="E100" s="1823"/>
      <c r="F100" s="1824"/>
      <c r="G100" s="878"/>
    </row>
    <row r="101" spans="2:7" ht="16.5" customHeight="1" x14ac:dyDescent="0.2">
      <c r="B101" s="332" t="s">
        <v>1100</v>
      </c>
      <c r="C101" s="336"/>
      <c r="D101" s="1822"/>
      <c r="E101" s="1823"/>
      <c r="F101" s="1824"/>
      <c r="G101" s="878"/>
    </row>
    <row r="102" spans="2:7" ht="16.5" customHeight="1" x14ac:dyDescent="0.2">
      <c r="B102" s="332" t="s">
        <v>1100</v>
      </c>
      <c r="C102" s="336"/>
      <c r="D102" s="1822"/>
      <c r="E102" s="1823"/>
      <c r="F102" s="1824"/>
      <c r="G102" s="878"/>
    </row>
    <row r="103" spans="2:7" ht="16.5" customHeight="1" x14ac:dyDescent="0.2">
      <c r="B103" s="332" t="s">
        <v>1100</v>
      </c>
      <c r="C103" s="336"/>
      <c r="D103" s="1822"/>
      <c r="E103" s="1823"/>
      <c r="F103" s="1824"/>
      <c r="G103" s="878"/>
    </row>
    <row r="104" spans="2:7" ht="16.5" customHeight="1" x14ac:dyDescent="0.2">
      <c r="B104" s="332" t="s">
        <v>1100</v>
      </c>
      <c r="C104" s="336"/>
      <c r="D104" s="1822"/>
      <c r="E104" s="1823"/>
      <c r="F104" s="1824"/>
      <c r="G104" s="878"/>
    </row>
    <row r="105" spans="2:7" ht="16.5" customHeight="1" x14ac:dyDescent="0.2">
      <c r="B105" s="332" t="s">
        <v>1100</v>
      </c>
      <c r="C105" s="336"/>
      <c r="D105" s="1822"/>
      <c r="E105" s="1823"/>
      <c r="F105" s="1824"/>
      <c r="G105" s="878"/>
    </row>
    <row r="106" spans="2:7" ht="16.5" customHeight="1" thickBot="1" x14ac:dyDescent="0.25">
      <c r="B106" s="334" t="s">
        <v>1100</v>
      </c>
      <c r="C106" s="999"/>
      <c r="D106" s="1816"/>
      <c r="E106" s="1817"/>
      <c r="F106" s="1818"/>
      <c r="G106" s="880"/>
    </row>
    <row r="107" spans="2:7" ht="12.95" customHeight="1" x14ac:dyDescent="0.2">
      <c r="D107" s="318"/>
      <c r="E107" s="320"/>
      <c r="F107" s="320"/>
      <c r="G107" s="320"/>
    </row>
    <row r="108" spans="2:7" ht="12.95" customHeight="1" x14ac:dyDescent="0.2">
      <c r="D108" s="318"/>
      <c r="E108" s="320"/>
      <c r="F108" s="320"/>
      <c r="G108" s="320"/>
    </row>
    <row r="109" spans="2:7" ht="12.95" customHeight="1" x14ac:dyDescent="0.2">
      <c r="D109" s="318"/>
      <c r="E109" s="320"/>
      <c r="F109" s="320"/>
      <c r="G109" s="320"/>
    </row>
    <row r="110" spans="2:7" ht="12.95" customHeight="1" x14ac:dyDescent="0.2">
      <c r="D110" s="318"/>
      <c r="E110" s="320"/>
      <c r="F110" s="320"/>
      <c r="G110" s="320"/>
    </row>
    <row r="111" spans="2:7" ht="12.95" customHeight="1" x14ac:dyDescent="0.2">
      <c r="E111" s="320"/>
      <c r="F111" s="320"/>
      <c r="G111" s="320"/>
    </row>
    <row r="112" spans="2:7" ht="12.95" customHeight="1" x14ac:dyDescent="0.2">
      <c r="E112" s="320"/>
      <c r="F112" s="320"/>
      <c r="G112" s="320"/>
    </row>
    <row r="113" spans="5:7" ht="12.95" customHeight="1" x14ac:dyDescent="0.2">
      <c r="E113" s="320"/>
      <c r="F113" s="320"/>
      <c r="G113" s="320"/>
    </row>
    <row r="114" spans="5:7" ht="12.2" customHeight="1" x14ac:dyDescent="0.2">
      <c r="E114" s="320"/>
      <c r="F114" s="320"/>
      <c r="G114" s="320"/>
    </row>
    <row r="115" spans="5:7" ht="12.2" customHeight="1" x14ac:dyDescent="0.2">
      <c r="E115" s="320"/>
      <c r="F115" s="320"/>
      <c r="G115" s="320"/>
    </row>
    <row r="116" spans="5:7" ht="12.2" customHeight="1" x14ac:dyDescent="0.2">
      <c r="E116" s="320"/>
      <c r="F116" s="320"/>
      <c r="G116" s="320"/>
    </row>
    <row r="117" spans="5:7" ht="12.2" customHeight="1" x14ac:dyDescent="0.2">
      <c r="E117" s="320"/>
      <c r="F117" s="320"/>
      <c r="G117" s="320"/>
    </row>
    <row r="118" spans="5:7" ht="12.2" customHeight="1" x14ac:dyDescent="0.2">
      <c r="E118" s="320"/>
      <c r="F118" s="320"/>
      <c r="G118" s="320"/>
    </row>
    <row r="119" spans="5:7" ht="12.2" customHeight="1" x14ac:dyDescent="0.2"/>
    <row r="120" spans="5:7" ht="12.2" customHeight="1" x14ac:dyDescent="0.2"/>
    <row r="121" spans="5:7" ht="12.2" customHeight="1" x14ac:dyDescent="0.2"/>
    <row r="122" spans="5:7" ht="12.2" customHeight="1" x14ac:dyDescent="0.2"/>
  </sheetData>
  <sortState xmlns:xlrd2="http://schemas.microsoft.com/office/spreadsheetml/2017/richdata2" ref="B72:K82">
    <sortCondition ref="B72"/>
  </sortState>
  <customSheetViews>
    <customSheetView guid="{C88CD669-B349-4A86-8041-5686C62E698E}" fitToPage="1" state="hidden">
      <selection activeCell="L27" sqref="L27"/>
      <pageMargins left="0.7" right="0.7" top="0.75" bottom="0.75" header="0.3" footer="0.3"/>
      <pageSetup scale="59" fitToHeight="0" orientation="portrait" r:id="rId1"/>
      <headerFooter>
        <oddFooter>&amp;L&amp;D                Page &amp;P of &amp;N&amp;R&amp;Z&amp;F</oddFooter>
      </headerFooter>
    </customSheetView>
    <customSheetView guid="{14A9C729-6567-47B0-B521-30EFFF4E950A}" fitToPage="1" state="hidden" topLeftCell="A28">
      <selection activeCell="C65" sqref="C65"/>
      <pageMargins left="0.7" right="0.7" top="0.75" bottom="0.75" header="0.3" footer="0.3"/>
      <pageSetup scale="59" fitToHeight="0" orientation="portrait" horizontalDpi="1200" verticalDpi="1200" r:id="rId2"/>
      <headerFooter>
        <oddFooter>&amp;L&amp;D                Page &amp;P of &amp;N&amp;R&amp;Z&amp;F</oddFooter>
      </headerFooter>
    </customSheetView>
    <customSheetView guid="{198460B7-6D23-4AED-A971-BF824A975991}" fitToPage="1" state="hidden" topLeftCell="A28">
      <selection activeCell="C65" sqref="C65"/>
      <pageMargins left="0.7" right="0.7" top="0.75" bottom="0.75" header="0.3" footer="0.3"/>
      <pageSetup scale="59" fitToHeight="0" orientation="portrait" horizontalDpi="1200" verticalDpi="1200" r:id="rId3"/>
      <headerFooter>
        <oddFooter>&amp;L&amp;D                Page &amp;P of &amp;N&amp;R&amp;Z&amp;F</oddFooter>
      </headerFooter>
    </customSheetView>
  </customSheetViews>
  <mergeCells count="53">
    <mergeCell ref="D78:F78"/>
    <mergeCell ref="E75:F75"/>
    <mergeCell ref="E76:F76"/>
    <mergeCell ref="B77:G77"/>
    <mergeCell ref="B74:G74"/>
    <mergeCell ref="B36:G36"/>
    <mergeCell ref="B12:G12"/>
    <mergeCell ref="C10:D10"/>
    <mergeCell ref="B13:G13"/>
    <mergeCell ref="C11:D11"/>
    <mergeCell ref="D85:F85"/>
    <mergeCell ref="D86:F86"/>
    <mergeCell ref="D87:F87"/>
    <mergeCell ref="D88:F88"/>
    <mergeCell ref="D80:F80"/>
    <mergeCell ref="D81:F81"/>
    <mergeCell ref="D82:F82"/>
    <mergeCell ref="D83:F83"/>
    <mergeCell ref="D84:F84"/>
    <mergeCell ref="D96:F96"/>
    <mergeCell ref="D97:F97"/>
    <mergeCell ref="D98:F98"/>
    <mergeCell ref="D89:F89"/>
    <mergeCell ref="D90:F90"/>
    <mergeCell ref="D91:F91"/>
    <mergeCell ref="D92:F92"/>
    <mergeCell ref="D93:F93"/>
    <mergeCell ref="D56:F56"/>
    <mergeCell ref="D57:F57"/>
    <mergeCell ref="D61:F61"/>
    <mergeCell ref="D62:F62"/>
    <mergeCell ref="D63:F63"/>
    <mergeCell ref="B51:G51"/>
    <mergeCell ref="D52:F52"/>
    <mergeCell ref="D53:F53"/>
    <mergeCell ref="D54:F54"/>
    <mergeCell ref="D55:F55"/>
    <mergeCell ref="D65:F65"/>
    <mergeCell ref="D58:F58"/>
    <mergeCell ref="D59:F59"/>
    <mergeCell ref="D60:F60"/>
    <mergeCell ref="D106:F106"/>
    <mergeCell ref="B66:G66"/>
    <mergeCell ref="D64:F64"/>
    <mergeCell ref="D104:F104"/>
    <mergeCell ref="D105:F105"/>
    <mergeCell ref="D99:F99"/>
    <mergeCell ref="D100:F100"/>
    <mergeCell ref="D101:F101"/>
    <mergeCell ref="D102:F102"/>
    <mergeCell ref="D103:F103"/>
    <mergeCell ref="D94:F94"/>
    <mergeCell ref="D95:F95"/>
  </mergeCells>
  <dataValidations count="2">
    <dataValidation type="list" allowBlank="1" showInputMessage="1" sqref="D107:D110" xr:uid="{00000000-0002-0000-1900-000000000000}">
      <formula1>$P$116:$P$122</formula1>
    </dataValidation>
    <dataValidation type="list" allowBlank="1" showInputMessage="1" sqref="F107:G118 G79:G106" xr:uid="{00000000-0002-0000-1900-000001000000}">
      <formula1>$P$129:$P$136</formula1>
    </dataValidation>
  </dataValidations>
  <pageMargins left="0.7" right="0.7" top="0.75" bottom="0.75" header="0.3" footer="0.3"/>
  <pageSetup scale="59" fitToHeight="0" orientation="portrait" r:id="rId4"/>
  <headerFooter>
    <oddFooter>&amp;L&amp;D                Page &amp;P of &amp;N&amp;R&amp;Z&amp;F</oddFooter>
  </headerFooter>
  <drawing r:id="rId5"/>
  <extLst>
    <ext xmlns:x14="http://schemas.microsoft.com/office/spreadsheetml/2009/9/main" uri="{CCE6A557-97BC-4b89-ADB6-D9C93CAAB3DF}">
      <x14:dataValidations xmlns:xm="http://schemas.microsoft.com/office/excel/2006/main" count="8">
        <x14:dataValidation type="list" allowBlank="1" showInputMessage="1" xr:uid="{00000000-0002-0000-1900-000002000000}">
          <x14:formula1>
            <xm:f>DATA!$M$98:$M$103</xm:f>
          </x14:formula1>
          <xm:sqref>C76</xm:sqref>
        </x14:dataValidation>
        <x14:dataValidation type="list" allowBlank="1" showInputMessage="1" xr:uid="{00000000-0002-0000-1900-000003000000}">
          <x14:formula1>
            <xm:f>DATA!$M$84:$M$91</xm:f>
          </x14:formula1>
          <xm:sqref>E107:E118</xm:sqref>
        </x14:dataValidation>
        <x14:dataValidation type="list" allowBlank="1" showInputMessage="1" xr:uid="{00000000-0002-0000-1900-000004000000}">
          <x14:formula1>
            <xm:f>DATA!$M$71:$M$80</xm:f>
          </x14:formula1>
          <xm:sqref>D76 D68:D73 D15:D35 D38:D50</xm:sqref>
        </x14:dataValidation>
        <x14:dataValidation type="list" allowBlank="1" showInputMessage="1" xr:uid="{00000000-0002-0000-1900-000005000000}">
          <x14:formula1>
            <xm:f>DATA!$M$84:$M$96</xm:f>
          </x14:formula1>
          <xm:sqref>E68:E73 E15:E35 E38:E50</xm:sqref>
        </x14:dataValidation>
        <x14:dataValidation type="list" allowBlank="1" showInputMessage="1" xr:uid="{00000000-0002-0000-1900-000006000000}">
          <x14:formula1>
            <xm:f>DATA!$M$115:$M$118</xm:f>
          </x14:formula1>
          <xm:sqref>C84:C86 C90 C94:C95 G76 C99:C106 C68:C73 G68:G73 G15:G35 G38:G50 G53:G65 C53:C65</xm:sqref>
        </x14:dataValidation>
        <x14:dataValidation type="list" allowBlank="1" showInputMessage="1" xr:uid="{00000000-0002-0000-1900-000007000000}">
          <x14:formula1>
            <xm:f>DATA!$O$105:$O$116</xm:f>
          </x14:formula1>
          <xm:sqref>C11:D11</xm:sqref>
        </x14:dataValidation>
        <x14:dataValidation type="list" allowBlank="1" showInputMessage="1" xr:uid="{00000000-0002-0000-1900-000008000000}">
          <x14:formula1>
            <xm:f>DATA!$M$108:$M$113</xm:f>
          </x14:formula1>
          <xm:sqref>F15:F35</xm:sqref>
        </x14:dataValidation>
        <x14:dataValidation type="list" allowBlank="1" showInputMessage="1" xr:uid="{00000000-0002-0000-1900-000009000000}">
          <x14:formula1>
            <xm:f>DATA!$H$74:$H$104</xm:f>
          </x14:formula1>
          <xm:sqref>C15:C35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44"/>
  <sheetViews>
    <sheetView workbookViewId="0">
      <selection activeCell="Y45" sqref="Y45"/>
    </sheetView>
  </sheetViews>
  <sheetFormatPr defaultColWidth="9.140625" defaultRowHeight="12.75" x14ac:dyDescent="0.25"/>
  <cols>
    <col min="1" max="3" width="3.85546875" style="456" customWidth="1"/>
    <col min="4" max="4" width="10.42578125" style="456" customWidth="1"/>
    <col min="5" max="5" width="12.140625" style="456" bestFit="1" customWidth="1"/>
    <col min="6" max="16384" width="9.140625" style="456"/>
  </cols>
  <sheetData>
    <row r="1" spans="1:11" ht="16.5" x14ac:dyDescent="0.3">
      <c r="A1" s="1851" t="s">
        <v>1228</v>
      </c>
      <c r="B1" s="1851"/>
      <c r="C1" s="1851"/>
      <c r="D1" s="1851"/>
      <c r="E1" s="1851"/>
      <c r="F1" s="1851"/>
      <c r="G1" s="1851"/>
      <c r="H1" s="1851"/>
      <c r="I1" s="1851"/>
      <c r="J1" s="1851"/>
      <c r="K1" s="1851"/>
    </row>
    <row r="2" spans="1:11" x14ac:dyDescent="0.25">
      <c r="A2" s="1852"/>
      <c r="B2" s="1852"/>
      <c r="C2" s="1852"/>
      <c r="D2" s="1852"/>
      <c r="E2" s="1852"/>
      <c r="F2" s="1852"/>
      <c r="G2" s="1852"/>
      <c r="H2" s="1852"/>
      <c r="I2" s="1852"/>
      <c r="J2" s="1852"/>
      <c r="K2" s="1852"/>
    </row>
    <row r="3" spans="1:11" x14ac:dyDescent="0.25">
      <c r="D3" s="457" t="s">
        <v>1335</v>
      </c>
      <c r="E3" s="478" t="str">
        <f>'PROJECT INFO'!E4</f>
        <v>5888</v>
      </c>
    </row>
    <row r="4" spans="1:11" x14ac:dyDescent="0.25">
      <c r="D4" s="457" t="s">
        <v>1229</v>
      </c>
      <c r="E4" s="479"/>
    </row>
    <row r="5" spans="1:11" ht="3.75" customHeight="1" x14ac:dyDescent="0.25">
      <c r="D5" s="457"/>
      <c r="E5" s="458"/>
    </row>
    <row r="6" spans="1:11" x14ac:dyDescent="0.25">
      <c r="D6" s="457" t="s">
        <v>1</v>
      </c>
      <c r="E6" s="474" t="str">
        <f>'PROJECT INFO'!E3</f>
        <v>300 University Boulevard</v>
      </c>
      <c r="F6" s="474"/>
      <c r="G6" s="474"/>
      <c r="H6" s="474"/>
      <c r="I6" s="474"/>
      <c r="J6" s="474"/>
      <c r="K6" s="474"/>
    </row>
    <row r="7" spans="1:11" ht="3.75" customHeight="1" x14ac:dyDescent="0.25">
      <c r="D7" s="457"/>
      <c r="E7" s="460"/>
      <c r="F7" s="460"/>
      <c r="G7" s="460"/>
      <c r="H7" s="460"/>
      <c r="I7" s="460"/>
      <c r="J7" s="460"/>
      <c r="K7" s="460"/>
    </row>
    <row r="8" spans="1:11" x14ac:dyDescent="0.25">
      <c r="D8" s="457" t="s">
        <v>1230</v>
      </c>
      <c r="E8" s="476" t="str">
        <f>'PROJECT INFO'!E5</f>
        <v>300 University Boulevard</v>
      </c>
      <c r="F8" s="476"/>
      <c r="G8" s="476"/>
      <c r="H8" s="476"/>
      <c r="I8" s="476"/>
      <c r="J8" s="476"/>
      <c r="K8" s="476"/>
    </row>
    <row r="9" spans="1:11" x14ac:dyDescent="0.25">
      <c r="E9" s="477" t="str">
        <f>'PROJECT INFO'!E6</f>
        <v>Denver, CO 80206</v>
      </c>
      <c r="F9" s="477"/>
      <c r="G9" s="477"/>
      <c r="H9" s="477"/>
      <c r="I9" s="477"/>
      <c r="J9" s="477"/>
      <c r="K9" s="477"/>
    </row>
    <row r="11" spans="1:11" x14ac:dyDescent="0.25">
      <c r="A11" s="456" t="s">
        <v>1231</v>
      </c>
      <c r="D11" s="456" t="s">
        <v>1232</v>
      </c>
    </row>
    <row r="12" spans="1:11" x14ac:dyDescent="0.25">
      <c r="A12" s="456" t="s">
        <v>1233</v>
      </c>
      <c r="D12" s="456" t="s">
        <v>1234</v>
      </c>
    </row>
    <row r="13" spans="1:11" x14ac:dyDescent="0.25">
      <c r="A13" s="456" t="s">
        <v>1235</v>
      </c>
      <c r="D13" s="456" t="s">
        <v>163</v>
      </c>
    </row>
    <row r="14" spans="1:11" x14ac:dyDescent="0.25">
      <c r="A14" s="456" t="s">
        <v>1236</v>
      </c>
      <c r="D14" s="456" t="s">
        <v>1237</v>
      </c>
    </row>
    <row r="15" spans="1:11" x14ac:dyDescent="0.25">
      <c r="A15" s="456" t="s">
        <v>1238</v>
      </c>
      <c r="D15" s="456" t="s">
        <v>1239</v>
      </c>
    </row>
    <row r="16" spans="1:11" x14ac:dyDescent="0.25">
      <c r="A16" s="456" t="s">
        <v>1240</v>
      </c>
      <c r="D16" s="456" t="s">
        <v>1241</v>
      </c>
    </row>
    <row r="17" spans="1:11" x14ac:dyDescent="0.25">
      <c r="A17" s="456" t="s">
        <v>1242</v>
      </c>
      <c r="D17" s="456" t="s">
        <v>1243</v>
      </c>
    </row>
    <row r="18" spans="1:11" x14ac:dyDescent="0.25">
      <c r="A18" s="456" t="s">
        <v>1244</v>
      </c>
      <c r="D18" s="456" t="s">
        <v>1245</v>
      </c>
    </row>
    <row r="22" spans="1:11" ht="16.5" x14ac:dyDescent="0.3">
      <c r="A22" s="462" t="s">
        <v>1246</v>
      </c>
    </row>
    <row r="24" spans="1:11" x14ac:dyDescent="0.25">
      <c r="D24" s="457" t="s">
        <v>1247</v>
      </c>
      <c r="E24" s="476">
        <f>'PROJECT INFO'!E43</f>
        <v>0</v>
      </c>
      <c r="F24" s="476"/>
      <c r="G24" s="476"/>
      <c r="H24" s="476"/>
      <c r="I24" s="476"/>
      <c r="J24" s="476"/>
      <c r="K24" s="476"/>
    </row>
    <row r="25" spans="1:11" x14ac:dyDescent="0.25">
      <c r="D25" s="457" t="s">
        <v>1248</v>
      </c>
      <c r="E25" s="461"/>
      <c r="F25" s="461"/>
      <c r="G25" s="461"/>
      <c r="H25" s="461"/>
      <c r="I25" s="461"/>
      <c r="J25" s="461"/>
      <c r="K25" s="461"/>
    </row>
    <row r="26" spans="1:11" x14ac:dyDescent="0.25">
      <c r="D26" s="457" t="s">
        <v>1249</v>
      </c>
      <c r="E26" s="461"/>
      <c r="F26" s="461"/>
      <c r="G26" s="461"/>
      <c r="H26" s="461"/>
      <c r="I26" s="461"/>
      <c r="J26" s="461"/>
      <c r="K26" s="461"/>
    </row>
    <row r="27" spans="1:11" x14ac:dyDescent="0.25">
      <c r="D27" s="457" t="s">
        <v>1250</v>
      </c>
      <c r="E27" s="477" t="str">
        <f>'PROJECT INFO'!E38</f>
        <v>M-E Engineers, Inc.</v>
      </c>
      <c r="F27" s="477"/>
      <c r="G27" s="477"/>
      <c r="H27" s="477"/>
      <c r="I27" s="477"/>
      <c r="J27" s="477"/>
      <c r="K27" s="477"/>
    </row>
    <row r="28" spans="1:11" x14ac:dyDescent="0.25">
      <c r="D28" s="457" t="s">
        <v>1251</v>
      </c>
      <c r="E28" s="477" t="str">
        <f>'Project Cost Recap'!E35</f>
        <v>AIR SYSTEMS</v>
      </c>
      <c r="F28" s="477"/>
      <c r="G28" s="477"/>
      <c r="H28" s="477"/>
      <c r="I28" s="477"/>
      <c r="J28" s="477"/>
      <c r="K28" s="477"/>
    </row>
    <row r="29" spans="1:11" x14ac:dyDescent="0.25">
      <c r="D29" s="457" t="s">
        <v>1252</v>
      </c>
      <c r="E29" s="477" t="str">
        <f>'Project Cost Recap'!E31</f>
        <v>FORTUNATO</v>
      </c>
      <c r="F29" s="477"/>
      <c r="G29" s="477"/>
      <c r="H29" s="477"/>
      <c r="I29" s="477"/>
      <c r="J29" s="477"/>
      <c r="K29" s="477"/>
    </row>
    <row r="30" spans="1:11" x14ac:dyDescent="0.25">
      <c r="D30" s="457" t="s">
        <v>1253</v>
      </c>
      <c r="E30" s="477" t="str">
        <f>'Project Cost Recap'!E37</f>
        <v>LONG BUILDING TECHNOLOGIES</v>
      </c>
      <c r="F30" s="477"/>
      <c r="G30" s="477"/>
      <c r="H30" s="477"/>
      <c r="I30" s="477"/>
      <c r="J30" s="477"/>
      <c r="K30" s="477"/>
    </row>
    <row r="31" spans="1:11" x14ac:dyDescent="0.25">
      <c r="D31" s="457" t="s">
        <v>1254</v>
      </c>
      <c r="E31" s="477" t="str">
        <f>'Project Cost Recap'!E38</f>
        <v>FINN &amp; ASSOCIATES</v>
      </c>
      <c r="F31" s="477"/>
      <c r="G31" s="477"/>
      <c r="H31" s="477"/>
      <c r="I31" s="477"/>
      <c r="J31" s="477"/>
      <c r="K31" s="477"/>
    </row>
    <row r="32" spans="1:11" x14ac:dyDescent="0.25">
      <c r="D32" s="457" t="s">
        <v>1255</v>
      </c>
      <c r="E32" s="477">
        <f>'Project Cost Recap'!E26</f>
        <v>0</v>
      </c>
      <c r="F32" s="477"/>
      <c r="G32" s="477"/>
      <c r="H32" s="477"/>
      <c r="I32" s="477"/>
      <c r="J32" s="477"/>
      <c r="K32" s="477"/>
    </row>
    <row r="33" spans="1:11" x14ac:dyDescent="0.25">
      <c r="D33" s="457" t="s">
        <v>1256</v>
      </c>
      <c r="E33" s="477" t="str">
        <f>'Project Cost Recap'!E27</f>
        <v>3 GEN EXCAVATION</v>
      </c>
      <c r="F33" s="477"/>
      <c r="G33" s="477"/>
      <c r="H33" s="477"/>
      <c r="I33" s="477"/>
      <c r="J33" s="477"/>
      <c r="K33" s="477"/>
    </row>
    <row r="34" spans="1:11" x14ac:dyDescent="0.25">
      <c r="D34" s="457" t="s">
        <v>1257</v>
      </c>
      <c r="E34" s="477">
        <f>'Project Cost Recap'!E32</f>
        <v>0</v>
      </c>
      <c r="F34" s="477"/>
      <c r="G34" s="477"/>
      <c r="H34" s="477"/>
      <c r="I34" s="477"/>
      <c r="J34" s="477"/>
      <c r="K34" s="477"/>
    </row>
    <row r="38" spans="1:11" ht="16.5" x14ac:dyDescent="0.3">
      <c r="A38" s="462" t="s">
        <v>1258</v>
      </c>
    </row>
    <row r="39" spans="1:11" ht="3.75" customHeight="1" x14ac:dyDescent="0.3">
      <c r="A39" s="462"/>
      <c r="B39" s="463"/>
    </row>
    <row r="40" spans="1:11" ht="12.75" customHeight="1" x14ac:dyDescent="0.3">
      <c r="A40" s="462"/>
      <c r="B40" s="463" t="s">
        <v>1259</v>
      </c>
      <c r="C40" s="456" t="s">
        <v>1260</v>
      </c>
    </row>
    <row r="41" spans="1:11" ht="12.75" customHeight="1" x14ac:dyDescent="0.3">
      <c r="A41" s="462"/>
      <c r="B41" s="463"/>
      <c r="D41" s="464"/>
    </row>
    <row r="42" spans="1:11" ht="12.75" customHeight="1" x14ac:dyDescent="0.3">
      <c r="A42" s="462"/>
      <c r="B42" s="463"/>
      <c r="D42" s="465"/>
      <c r="E42" s="461"/>
      <c r="F42" s="461"/>
      <c r="G42" s="461"/>
      <c r="H42" s="461"/>
      <c r="I42" s="461"/>
      <c r="J42" s="461"/>
      <c r="K42" s="461"/>
    </row>
    <row r="43" spans="1:11" ht="12.75" customHeight="1" x14ac:dyDescent="0.3">
      <c r="A43" s="462"/>
      <c r="B43" s="463"/>
      <c r="D43" s="461"/>
      <c r="E43" s="461"/>
      <c r="F43" s="461"/>
      <c r="G43" s="461"/>
      <c r="H43" s="461"/>
      <c r="I43" s="461"/>
      <c r="J43" s="461"/>
      <c r="K43" s="461"/>
    </row>
    <row r="44" spans="1:11" x14ac:dyDescent="0.25">
      <c r="B44" s="463" t="s">
        <v>1261</v>
      </c>
      <c r="C44" s="456" t="s">
        <v>1262</v>
      </c>
    </row>
    <row r="45" spans="1:11" x14ac:dyDescent="0.25">
      <c r="B45" s="463" t="s">
        <v>1263</v>
      </c>
      <c r="C45" s="456" t="s">
        <v>1264</v>
      </c>
    </row>
    <row r="46" spans="1:11" x14ac:dyDescent="0.25">
      <c r="B46" s="463"/>
      <c r="C46" s="466" t="s">
        <v>1265</v>
      </c>
      <c r="D46" s="456" t="s">
        <v>1334</v>
      </c>
    </row>
    <row r="47" spans="1:11" x14ac:dyDescent="0.25">
      <c r="B47" s="463"/>
      <c r="C47" s="466"/>
      <c r="E47" s="1855">
        <f>'PROJECT INFO'!E39</f>
        <v>44603</v>
      </c>
      <c r="F47" s="1855"/>
      <c r="G47" s="474"/>
      <c r="H47" s="474"/>
      <c r="I47" s="474"/>
      <c r="J47" s="474"/>
      <c r="K47" s="474"/>
    </row>
    <row r="48" spans="1:11" x14ac:dyDescent="0.25">
      <c r="B48" s="463"/>
      <c r="C48" s="466" t="s">
        <v>1267</v>
      </c>
      <c r="D48" s="456" t="s">
        <v>1266</v>
      </c>
    </row>
    <row r="49" spans="1:11" x14ac:dyDescent="0.25">
      <c r="B49" s="463"/>
      <c r="C49" s="466"/>
    </row>
    <row r="50" spans="1:11" x14ac:dyDescent="0.25">
      <c r="B50" s="463"/>
      <c r="C50" s="466"/>
      <c r="E50" s="461"/>
      <c r="F50" s="461"/>
      <c r="G50" s="461"/>
      <c r="H50" s="461"/>
      <c r="I50" s="461"/>
      <c r="J50" s="461"/>
      <c r="K50" s="461"/>
    </row>
    <row r="51" spans="1:11" x14ac:dyDescent="0.25">
      <c r="B51" s="463"/>
      <c r="C51" s="466" t="s">
        <v>1269</v>
      </c>
      <c r="D51" s="456" t="s">
        <v>1268</v>
      </c>
    </row>
    <row r="52" spans="1:11" x14ac:dyDescent="0.25">
      <c r="B52" s="463"/>
      <c r="C52" s="466"/>
      <c r="E52" s="464"/>
    </row>
    <row r="53" spans="1:11" x14ac:dyDescent="0.25">
      <c r="B53" s="463"/>
      <c r="C53" s="466"/>
      <c r="E53" s="461"/>
      <c r="F53" s="461"/>
      <c r="G53" s="461"/>
      <c r="H53" s="461"/>
      <c r="I53" s="461"/>
      <c r="J53" s="461"/>
      <c r="K53" s="461"/>
    </row>
    <row r="54" spans="1:11" x14ac:dyDescent="0.25">
      <c r="B54" s="463"/>
      <c r="C54" s="466" t="s">
        <v>1289</v>
      </c>
      <c r="D54" s="456" t="s">
        <v>1270</v>
      </c>
    </row>
    <row r="55" spans="1:11" x14ac:dyDescent="0.25">
      <c r="B55" s="463"/>
      <c r="C55" s="466"/>
      <c r="E55" s="464"/>
    </row>
    <row r="56" spans="1:11" x14ac:dyDescent="0.25">
      <c r="A56" s="456" t="s">
        <v>1271</v>
      </c>
      <c r="B56" s="463"/>
      <c r="C56" s="466"/>
      <c r="E56" s="461"/>
      <c r="F56" s="461"/>
      <c r="G56" s="461"/>
      <c r="H56" s="461"/>
      <c r="I56" s="461"/>
      <c r="J56" s="461"/>
      <c r="K56" s="461"/>
    </row>
    <row r="57" spans="1:11" x14ac:dyDescent="0.25">
      <c r="B57" s="463" t="s">
        <v>1272</v>
      </c>
      <c r="C57" s="456" t="s">
        <v>1273</v>
      </c>
    </row>
    <row r="58" spans="1:11" x14ac:dyDescent="0.25">
      <c r="B58" s="463"/>
      <c r="D58" s="464"/>
    </row>
    <row r="59" spans="1:11" x14ac:dyDescent="0.25">
      <c r="B59" s="463"/>
      <c r="D59" s="461"/>
      <c r="E59" s="461"/>
      <c r="F59" s="461"/>
      <c r="G59" s="461"/>
      <c r="H59" s="461"/>
      <c r="I59" s="461"/>
      <c r="J59" s="461"/>
      <c r="K59" s="461"/>
    </row>
    <row r="60" spans="1:11" x14ac:dyDescent="0.25">
      <c r="B60" s="463" t="s">
        <v>1274</v>
      </c>
      <c r="C60" s="456" t="s">
        <v>1275</v>
      </c>
    </row>
    <row r="61" spans="1:11" x14ac:dyDescent="0.25">
      <c r="B61" s="463"/>
      <c r="D61" s="464"/>
    </row>
    <row r="62" spans="1:11" x14ac:dyDescent="0.25">
      <c r="B62" s="463"/>
      <c r="D62" s="461"/>
      <c r="E62" s="461"/>
      <c r="F62" s="461"/>
      <c r="G62" s="461"/>
      <c r="H62" s="461"/>
      <c r="I62" s="461"/>
      <c r="J62" s="461"/>
      <c r="K62" s="461"/>
    </row>
    <row r="63" spans="1:11" x14ac:dyDescent="0.25">
      <c r="B63" s="463" t="s">
        <v>1276</v>
      </c>
      <c r="C63" s="456" t="s">
        <v>1277</v>
      </c>
    </row>
    <row r="64" spans="1:11" x14ac:dyDescent="0.25">
      <c r="B64" s="463"/>
      <c r="D64" s="459"/>
      <c r="E64" s="459"/>
      <c r="F64" s="459"/>
      <c r="G64" s="459"/>
      <c r="H64" s="459"/>
      <c r="I64" s="459"/>
      <c r="J64" s="459"/>
      <c r="K64" s="459"/>
    </row>
    <row r="65" spans="1:11" x14ac:dyDescent="0.25">
      <c r="B65" s="463" t="s">
        <v>1278</v>
      </c>
      <c r="C65" s="456" t="s">
        <v>1279</v>
      </c>
    </row>
    <row r="66" spans="1:11" x14ac:dyDescent="0.25">
      <c r="B66" s="463"/>
      <c r="D66" s="475">
        <f>'PROJECT INFO'!H14</f>
        <v>8.8099999999999998E-2</v>
      </c>
      <c r="E66" s="474"/>
      <c r="F66" s="474"/>
      <c r="G66" s="474"/>
      <c r="H66" s="474"/>
      <c r="I66" s="474"/>
      <c r="J66" s="474"/>
      <c r="K66" s="474"/>
    </row>
    <row r="67" spans="1:11" x14ac:dyDescent="0.25">
      <c r="B67" s="463" t="s">
        <v>1280</v>
      </c>
      <c r="C67" s="456" t="s">
        <v>1281</v>
      </c>
    </row>
    <row r="68" spans="1:11" x14ac:dyDescent="0.25">
      <c r="B68" s="463"/>
      <c r="D68" s="467"/>
      <c r="E68" s="459"/>
      <c r="F68" s="459"/>
      <c r="G68" s="459"/>
      <c r="H68" s="459"/>
      <c r="I68" s="459"/>
      <c r="J68" s="459"/>
      <c r="K68" s="459"/>
    </row>
    <row r="69" spans="1:11" x14ac:dyDescent="0.25">
      <c r="B69" s="463" t="s">
        <v>1282</v>
      </c>
      <c r="C69" s="456" t="s">
        <v>1283</v>
      </c>
    </row>
    <row r="70" spans="1:11" x14ac:dyDescent="0.25">
      <c r="B70" s="463"/>
      <c r="D70" s="464"/>
      <c r="G70" s="464"/>
    </row>
    <row r="71" spans="1:11" x14ac:dyDescent="0.25">
      <c r="B71" s="463"/>
      <c r="D71" s="461"/>
      <c r="E71" s="461"/>
      <c r="F71" s="461"/>
      <c r="G71" s="461"/>
      <c r="H71" s="461"/>
      <c r="I71" s="461"/>
      <c r="J71" s="461"/>
      <c r="K71" s="461"/>
    </row>
    <row r="72" spans="1:11" x14ac:dyDescent="0.25">
      <c r="B72" s="463"/>
      <c r="D72" s="461"/>
      <c r="E72" s="461"/>
      <c r="F72" s="461"/>
      <c r="G72" s="461"/>
      <c r="H72" s="461"/>
      <c r="I72" s="461"/>
      <c r="J72" s="461"/>
      <c r="K72" s="461"/>
    </row>
    <row r="73" spans="1:11" x14ac:dyDescent="0.25">
      <c r="B73" s="463" t="s">
        <v>1284</v>
      </c>
      <c r="C73" s="456" t="s">
        <v>2419</v>
      </c>
    </row>
    <row r="74" spans="1:11" x14ac:dyDescent="0.25">
      <c r="B74" s="1414"/>
      <c r="D74" s="459"/>
      <c r="E74" s="459"/>
      <c r="F74" s="459"/>
      <c r="G74" s="459"/>
      <c r="H74" s="459"/>
      <c r="I74" s="459"/>
      <c r="J74" s="459"/>
      <c r="K74" s="459"/>
    </row>
    <row r="75" spans="1:11" x14ac:dyDescent="0.25">
      <c r="B75" s="1414"/>
      <c r="D75" s="459"/>
      <c r="E75" s="459"/>
      <c r="F75" s="459"/>
      <c r="G75" s="459"/>
      <c r="H75" s="459"/>
      <c r="I75" s="459"/>
      <c r="J75" s="459"/>
      <c r="K75" s="459"/>
    </row>
    <row r="76" spans="1:11" x14ac:dyDescent="0.25">
      <c r="B76" s="1414"/>
      <c r="D76" s="461"/>
      <c r="E76" s="461"/>
      <c r="F76" s="461"/>
      <c r="G76" s="461"/>
      <c r="H76" s="461"/>
      <c r="I76" s="461"/>
      <c r="J76" s="461"/>
      <c r="K76" s="461"/>
    </row>
    <row r="77" spans="1:11" x14ac:dyDescent="0.25">
      <c r="B77" s="1414"/>
      <c r="D77" s="461"/>
      <c r="E77" s="461"/>
      <c r="F77" s="461"/>
      <c r="G77" s="461"/>
      <c r="H77" s="461"/>
      <c r="I77" s="461"/>
      <c r="J77" s="461"/>
      <c r="K77" s="461"/>
    </row>
    <row r="78" spans="1:11" x14ac:dyDescent="0.25">
      <c r="B78" s="463"/>
      <c r="D78" s="461"/>
      <c r="E78" s="461"/>
      <c r="F78" s="461"/>
      <c r="G78" s="461"/>
      <c r="H78" s="461"/>
      <c r="I78" s="461"/>
      <c r="J78" s="461"/>
      <c r="K78" s="461"/>
    </row>
    <row r="79" spans="1:11" ht="16.5" x14ac:dyDescent="0.3">
      <c r="A79" s="462" t="s">
        <v>1285</v>
      </c>
    </row>
    <row r="80" spans="1:11" x14ac:dyDescent="0.25">
      <c r="B80" s="463" t="s">
        <v>1259</v>
      </c>
      <c r="C80" s="456" t="s">
        <v>45</v>
      </c>
    </row>
    <row r="81" spans="2:11" x14ac:dyDescent="0.25">
      <c r="B81" s="463"/>
      <c r="C81" s="466" t="s">
        <v>1265</v>
      </c>
      <c r="D81" s="456" t="s">
        <v>1286</v>
      </c>
    </row>
    <row r="82" spans="2:11" x14ac:dyDescent="0.25">
      <c r="B82" s="463"/>
      <c r="C82" s="466"/>
      <c r="D82" s="456" t="s">
        <v>83</v>
      </c>
      <c r="E82" s="473">
        <f>'Plumbing Recap'!K39</f>
        <v>4230.1860000000006</v>
      </c>
      <c r="G82" s="456" t="s">
        <v>119</v>
      </c>
      <c r="H82" s="473">
        <f>'Heating Recap'!K41</f>
        <v>2104.9499999999998</v>
      </c>
    </row>
    <row r="83" spans="2:11" ht="13.5" customHeight="1" x14ac:dyDescent="0.25">
      <c r="C83" s="466" t="s">
        <v>1267</v>
      </c>
      <c r="D83" s="456" t="s">
        <v>1287</v>
      </c>
      <c r="H83" s="1853">
        <f>'QP Reports'!I56</f>
        <v>1.0076194315662166</v>
      </c>
      <c r="I83" s="1853"/>
    </row>
    <row r="84" spans="2:11" x14ac:dyDescent="0.25">
      <c r="C84" s="466" t="s">
        <v>1269</v>
      </c>
      <c r="D84" s="456" t="s">
        <v>1288</v>
      </c>
    </row>
    <row r="85" spans="2:11" x14ac:dyDescent="0.25">
      <c r="C85" s="466"/>
      <c r="D85" s="456" t="s">
        <v>83</v>
      </c>
      <c r="E85" s="1141">
        <f>'Plumbing Recap'!L41</f>
        <v>3</v>
      </c>
    </row>
    <row r="86" spans="2:11" x14ac:dyDescent="0.25">
      <c r="C86" s="466"/>
      <c r="D86" s="456" t="s">
        <v>119</v>
      </c>
      <c r="E86" s="1143">
        <f>'Heating Recap'!L43</f>
        <v>2</v>
      </c>
      <c r="F86" s="459"/>
      <c r="G86" s="459"/>
      <c r="H86" s="459"/>
      <c r="I86" s="459"/>
      <c r="J86" s="459"/>
      <c r="K86" s="459"/>
    </row>
    <row r="87" spans="2:11" x14ac:dyDescent="0.25">
      <c r="C87" s="466" t="s">
        <v>1289</v>
      </c>
      <c r="D87" s="456" t="s">
        <v>1290</v>
      </c>
    </row>
    <row r="88" spans="2:11" x14ac:dyDescent="0.25">
      <c r="C88" s="466"/>
      <c r="E88" s="1142" t="str">
        <f>'PROJECT INFO'!H19</f>
        <v>No</v>
      </c>
      <c r="F88" s="474"/>
      <c r="G88" s="474"/>
      <c r="H88" s="474"/>
      <c r="I88" s="474"/>
      <c r="J88" s="474"/>
      <c r="K88" s="474"/>
    </row>
    <row r="89" spans="2:11" x14ac:dyDescent="0.25">
      <c r="C89" s="466" t="s">
        <v>1291</v>
      </c>
      <c r="D89" s="456" t="s">
        <v>1292</v>
      </c>
    </row>
    <row r="90" spans="2:11" x14ac:dyDescent="0.25">
      <c r="C90" s="466"/>
    </row>
    <row r="91" spans="2:11" x14ac:dyDescent="0.25">
      <c r="C91" s="466"/>
      <c r="E91" s="461"/>
      <c r="F91" s="461"/>
      <c r="G91" s="461"/>
      <c r="H91" s="461"/>
      <c r="I91" s="461"/>
      <c r="J91" s="461"/>
      <c r="K91" s="461"/>
    </row>
    <row r="92" spans="2:11" x14ac:dyDescent="0.25">
      <c r="C92" s="466" t="s">
        <v>2141</v>
      </c>
      <c r="D92" s="456" t="s">
        <v>2142</v>
      </c>
      <c r="I92" s="476" t="str">
        <f>'PROJECT INFO'!H19</f>
        <v>No</v>
      </c>
    </row>
    <row r="93" spans="2:11" x14ac:dyDescent="0.25">
      <c r="B93" s="463" t="s">
        <v>1261</v>
      </c>
      <c r="C93" s="456" t="s">
        <v>1293</v>
      </c>
    </row>
    <row r="94" spans="2:11" x14ac:dyDescent="0.25">
      <c r="B94" s="463" t="s">
        <v>1263</v>
      </c>
      <c r="C94" s="456" t="s">
        <v>13</v>
      </c>
    </row>
    <row r="95" spans="2:11" x14ac:dyDescent="0.25">
      <c r="B95" s="463" t="s">
        <v>1272</v>
      </c>
      <c r="C95" s="456" t="s">
        <v>1294</v>
      </c>
    </row>
    <row r="96" spans="2:11" x14ac:dyDescent="0.25">
      <c r="B96" s="463" t="s">
        <v>1274</v>
      </c>
      <c r="C96" s="456" t="s">
        <v>1295</v>
      </c>
    </row>
    <row r="97" spans="1:4" x14ac:dyDescent="0.25">
      <c r="B97" s="463" t="s">
        <v>1276</v>
      </c>
      <c r="C97" s="456" t="s">
        <v>1296</v>
      </c>
    </row>
    <row r="101" spans="1:4" ht="16.5" x14ac:dyDescent="0.3">
      <c r="A101" s="462" t="s">
        <v>1297</v>
      </c>
    </row>
    <row r="102" spans="1:4" x14ac:dyDescent="0.25">
      <c r="B102" s="463" t="s">
        <v>1259</v>
      </c>
      <c r="C102" s="456" t="s">
        <v>1298</v>
      </c>
    </row>
    <row r="103" spans="1:4" x14ac:dyDescent="0.25">
      <c r="B103" s="463" t="s">
        <v>1261</v>
      </c>
      <c r="C103" s="456" t="s">
        <v>1299</v>
      </c>
    </row>
    <row r="104" spans="1:4" x14ac:dyDescent="0.25">
      <c r="B104" s="463" t="s">
        <v>1263</v>
      </c>
      <c r="C104" s="456" t="s">
        <v>1300</v>
      </c>
    </row>
    <row r="105" spans="1:4" x14ac:dyDescent="0.25">
      <c r="B105" s="463" t="s">
        <v>1272</v>
      </c>
      <c r="C105" s="456" t="s">
        <v>1301</v>
      </c>
    </row>
    <row r="106" spans="1:4" x14ac:dyDescent="0.25">
      <c r="B106" s="463" t="s">
        <v>1274</v>
      </c>
      <c r="C106" s="456" t="s">
        <v>1302</v>
      </c>
    </row>
    <row r="107" spans="1:4" x14ac:dyDescent="0.25">
      <c r="B107" s="463" t="s">
        <v>1276</v>
      </c>
      <c r="C107" s="456" t="s">
        <v>1303</v>
      </c>
    </row>
    <row r="108" spans="1:4" x14ac:dyDescent="0.25">
      <c r="C108" s="466" t="s">
        <v>1265</v>
      </c>
      <c r="D108" s="456" t="s">
        <v>1304</v>
      </c>
    </row>
    <row r="109" spans="1:4" x14ac:dyDescent="0.25">
      <c r="B109" s="463" t="s">
        <v>1278</v>
      </c>
      <c r="C109" s="456" t="s">
        <v>1305</v>
      </c>
    </row>
    <row r="110" spans="1:4" x14ac:dyDescent="0.25">
      <c r="B110" s="463"/>
    </row>
    <row r="112" spans="1:4" ht="16.5" x14ac:dyDescent="0.3">
      <c r="A112" s="462" t="s">
        <v>1306</v>
      </c>
    </row>
    <row r="113" spans="1:10" x14ac:dyDescent="0.25">
      <c r="B113" s="463" t="s">
        <v>1259</v>
      </c>
      <c r="C113" s="456" t="s">
        <v>1307</v>
      </c>
    </row>
    <row r="114" spans="1:10" x14ac:dyDescent="0.25">
      <c r="B114" s="463"/>
      <c r="C114" s="466" t="s">
        <v>1265</v>
      </c>
      <c r="D114" s="456" t="s">
        <v>1308</v>
      </c>
      <c r="F114" s="1854">
        <f>'PROJECT INFO'!H24</f>
        <v>44757</v>
      </c>
      <c r="G114" s="1854"/>
      <c r="H114" s="1854"/>
      <c r="I114" s="1854"/>
      <c r="J114" s="1854"/>
    </row>
    <row r="115" spans="1:10" x14ac:dyDescent="0.25">
      <c r="B115" s="463"/>
      <c r="C115" s="466" t="s">
        <v>1267</v>
      </c>
      <c r="D115" s="456" t="s">
        <v>1309</v>
      </c>
    </row>
    <row r="116" spans="1:10" x14ac:dyDescent="0.25">
      <c r="B116" s="463"/>
      <c r="C116" s="466" t="s">
        <v>1269</v>
      </c>
      <c r="D116" s="456" t="s">
        <v>1310</v>
      </c>
    </row>
    <row r="117" spans="1:10" x14ac:dyDescent="0.25">
      <c r="B117" s="463"/>
      <c r="C117" s="466" t="s">
        <v>1289</v>
      </c>
      <c r="D117" s="456" t="s">
        <v>1311</v>
      </c>
      <c r="F117" s="1854">
        <f>'PROJECT INFO'!H25</f>
        <v>45056</v>
      </c>
      <c r="G117" s="1854"/>
      <c r="H117" s="1854"/>
      <c r="I117" s="1854"/>
      <c r="J117" s="1854"/>
    </row>
    <row r="118" spans="1:10" x14ac:dyDescent="0.25">
      <c r="B118" s="463" t="s">
        <v>1261</v>
      </c>
      <c r="C118" s="456" t="s">
        <v>1312</v>
      </c>
    </row>
    <row r="119" spans="1:10" x14ac:dyDescent="0.25">
      <c r="B119" s="463" t="s">
        <v>1263</v>
      </c>
      <c r="C119" s="456" t="s">
        <v>1313</v>
      </c>
    </row>
    <row r="120" spans="1:10" x14ac:dyDescent="0.25">
      <c r="B120" s="463" t="s">
        <v>1272</v>
      </c>
      <c r="C120" s="456" t="s">
        <v>1314</v>
      </c>
    </row>
    <row r="121" spans="1:10" x14ac:dyDescent="0.25">
      <c r="B121" s="463" t="s">
        <v>1274</v>
      </c>
      <c r="C121" s="456" t="s">
        <v>1315</v>
      </c>
    </row>
    <row r="124" spans="1:10" ht="16.5" x14ac:dyDescent="0.3">
      <c r="A124" s="462" t="s">
        <v>1316</v>
      </c>
    </row>
    <row r="125" spans="1:10" x14ac:dyDescent="0.25">
      <c r="B125" s="463" t="s">
        <v>1259</v>
      </c>
      <c r="C125" s="456" t="s">
        <v>1317</v>
      </c>
    </row>
    <row r="126" spans="1:10" x14ac:dyDescent="0.25">
      <c r="B126" s="463" t="s">
        <v>1261</v>
      </c>
      <c r="C126" s="456" t="s">
        <v>1318</v>
      </c>
    </row>
    <row r="127" spans="1:10" x14ac:dyDescent="0.25">
      <c r="B127" s="463" t="s">
        <v>1263</v>
      </c>
      <c r="C127" s="456" t="s">
        <v>1319</v>
      </c>
    </row>
    <row r="130" spans="1:3" ht="16.5" x14ac:dyDescent="0.3">
      <c r="A130" s="462" t="s">
        <v>1320</v>
      </c>
    </row>
    <row r="131" spans="1:3" x14ac:dyDescent="0.25">
      <c r="B131" s="463" t="s">
        <v>1259</v>
      </c>
      <c r="C131" s="456" t="s">
        <v>1321</v>
      </c>
    </row>
    <row r="132" spans="1:3" x14ac:dyDescent="0.25">
      <c r="B132" s="463" t="s">
        <v>1261</v>
      </c>
      <c r="C132" s="456" t="s">
        <v>1322</v>
      </c>
    </row>
    <row r="133" spans="1:3" x14ac:dyDescent="0.25">
      <c r="B133" s="463" t="s">
        <v>1263</v>
      </c>
      <c r="C133" s="456" t="s">
        <v>1323</v>
      </c>
    </row>
    <row r="134" spans="1:3" x14ac:dyDescent="0.25">
      <c r="B134" s="463" t="s">
        <v>1272</v>
      </c>
      <c r="C134" s="456" t="s">
        <v>1324</v>
      </c>
    </row>
    <row r="135" spans="1:3" x14ac:dyDescent="0.25">
      <c r="B135" s="463" t="s">
        <v>1274</v>
      </c>
      <c r="C135" s="456" t="s">
        <v>1325</v>
      </c>
    </row>
    <row r="136" spans="1:3" x14ac:dyDescent="0.25">
      <c r="B136" s="463"/>
    </row>
    <row r="138" spans="1:3" ht="16.5" x14ac:dyDescent="0.3">
      <c r="A138" s="462" t="s">
        <v>1326</v>
      </c>
    </row>
    <row r="139" spans="1:3" x14ac:dyDescent="0.25">
      <c r="B139" s="463" t="s">
        <v>1259</v>
      </c>
      <c r="C139" s="456" t="s">
        <v>1327</v>
      </c>
    </row>
    <row r="140" spans="1:3" x14ac:dyDescent="0.25">
      <c r="B140" s="463" t="s">
        <v>1261</v>
      </c>
      <c r="C140" s="456" t="s">
        <v>1328</v>
      </c>
    </row>
    <row r="141" spans="1:3" x14ac:dyDescent="0.25">
      <c r="B141" s="463" t="s">
        <v>1263</v>
      </c>
      <c r="C141" s="456" t="s">
        <v>1329</v>
      </c>
    </row>
    <row r="142" spans="1:3" x14ac:dyDescent="0.25">
      <c r="B142" s="463" t="s">
        <v>1272</v>
      </c>
      <c r="C142" s="456" t="s">
        <v>1330</v>
      </c>
    </row>
    <row r="143" spans="1:3" x14ac:dyDescent="0.25">
      <c r="B143" s="463" t="s">
        <v>1274</v>
      </c>
      <c r="C143" s="456" t="s">
        <v>1331</v>
      </c>
    </row>
    <row r="144" spans="1:3" x14ac:dyDescent="0.25">
      <c r="B144" s="463" t="s">
        <v>1276</v>
      </c>
      <c r="C144" s="456" t="s">
        <v>1332</v>
      </c>
    </row>
  </sheetData>
  <customSheetViews>
    <customSheetView guid="{C88CD669-B349-4A86-8041-5686C62E698E}" state="hidden" topLeftCell="A79">
      <selection activeCell="O106" sqref="O106"/>
      <pageMargins left="0.7" right="0.7" top="0.75" bottom="0.75" header="0.3" footer="0.3"/>
      <pageSetup orientation="portrait" verticalDpi="1200" r:id="rId1"/>
      <headerFooter>
        <oddFooter>&amp;L&amp;F&amp;R&amp;A</oddFooter>
      </headerFooter>
    </customSheetView>
    <customSheetView guid="{14A9C729-6567-47B0-B521-30EFFF4E950A}" topLeftCell="A52">
      <selection activeCell="N76" sqref="N76"/>
      <pageMargins left="0.7" right="0.7" top="0.75" bottom="0.75" header="0.3" footer="0.3"/>
      <pageSetup orientation="portrait" verticalDpi="1200" r:id="rId2"/>
      <headerFooter>
        <oddFooter>&amp;L&amp;F&amp;R&amp;A</oddFooter>
      </headerFooter>
    </customSheetView>
    <customSheetView guid="{198460B7-6D23-4AED-A971-BF824A975991}" topLeftCell="A52">
      <selection activeCell="V94" sqref="V94"/>
      <pageMargins left="0.7" right="0.7" top="0.75" bottom="0.75" header="0.3" footer="0.3"/>
      <pageSetup orientation="portrait" verticalDpi="1200" r:id="rId3"/>
      <headerFooter>
        <oddFooter>&amp;L&amp;F&amp;R&amp;A</oddFooter>
      </headerFooter>
    </customSheetView>
  </customSheetViews>
  <mergeCells count="6">
    <mergeCell ref="A1:K1"/>
    <mergeCell ref="A2:K2"/>
    <mergeCell ref="H83:I83"/>
    <mergeCell ref="F114:J114"/>
    <mergeCell ref="F117:J117"/>
    <mergeCell ref="E47:F47"/>
  </mergeCells>
  <pageMargins left="0.7" right="0.7" top="0.75" bottom="0.75" header="0.3" footer="0.3"/>
  <pageSetup orientation="portrait" verticalDpi="1200" r:id="rId4"/>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G151"/>
  <sheetViews>
    <sheetView topLeftCell="A89" zoomScaleNormal="100" zoomScaleSheetLayoutView="100" workbookViewId="0">
      <selection activeCell="A109" sqref="A109:G109"/>
    </sheetView>
  </sheetViews>
  <sheetFormatPr defaultColWidth="9.140625" defaultRowHeight="12.75" x14ac:dyDescent="0.2"/>
  <cols>
    <col min="1" max="1" width="4.140625" style="285" customWidth="1"/>
    <col min="2" max="2" width="17.140625" style="285" customWidth="1"/>
    <col min="3" max="3" width="14.85546875" style="285" customWidth="1"/>
    <col min="4" max="4" width="15.5703125" style="285" customWidth="1"/>
    <col min="5" max="5" width="10.28515625" style="285" customWidth="1"/>
    <col min="6" max="6" width="14.85546875" style="285" customWidth="1"/>
    <col min="7" max="7" width="13.7109375" style="285" customWidth="1"/>
    <col min="8" max="16384" width="9.140625" style="285"/>
  </cols>
  <sheetData>
    <row r="1" spans="1:7" ht="6.95" customHeight="1" x14ac:dyDescent="0.2"/>
    <row r="2" spans="1:7" ht="59.25" customHeight="1" x14ac:dyDescent="0.2">
      <c r="B2" s="1529"/>
      <c r="C2" s="1529"/>
      <c r="D2" s="1529"/>
      <c r="E2" s="1529"/>
      <c r="F2" s="1529"/>
      <c r="G2" s="1529"/>
    </row>
    <row r="3" spans="1:7" ht="27.6" customHeight="1" x14ac:dyDescent="0.2"/>
    <row r="4" spans="1:7" ht="8.1" customHeight="1" x14ac:dyDescent="0.2"/>
    <row r="5" spans="1:7" ht="15" customHeight="1" x14ac:dyDescent="0.2">
      <c r="A5" s="306" t="s">
        <v>363</v>
      </c>
      <c r="B5" s="306"/>
      <c r="C5" s="307">
        <f ca="1">NOW()</f>
        <v>44718.519324884262</v>
      </c>
      <c r="D5" s="306"/>
      <c r="E5" s="306"/>
      <c r="F5" s="306"/>
      <c r="G5" s="306"/>
    </row>
    <row r="6" spans="1:7" ht="9" customHeight="1" x14ac:dyDescent="0.2">
      <c r="A6" s="306"/>
      <c r="B6" s="306"/>
      <c r="C6" s="306"/>
      <c r="D6" s="306"/>
      <c r="E6" s="306"/>
      <c r="F6" s="306"/>
      <c r="G6" s="306"/>
    </row>
    <row r="7" spans="1:7" ht="15" customHeight="1" x14ac:dyDescent="0.2">
      <c r="A7" s="306" t="s">
        <v>364</v>
      </c>
      <c r="B7" s="306"/>
      <c r="C7" s="309" t="str">
        <f>'PROJECT INFO'!E8</f>
        <v>GE JOHNSON CONSTRUCTION COMPANY</v>
      </c>
      <c r="D7" s="306"/>
      <c r="E7" s="306"/>
      <c r="F7" s="306" t="s">
        <v>2458</v>
      </c>
      <c r="G7" s="1427" t="str">
        <f>+'GO-NO-GO CHECKLIST'!I26</f>
        <v>5888</v>
      </c>
    </row>
    <row r="8" spans="1:7" ht="15" customHeight="1" x14ac:dyDescent="0.2">
      <c r="A8" s="306" t="s">
        <v>365</v>
      </c>
      <c r="B8" s="306"/>
      <c r="C8" s="447">
        <f>'PROJECT INFO'!E9</f>
        <v>0</v>
      </c>
      <c r="D8" s="306"/>
      <c r="E8" s="306"/>
      <c r="F8" s="1426"/>
      <c r="G8" s="306"/>
    </row>
    <row r="9" spans="1:7" ht="15" customHeight="1" x14ac:dyDescent="0.2">
      <c r="A9" s="306" t="s">
        <v>366</v>
      </c>
      <c r="B9" s="306"/>
      <c r="C9" s="447">
        <f>'PROJECT INFO'!E10</f>
        <v>0</v>
      </c>
      <c r="D9" s="306"/>
      <c r="E9" s="306"/>
      <c r="F9" s="306"/>
      <c r="G9" s="306"/>
    </row>
    <row r="10" spans="1:7" ht="15" customHeight="1" x14ac:dyDescent="0.2">
      <c r="A10" s="306" t="s">
        <v>254</v>
      </c>
      <c r="B10" s="306"/>
      <c r="C10" s="447" t="str">
        <f>'PROJECT INFO'!E11</f>
        <v>5613 DTC PARKWAY, #450</v>
      </c>
      <c r="D10" s="306"/>
      <c r="E10" s="306"/>
      <c r="F10" s="306"/>
      <c r="G10" s="306"/>
    </row>
    <row r="11" spans="1:7" ht="15" customHeight="1" x14ac:dyDescent="0.2">
      <c r="A11" s="306" t="s">
        <v>367</v>
      </c>
      <c r="B11" s="306"/>
      <c r="C11" s="447" t="str">
        <f>'PROJECT INFO'!E12</f>
        <v>GREENWOOD VILLAGE, CO 80111</v>
      </c>
      <c r="D11" s="306"/>
      <c r="E11" s="306"/>
      <c r="F11" s="306"/>
      <c r="G11" s="306"/>
    </row>
    <row r="12" spans="1:7" ht="9.75" customHeight="1" x14ac:dyDescent="0.2">
      <c r="A12" s="306"/>
      <c r="B12" s="306"/>
      <c r="C12" s="306"/>
      <c r="D12" s="306"/>
      <c r="E12" s="306"/>
      <c r="F12" s="306"/>
      <c r="G12" s="306"/>
    </row>
    <row r="13" spans="1:7" ht="15" customHeight="1" x14ac:dyDescent="0.2">
      <c r="A13" s="306" t="s">
        <v>181</v>
      </c>
      <c r="B13" s="306"/>
      <c r="C13" s="309" t="str">
        <f>'PROJECT INFO'!E3</f>
        <v>300 University Boulevard</v>
      </c>
      <c r="D13" s="306"/>
      <c r="E13" s="306"/>
      <c r="F13" s="306"/>
      <c r="G13" s="306"/>
    </row>
    <row r="14" spans="1:7" ht="15" customHeight="1" x14ac:dyDescent="0.2">
      <c r="A14" s="306" t="s">
        <v>254</v>
      </c>
      <c r="B14" s="306"/>
      <c r="C14" s="309" t="str">
        <f>'PROJECT INFO'!E5</f>
        <v>300 University Boulevard</v>
      </c>
      <c r="D14" s="306"/>
      <c r="E14" s="306"/>
      <c r="F14" s="306"/>
      <c r="G14" s="306"/>
    </row>
    <row r="15" spans="1:7" ht="15" customHeight="1" x14ac:dyDescent="0.2">
      <c r="A15" s="306" t="s">
        <v>367</v>
      </c>
      <c r="B15" s="306"/>
      <c r="C15" s="309" t="str">
        <f>'PROJECT INFO'!E6</f>
        <v>Denver, CO 80206</v>
      </c>
      <c r="D15" s="306"/>
      <c r="E15" s="306"/>
      <c r="F15" s="306"/>
      <c r="G15" s="306"/>
    </row>
    <row r="16" spans="1:7" ht="14.25" x14ac:dyDescent="0.2">
      <c r="A16" s="306"/>
      <c r="B16" s="306"/>
      <c r="C16" s="306"/>
      <c r="D16" s="306"/>
      <c r="E16" s="306"/>
      <c r="F16" s="306"/>
      <c r="G16" s="306"/>
    </row>
    <row r="17" spans="1:7" ht="45" customHeight="1" x14ac:dyDescent="0.2">
      <c r="A17" s="1521" t="s">
        <v>2152</v>
      </c>
      <c r="B17" s="1521"/>
      <c r="C17" s="1521"/>
      <c r="D17" s="1521"/>
      <c r="E17" s="1521"/>
      <c r="F17" s="1521"/>
      <c r="G17" s="1521"/>
    </row>
    <row r="18" spans="1:7" ht="14.25" x14ac:dyDescent="0.2">
      <c r="A18" s="306"/>
      <c r="B18" s="306"/>
      <c r="C18" s="306"/>
      <c r="D18" s="306"/>
      <c r="E18" s="306"/>
      <c r="F18" s="306"/>
      <c r="G18" s="306"/>
    </row>
    <row r="19" spans="1:7" ht="15" customHeight="1" x14ac:dyDescent="0.2">
      <c r="A19" s="308" t="s">
        <v>288</v>
      </c>
      <c r="B19" s="308"/>
      <c r="C19" s="309" t="str">
        <f>'PROJECT INFO'!E38</f>
        <v>M-E Engineers, Inc.</v>
      </c>
      <c r="D19" s="306"/>
      <c r="E19" s="306"/>
      <c r="F19" s="306" t="s">
        <v>291</v>
      </c>
      <c r="G19" s="309" t="str">
        <f>'PROJECT INFO'!E40</f>
        <v>NONE</v>
      </c>
    </row>
    <row r="20" spans="1:7" ht="15" customHeight="1" x14ac:dyDescent="0.2">
      <c r="A20" s="309" t="s">
        <v>368</v>
      </c>
      <c r="B20" s="309"/>
      <c r="C20" s="310">
        <f>'PROJECT INFO'!E39</f>
        <v>44603</v>
      </c>
      <c r="D20" s="306"/>
      <c r="E20" s="306"/>
      <c r="F20" s="306"/>
      <c r="G20" s="444"/>
    </row>
    <row r="21" spans="1:7" ht="10.5" customHeight="1" x14ac:dyDescent="0.2">
      <c r="C21" s="286"/>
    </row>
    <row r="22" spans="1:7" ht="14.25" x14ac:dyDescent="0.2">
      <c r="A22" s="446"/>
      <c r="B22" s="1530" t="s">
        <v>369</v>
      </c>
      <c r="C22" s="1530"/>
      <c r="D22" s="1530"/>
      <c r="E22" s="1530"/>
      <c r="F22" s="1530"/>
      <c r="G22" s="1530"/>
    </row>
    <row r="23" spans="1:7" ht="8.25" customHeight="1" x14ac:dyDescent="0.2"/>
    <row r="24" spans="1:7" ht="15" customHeight="1" x14ac:dyDescent="0.2">
      <c r="A24" s="312">
        <f>SUBTOTAL(103,$B$24:B24)</f>
        <v>1</v>
      </c>
      <c r="B24" s="1531" t="s">
        <v>2155</v>
      </c>
      <c r="C24" s="1531"/>
      <c r="D24" s="1261">
        <f>'PROJECT INFO'!H14</f>
        <v>8.8099999999999998E-2</v>
      </c>
      <c r="E24" s="1262"/>
      <c r="F24" s="1262"/>
      <c r="G24" s="1262"/>
    </row>
    <row r="25" spans="1:7" ht="15" customHeight="1" x14ac:dyDescent="0.2">
      <c r="A25" s="312">
        <f>SUBTOTAL(103,$B$24:B25)</f>
        <v>2</v>
      </c>
      <c r="B25" s="1532" t="s">
        <v>2154</v>
      </c>
      <c r="C25" s="1532"/>
      <c r="D25" s="1532"/>
      <c r="E25" s="1532"/>
      <c r="F25" s="1532"/>
      <c r="G25" s="1532"/>
    </row>
    <row r="26" spans="1:7" ht="15" customHeight="1" x14ac:dyDescent="0.2">
      <c r="A26" s="312">
        <f>SUBTOTAL(103,$B$24:B26)</f>
        <v>3</v>
      </c>
      <c r="B26" s="1515" t="s">
        <v>370</v>
      </c>
      <c r="C26" s="1515"/>
      <c r="D26" s="1515"/>
      <c r="E26" s="1515"/>
      <c r="F26" s="1515"/>
      <c r="G26" s="1263" t="str">
        <f>'PROJECT INFO'!H50</f>
        <v>One Year</v>
      </c>
    </row>
    <row r="27" spans="1:7" ht="60" customHeight="1" x14ac:dyDescent="0.2">
      <c r="A27" s="312">
        <f>SUBTOTAL(103,$B$24:B27)</f>
        <v>4</v>
      </c>
      <c r="B27" s="1515" t="s">
        <v>1588</v>
      </c>
      <c r="C27" s="1515"/>
      <c r="D27" s="1515"/>
      <c r="E27" s="1515"/>
      <c r="F27" s="1515"/>
      <c r="G27" s="1515"/>
    </row>
    <row r="28" spans="1:7" ht="30" customHeight="1" x14ac:dyDescent="0.2">
      <c r="A28" s="312">
        <f>SUBTOTAL(103,$B$24:B28)</f>
        <v>5</v>
      </c>
      <c r="B28" s="1515" t="s">
        <v>371</v>
      </c>
      <c r="C28" s="1515"/>
      <c r="D28" s="1515"/>
      <c r="E28" s="1515"/>
      <c r="F28" s="1515"/>
      <c r="G28" s="1515"/>
    </row>
    <row r="29" spans="1:7" ht="73.5" customHeight="1" x14ac:dyDescent="0.2">
      <c r="A29" s="312">
        <f>SUBTOTAL(103,$B$24:B29)</f>
        <v>6</v>
      </c>
      <c r="B29" s="1523" t="s">
        <v>1696</v>
      </c>
      <c r="C29" s="1523"/>
      <c r="D29" s="1523"/>
      <c r="E29" s="1523"/>
      <c r="F29" s="1523"/>
      <c r="G29" s="1523"/>
    </row>
    <row r="30" spans="1:7" ht="30" customHeight="1" x14ac:dyDescent="0.2">
      <c r="A30" s="312">
        <f>SUBTOTAL(103,$B$24:B30)</f>
        <v>7</v>
      </c>
      <c r="B30" s="1515" t="s">
        <v>2156</v>
      </c>
      <c r="C30" s="1515"/>
      <c r="D30" s="1515"/>
      <c r="E30" s="1515"/>
      <c r="F30" s="1515"/>
      <c r="G30" s="1515"/>
    </row>
    <row r="31" spans="1:7" ht="30" customHeight="1" x14ac:dyDescent="0.2">
      <c r="A31" s="312">
        <f>SUBTOTAL(103,$B$24:B31)</f>
        <v>8</v>
      </c>
      <c r="B31" s="1515" t="s">
        <v>2158</v>
      </c>
      <c r="C31" s="1515"/>
      <c r="D31" s="1515"/>
      <c r="E31" s="1515"/>
      <c r="F31" s="1515"/>
      <c r="G31" s="1515"/>
    </row>
    <row r="32" spans="1:7" ht="45.75" customHeight="1" x14ac:dyDescent="0.2">
      <c r="A32" s="312">
        <f>SUBTOTAL(103,$B$24:B32)</f>
        <v>9</v>
      </c>
      <c r="B32" s="1515" t="s">
        <v>2463</v>
      </c>
      <c r="C32" s="1515"/>
      <c r="D32" s="1515"/>
      <c r="E32" s="1515"/>
      <c r="F32" s="1515"/>
      <c r="G32" s="1515"/>
    </row>
    <row r="33" spans="1:7" ht="14.25" x14ac:dyDescent="0.2">
      <c r="A33" s="312">
        <f>SUBTOTAL(103,$B$24:B33)</f>
        <v>10</v>
      </c>
      <c r="B33" s="1515" t="s">
        <v>2444</v>
      </c>
      <c r="C33" s="1515"/>
      <c r="D33" s="1515"/>
      <c r="E33" s="1515"/>
      <c r="F33" s="1515"/>
      <c r="G33" s="1515"/>
    </row>
    <row r="34" spans="1:7" s="1433" customFormat="1" ht="27.75" customHeight="1" x14ac:dyDescent="0.2">
      <c r="A34" s="1432">
        <f>SUBTOTAL(103,$B$24:B34)</f>
        <v>11</v>
      </c>
      <c r="B34" s="1514" t="s">
        <v>2565</v>
      </c>
      <c r="C34" s="1514"/>
      <c r="D34" s="1514"/>
      <c r="E34" s="1514"/>
      <c r="F34" s="1514"/>
      <c r="G34" s="1514"/>
    </row>
    <row r="36" spans="1:7" ht="14.25" x14ac:dyDescent="0.2">
      <c r="A36" s="445"/>
      <c r="B36" s="1518" t="s">
        <v>372</v>
      </c>
      <c r="C36" s="1518"/>
      <c r="D36" s="1518"/>
      <c r="E36" s="1518"/>
      <c r="F36" s="1518"/>
      <c r="G36" s="1518"/>
    </row>
    <row r="37" spans="1:7" ht="11.25" customHeight="1" x14ac:dyDescent="0.2"/>
    <row r="38" spans="1:7" ht="15" customHeight="1" x14ac:dyDescent="0.2">
      <c r="A38" s="312">
        <f>SUBTOTAL(103,$B38:B$38)</f>
        <v>1</v>
      </c>
      <c r="B38" s="1521" t="s">
        <v>373</v>
      </c>
      <c r="C38" s="1521"/>
      <c r="D38" s="1521"/>
      <c r="E38" s="1521"/>
      <c r="F38" s="1521"/>
      <c r="G38" s="1521"/>
    </row>
    <row r="39" spans="1:7" ht="15" customHeight="1" x14ac:dyDescent="0.2">
      <c r="A39" s="312">
        <f>SUBTOTAL(103,$B$38:B39)</f>
        <v>2</v>
      </c>
      <c r="B39" s="1521" t="s">
        <v>374</v>
      </c>
      <c r="C39" s="1521"/>
      <c r="D39" s="1521"/>
      <c r="E39" s="1521"/>
      <c r="F39" s="1521"/>
      <c r="G39" s="1521"/>
    </row>
    <row r="40" spans="1:7" ht="15" customHeight="1" x14ac:dyDescent="0.2">
      <c r="A40" s="312">
        <f>SUBTOTAL(103,$B$38:B40)</f>
        <v>3</v>
      </c>
      <c r="B40" s="1521" t="s">
        <v>375</v>
      </c>
      <c r="C40" s="1521"/>
      <c r="D40" s="1521"/>
      <c r="E40" s="1521"/>
      <c r="F40" s="1521"/>
      <c r="G40" s="1521"/>
    </row>
    <row r="41" spans="1:7" ht="15" customHeight="1" x14ac:dyDescent="0.2">
      <c r="A41" s="312">
        <f>SUBTOTAL(103,$B$38:B41)</f>
        <v>4</v>
      </c>
      <c r="B41" s="1521" t="s">
        <v>376</v>
      </c>
      <c r="C41" s="1521"/>
      <c r="D41" s="1521"/>
      <c r="E41" s="1521"/>
      <c r="F41" s="1521"/>
      <c r="G41" s="1521"/>
    </row>
    <row r="42" spans="1:7" ht="15" customHeight="1" x14ac:dyDescent="0.2">
      <c r="A42" s="312">
        <f>SUBTOTAL(103,$B$38:B42)</f>
        <v>5</v>
      </c>
      <c r="B42" s="1521" t="s">
        <v>377</v>
      </c>
      <c r="C42" s="1521"/>
      <c r="D42" s="1521"/>
      <c r="E42" s="1521"/>
      <c r="F42" s="1521"/>
      <c r="G42" s="1521"/>
    </row>
    <row r="43" spans="1:7" ht="15" customHeight="1" x14ac:dyDescent="0.2">
      <c r="A43" s="312">
        <f>SUBTOTAL(103,$B$38:B43)</f>
        <v>6</v>
      </c>
      <c r="B43" s="1521" t="s">
        <v>378</v>
      </c>
      <c r="C43" s="1521"/>
      <c r="D43" s="1521"/>
      <c r="E43" s="1521"/>
      <c r="F43" s="1521"/>
      <c r="G43" s="1521"/>
    </row>
    <row r="44" spans="1:7" ht="15" customHeight="1" x14ac:dyDescent="0.2">
      <c r="A44" s="312">
        <f>SUBTOTAL(103,$B$38:B44)</f>
        <v>7</v>
      </c>
      <c r="B44" s="1521" t="s">
        <v>379</v>
      </c>
      <c r="C44" s="1521"/>
      <c r="D44" s="1521"/>
      <c r="E44" s="1521"/>
      <c r="F44" s="1521"/>
      <c r="G44" s="1521"/>
    </row>
    <row r="45" spans="1:7" ht="15" customHeight="1" x14ac:dyDescent="0.2">
      <c r="A45" s="312">
        <f>SUBTOTAL(103,$B$38:B45)</f>
        <v>8</v>
      </c>
      <c r="B45" s="1521" t="s">
        <v>380</v>
      </c>
      <c r="C45" s="1521"/>
      <c r="D45" s="1521"/>
      <c r="E45" s="1521"/>
      <c r="F45" s="1521"/>
      <c r="G45" s="1521"/>
    </row>
    <row r="46" spans="1:7" ht="15" customHeight="1" x14ac:dyDescent="0.2">
      <c r="A46" s="312">
        <f>SUBTOTAL(103,$B$38:B46)</f>
        <v>9</v>
      </c>
      <c r="B46" s="1521" t="s">
        <v>381</v>
      </c>
      <c r="C46" s="1521"/>
      <c r="D46" s="1521"/>
      <c r="E46" s="1521"/>
      <c r="F46" s="1521"/>
      <c r="G46" s="1521"/>
    </row>
    <row r="47" spans="1:7" ht="14.25" x14ac:dyDescent="0.2">
      <c r="A47" s="312">
        <f>SUBTOTAL(103,$B$38:B47)</f>
        <v>10</v>
      </c>
      <c r="B47" s="1521" t="s">
        <v>14</v>
      </c>
      <c r="C47" s="1521"/>
      <c r="D47" s="1521"/>
      <c r="E47" s="1521"/>
      <c r="F47" s="1521"/>
      <c r="G47" s="1521"/>
    </row>
    <row r="48" spans="1:7" ht="15" customHeight="1" x14ac:dyDescent="0.2">
      <c r="A48" s="312">
        <f>SUBTOTAL(103,$B$38:B48)</f>
        <v>11</v>
      </c>
      <c r="B48" s="1521" t="s">
        <v>382</v>
      </c>
      <c r="C48" s="1521"/>
      <c r="D48" s="1521"/>
      <c r="E48" s="1521"/>
      <c r="F48" s="1521"/>
      <c r="G48" s="1521"/>
    </row>
    <row r="49" spans="1:7" ht="15" hidden="1" customHeight="1" x14ac:dyDescent="0.2">
      <c r="A49" s="312">
        <f>SUBTOTAL(103,$B$38:B49)</f>
        <v>11</v>
      </c>
      <c r="B49" s="1521" t="s">
        <v>1116</v>
      </c>
      <c r="C49" s="1521"/>
      <c r="D49" s="1521"/>
      <c r="E49" s="1521"/>
      <c r="F49" s="1521"/>
      <c r="G49" s="1521"/>
    </row>
    <row r="50" spans="1:7" ht="15" customHeight="1" x14ac:dyDescent="0.2">
      <c r="A50" s="312">
        <f>SUBTOTAL(103,$B$38:B50)</f>
        <v>12</v>
      </c>
      <c r="B50" s="1521" t="s">
        <v>383</v>
      </c>
      <c r="C50" s="1521"/>
      <c r="D50" s="1521"/>
      <c r="E50" s="1521"/>
      <c r="F50" s="1521"/>
      <c r="G50" s="1521"/>
    </row>
    <row r="51" spans="1:7" ht="15" customHeight="1" x14ac:dyDescent="0.2">
      <c r="A51" s="312">
        <f>SUBTOTAL(103,$B$38:B51)</f>
        <v>13</v>
      </c>
      <c r="B51" s="1521" t="str">
        <f>'PROJECT INFO'!H49</f>
        <v>Demolition - Cut &amp; Removal</v>
      </c>
      <c r="C51" s="1521"/>
      <c r="D51" s="1521"/>
      <c r="E51" s="1521"/>
      <c r="F51" s="1521"/>
      <c r="G51" s="1521"/>
    </row>
    <row r="52" spans="1:7" ht="15" customHeight="1" x14ac:dyDescent="0.2">
      <c r="A52" s="312">
        <f>SUBTOTAL(103,$B$38:B52)</f>
        <v>14</v>
      </c>
      <c r="B52" s="1521" t="s">
        <v>384</v>
      </c>
      <c r="C52" s="1521"/>
      <c r="D52" s="1521"/>
      <c r="E52" s="1521"/>
      <c r="F52" s="1521"/>
      <c r="G52" s="1521"/>
    </row>
    <row r="53" spans="1:7" ht="15" customHeight="1" x14ac:dyDescent="0.2">
      <c r="A53" s="312">
        <f>SUBTOTAL(103,$B$38:B53)</f>
        <v>15</v>
      </c>
      <c r="B53" s="1521" t="s">
        <v>1117</v>
      </c>
      <c r="C53" s="1521"/>
      <c r="D53" s="1521"/>
      <c r="E53" s="1521"/>
      <c r="F53" s="1521"/>
      <c r="G53" s="1521"/>
    </row>
    <row r="54" spans="1:7" ht="14.25" x14ac:dyDescent="0.2">
      <c r="A54" s="312">
        <f>SUBTOTAL(103,$B$38:B54)</f>
        <v>16</v>
      </c>
      <c r="B54" s="1521" t="s">
        <v>268</v>
      </c>
      <c r="C54" s="1521"/>
      <c r="D54" s="1521"/>
      <c r="E54" s="1521"/>
      <c r="F54" s="1521"/>
      <c r="G54" s="1521"/>
    </row>
    <row r="55" spans="1:7" ht="14.25" x14ac:dyDescent="0.2">
      <c r="A55" s="311"/>
      <c r="B55" s="313"/>
      <c r="C55" s="306"/>
    </row>
    <row r="56" spans="1:7" ht="14.25" x14ac:dyDescent="0.2">
      <c r="A56" s="445"/>
      <c r="B56" s="1518" t="s">
        <v>385</v>
      </c>
      <c r="C56" s="1518"/>
      <c r="D56" s="1518"/>
      <c r="E56" s="1518"/>
      <c r="F56" s="1518"/>
      <c r="G56" s="1518"/>
    </row>
    <row r="57" spans="1:7" ht="11.25" customHeight="1" x14ac:dyDescent="0.2">
      <c r="A57" s="306"/>
      <c r="B57" s="306"/>
      <c r="C57" s="306"/>
    </row>
    <row r="58" spans="1:7" ht="15" customHeight="1" x14ac:dyDescent="0.2">
      <c r="A58" s="312">
        <f>SUBTOTAL(103,$B$58:B58)</f>
        <v>1</v>
      </c>
      <c r="B58" s="1516" t="s">
        <v>2186</v>
      </c>
      <c r="C58" s="1516"/>
      <c r="D58" s="1516"/>
      <c r="E58" s="1516"/>
      <c r="F58" s="1516"/>
      <c r="G58" s="1516"/>
    </row>
    <row r="59" spans="1:7" ht="15" customHeight="1" x14ac:dyDescent="0.2">
      <c r="A59" s="312">
        <f>SUBTOTAL(103,$B$58:B59)</f>
        <v>2</v>
      </c>
      <c r="B59" s="1516" t="s">
        <v>2442</v>
      </c>
      <c r="C59" s="1516"/>
      <c r="D59" s="1516"/>
      <c r="E59" s="1516"/>
      <c r="F59" s="1516"/>
      <c r="G59" s="1516"/>
    </row>
    <row r="60" spans="1:7" ht="15" customHeight="1" x14ac:dyDescent="0.2">
      <c r="A60" s="312">
        <f>SUBTOTAL(103,$B$58:B60)</f>
        <v>3</v>
      </c>
      <c r="B60" s="1516" t="s">
        <v>2448</v>
      </c>
      <c r="C60" s="1516"/>
      <c r="D60" s="1516"/>
      <c r="E60" s="1516"/>
      <c r="F60" s="1516"/>
      <c r="G60" s="1516"/>
    </row>
    <row r="61" spans="1:7" ht="15" customHeight="1" x14ac:dyDescent="0.2">
      <c r="A61" s="312">
        <f>SUBTOTAL(103,$B$58:B61)</f>
        <v>4</v>
      </c>
      <c r="B61" s="1516" t="s">
        <v>2153</v>
      </c>
      <c r="C61" s="1516"/>
      <c r="D61" s="1516"/>
      <c r="E61" s="1516"/>
      <c r="F61" s="1516"/>
      <c r="G61" s="1516"/>
    </row>
    <row r="62" spans="1:7" ht="15" customHeight="1" x14ac:dyDescent="0.2">
      <c r="A62" s="312">
        <f>SUBTOTAL(103,$B$58:B62)</f>
        <v>5</v>
      </c>
      <c r="B62" s="1516" t="s">
        <v>268</v>
      </c>
      <c r="C62" s="1516"/>
      <c r="D62" s="1516"/>
      <c r="E62" s="1516"/>
      <c r="F62" s="1516"/>
      <c r="G62" s="1516"/>
    </row>
    <row r="63" spans="1:7" ht="15" customHeight="1" x14ac:dyDescent="0.2">
      <c r="A63" s="312">
        <f>SUBTOTAL(103,$B$58:B63)</f>
        <v>6</v>
      </c>
      <c r="B63" s="1516" t="s">
        <v>386</v>
      </c>
      <c r="C63" s="1516"/>
      <c r="D63" s="1516"/>
      <c r="E63" s="1516"/>
      <c r="F63" s="1516"/>
      <c r="G63" s="1516"/>
    </row>
    <row r="64" spans="1:7" ht="15" customHeight="1" x14ac:dyDescent="0.2">
      <c r="A64" s="312">
        <f>SUBTOTAL(103,$B$58:B64)</f>
        <v>7</v>
      </c>
      <c r="B64" s="1516" t="s">
        <v>952</v>
      </c>
      <c r="C64" s="1516"/>
      <c r="D64" s="1516"/>
      <c r="E64" s="1516"/>
      <c r="F64" s="1516"/>
      <c r="G64" s="1516"/>
    </row>
    <row r="65" spans="1:7" ht="15" customHeight="1" x14ac:dyDescent="0.2">
      <c r="A65" s="312">
        <f>SUBTOTAL(103,$B$58:B65)</f>
        <v>8</v>
      </c>
      <c r="B65" s="1516" t="s">
        <v>2418</v>
      </c>
      <c r="C65" s="1516"/>
      <c r="D65" s="1516"/>
      <c r="E65" s="1516"/>
      <c r="F65" s="1516"/>
      <c r="G65" s="1516"/>
    </row>
    <row r="66" spans="1:7" ht="15" customHeight="1" x14ac:dyDescent="0.2">
      <c r="A66" s="312">
        <f>SUBTOTAL(103,$B$58:B66)</f>
        <v>9</v>
      </c>
      <c r="B66" s="1516" t="s">
        <v>387</v>
      </c>
      <c r="C66" s="1516"/>
      <c r="D66" s="1516"/>
      <c r="E66" s="1516"/>
      <c r="F66" s="1516"/>
      <c r="G66" s="1516"/>
    </row>
    <row r="67" spans="1:7" ht="15" customHeight="1" x14ac:dyDescent="0.2">
      <c r="A67" s="312">
        <f>SUBTOTAL(103,$B$58:B67)</f>
        <v>10</v>
      </c>
      <c r="B67" s="1516" t="s">
        <v>388</v>
      </c>
      <c r="C67" s="1516"/>
      <c r="D67" s="1516"/>
      <c r="E67" s="1516"/>
      <c r="F67" s="1516"/>
      <c r="G67" s="1516"/>
    </row>
    <row r="68" spans="1:7" ht="15" customHeight="1" x14ac:dyDescent="0.2">
      <c r="A68" s="312">
        <f>SUBTOTAL(103,$B$58:B68)</f>
        <v>11</v>
      </c>
      <c r="B68" s="1516" t="s">
        <v>2454</v>
      </c>
      <c r="C68" s="1516"/>
      <c r="D68" s="1516"/>
      <c r="E68" s="1516"/>
      <c r="F68" s="1516"/>
      <c r="G68" s="1516"/>
    </row>
    <row r="69" spans="1:7" ht="15" customHeight="1" x14ac:dyDescent="0.2">
      <c r="A69" s="312">
        <f>SUBTOTAL(103,$B$58:B69)</f>
        <v>12</v>
      </c>
      <c r="B69" s="1516" t="s">
        <v>2462</v>
      </c>
      <c r="C69" s="1516"/>
      <c r="D69" s="1516"/>
      <c r="E69" s="1516"/>
      <c r="F69" s="1516"/>
      <c r="G69" s="1516"/>
    </row>
    <row r="70" spans="1:7" ht="15" customHeight="1" x14ac:dyDescent="0.2">
      <c r="A70" s="312">
        <f>SUBTOTAL(103,$B$58:B70)</f>
        <v>13</v>
      </c>
      <c r="B70" s="1516" t="s">
        <v>389</v>
      </c>
      <c r="C70" s="1516"/>
      <c r="D70" s="1516"/>
      <c r="E70" s="1516"/>
      <c r="F70" s="1516"/>
      <c r="G70" s="1516"/>
    </row>
    <row r="71" spans="1:7" ht="15" customHeight="1" x14ac:dyDescent="0.2">
      <c r="A71" s="312">
        <f>SUBTOTAL(103,$B$58:B71)</f>
        <v>14</v>
      </c>
      <c r="B71" s="1516" t="s">
        <v>2450</v>
      </c>
      <c r="C71" s="1516"/>
      <c r="D71" s="1516"/>
      <c r="E71" s="1516"/>
      <c r="F71" s="1516"/>
      <c r="G71" s="1516"/>
    </row>
    <row r="72" spans="1:7" ht="15" customHeight="1" x14ac:dyDescent="0.2">
      <c r="A72" s="312">
        <f>SUBTOTAL(103,$B$58:B72)</f>
        <v>15</v>
      </c>
      <c r="B72" s="1526" t="s">
        <v>2451</v>
      </c>
      <c r="C72" s="1516"/>
      <c r="D72" s="1516"/>
      <c r="E72" s="1516"/>
      <c r="F72" s="1516"/>
      <c r="G72" s="1516"/>
    </row>
    <row r="73" spans="1:7" ht="15" customHeight="1" x14ac:dyDescent="0.2">
      <c r="A73" s="312">
        <f>SUBTOTAL(103,$B$58:B73)</f>
        <v>16</v>
      </c>
      <c r="B73" s="1526" t="s">
        <v>2449</v>
      </c>
      <c r="C73" s="1516"/>
      <c r="D73" s="1516"/>
      <c r="E73" s="1516"/>
      <c r="F73" s="1516"/>
      <c r="G73" s="1516"/>
    </row>
    <row r="74" spans="1:7" ht="15" customHeight="1" x14ac:dyDescent="0.2">
      <c r="A74" s="312">
        <f>SUBTOTAL(103,$B$58:B74)</f>
        <v>17</v>
      </c>
      <c r="B74" s="1516" t="s">
        <v>390</v>
      </c>
      <c r="C74" s="1516"/>
      <c r="D74" s="1516"/>
      <c r="E74" s="1516"/>
      <c r="F74" s="1516"/>
      <c r="G74" s="1516"/>
    </row>
    <row r="75" spans="1:7" ht="15" customHeight="1" x14ac:dyDescent="0.2">
      <c r="A75" s="312">
        <f>SUBTOTAL(103,$B$58:B75)</f>
        <v>18</v>
      </c>
      <c r="B75" s="1516" t="s">
        <v>2452</v>
      </c>
      <c r="C75" s="1516"/>
      <c r="D75" s="1516"/>
      <c r="E75" s="1516"/>
      <c r="F75" s="1516"/>
      <c r="G75" s="1516"/>
    </row>
    <row r="76" spans="1:7" ht="15" customHeight="1" x14ac:dyDescent="0.2">
      <c r="A76" s="312">
        <f>SUBTOTAL(103,$B$58:B76)</f>
        <v>19</v>
      </c>
      <c r="B76" s="1516" t="s">
        <v>391</v>
      </c>
      <c r="C76" s="1516"/>
      <c r="D76" s="1516"/>
      <c r="E76" s="1516"/>
      <c r="F76" s="1516"/>
      <c r="G76" s="1516"/>
    </row>
    <row r="77" spans="1:7" ht="15" customHeight="1" x14ac:dyDescent="0.2">
      <c r="A77" s="312">
        <f>SUBTOTAL(103,$B$58:B77)</f>
        <v>20</v>
      </c>
      <c r="B77" s="1516" t="s">
        <v>392</v>
      </c>
      <c r="C77" s="1516"/>
      <c r="D77" s="1516"/>
      <c r="E77" s="1516"/>
      <c r="F77" s="1516"/>
      <c r="G77" s="1516"/>
    </row>
    <row r="78" spans="1:7" ht="15" customHeight="1" x14ac:dyDescent="0.2">
      <c r="A78" s="312">
        <f>SUBTOTAL(103,$B$58:B78)</f>
        <v>21</v>
      </c>
      <c r="B78" s="1516" t="s">
        <v>2159</v>
      </c>
      <c r="C78" s="1516"/>
      <c r="D78" s="1516"/>
      <c r="E78" s="1516"/>
      <c r="F78" s="1516"/>
      <c r="G78" s="1516"/>
    </row>
    <row r="79" spans="1:7" ht="15" customHeight="1" x14ac:dyDescent="0.2">
      <c r="A79" s="312">
        <f>SUBTOTAL(103,$B$58:B79)</f>
        <v>22</v>
      </c>
      <c r="B79" s="1516" t="s">
        <v>2446</v>
      </c>
      <c r="C79" s="1516"/>
      <c r="D79" s="1516"/>
      <c r="E79" s="1516"/>
      <c r="F79" s="1516"/>
      <c r="G79" s="1516"/>
    </row>
    <row r="80" spans="1:7" ht="15" customHeight="1" x14ac:dyDescent="0.2">
      <c r="A80" s="312">
        <f>SUBTOTAL(103,$B$58:B80)</f>
        <v>23</v>
      </c>
      <c r="B80" s="1516" t="s">
        <v>2019</v>
      </c>
      <c r="C80" s="1516"/>
      <c r="D80" s="1516"/>
      <c r="E80" s="1516"/>
      <c r="F80" s="1516"/>
      <c r="G80" s="1516"/>
    </row>
    <row r="81" spans="1:7" ht="15" customHeight="1" x14ac:dyDescent="0.2">
      <c r="A81" s="312">
        <f>SUBTOTAL(103,$B$58:B81)</f>
        <v>24</v>
      </c>
      <c r="B81" s="1516" t="s">
        <v>2447</v>
      </c>
      <c r="C81" s="1516"/>
      <c r="D81" s="1516"/>
      <c r="E81" s="1516"/>
      <c r="F81" s="1516"/>
      <c r="G81" s="1516"/>
    </row>
    <row r="82" spans="1:7" ht="15" customHeight="1" x14ac:dyDescent="0.2">
      <c r="A82" s="312">
        <f>SUBTOTAL(103,$B$58:B82)</f>
        <v>25</v>
      </c>
      <c r="B82" s="1516" t="s">
        <v>1214</v>
      </c>
      <c r="C82" s="1516"/>
      <c r="D82" s="1516"/>
      <c r="E82" s="1516"/>
      <c r="F82" s="1516"/>
      <c r="G82" s="1516"/>
    </row>
    <row r="83" spans="1:7" ht="15" customHeight="1" x14ac:dyDescent="0.2">
      <c r="A83" s="312">
        <f>SUBTOTAL(103,$B$58:B83)</f>
        <v>26</v>
      </c>
      <c r="B83" s="1516" t="s">
        <v>393</v>
      </c>
      <c r="C83" s="1516"/>
      <c r="D83" s="1516"/>
      <c r="E83" s="1516"/>
      <c r="F83" s="1516"/>
      <c r="G83" s="1516"/>
    </row>
    <row r="84" spans="1:7" ht="15" customHeight="1" x14ac:dyDescent="0.2">
      <c r="A84" s="312">
        <f>SUBTOTAL(103,$B$58:B84)</f>
        <v>27</v>
      </c>
      <c r="B84" s="1516" t="s">
        <v>2453</v>
      </c>
      <c r="C84" s="1516"/>
      <c r="D84" s="1516"/>
      <c r="E84" s="1516"/>
      <c r="F84" s="1516"/>
      <c r="G84" s="1516"/>
    </row>
    <row r="85" spans="1:7" ht="15" customHeight="1" x14ac:dyDescent="0.2">
      <c r="A85" s="312">
        <f>SUBTOTAL(103,$B$58:B85)</f>
        <v>28</v>
      </c>
      <c r="B85" s="1516" t="s">
        <v>2457</v>
      </c>
      <c r="C85" s="1516"/>
      <c r="D85" s="1516"/>
      <c r="E85" s="1516"/>
      <c r="F85" s="1516"/>
      <c r="G85" s="1516"/>
    </row>
    <row r="86" spans="1:7" ht="15" customHeight="1" x14ac:dyDescent="0.2">
      <c r="A86" s="312">
        <f>SUBTOTAL(103,$B$58:B86)</f>
        <v>29</v>
      </c>
      <c r="B86" s="1516" t="s">
        <v>394</v>
      </c>
      <c r="C86" s="1516"/>
      <c r="D86" s="1516"/>
      <c r="E86" s="1516"/>
      <c r="F86" s="1516"/>
      <c r="G86" s="1516"/>
    </row>
    <row r="87" spans="1:7" ht="15" customHeight="1" x14ac:dyDescent="0.2">
      <c r="A87" s="312">
        <f>SUBTOTAL(103,$B$58:B87)</f>
        <v>30</v>
      </c>
      <c r="B87" s="1516" t="s">
        <v>395</v>
      </c>
      <c r="C87" s="1516"/>
      <c r="D87" s="1516"/>
      <c r="E87" s="1516"/>
      <c r="F87" s="1516"/>
      <c r="G87" s="1516"/>
    </row>
    <row r="88" spans="1:7" ht="15" customHeight="1" x14ac:dyDescent="0.2">
      <c r="A88" s="312">
        <f>SUBTOTAL(103,$B$58:B88)</f>
        <v>31</v>
      </c>
      <c r="B88" s="1516" t="s">
        <v>396</v>
      </c>
      <c r="C88" s="1516"/>
      <c r="D88" s="1516"/>
      <c r="E88" s="1516"/>
      <c r="F88" s="1516"/>
      <c r="G88" s="1516"/>
    </row>
    <row r="89" spans="1:7" ht="15" customHeight="1" x14ac:dyDescent="0.2">
      <c r="A89" s="312">
        <f>SUBTOTAL(103,$B$58:B89)</f>
        <v>32</v>
      </c>
      <c r="B89" s="1516" t="s">
        <v>2456</v>
      </c>
      <c r="C89" s="1516"/>
      <c r="D89" s="1516"/>
      <c r="E89" s="1516"/>
      <c r="F89" s="1516"/>
      <c r="G89" s="1516"/>
    </row>
    <row r="90" spans="1:7" ht="15" customHeight="1" x14ac:dyDescent="0.2">
      <c r="A90" s="312">
        <f>SUBTOTAL(103,$B$58:B90)</f>
        <v>33</v>
      </c>
      <c r="B90" s="1516" t="s">
        <v>2443</v>
      </c>
      <c r="C90" s="1516"/>
      <c r="D90" s="1516"/>
      <c r="E90" s="1516"/>
      <c r="F90" s="1516"/>
      <c r="G90" s="1516"/>
    </row>
    <row r="91" spans="1:7" ht="15" customHeight="1" x14ac:dyDescent="0.2">
      <c r="A91" s="312">
        <f>SUBTOTAL(103,$B$58:B91)</f>
        <v>34</v>
      </c>
      <c r="B91" s="1516" t="s">
        <v>2160</v>
      </c>
      <c r="C91" s="1516"/>
      <c r="D91" s="1516"/>
      <c r="E91" s="1516"/>
      <c r="F91" s="1516"/>
      <c r="G91" s="1516"/>
    </row>
    <row r="92" spans="1:7" ht="15" customHeight="1" x14ac:dyDescent="0.2">
      <c r="A92" s="312">
        <f>SUBTOTAL(103,$B$58:B92)</f>
        <v>35</v>
      </c>
      <c r="B92" s="1516" t="s">
        <v>2161</v>
      </c>
      <c r="C92" s="1516"/>
      <c r="D92" s="1516"/>
      <c r="E92" s="1516"/>
      <c r="F92" s="1516"/>
      <c r="G92" s="1516"/>
    </row>
    <row r="93" spans="1:7" ht="15" customHeight="1" x14ac:dyDescent="0.2">
      <c r="A93" s="312">
        <f>SUBTOTAL(103,$B$58:B93)</f>
        <v>36</v>
      </c>
      <c r="B93" s="1516" t="s">
        <v>1527</v>
      </c>
      <c r="C93" s="1516"/>
      <c r="D93" s="1516"/>
      <c r="E93" s="1516"/>
      <c r="F93" s="1516"/>
      <c r="G93" s="1516"/>
    </row>
    <row r="94" spans="1:7" ht="15" customHeight="1" x14ac:dyDescent="0.2">
      <c r="A94" s="312">
        <f>SUBTOTAL(103,$B$58:B94)</f>
        <v>37</v>
      </c>
      <c r="B94" s="1516" t="s">
        <v>1128</v>
      </c>
      <c r="C94" s="1516"/>
      <c r="D94" s="1516"/>
      <c r="E94" s="1516"/>
      <c r="F94" s="1516"/>
      <c r="G94" s="1516"/>
    </row>
    <row r="95" spans="1:7" ht="15" customHeight="1" x14ac:dyDescent="0.2">
      <c r="A95" s="312">
        <f>SUBTOTAL(103,$B$58:B95)</f>
        <v>38</v>
      </c>
      <c r="B95" s="1516" t="s">
        <v>397</v>
      </c>
      <c r="C95" s="1516"/>
      <c r="D95" s="1516"/>
      <c r="E95" s="1516"/>
      <c r="F95" s="1516"/>
      <c r="G95" s="1516"/>
    </row>
    <row r="96" spans="1:7" ht="15" customHeight="1" x14ac:dyDescent="0.2">
      <c r="A96" s="312">
        <f>SUBTOTAL(103,$B$58:B96)</f>
        <v>39</v>
      </c>
      <c r="B96" s="1516" t="s">
        <v>398</v>
      </c>
      <c r="C96" s="1516"/>
      <c r="D96" s="1516"/>
      <c r="E96" s="1516"/>
      <c r="F96" s="1516"/>
      <c r="G96" s="1516"/>
    </row>
    <row r="97" spans="1:7" ht="15" customHeight="1" x14ac:dyDescent="0.2">
      <c r="A97" s="312">
        <f>SUBTOTAL(103,$B$58:B97)</f>
        <v>40</v>
      </c>
      <c r="B97" s="1516" t="s">
        <v>399</v>
      </c>
      <c r="C97" s="1516"/>
      <c r="D97" s="1516"/>
      <c r="E97" s="1516"/>
      <c r="F97" s="1516"/>
      <c r="G97" s="1516"/>
    </row>
    <row r="98" spans="1:7" ht="15" customHeight="1" x14ac:dyDescent="0.2">
      <c r="A98" s="312">
        <f>SUBTOTAL(103,$B$58:B98)</f>
        <v>41</v>
      </c>
      <c r="B98" s="1516" t="s">
        <v>2371</v>
      </c>
      <c r="C98" s="1516"/>
      <c r="D98" s="1516"/>
      <c r="E98" s="1516"/>
      <c r="F98" s="1516"/>
      <c r="G98" s="1516"/>
    </row>
    <row r="99" spans="1:7" ht="15" customHeight="1" x14ac:dyDescent="0.2">
      <c r="A99" s="312">
        <f>SUBTOTAL(103,$B$58:B99)</f>
        <v>42</v>
      </c>
      <c r="B99" s="1516" t="s">
        <v>400</v>
      </c>
      <c r="C99" s="1516"/>
      <c r="D99" s="1516"/>
      <c r="E99" s="1516"/>
      <c r="F99" s="1516"/>
      <c r="G99" s="1516"/>
    </row>
    <row r="100" spans="1:7" ht="15" customHeight="1" x14ac:dyDescent="0.2">
      <c r="A100" s="312">
        <f>SUBTOTAL(103,$B$58:B100)</f>
        <v>43</v>
      </c>
      <c r="B100" s="1516" t="s">
        <v>401</v>
      </c>
      <c r="C100" s="1516"/>
      <c r="D100" s="1516"/>
      <c r="E100" s="1516"/>
      <c r="F100" s="1516"/>
      <c r="G100" s="1516"/>
    </row>
    <row r="101" spans="1:7" ht="15" customHeight="1" x14ac:dyDescent="0.2">
      <c r="A101" s="312">
        <f>SUBTOTAL(103,$B$58:B101)</f>
        <v>44</v>
      </c>
      <c r="B101" s="1516" t="s">
        <v>402</v>
      </c>
      <c r="C101" s="1516"/>
      <c r="D101" s="1516"/>
      <c r="E101" s="1516"/>
      <c r="F101" s="1516"/>
      <c r="G101" s="1516"/>
    </row>
    <row r="102" spans="1:7" ht="15" customHeight="1" x14ac:dyDescent="0.2">
      <c r="A102" s="312">
        <f>SUBTOTAL(103,$B$58:B102)</f>
        <v>45</v>
      </c>
      <c r="B102" s="1516" t="s">
        <v>134</v>
      </c>
      <c r="C102" s="1516"/>
      <c r="D102" s="1516"/>
      <c r="E102" s="1516"/>
      <c r="F102" s="1516"/>
      <c r="G102" s="1516"/>
    </row>
    <row r="103" spans="1:7" ht="15" customHeight="1" x14ac:dyDescent="0.2">
      <c r="A103" s="312">
        <f>SUBTOTAL(103,$B$58:B103)</f>
        <v>46</v>
      </c>
      <c r="B103" s="1516" t="s">
        <v>403</v>
      </c>
      <c r="C103" s="1516"/>
      <c r="D103" s="1516"/>
      <c r="E103" s="1516"/>
      <c r="F103" s="1516"/>
      <c r="G103" s="1516"/>
    </row>
    <row r="104" spans="1:7" ht="15" customHeight="1" x14ac:dyDescent="0.2">
      <c r="A104" s="312">
        <f>SUBTOTAL(103,$B$58:B104)</f>
        <v>47</v>
      </c>
      <c r="B104" s="1516" t="s">
        <v>2465</v>
      </c>
      <c r="C104" s="1516"/>
      <c r="D104" s="1516"/>
      <c r="E104" s="1516"/>
      <c r="F104" s="1516"/>
      <c r="G104" s="1516"/>
    </row>
    <row r="105" spans="1:7" ht="30" customHeight="1" x14ac:dyDescent="0.2">
      <c r="A105" s="312">
        <f>SUBTOTAL(103,$B$58:B105)</f>
        <v>48</v>
      </c>
      <c r="B105" s="1516" t="s">
        <v>404</v>
      </c>
      <c r="C105" s="1516"/>
      <c r="D105" s="1516"/>
      <c r="E105" s="1516"/>
      <c r="F105" s="1516"/>
      <c r="G105" s="1516"/>
    </row>
    <row r="106" spans="1:7" ht="15" customHeight="1" x14ac:dyDescent="0.2">
      <c r="A106" s="312">
        <f>SUBTOTAL(103,$B$58:B106)</f>
        <v>49</v>
      </c>
      <c r="B106" s="1516" t="s">
        <v>405</v>
      </c>
      <c r="C106" s="1516"/>
      <c r="D106" s="1516"/>
      <c r="E106" s="1516"/>
      <c r="F106" s="1516"/>
      <c r="G106" s="1516"/>
    </row>
    <row r="107" spans="1:7" ht="15" customHeight="1" x14ac:dyDescent="0.2">
      <c r="A107" s="312">
        <f>SUBTOTAL(103,$B$58:B107)</f>
        <v>50</v>
      </c>
      <c r="B107" s="1516" t="s">
        <v>406</v>
      </c>
      <c r="C107" s="1516"/>
      <c r="D107" s="1516"/>
      <c r="E107" s="1516"/>
      <c r="F107" s="1516"/>
      <c r="G107" s="1516"/>
    </row>
    <row r="108" spans="1:7" s="1433" customFormat="1" ht="15" customHeight="1" x14ac:dyDescent="0.2">
      <c r="A108" s="1432">
        <f>SUBTOTAL(103,$B$58:B108)</f>
        <v>51</v>
      </c>
      <c r="B108" s="1513" t="s">
        <v>2561</v>
      </c>
      <c r="C108" s="1513"/>
      <c r="D108" s="1513"/>
      <c r="E108" s="1513"/>
      <c r="F108" s="1513"/>
      <c r="G108" s="1513"/>
    </row>
    <row r="109" spans="1:7" s="1433" customFormat="1" ht="15" customHeight="1" x14ac:dyDescent="0.2">
      <c r="A109" s="1432"/>
      <c r="B109" s="1513"/>
      <c r="C109" s="1513"/>
      <c r="D109" s="1513"/>
      <c r="E109" s="1513"/>
      <c r="F109" s="1513"/>
      <c r="G109" s="1513"/>
    </row>
    <row r="110" spans="1:7" ht="15" customHeight="1" x14ac:dyDescent="0.2">
      <c r="A110" s="311"/>
      <c r="B110" s="313"/>
      <c r="C110" s="306"/>
    </row>
    <row r="111" spans="1:7" ht="14.25" x14ac:dyDescent="0.2">
      <c r="A111" s="1519" t="s">
        <v>770</v>
      </c>
      <c r="B111" s="1519"/>
      <c r="C111" s="1519"/>
      <c r="D111" s="1519"/>
      <c r="E111" s="1519"/>
      <c r="F111" s="1519"/>
      <c r="G111" s="1519"/>
    </row>
    <row r="112" spans="1:7" ht="14.25" x14ac:dyDescent="0.2">
      <c r="A112" s="306"/>
      <c r="B112" s="306"/>
      <c r="C112" s="306"/>
      <c r="D112" s="306"/>
      <c r="E112" s="306"/>
      <c r="F112" s="306"/>
      <c r="G112" s="306"/>
    </row>
    <row r="113" spans="1:7" ht="16.5" x14ac:dyDescent="0.35">
      <c r="A113" s="1524" t="s">
        <v>407</v>
      </c>
      <c r="B113" s="1524"/>
      <c r="C113" s="1524"/>
      <c r="D113" s="1524"/>
      <c r="E113" s="1524"/>
      <c r="F113" s="1520">
        <f>'Project Cost Recap'!H61</f>
        <v>2365854.9080266976</v>
      </c>
      <c r="G113" s="1520"/>
    </row>
    <row r="114" spans="1:7" ht="14.25" x14ac:dyDescent="0.2">
      <c r="A114" s="306"/>
      <c r="B114" s="306"/>
      <c r="C114" s="306"/>
      <c r="D114" s="306"/>
      <c r="E114" s="306"/>
      <c r="F114" s="306"/>
      <c r="G114" s="306"/>
    </row>
    <row r="115" spans="1:7" ht="16.5" x14ac:dyDescent="0.35">
      <c r="A115" s="1525" t="s">
        <v>1591</v>
      </c>
      <c r="B115" s="1525"/>
      <c r="C115" s="1525"/>
      <c r="D115" s="1525"/>
      <c r="E115" s="1525"/>
      <c r="F115" s="1528">
        <f>'Project Cost Recap'!J48</f>
        <v>1.139264377994836E-2</v>
      </c>
      <c r="G115" s="1528"/>
    </row>
    <row r="117" spans="1:7" ht="14.25" x14ac:dyDescent="0.2">
      <c r="A117" s="1519" t="s">
        <v>1618</v>
      </c>
      <c r="B117" s="1519"/>
      <c r="C117" s="1519"/>
      <c r="D117" s="1519"/>
      <c r="E117" s="1519"/>
      <c r="F117" s="1519"/>
      <c r="G117" s="1519"/>
    </row>
    <row r="118" spans="1:7" ht="14.25" x14ac:dyDescent="0.2">
      <c r="A118" s="506" t="s">
        <v>1619</v>
      </c>
      <c r="B118" s="1527" t="s">
        <v>198</v>
      </c>
      <c r="C118" s="1527"/>
      <c r="D118" s="1527"/>
      <c r="E118" s="1527"/>
      <c r="F118" s="306"/>
      <c r="G118" s="306"/>
    </row>
    <row r="119" spans="1:7" ht="16.5" x14ac:dyDescent="0.35">
      <c r="A119" s="507" t="str">
        <f>'Project Cost Recap'!B65</f>
        <v>#1</v>
      </c>
      <c r="B119" s="1424" t="str">
        <f>'Project Cost Recap'!E65</f>
        <v>Furnish and Install 12 VRF Condensing Units</v>
      </c>
      <c r="C119" s="1424"/>
      <c r="D119" s="1424"/>
      <c r="E119" s="796" t="str">
        <f>'Project Cost Recap'!F65</f>
        <v xml:space="preserve">ADD  </v>
      </c>
      <c r="F119" s="1520">
        <f>'Project Cost Recap'!K65</f>
        <v>502879.66736081586</v>
      </c>
      <c r="G119" s="1520"/>
    </row>
    <row r="120" spans="1:7" ht="16.5" x14ac:dyDescent="0.35">
      <c r="A120" s="507" t="str">
        <f>'Project Cost Recap'!B66</f>
        <v>#2</v>
      </c>
      <c r="B120" s="1424" t="str">
        <f>'Project Cost Recap'!E66</f>
        <v>Storm Overflow Drain in PVC</v>
      </c>
      <c r="C120" s="1424"/>
      <c r="D120" s="1424"/>
      <c r="E120" s="796" t="str">
        <f>'Project Cost Recap'!F66</f>
        <v xml:space="preserve">ADD  </v>
      </c>
      <c r="F120" s="1520">
        <f>'Project Cost Recap'!K66</f>
        <v>-5789.1977262049995</v>
      </c>
      <c r="G120" s="1520"/>
    </row>
    <row r="121" spans="1:7" ht="16.5" x14ac:dyDescent="0.35">
      <c r="A121" s="507" t="str">
        <f>'Project Cost Recap'!B67</f>
        <v>#3</v>
      </c>
      <c r="B121" s="1424" t="str">
        <f>'Project Cost Recap'!E67</f>
        <v>Install Irrigation Line</v>
      </c>
      <c r="C121" s="1424"/>
      <c r="D121" s="1424"/>
      <c r="E121" s="796" t="str">
        <f>'Project Cost Recap'!F67</f>
        <v xml:space="preserve">ADD  </v>
      </c>
      <c r="F121" s="1520">
        <f>'Project Cost Recap'!K67</f>
        <v>17705.967585055529</v>
      </c>
      <c r="G121" s="1520"/>
    </row>
    <row r="122" spans="1:7" ht="16.5" x14ac:dyDescent="0.35">
      <c r="A122" s="507" t="str">
        <f>'Project Cost Recap'!B68</f>
        <v>#4</v>
      </c>
      <c r="B122" s="1424" t="str">
        <f>'Project Cost Recap'!E68</f>
        <v>Garage san storm AG PVC</v>
      </c>
      <c r="C122" s="1424"/>
      <c r="D122" s="1424"/>
      <c r="E122" s="796" t="str">
        <f>'Project Cost Recap'!F68</f>
        <v xml:space="preserve">ADD  </v>
      </c>
      <c r="F122" s="1520">
        <f>'Project Cost Recap'!K68</f>
        <v>-12301.896287564001</v>
      </c>
      <c r="G122" s="1520"/>
    </row>
    <row r="123" spans="1:7" ht="16.5" x14ac:dyDescent="0.35">
      <c r="A123" s="507" t="str">
        <f>'Project Cost Recap'!B69</f>
        <v>#5</v>
      </c>
      <c r="B123" s="1424" t="str">
        <f>'Project Cost Recap'!E69</f>
        <v>Description of Alternate in this location</v>
      </c>
      <c r="C123" s="1424"/>
      <c r="D123" s="1424"/>
      <c r="E123" s="796" t="str">
        <f>'Project Cost Recap'!F69</f>
        <v xml:space="preserve">ADD  </v>
      </c>
      <c r="F123" s="1520">
        <f>'Project Cost Recap'!K69</f>
        <v>21.04851</v>
      </c>
      <c r="G123" s="1520"/>
    </row>
    <row r="124" spans="1:7" ht="16.5" x14ac:dyDescent="0.35">
      <c r="A124" s="507" t="str">
        <f>'Project Cost Recap'!B70</f>
        <v>#6</v>
      </c>
      <c r="B124" s="1424" t="str">
        <f>'Project Cost Recap'!E70</f>
        <v>Description of Alternate in this location</v>
      </c>
      <c r="C124" s="1424"/>
      <c r="D124" s="1424"/>
      <c r="E124" s="796" t="str">
        <f>'Project Cost Recap'!F70</f>
        <v xml:space="preserve">ADD  </v>
      </c>
      <c r="F124" s="1520">
        <f>'Project Cost Recap'!K70</f>
        <v>21.04851</v>
      </c>
      <c r="G124" s="1520"/>
    </row>
    <row r="125" spans="1:7" ht="16.5" x14ac:dyDescent="0.35">
      <c r="A125" s="507" t="str">
        <f>'Project Cost Recap'!B71</f>
        <v>#7</v>
      </c>
      <c r="B125" s="1424" t="str">
        <f>'Project Cost Recap'!E71</f>
        <v>Description of Alternate in this location</v>
      </c>
      <c r="C125" s="1424"/>
      <c r="D125" s="1424"/>
      <c r="E125" s="796" t="str">
        <f>'Project Cost Recap'!F71</f>
        <v xml:space="preserve">ADD  </v>
      </c>
      <c r="F125" s="1520">
        <f>'Project Cost Recap'!K71</f>
        <v>21.04851</v>
      </c>
      <c r="G125" s="1520"/>
    </row>
    <row r="126" spans="1:7" ht="16.5" x14ac:dyDescent="0.35">
      <c r="A126" s="507" t="str">
        <f>'Project Cost Recap'!B72</f>
        <v>#8</v>
      </c>
      <c r="B126" s="1424" t="str">
        <f>'Project Cost Recap'!E72</f>
        <v>Description of Alternate in this location</v>
      </c>
      <c r="C126" s="1424"/>
      <c r="D126" s="1424"/>
      <c r="E126" s="796" t="str">
        <f>'Project Cost Recap'!F72</f>
        <v xml:space="preserve">ADD  </v>
      </c>
      <c r="F126" s="1520">
        <f>'Project Cost Recap'!K72</f>
        <v>21</v>
      </c>
      <c r="G126" s="1520"/>
    </row>
    <row r="127" spans="1:7" ht="14.25" x14ac:dyDescent="0.2">
      <c r="A127" s="306"/>
      <c r="B127" s="306"/>
      <c r="C127" s="306"/>
      <c r="D127" s="306"/>
      <c r="E127" s="306"/>
      <c r="F127" s="306"/>
      <c r="G127" s="306"/>
    </row>
    <row r="128" spans="1:7" ht="30.75" customHeight="1" x14ac:dyDescent="0.2">
      <c r="A128" s="1522" t="s">
        <v>1129</v>
      </c>
      <c r="B128" s="1522"/>
      <c r="C128" s="1522"/>
      <c r="D128" s="1522"/>
      <c r="E128" s="1522"/>
      <c r="F128" s="1522"/>
      <c r="G128" s="1522"/>
    </row>
    <row r="129" spans="2:7" ht="14.25" x14ac:dyDescent="0.2">
      <c r="B129" s="306"/>
      <c r="C129" s="306"/>
      <c r="D129" s="306"/>
      <c r="E129" s="306"/>
      <c r="F129" s="306"/>
      <c r="G129" s="306"/>
    </row>
    <row r="130" spans="2:7" ht="14.25" x14ac:dyDescent="0.2">
      <c r="B130" s="306" t="s">
        <v>408</v>
      </c>
      <c r="C130" s="306"/>
      <c r="D130" s="306"/>
      <c r="E130" s="306"/>
      <c r="F130" s="306"/>
      <c r="G130" s="306"/>
    </row>
    <row r="131" spans="2:7" ht="14.25" x14ac:dyDescent="0.2">
      <c r="B131" s="306"/>
      <c r="C131" s="306"/>
      <c r="D131" s="306"/>
      <c r="E131" s="306"/>
      <c r="F131" s="306"/>
      <c r="G131" s="306"/>
    </row>
    <row r="132" spans="2:7" ht="14.25" x14ac:dyDescent="0.2">
      <c r="B132" s="314" t="s">
        <v>192</v>
      </c>
      <c r="C132" s="306"/>
      <c r="D132" s="306"/>
      <c r="E132" s="306"/>
      <c r="F132" s="306"/>
      <c r="G132" s="306"/>
    </row>
    <row r="139" spans="2:7" ht="9" customHeight="1" x14ac:dyDescent="0.2"/>
    <row r="140" spans="2:7" ht="71.25" customHeight="1" x14ac:dyDescent="0.2">
      <c r="B140" s="1516" t="str">
        <f>VLOOKUP('PROJECT INFO'!H7,DATA!F34:G42,2,FALSE)</f>
        <v>Ryan O'Connor
Estimator
Mobile 303.434.0732
Email Ryano@braconier.com</v>
      </c>
      <c r="C140" s="1516"/>
      <c r="D140" s="1516"/>
    </row>
    <row r="142" spans="2:7" ht="19.5" x14ac:dyDescent="0.25">
      <c r="B142" s="1517" t="s">
        <v>362</v>
      </c>
      <c r="C142" s="1517"/>
      <c r="D142" s="1517"/>
      <c r="E142" s="1517"/>
      <c r="F142" s="1517"/>
      <c r="G142" s="1517"/>
    </row>
    <row r="147" spans="2:2" ht="75" customHeight="1" x14ac:dyDescent="0.2">
      <c r="B147" s="1254" t="s">
        <v>2115</v>
      </c>
    </row>
    <row r="148" spans="2:2" ht="75" customHeight="1" x14ac:dyDescent="0.2">
      <c r="B148" s="1254" t="s">
        <v>2460</v>
      </c>
    </row>
    <row r="149" spans="2:2" ht="75" customHeight="1" x14ac:dyDescent="0.2">
      <c r="B149" s="1254" t="s">
        <v>954</v>
      </c>
    </row>
    <row r="150" spans="2:2" ht="75" hidden="1" customHeight="1" x14ac:dyDescent="0.2">
      <c r="B150" s="1254" t="s">
        <v>953</v>
      </c>
    </row>
    <row r="151" spans="2:2" ht="75" customHeight="1" x14ac:dyDescent="0.2">
      <c r="B151" s="1254" t="s">
        <v>2384</v>
      </c>
    </row>
  </sheetData>
  <customSheetViews>
    <customSheetView guid="{C88CD669-B349-4A86-8041-5686C62E698E}" printArea="1" view="pageLayout">
      <rowBreaks count="2" manualBreakCount="2">
        <brk id="32" max="16383" man="1"/>
        <brk id="101" max="16383" man="1"/>
      </rowBreaks>
      <pageMargins left="0.7" right="0.7" top="0.75" bottom="0.75" header="0.3" footer="0.3"/>
      <pageSetup fitToHeight="0" orientation="portrait" horizontalDpi="1200" verticalDpi="1200" r:id="rId1"/>
      <headerFooter>
        <oddFooter>&amp;L&amp;"Arial,Bold Italic"&amp;8Braconier&amp;"Arial,Regular"  4925 Nome Street, Denver, CO 80239      Phone: 303-777-3037   Fax: 303-744-3155                                                                     &amp;R&amp;8&amp;P of &amp;N</oddFooter>
      </headerFooter>
    </customSheetView>
    <customSheetView guid="{14A9C729-6567-47B0-B521-30EFFF4E950A}" topLeftCell="A121">
      <selection activeCell="B75" sqref="B75:G75"/>
      <pageMargins left="0.7" right="0.7" top="0.75" bottom="0.75" header="0.3" footer="0.3"/>
      <pageSetup fitToHeight="0" orientation="portrait" horizontalDpi="1200" verticalDpi="1200" r:id="rId2"/>
      <headerFooter>
        <oddFooter>&amp;L&amp;"Arial,Bold Italic"&amp;8Braconier Plumbing and Heating Co., Inc.,&amp;"Arial,Regular" 
2626 S. Raritan Circle  Englewood, CO 80110  Phone: 303-777-3037   Fax: 303-744-3155                                                                     &amp;R&amp;8&amp;P of &amp;N</oddFooter>
      </headerFooter>
    </customSheetView>
    <customSheetView guid="{198460B7-6D23-4AED-A971-BF824A975991}" topLeftCell="A97">
      <selection activeCell="I140" sqref="I140"/>
      <pageMargins left="0.7" right="0.7" top="0.75" bottom="0.75" header="0.3" footer="0.3"/>
      <pageSetup fitToHeight="0" orientation="portrait" horizontalDpi="1200" verticalDpi="1200" r:id="rId3"/>
      <headerFooter>
        <oddFooter>&amp;L&amp;"Arial,Bold Italic"&amp;8Braconier Plumbing and Heating Co., Inc.,&amp;"Arial,Regular" 
2626 S. Raritan Circle  Englewood, CO 80110  Phone: 303-777-3037   Fax: 303-744-3155                                                                     &amp;R&amp;8&amp;P of &amp;N</oddFooter>
      </headerFooter>
    </customSheetView>
  </customSheetViews>
  <mergeCells count="103">
    <mergeCell ref="B2:G2"/>
    <mergeCell ref="B80:G80"/>
    <mergeCell ref="B31:G31"/>
    <mergeCell ref="A17:G17"/>
    <mergeCell ref="B28:G28"/>
    <mergeCell ref="B22:G22"/>
    <mergeCell ref="B24:C24"/>
    <mergeCell ref="B25:G25"/>
    <mergeCell ref="B26:F26"/>
    <mergeCell ref="B49:G49"/>
    <mergeCell ref="B50:G50"/>
    <mergeCell ref="B51:G51"/>
    <mergeCell ref="B52:G52"/>
    <mergeCell ref="B75:G75"/>
    <mergeCell ref="B33:G33"/>
    <mergeCell ref="B59:G59"/>
    <mergeCell ref="A117:G117"/>
    <mergeCell ref="F120:G120"/>
    <mergeCell ref="B62:G62"/>
    <mergeCell ref="B63:G63"/>
    <mergeCell ref="B64:G64"/>
    <mergeCell ref="B65:G65"/>
    <mergeCell ref="B66:G66"/>
    <mergeCell ref="B67:G67"/>
    <mergeCell ref="B69:G69"/>
    <mergeCell ref="B70:G70"/>
    <mergeCell ref="B73:G73"/>
    <mergeCell ref="B74:G74"/>
    <mergeCell ref="B76:G76"/>
    <mergeCell ref="B82:G82"/>
    <mergeCell ref="B118:E118"/>
    <mergeCell ref="B85:G85"/>
    <mergeCell ref="B87:G87"/>
    <mergeCell ref="F115:G115"/>
    <mergeCell ref="B88:G88"/>
    <mergeCell ref="B90:G90"/>
    <mergeCell ref="B91:G91"/>
    <mergeCell ref="B92:G92"/>
    <mergeCell ref="B93:G93"/>
    <mergeCell ref="B72:G72"/>
    <mergeCell ref="B140:D140"/>
    <mergeCell ref="B27:G27"/>
    <mergeCell ref="A128:G128"/>
    <mergeCell ref="B105:G105"/>
    <mergeCell ref="B30:G30"/>
    <mergeCell ref="B29:G29"/>
    <mergeCell ref="B58:G58"/>
    <mergeCell ref="B60:G60"/>
    <mergeCell ref="B61:G61"/>
    <mergeCell ref="B56:G56"/>
    <mergeCell ref="B77:G77"/>
    <mergeCell ref="B71:G71"/>
    <mergeCell ref="B78:G78"/>
    <mergeCell ref="B79:G79"/>
    <mergeCell ref="B81:G81"/>
    <mergeCell ref="A113:E113"/>
    <mergeCell ref="A115:E115"/>
    <mergeCell ref="F126:G126"/>
    <mergeCell ref="F123:G123"/>
    <mergeCell ref="F124:G124"/>
    <mergeCell ref="F125:G125"/>
    <mergeCell ref="F119:G119"/>
    <mergeCell ref="F122:G122"/>
    <mergeCell ref="F121:G121"/>
    <mergeCell ref="B103:G103"/>
    <mergeCell ref="B94:G94"/>
    <mergeCell ref="B95:G95"/>
    <mergeCell ref="B83:G83"/>
    <mergeCell ref="B84:G84"/>
    <mergeCell ref="B86:G86"/>
    <mergeCell ref="B54:G54"/>
    <mergeCell ref="B44:G44"/>
    <mergeCell ref="B45:G45"/>
    <mergeCell ref="B46:G46"/>
    <mergeCell ref="B47:G47"/>
    <mergeCell ref="B48:G48"/>
    <mergeCell ref="B53:G53"/>
    <mergeCell ref="B97:G97"/>
    <mergeCell ref="B98:G98"/>
    <mergeCell ref="B108:G108"/>
    <mergeCell ref="B109:G109"/>
    <mergeCell ref="B34:G34"/>
    <mergeCell ref="B32:G32"/>
    <mergeCell ref="B68:G68"/>
    <mergeCell ref="B89:G89"/>
    <mergeCell ref="B142:G142"/>
    <mergeCell ref="B36:G36"/>
    <mergeCell ref="B107:G107"/>
    <mergeCell ref="A111:G111"/>
    <mergeCell ref="F113:G113"/>
    <mergeCell ref="B104:G104"/>
    <mergeCell ref="B106:G106"/>
    <mergeCell ref="B96:G96"/>
    <mergeCell ref="B99:G99"/>
    <mergeCell ref="B100:G100"/>
    <mergeCell ref="B101:G101"/>
    <mergeCell ref="B102:G102"/>
    <mergeCell ref="B43:G43"/>
    <mergeCell ref="B38:G38"/>
    <mergeCell ref="B39:G39"/>
    <mergeCell ref="B40:G40"/>
    <mergeCell ref="B41:G41"/>
    <mergeCell ref="B42:G42"/>
  </mergeCells>
  <pageMargins left="0.7" right="0.7" top="0.75" bottom="0.75" header="0.3" footer="0.3"/>
  <pageSetup fitToHeight="0" orientation="portrait" horizontalDpi="1200" verticalDpi="1200" r:id="rId4"/>
  <headerFooter>
    <oddFooter>&amp;L&amp;"Arial,Bold Italic"&amp;8Braconier&amp;"Arial,Regular"  4925 Nome Street, Denver, CO 80239      Phone: 303-777-3037   Fax: 303-744-3155                                                                     &amp;R&amp;8&amp;P of &amp;N</oddFooter>
  </headerFooter>
  <rowBreaks count="2" manualBreakCount="2">
    <brk id="35" max="16383" man="1"/>
    <brk id="110" max="16383" man="1"/>
  </rowBreaks>
  <drawing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57593-31E1-41E6-BA01-163F3684635C}">
  <dimension ref="A1:F101"/>
  <sheetViews>
    <sheetView workbookViewId="0">
      <selection activeCell="J33" sqref="J33"/>
    </sheetView>
  </sheetViews>
  <sheetFormatPr defaultColWidth="9.140625" defaultRowHeight="12.75" x14ac:dyDescent="0.2"/>
  <cols>
    <col min="1" max="1" width="20.5703125" style="356" customWidth="1"/>
    <col min="2" max="2" width="71.7109375" style="356" customWidth="1"/>
    <col min="3" max="3" width="12.28515625" style="1222" customWidth="1"/>
    <col min="4" max="16384" width="9.140625" style="356"/>
  </cols>
  <sheetData>
    <row r="1" spans="1:6" x14ac:dyDescent="0.2">
      <c r="A1" s="420"/>
    </row>
    <row r="2" spans="1:6" ht="25.5" customHeight="1" x14ac:dyDescent="0.2">
      <c r="A2" s="420"/>
      <c r="B2" s="1211" t="s">
        <v>2189</v>
      </c>
      <c r="C2" s="1223"/>
      <c r="D2" s="1216">
        <v>0.85</v>
      </c>
    </row>
    <row r="3" spans="1:6" ht="25.5" x14ac:dyDescent="0.2">
      <c r="A3" s="420" t="s">
        <v>2250</v>
      </c>
      <c r="B3" s="1213" t="s">
        <v>2190</v>
      </c>
      <c r="C3" s="1224" t="s">
        <v>2187</v>
      </c>
      <c r="D3" s="1213" t="s">
        <v>2188</v>
      </c>
      <c r="E3" s="1214" t="s">
        <v>2248</v>
      </c>
      <c r="F3" s="1214" t="s">
        <v>2249</v>
      </c>
    </row>
    <row r="4" spans="1:6" x14ac:dyDescent="0.2">
      <c r="A4" s="420" t="s">
        <v>1845</v>
      </c>
      <c r="B4" s="1213"/>
      <c r="C4" s="1224"/>
      <c r="D4" s="1218"/>
      <c r="E4" s="1219"/>
      <c r="F4" s="1219"/>
    </row>
    <row r="5" spans="1:6" ht="15" customHeight="1" x14ac:dyDescent="0.2">
      <c r="A5" s="420" t="s">
        <v>602</v>
      </c>
      <c r="B5" s="1215" t="s">
        <v>1797</v>
      </c>
      <c r="C5" s="1225">
        <v>0.5</v>
      </c>
      <c r="D5" s="1217">
        <v>1</v>
      </c>
      <c r="E5" s="356">
        <f>D5*C5</f>
        <v>0.5</v>
      </c>
      <c r="F5" s="356">
        <f>E5</f>
        <v>0.5</v>
      </c>
    </row>
    <row r="6" spans="1:6" ht="15" customHeight="1" x14ac:dyDescent="0.2">
      <c r="A6" s="420" t="s">
        <v>1911</v>
      </c>
      <c r="B6" s="1215" t="s">
        <v>1912</v>
      </c>
      <c r="C6" s="1225">
        <v>0.5</v>
      </c>
      <c r="D6" s="1217">
        <v>1</v>
      </c>
      <c r="E6" s="356">
        <f>D6*C6</f>
        <v>0.5</v>
      </c>
      <c r="F6" s="356">
        <f t="shared" ref="F6:F58" si="0">E6</f>
        <v>0.5</v>
      </c>
    </row>
    <row r="7" spans="1:6" ht="15" customHeight="1" x14ac:dyDescent="0.2">
      <c r="A7" s="420" t="s">
        <v>614</v>
      </c>
      <c r="B7" s="1215" t="s">
        <v>1798</v>
      </c>
      <c r="C7" s="1225">
        <v>1</v>
      </c>
      <c r="D7" s="1217">
        <v>1</v>
      </c>
      <c r="E7" s="356">
        <f>D7*C7</f>
        <v>1</v>
      </c>
      <c r="F7" s="356">
        <f t="shared" si="0"/>
        <v>1</v>
      </c>
    </row>
    <row r="8" spans="1:6" ht="15" customHeight="1" x14ac:dyDescent="0.2">
      <c r="A8" s="420" t="s">
        <v>608</v>
      </c>
      <c r="B8" s="1221" t="s">
        <v>2251</v>
      </c>
      <c r="C8" s="1225">
        <v>1</v>
      </c>
      <c r="D8" s="1217">
        <v>1</v>
      </c>
      <c r="E8" s="356">
        <f>D8*C8</f>
        <v>1</v>
      </c>
      <c r="F8" s="356">
        <f t="shared" si="0"/>
        <v>1</v>
      </c>
    </row>
    <row r="9" spans="1:6" ht="15" customHeight="1" x14ac:dyDescent="0.2">
      <c r="A9" s="420" t="s">
        <v>610</v>
      </c>
      <c r="B9" s="1221" t="s">
        <v>2252</v>
      </c>
      <c r="C9" s="1225">
        <v>1</v>
      </c>
      <c r="D9" s="1217">
        <v>1</v>
      </c>
      <c r="E9" s="356">
        <f>D9*C9</f>
        <v>1</v>
      </c>
      <c r="F9" s="356">
        <f t="shared" si="0"/>
        <v>1</v>
      </c>
    </row>
    <row r="10" spans="1:6" ht="15" customHeight="1" x14ac:dyDescent="0.2">
      <c r="A10" s="420" t="s">
        <v>2258</v>
      </c>
      <c r="B10" s="1220" t="s">
        <v>2195</v>
      </c>
      <c r="C10" s="1225">
        <v>4</v>
      </c>
      <c r="D10" s="1217">
        <f t="shared" ref="D10:D101" si="1">$D$2</f>
        <v>0.85</v>
      </c>
      <c r="E10" s="356">
        <f t="shared" ref="E10:E65" si="2">D10*C10</f>
        <v>3.4</v>
      </c>
      <c r="F10" s="356">
        <f t="shared" si="0"/>
        <v>3.4</v>
      </c>
    </row>
    <row r="11" spans="1:6" ht="15" customHeight="1" x14ac:dyDescent="0.2">
      <c r="A11" s="420" t="s">
        <v>2257</v>
      </c>
      <c r="B11" s="1220" t="s">
        <v>2196</v>
      </c>
      <c r="C11" s="1225">
        <v>3</v>
      </c>
      <c r="D11" s="1217">
        <f t="shared" si="1"/>
        <v>0.85</v>
      </c>
      <c r="E11" s="356">
        <f t="shared" si="2"/>
        <v>2.5499999999999998</v>
      </c>
      <c r="F11" s="356">
        <f t="shared" si="0"/>
        <v>2.5499999999999998</v>
      </c>
    </row>
    <row r="12" spans="1:6" ht="15" customHeight="1" x14ac:dyDescent="0.2">
      <c r="A12" s="420" t="s">
        <v>2318</v>
      </c>
      <c r="B12" s="1221" t="s">
        <v>1806</v>
      </c>
      <c r="C12" s="1225">
        <v>1</v>
      </c>
      <c r="D12" s="1217">
        <v>1</v>
      </c>
      <c r="E12" s="356">
        <f>D12*C12</f>
        <v>1</v>
      </c>
      <c r="F12" s="356">
        <f t="shared" si="0"/>
        <v>1</v>
      </c>
    </row>
    <row r="13" spans="1:6" ht="15" customHeight="1" x14ac:dyDescent="0.2">
      <c r="A13" s="420" t="s">
        <v>2260</v>
      </c>
      <c r="B13" s="1220" t="s">
        <v>2197</v>
      </c>
      <c r="C13" s="1225">
        <v>4</v>
      </c>
      <c r="D13" s="1217">
        <f t="shared" si="1"/>
        <v>0.85</v>
      </c>
      <c r="E13" s="356">
        <f t="shared" si="2"/>
        <v>3.4</v>
      </c>
      <c r="F13" s="356">
        <f t="shared" si="0"/>
        <v>3.4</v>
      </c>
    </row>
    <row r="14" spans="1:6" ht="15" customHeight="1" x14ac:dyDescent="0.2">
      <c r="A14" s="420" t="s">
        <v>2259</v>
      </c>
      <c r="B14" s="1220" t="s">
        <v>2198</v>
      </c>
      <c r="C14" s="1225">
        <v>3</v>
      </c>
      <c r="D14" s="1217">
        <f t="shared" si="1"/>
        <v>0.85</v>
      </c>
      <c r="E14" s="356">
        <f t="shared" si="2"/>
        <v>2.5499999999999998</v>
      </c>
      <c r="F14" s="356">
        <f t="shared" si="0"/>
        <v>2.5499999999999998</v>
      </c>
    </row>
    <row r="15" spans="1:6" ht="15" customHeight="1" x14ac:dyDescent="0.2">
      <c r="A15" s="420" t="s">
        <v>2260</v>
      </c>
      <c r="B15" s="1220" t="s">
        <v>2199</v>
      </c>
      <c r="C15" s="1225">
        <v>4</v>
      </c>
      <c r="D15" s="1217">
        <f t="shared" si="1"/>
        <v>0.85</v>
      </c>
      <c r="E15" s="356">
        <f t="shared" si="2"/>
        <v>3.4</v>
      </c>
      <c r="F15" s="356">
        <f t="shared" si="0"/>
        <v>3.4</v>
      </c>
    </row>
    <row r="16" spans="1:6" ht="15" customHeight="1" x14ac:dyDescent="0.2">
      <c r="A16" s="420" t="s">
        <v>2259</v>
      </c>
      <c r="B16" s="1220" t="s">
        <v>2200</v>
      </c>
      <c r="C16" s="1225">
        <v>3</v>
      </c>
      <c r="D16" s="1217">
        <f t="shared" si="1"/>
        <v>0.85</v>
      </c>
      <c r="E16" s="356">
        <f t="shared" si="2"/>
        <v>2.5499999999999998</v>
      </c>
      <c r="F16" s="356">
        <f t="shared" si="0"/>
        <v>2.5499999999999998</v>
      </c>
    </row>
    <row r="17" spans="1:6" ht="15" customHeight="1" x14ac:dyDescent="0.2">
      <c r="A17" s="420" t="s">
        <v>2261</v>
      </c>
      <c r="B17" s="1220" t="s">
        <v>2201</v>
      </c>
      <c r="C17" s="1225">
        <v>3</v>
      </c>
      <c r="D17" s="1217">
        <f t="shared" si="1"/>
        <v>0.85</v>
      </c>
      <c r="E17" s="356">
        <f t="shared" si="2"/>
        <v>2.5499999999999998</v>
      </c>
      <c r="F17" s="356">
        <f t="shared" si="0"/>
        <v>2.5499999999999998</v>
      </c>
    </row>
    <row r="18" spans="1:6" ht="15" customHeight="1" x14ac:dyDescent="0.2">
      <c r="A18" s="420" t="s">
        <v>2262</v>
      </c>
      <c r="B18" s="1220" t="s">
        <v>2202</v>
      </c>
      <c r="C18" s="1225">
        <v>8</v>
      </c>
      <c r="D18" s="1217">
        <f t="shared" si="1"/>
        <v>0.85</v>
      </c>
      <c r="E18" s="356">
        <f t="shared" si="2"/>
        <v>6.8</v>
      </c>
      <c r="F18" s="356">
        <f t="shared" si="0"/>
        <v>6.8</v>
      </c>
    </row>
    <row r="19" spans="1:6" ht="15" customHeight="1" x14ac:dyDescent="0.2">
      <c r="A19" s="420" t="s">
        <v>2263</v>
      </c>
      <c r="B19" s="1220" t="s">
        <v>2203</v>
      </c>
      <c r="C19" s="1225">
        <v>7</v>
      </c>
      <c r="D19" s="1217">
        <f t="shared" si="1"/>
        <v>0.85</v>
      </c>
      <c r="E19" s="356">
        <f t="shared" si="2"/>
        <v>5.95</v>
      </c>
      <c r="F19" s="356">
        <f t="shared" si="0"/>
        <v>5.95</v>
      </c>
    </row>
    <row r="20" spans="1:6" ht="15" customHeight="1" x14ac:dyDescent="0.2">
      <c r="A20" s="420" t="s">
        <v>2301</v>
      </c>
      <c r="B20" s="1221" t="s">
        <v>1811</v>
      </c>
      <c r="C20" s="1225">
        <v>1</v>
      </c>
      <c r="D20" s="1217">
        <v>1</v>
      </c>
      <c r="E20" s="356">
        <f>D20*C20</f>
        <v>1</v>
      </c>
      <c r="F20" s="356">
        <f t="shared" si="0"/>
        <v>1</v>
      </c>
    </row>
    <row r="21" spans="1:6" ht="15" customHeight="1" x14ac:dyDescent="0.2">
      <c r="A21" s="420" t="s">
        <v>2303</v>
      </c>
      <c r="B21" s="1221" t="s">
        <v>1812</v>
      </c>
      <c r="C21" s="1225">
        <v>1</v>
      </c>
      <c r="D21" s="1217">
        <v>1</v>
      </c>
      <c r="E21" s="356">
        <f>D21*C21</f>
        <v>1</v>
      </c>
      <c r="F21" s="356">
        <f t="shared" si="0"/>
        <v>1</v>
      </c>
    </row>
    <row r="22" spans="1:6" ht="15" customHeight="1" x14ac:dyDescent="0.2">
      <c r="A22" s="420" t="s">
        <v>2304</v>
      </c>
      <c r="B22" s="1221" t="s">
        <v>1813</v>
      </c>
      <c r="C22" s="1225">
        <v>1</v>
      </c>
      <c r="D22" s="1217">
        <v>1</v>
      </c>
      <c r="E22" s="356">
        <f>D22*C22</f>
        <v>1</v>
      </c>
      <c r="F22" s="356">
        <f t="shared" si="0"/>
        <v>1</v>
      </c>
    </row>
    <row r="23" spans="1:6" ht="15" customHeight="1" x14ac:dyDescent="0.2">
      <c r="A23" s="420" t="s">
        <v>2302</v>
      </c>
      <c r="B23" s="1221" t="s">
        <v>1814</v>
      </c>
      <c r="C23" s="1225">
        <v>1.5</v>
      </c>
      <c r="D23" s="1217">
        <v>1</v>
      </c>
      <c r="E23" s="356">
        <f>D23*C23</f>
        <v>1.5</v>
      </c>
      <c r="F23" s="356">
        <f t="shared" si="0"/>
        <v>1.5</v>
      </c>
    </row>
    <row r="24" spans="1:6" ht="15" customHeight="1" x14ac:dyDescent="0.2">
      <c r="A24" s="420" t="s">
        <v>606</v>
      </c>
      <c r="B24" s="1220" t="s">
        <v>1815</v>
      </c>
      <c r="C24" s="1225">
        <v>3</v>
      </c>
      <c r="D24" s="1217">
        <f t="shared" si="1"/>
        <v>0.85</v>
      </c>
      <c r="E24" s="356">
        <f t="shared" si="2"/>
        <v>2.5499999999999998</v>
      </c>
      <c r="F24" s="356">
        <f t="shared" si="0"/>
        <v>2.5499999999999998</v>
      </c>
    </row>
    <row r="25" spans="1:6" ht="15" customHeight="1" x14ac:dyDescent="0.2">
      <c r="A25" s="420" t="s">
        <v>2305</v>
      </c>
      <c r="B25" s="1221" t="s">
        <v>1915</v>
      </c>
      <c r="C25" s="1225">
        <v>36</v>
      </c>
      <c r="D25" s="1217">
        <v>1</v>
      </c>
      <c r="E25" s="356">
        <f t="shared" si="2"/>
        <v>36</v>
      </c>
      <c r="F25" s="356">
        <f t="shared" si="0"/>
        <v>36</v>
      </c>
    </row>
    <row r="26" spans="1:6" ht="15" customHeight="1" x14ac:dyDescent="0.2">
      <c r="A26" s="420" t="s">
        <v>2306</v>
      </c>
      <c r="B26" s="1221" t="s">
        <v>2307</v>
      </c>
      <c r="C26" s="1225">
        <v>1</v>
      </c>
      <c r="D26" s="1217">
        <v>1</v>
      </c>
      <c r="E26" s="356">
        <f>D26*C26</f>
        <v>1</v>
      </c>
      <c r="F26" s="356">
        <f t="shared" si="0"/>
        <v>1</v>
      </c>
    </row>
    <row r="27" spans="1:6" ht="15" customHeight="1" x14ac:dyDescent="0.2">
      <c r="A27" s="420" t="s">
        <v>2308</v>
      </c>
      <c r="B27" s="1221" t="s">
        <v>2309</v>
      </c>
      <c r="C27" s="1225">
        <v>1</v>
      </c>
      <c r="D27" s="1217">
        <v>1</v>
      </c>
      <c r="E27" s="356">
        <f>D27*C27</f>
        <v>1</v>
      </c>
      <c r="F27" s="356">
        <f t="shared" si="0"/>
        <v>1</v>
      </c>
    </row>
    <row r="28" spans="1:6" ht="15" customHeight="1" x14ac:dyDescent="0.2">
      <c r="A28" s="420" t="s">
        <v>2264</v>
      </c>
      <c r="B28" s="1220" t="s">
        <v>2204</v>
      </c>
      <c r="C28" s="1225">
        <v>2</v>
      </c>
      <c r="D28" s="1217">
        <f t="shared" si="1"/>
        <v>0.85</v>
      </c>
      <c r="E28" s="356">
        <f t="shared" si="2"/>
        <v>1.7</v>
      </c>
      <c r="F28" s="356">
        <f t="shared" si="0"/>
        <v>1.7</v>
      </c>
    </row>
    <row r="29" spans="1:6" ht="15" customHeight="1" x14ac:dyDescent="0.2">
      <c r="A29" s="420" t="s">
        <v>2265</v>
      </c>
      <c r="B29" s="1220" t="s">
        <v>2205</v>
      </c>
      <c r="C29" s="1225">
        <v>2</v>
      </c>
      <c r="D29" s="1217">
        <f t="shared" si="1"/>
        <v>0.85</v>
      </c>
      <c r="E29" s="356">
        <f t="shared" si="2"/>
        <v>1.7</v>
      </c>
      <c r="F29" s="356">
        <f t="shared" si="0"/>
        <v>1.7</v>
      </c>
    </row>
    <row r="30" spans="1:6" ht="15" customHeight="1" x14ac:dyDescent="0.2">
      <c r="A30" s="420" t="s">
        <v>1835</v>
      </c>
      <c r="B30" s="1220" t="s">
        <v>2206</v>
      </c>
      <c r="C30" s="1225">
        <v>2.5</v>
      </c>
      <c r="D30" s="1217">
        <f t="shared" si="1"/>
        <v>0.85</v>
      </c>
      <c r="E30" s="356">
        <f t="shared" si="2"/>
        <v>2.125</v>
      </c>
      <c r="F30" s="356">
        <f t="shared" si="0"/>
        <v>2.125</v>
      </c>
    </row>
    <row r="31" spans="1:6" ht="15" customHeight="1" x14ac:dyDescent="0.2">
      <c r="A31" s="420" t="s">
        <v>2266</v>
      </c>
      <c r="B31" s="1220" t="s">
        <v>2207</v>
      </c>
      <c r="C31" s="1225">
        <v>3</v>
      </c>
      <c r="D31" s="1217">
        <f t="shared" si="1"/>
        <v>0.85</v>
      </c>
      <c r="E31" s="356">
        <f t="shared" si="2"/>
        <v>2.5499999999999998</v>
      </c>
      <c r="F31" s="356">
        <f t="shared" si="0"/>
        <v>2.5499999999999998</v>
      </c>
    </row>
    <row r="32" spans="1:6" ht="15" customHeight="1" x14ac:dyDescent="0.2">
      <c r="A32" s="420" t="s">
        <v>2267</v>
      </c>
      <c r="B32" s="1220" t="s">
        <v>2208</v>
      </c>
      <c r="C32" s="1225">
        <v>3.5</v>
      </c>
      <c r="D32" s="1217">
        <f t="shared" si="1"/>
        <v>0.85</v>
      </c>
      <c r="E32" s="356">
        <f t="shared" si="2"/>
        <v>2.9750000000000001</v>
      </c>
      <c r="F32" s="356">
        <f t="shared" si="0"/>
        <v>2.9750000000000001</v>
      </c>
    </row>
    <row r="33" spans="1:6" ht="15" customHeight="1" x14ac:dyDescent="0.2">
      <c r="A33" s="420" t="s">
        <v>2310</v>
      </c>
      <c r="B33" s="1221" t="s">
        <v>1820</v>
      </c>
      <c r="C33" s="1225">
        <v>1.5</v>
      </c>
      <c r="D33" s="1217">
        <v>1</v>
      </c>
      <c r="E33" s="356">
        <f t="shared" si="2"/>
        <v>1.5</v>
      </c>
      <c r="F33" s="356">
        <f t="shared" si="0"/>
        <v>1.5</v>
      </c>
    </row>
    <row r="34" spans="1:6" ht="15" customHeight="1" x14ac:dyDescent="0.2">
      <c r="A34" s="420" t="s">
        <v>2311</v>
      </c>
      <c r="B34" s="1221" t="s">
        <v>1821</v>
      </c>
      <c r="C34" s="1225">
        <v>1.5</v>
      </c>
      <c r="D34" s="1217">
        <v>1</v>
      </c>
      <c r="E34" s="356">
        <f>D34*C34</f>
        <v>1.5</v>
      </c>
      <c r="F34" s="356">
        <f t="shared" si="0"/>
        <v>1.5</v>
      </c>
    </row>
    <row r="35" spans="1:6" ht="15" customHeight="1" x14ac:dyDescent="0.2">
      <c r="A35" s="420" t="s">
        <v>2317</v>
      </c>
      <c r="B35" s="1221" t="s">
        <v>1823</v>
      </c>
      <c r="C35" s="1225">
        <v>1.25</v>
      </c>
      <c r="D35" s="1217">
        <v>1</v>
      </c>
      <c r="E35" s="356">
        <f t="shared" si="2"/>
        <v>1.25</v>
      </c>
      <c r="F35" s="356">
        <f t="shared" si="0"/>
        <v>1.25</v>
      </c>
    </row>
    <row r="36" spans="1:6" ht="15" customHeight="1" x14ac:dyDescent="0.2">
      <c r="A36" s="420" t="s">
        <v>2277</v>
      </c>
      <c r="B36" s="1220" t="s">
        <v>2220</v>
      </c>
      <c r="C36" s="1225">
        <v>2</v>
      </c>
      <c r="D36" s="1217">
        <f t="shared" si="1"/>
        <v>0.85</v>
      </c>
      <c r="E36" s="356">
        <f t="shared" si="2"/>
        <v>1.7</v>
      </c>
      <c r="F36" s="356">
        <f t="shared" si="0"/>
        <v>1.7</v>
      </c>
    </row>
    <row r="37" spans="1:6" ht="15" customHeight="1" x14ac:dyDescent="0.2">
      <c r="A37" s="420" t="s">
        <v>2278</v>
      </c>
      <c r="B37" s="1220" t="s">
        <v>2221</v>
      </c>
      <c r="C37" s="1225">
        <v>1.5</v>
      </c>
      <c r="D37" s="1217">
        <f t="shared" si="1"/>
        <v>0.85</v>
      </c>
      <c r="E37" s="356">
        <f t="shared" si="2"/>
        <v>1.2749999999999999</v>
      </c>
      <c r="F37" s="356">
        <f t="shared" si="0"/>
        <v>1.2749999999999999</v>
      </c>
    </row>
    <row r="38" spans="1:6" ht="15" customHeight="1" x14ac:dyDescent="0.2">
      <c r="A38" s="420" t="s">
        <v>2279</v>
      </c>
      <c r="B38" s="1220" t="s">
        <v>2222</v>
      </c>
      <c r="C38" s="1225">
        <v>2.2999999999999998</v>
      </c>
      <c r="D38" s="1217">
        <f t="shared" si="1"/>
        <v>0.85</v>
      </c>
      <c r="E38" s="356">
        <f t="shared" si="2"/>
        <v>1.9549999999999998</v>
      </c>
      <c r="F38" s="356">
        <f t="shared" si="0"/>
        <v>1.9549999999999998</v>
      </c>
    </row>
    <row r="39" spans="1:6" ht="15" customHeight="1" x14ac:dyDescent="0.2">
      <c r="A39" s="420" t="s">
        <v>2280</v>
      </c>
      <c r="B39" s="1220" t="s">
        <v>2223</v>
      </c>
      <c r="C39" s="1225">
        <v>9</v>
      </c>
      <c r="D39" s="1217">
        <f t="shared" si="1"/>
        <v>0.85</v>
      </c>
      <c r="E39" s="356">
        <f t="shared" si="2"/>
        <v>7.6499999999999995</v>
      </c>
      <c r="F39" s="356">
        <f t="shared" si="0"/>
        <v>7.6499999999999995</v>
      </c>
    </row>
    <row r="40" spans="1:6" ht="15" customHeight="1" x14ac:dyDescent="0.2">
      <c r="A40" s="420" t="s">
        <v>603</v>
      </c>
      <c r="B40" s="1220" t="s">
        <v>2224</v>
      </c>
      <c r="C40" s="1225">
        <v>3</v>
      </c>
      <c r="D40" s="1217">
        <f t="shared" si="1"/>
        <v>0.85</v>
      </c>
      <c r="E40" s="356">
        <f t="shared" si="2"/>
        <v>2.5499999999999998</v>
      </c>
      <c r="F40" s="356">
        <f t="shared" si="0"/>
        <v>2.5499999999999998</v>
      </c>
    </row>
    <row r="41" spans="1:6" ht="15" customHeight="1" x14ac:dyDescent="0.2">
      <c r="A41" s="420" t="s">
        <v>2281</v>
      </c>
      <c r="B41" s="1220" t="s">
        <v>2225</v>
      </c>
      <c r="C41" s="1225">
        <v>4</v>
      </c>
      <c r="D41" s="1217">
        <f t="shared" si="1"/>
        <v>0.85</v>
      </c>
      <c r="E41" s="356">
        <f t="shared" si="2"/>
        <v>3.4</v>
      </c>
      <c r="F41" s="356">
        <f t="shared" si="0"/>
        <v>3.4</v>
      </c>
    </row>
    <row r="42" spans="1:6" ht="15" customHeight="1" x14ac:dyDescent="0.2">
      <c r="A42" s="420" t="s">
        <v>2282</v>
      </c>
      <c r="B42" s="1220" t="s">
        <v>2226</v>
      </c>
      <c r="C42" s="1225">
        <v>6</v>
      </c>
      <c r="D42" s="1217">
        <f t="shared" si="1"/>
        <v>0.85</v>
      </c>
      <c r="E42" s="356">
        <f t="shared" si="2"/>
        <v>5.0999999999999996</v>
      </c>
      <c r="F42" s="356">
        <f t="shared" si="0"/>
        <v>5.0999999999999996</v>
      </c>
    </row>
    <row r="43" spans="1:6" ht="15" customHeight="1" x14ac:dyDescent="0.2">
      <c r="A43" s="420" t="s">
        <v>2283</v>
      </c>
      <c r="B43" s="1220" t="s">
        <v>2227</v>
      </c>
      <c r="C43" s="1225">
        <v>6</v>
      </c>
      <c r="D43" s="1217">
        <f t="shared" si="1"/>
        <v>0.85</v>
      </c>
      <c r="E43" s="356">
        <f t="shared" si="2"/>
        <v>5.0999999999999996</v>
      </c>
      <c r="F43" s="356">
        <f t="shared" si="0"/>
        <v>5.0999999999999996</v>
      </c>
    </row>
    <row r="44" spans="1:6" ht="15" customHeight="1" x14ac:dyDescent="0.2">
      <c r="A44" s="420" t="s">
        <v>2284</v>
      </c>
      <c r="B44" s="1220" t="s">
        <v>2228</v>
      </c>
      <c r="C44" s="1225">
        <v>4.5</v>
      </c>
      <c r="D44" s="1217">
        <f t="shared" si="1"/>
        <v>0.85</v>
      </c>
      <c r="E44" s="356">
        <f t="shared" si="2"/>
        <v>3.8249999999999997</v>
      </c>
      <c r="F44" s="356">
        <f t="shared" si="0"/>
        <v>3.8249999999999997</v>
      </c>
    </row>
    <row r="45" spans="1:6" ht="15" customHeight="1" x14ac:dyDescent="0.2">
      <c r="A45" s="420" t="s">
        <v>2314</v>
      </c>
      <c r="B45" s="1221" t="s">
        <v>2315</v>
      </c>
      <c r="C45" s="1225">
        <v>24</v>
      </c>
      <c r="D45" s="1217">
        <v>1</v>
      </c>
      <c r="E45" s="356">
        <f>D45*C45</f>
        <v>24</v>
      </c>
      <c r="F45" s="356">
        <f t="shared" si="0"/>
        <v>24</v>
      </c>
    </row>
    <row r="46" spans="1:6" ht="15" customHeight="1" x14ac:dyDescent="0.2">
      <c r="A46" s="420" t="s">
        <v>2285</v>
      </c>
      <c r="B46" s="1220" t="s">
        <v>2229</v>
      </c>
      <c r="C46" s="1225">
        <v>12</v>
      </c>
      <c r="D46" s="1217">
        <f t="shared" si="1"/>
        <v>0.85</v>
      </c>
      <c r="E46" s="356">
        <f t="shared" si="2"/>
        <v>10.199999999999999</v>
      </c>
      <c r="F46" s="356">
        <f t="shared" si="0"/>
        <v>10.199999999999999</v>
      </c>
    </row>
    <row r="47" spans="1:6" ht="15" customHeight="1" x14ac:dyDescent="0.2">
      <c r="A47" s="420" t="s">
        <v>2286</v>
      </c>
      <c r="B47" s="1220" t="s">
        <v>2230</v>
      </c>
      <c r="C47" s="1225">
        <v>9</v>
      </c>
      <c r="D47" s="1217">
        <f t="shared" si="1"/>
        <v>0.85</v>
      </c>
      <c r="E47" s="356">
        <f t="shared" si="2"/>
        <v>7.6499999999999995</v>
      </c>
      <c r="F47" s="356">
        <f t="shared" si="0"/>
        <v>7.6499999999999995</v>
      </c>
    </row>
    <row r="48" spans="1:6" ht="15" customHeight="1" x14ac:dyDescent="0.2">
      <c r="A48" s="420" t="s">
        <v>2312</v>
      </c>
      <c r="B48" s="1221" t="s">
        <v>2313</v>
      </c>
      <c r="C48" s="1225">
        <v>0.25</v>
      </c>
      <c r="D48" s="1217">
        <v>1</v>
      </c>
      <c r="E48" s="356">
        <f t="shared" si="2"/>
        <v>0.25</v>
      </c>
      <c r="F48" s="356">
        <f t="shared" si="0"/>
        <v>0.25</v>
      </c>
    </row>
    <row r="49" spans="1:6" ht="15" customHeight="1" x14ac:dyDescent="0.2">
      <c r="A49" s="420" t="s">
        <v>1909</v>
      </c>
      <c r="B49" s="1221" t="s">
        <v>1910</v>
      </c>
      <c r="C49" s="1225">
        <v>0.5</v>
      </c>
      <c r="D49" s="1217">
        <v>1</v>
      </c>
      <c r="E49" s="356">
        <f>D49*C49</f>
        <v>0.5</v>
      </c>
      <c r="F49" s="356">
        <f t="shared" si="0"/>
        <v>0.5</v>
      </c>
    </row>
    <row r="50" spans="1:6" ht="15" customHeight="1" x14ac:dyDescent="0.2">
      <c r="A50" s="420" t="s">
        <v>594</v>
      </c>
      <c r="B50" s="1221" t="s">
        <v>1828</v>
      </c>
      <c r="C50" s="1225">
        <v>1</v>
      </c>
      <c r="D50" s="1217">
        <v>1</v>
      </c>
      <c r="E50" s="356">
        <f>D50*C50</f>
        <v>1</v>
      </c>
      <c r="F50" s="356">
        <f t="shared" si="0"/>
        <v>1</v>
      </c>
    </row>
    <row r="51" spans="1:6" ht="15" customHeight="1" x14ac:dyDescent="0.2">
      <c r="A51" s="420" t="s">
        <v>1842</v>
      </c>
      <c r="B51" s="1220" t="s">
        <v>2231</v>
      </c>
      <c r="C51" s="1225">
        <v>3</v>
      </c>
      <c r="D51" s="1217">
        <f t="shared" si="1"/>
        <v>0.85</v>
      </c>
      <c r="E51" s="356">
        <f t="shared" si="2"/>
        <v>2.5499999999999998</v>
      </c>
      <c r="F51" s="356">
        <f t="shared" si="0"/>
        <v>2.5499999999999998</v>
      </c>
    </row>
    <row r="52" spans="1:6" ht="15" customHeight="1" x14ac:dyDescent="0.2">
      <c r="A52" s="420" t="s">
        <v>2287</v>
      </c>
      <c r="B52" s="1220" t="s">
        <v>2232</v>
      </c>
      <c r="C52" s="1225">
        <v>6</v>
      </c>
      <c r="D52" s="1217">
        <f t="shared" si="1"/>
        <v>0.85</v>
      </c>
      <c r="E52" s="356">
        <f t="shared" si="2"/>
        <v>5.0999999999999996</v>
      </c>
      <c r="F52" s="356">
        <f t="shared" si="0"/>
        <v>5.0999999999999996</v>
      </c>
    </row>
    <row r="53" spans="1:6" ht="15" customHeight="1" x14ac:dyDescent="0.2">
      <c r="A53" s="420" t="s">
        <v>2288</v>
      </c>
      <c r="B53" s="1220" t="s">
        <v>2233</v>
      </c>
      <c r="C53" s="1225">
        <v>7</v>
      </c>
      <c r="D53" s="1217">
        <f t="shared" si="1"/>
        <v>0.85</v>
      </c>
      <c r="E53" s="356">
        <f t="shared" si="2"/>
        <v>5.95</v>
      </c>
      <c r="F53" s="356">
        <f t="shared" si="0"/>
        <v>5.95</v>
      </c>
    </row>
    <row r="54" spans="1:6" ht="15" customHeight="1" x14ac:dyDescent="0.2">
      <c r="A54" s="420" t="s">
        <v>2289</v>
      </c>
      <c r="B54" s="1220" t="s">
        <v>2234</v>
      </c>
      <c r="C54" s="1225">
        <v>5</v>
      </c>
      <c r="D54" s="1217">
        <f t="shared" si="1"/>
        <v>0.85</v>
      </c>
      <c r="E54" s="356">
        <f t="shared" si="2"/>
        <v>4.25</v>
      </c>
      <c r="F54" s="356">
        <f t="shared" si="0"/>
        <v>4.25</v>
      </c>
    </row>
    <row r="55" spans="1:6" ht="15" customHeight="1" x14ac:dyDescent="0.2">
      <c r="A55" s="420" t="s">
        <v>2290</v>
      </c>
      <c r="B55" s="1220" t="s">
        <v>2235</v>
      </c>
      <c r="C55" s="1225">
        <v>6</v>
      </c>
      <c r="D55" s="1217">
        <f t="shared" si="1"/>
        <v>0.85</v>
      </c>
      <c r="E55" s="356">
        <f t="shared" si="2"/>
        <v>5.0999999999999996</v>
      </c>
      <c r="F55" s="356">
        <f t="shared" si="0"/>
        <v>5.0999999999999996</v>
      </c>
    </row>
    <row r="56" spans="1:6" ht="15" customHeight="1" x14ac:dyDescent="0.2">
      <c r="A56" s="420" t="s">
        <v>2291</v>
      </c>
      <c r="B56" s="1220" t="s">
        <v>2236</v>
      </c>
      <c r="C56" s="1225">
        <v>4</v>
      </c>
      <c r="D56" s="1217">
        <f t="shared" si="1"/>
        <v>0.85</v>
      </c>
      <c r="E56" s="356">
        <f t="shared" si="2"/>
        <v>3.4</v>
      </c>
      <c r="F56" s="356">
        <f t="shared" si="0"/>
        <v>3.4</v>
      </c>
    </row>
    <row r="57" spans="1:6" ht="15" customHeight="1" x14ac:dyDescent="0.2">
      <c r="A57" s="420" t="s">
        <v>2292</v>
      </c>
      <c r="B57" s="1220" t="s">
        <v>2237</v>
      </c>
      <c r="C57" s="1225">
        <v>12</v>
      </c>
      <c r="D57" s="1217">
        <f t="shared" si="1"/>
        <v>0.85</v>
      </c>
      <c r="E57" s="356">
        <f t="shared" si="2"/>
        <v>10.199999999999999</v>
      </c>
      <c r="F57" s="356">
        <f t="shared" si="0"/>
        <v>10.199999999999999</v>
      </c>
    </row>
    <row r="58" spans="1:6" ht="15" customHeight="1" x14ac:dyDescent="0.2">
      <c r="A58" s="420" t="s">
        <v>2293</v>
      </c>
      <c r="B58" s="1220" t="s">
        <v>2238</v>
      </c>
      <c r="C58" s="1225">
        <v>11</v>
      </c>
      <c r="D58" s="1217">
        <f t="shared" si="1"/>
        <v>0.85</v>
      </c>
      <c r="E58" s="356">
        <f t="shared" si="2"/>
        <v>9.35</v>
      </c>
      <c r="F58" s="356">
        <f t="shared" si="0"/>
        <v>9.35</v>
      </c>
    </row>
    <row r="59" spans="1:6" ht="15" customHeight="1" x14ac:dyDescent="0.2">
      <c r="A59" s="420" t="s">
        <v>2294</v>
      </c>
      <c r="B59" s="1220" t="s">
        <v>2239</v>
      </c>
      <c r="C59" s="1225">
        <v>4.5</v>
      </c>
      <c r="D59" s="1217">
        <f t="shared" si="1"/>
        <v>0.85</v>
      </c>
      <c r="E59" s="356">
        <f t="shared" si="2"/>
        <v>3.8249999999999997</v>
      </c>
      <c r="F59" s="356">
        <f t="shared" ref="F59:F80" si="3">E59</f>
        <v>3.8249999999999997</v>
      </c>
    </row>
    <row r="60" spans="1:6" ht="15" customHeight="1" x14ac:dyDescent="0.2">
      <c r="A60" s="420" t="s">
        <v>2295</v>
      </c>
      <c r="B60" s="1220" t="s">
        <v>2240</v>
      </c>
      <c r="C60" s="1225">
        <v>3</v>
      </c>
      <c r="D60" s="1217">
        <f t="shared" si="1"/>
        <v>0.85</v>
      </c>
      <c r="E60" s="356">
        <f t="shared" si="2"/>
        <v>2.5499999999999998</v>
      </c>
      <c r="F60" s="356">
        <f t="shared" si="3"/>
        <v>2.5499999999999998</v>
      </c>
    </row>
    <row r="61" spans="1:6" ht="15" customHeight="1" x14ac:dyDescent="0.2">
      <c r="A61" s="420" t="s">
        <v>2296</v>
      </c>
      <c r="B61" s="1220" t="s">
        <v>2241</v>
      </c>
      <c r="C61" s="1225">
        <v>4</v>
      </c>
      <c r="D61" s="1217">
        <f t="shared" si="1"/>
        <v>0.85</v>
      </c>
      <c r="E61" s="356">
        <f t="shared" si="2"/>
        <v>3.4</v>
      </c>
      <c r="F61" s="356">
        <f t="shared" si="3"/>
        <v>3.4</v>
      </c>
    </row>
    <row r="62" spans="1:6" ht="15" customHeight="1" x14ac:dyDescent="0.2">
      <c r="A62" s="420" t="s">
        <v>2297</v>
      </c>
      <c r="B62" s="1220" t="s">
        <v>2242</v>
      </c>
      <c r="C62" s="1225">
        <v>5</v>
      </c>
      <c r="D62" s="1217">
        <f t="shared" si="1"/>
        <v>0.85</v>
      </c>
      <c r="E62" s="356">
        <f t="shared" si="2"/>
        <v>4.25</v>
      </c>
      <c r="F62" s="356">
        <f t="shared" si="3"/>
        <v>4.25</v>
      </c>
    </row>
    <row r="63" spans="1:6" ht="15" customHeight="1" x14ac:dyDescent="0.2">
      <c r="A63" s="420" t="s">
        <v>2298</v>
      </c>
      <c r="B63" s="1220" t="s">
        <v>2243</v>
      </c>
      <c r="C63" s="1225">
        <v>4</v>
      </c>
      <c r="D63" s="1217">
        <f t="shared" si="1"/>
        <v>0.85</v>
      </c>
      <c r="E63" s="356">
        <f t="shared" si="2"/>
        <v>3.4</v>
      </c>
      <c r="F63" s="356">
        <f t="shared" si="3"/>
        <v>3.4</v>
      </c>
    </row>
    <row r="64" spans="1:6" ht="15" customHeight="1" x14ac:dyDescent="0.2">
      <c r="A64" s="420" t="s">
        <v>2299</v>
      </c>
      <c r="B64" s="1220" t="s">
        <v>2244</v>
      </c>
      <c r="C64" s="1225">
        <v>5</v>
      </c>
      <c r="D64" s="1217">
        <f t="shared" si="1"/>
        <v>0.85</v>
      </c>
      <c r="E64" s="356">
        <f t="shared" si="2"/>
        <v>4.25</v>
      </c>
      <c r="F64" s="356">
        <f t="shared" si="3"/>
        <v>4.25</v>
      </c>
    </row>
    <row r="65" spans="1:6" ht="15" customHeight="1" x14ac:dyDescent="0.2">
      <c r="A65" s="420" t="s">
        <v>2300</v>
      </c>
      <c r="B65" s="1220" t="s">
        <v>2245</v>
      </c>
      <c r="C65" s="1225">
        <v>6</v>
      </c>
      <c r="D65" s="1217">
        <f t="shared" si="1"/>
        <v>0.85</v>
      </c>
      <c r="E65" s="356">
        <f t="shared" si="2"/>
        <v>5.0999999999999996</v>
      </c>
      <c r="F65" s="356">
        <f t="shared" si="3"/>
        <v>5.0999999999999996</v>
      </c>
    </row>
    <row r="66" spans="1:6" ht="15" customHeight="1" x14ac:dyDescent="0.2">
      <c r="A66" s="420" t="s">
        <v>2316</v>
      </c>
      <c r="B66" s="1221" t="s">
        <v>1831</v>
      </c>
      <c r="C66" s="1225">
        <v>0.5</v>
      </c>
      <c r="D66" s="1217">
        <v>1</v>
      </c>
      <c r="E66" s="356">
        <f>D66*C66</f>
        <v>0.5</v>
      </c>
      <c r="F66" s="356">
        <f t="shared" si="3"/>
        <v>0.5</v>
      </c>
    </row>
    <row r="67" spans="1:6" ht="15" customHeight="1" x14ac:dyDescent="0.2">
      <c r="A67" s="420" t="s">
        <v>2319</v>
      </c>
      <c r="B67" s="1221" t="s">
        <v>1832</v>
      </c>
      <c r="C67" s="1225">
        <v>0.5</v>
      </c>
      <c r="D67" s="1217">
        <v>1</v>
      </c>
      <c r="E67" s="356">
        <f t="shared" ref="E67:E80" si="4">D67*C67</f>
        <v>0.5</v>
      </c>
      <c r="F67" s="356">
        <f t="shared" si="3"/>
        <v>0.5</v>
      </c>
    </row>
    <row r="68" spans="1:6" ht="15" customHeight="1" x14ac:dyDescent="0.2">
      <c r="A68" s="420"/>
      <c r="B68" s="1221"/>
      <c r="C68" s="1225">
        <v>0</v>
      </c>
      <c r="D68" s="1217">
        <v>1</v>
      </c>
      <c r="E68" s="356">
        <f t="shared" si="4"/>
        <v>0</v>
      </c>
      <c r="F68" s="356">
        <f t="shared" si="3"/>
        <v>0</v>
      </c>
    </row>
    <row r="69" spans="1:6" ht="15" customHeight="1" x14ac:dyDescent="0.2">
      <c r="A69" s="420"/>
      <c r="B69" s="1221"/>
      <c r="C69" s="1225">
        <v>0</v>
      </c>
      <c r="D69" s="1217">
        <v>1</v>
      </c>
      <c r="E69" s="356">
        <f t="shared" si="4"/>
        <v>0</v>
      </c>
      <c r="F69" s="356">
        <f t="shared" si="3"/>
        <v>0</v>
      </c>
    </row>
    <row r="70" spans="1:6" ht="15" customHeight="1" x14ac:dyDescent="0.2">
      <c r="A70" s="420"/>
      <c r="B70" s="1221"/>
      <c r="C70" s="1225">
        <v>0</v>
      </c>
      <c r="D70" s="1217">
        <v>1</v>
      </c>
      <c r="E70" s="356">
        <f t="shared" si="4"/>
        <v>0</v>
      </c>
      <c r="F70" s="356">
        <f t="shared" si="3"/>
        <v>0</v>
      </c>
    </row>
    <row r="71" spans="1:6" ht="15" customHeight="1" x14ac:dyDescent="0.2">
      <c r="A71" s="420"/>
      <c r="B71" s="1221"/>
      <c r="C71" s="1225">
        <v>0</v>
      </c>
      <c r="D71" s="1217">
        <v>1</v>
      </c>
      <c r="E71" s="356">
        <f t="shared" si="4"/>
        <v>0</v>
      </c>
      <c r="F71" s="356">
        <f t="shared" si="3"/>
        <v>0</v>
      </c>
    </row>
    <row r="72" spans="1:6" ht="15" customHeight="1" x14ac:dyDescent="0.2">
      <c r="A72" s="420"/>
      <c r="B72" s="1221"/>
      <c r="C72" s="1225">
        <v>0</v>
      </c>
      <c r="D72" s="1217">
        <v>1</v>
      </c>
      <c r="E72" s="356">
        <f t="shared" si="4"/>
        <v>0</v>
      </c>
      <c r="F72" s="356">
        <f t="shared" si="3"/>
        <v>0</v>
      </c>
    </row>
    <row r="73" spans="1:6" ht="15" customHeight="1" x14ac:dyDescent="0.2">
      <c r="A73" s="420"/>
      <c r="B73" s="1221"/>
      <c r="C73" s="1225">
        <v>0</v>
      </c>
      <c r="D73" s="1217">
        <v>1</v>
      </c>
      <c r="E73" s="356">
        <f t="shared" si="4"/>
        <v>0</v>
      </c>
      <c r="F73" s="356">
        <f t="shared" si="3"/>
        <v>0</v>
      </c>
    </row>
    <row r="74" spans="1:6" ht="15" customHeight="1" x14ac:dyDescent="0.2">
      <c r="A74" s="420"/>
      <c r="B74" s="1221"/>
      <c r="C74" s="1225">
        <v>0</v>
      </c>
      <c r="D74" s="1217">
        <v>1</v>
      </c>
      <c r="E74" s="356">
        <f t="shared" si="4"/>
        <v>0</v>
      </c>
      <c r="F74" s="356">
        <f t="shared" si="3"/>
        <v>0</v>
      </c>
    </row>
    <row r="75" spans="1:6" ht="15" customHeight="1" x14ac:dyDescent="0.2">
      <c r="A75" s="420"/>
      <c r="B75" s="1221"/>
      <c r="C75" s="1225">
        <v>0</v>
      </c>
      <c r="D75" s="1217">
        <v>1</v>
      </c>
      <c r="E75" s="356">
        <f t="shared" si="4"/>
        <v>0</v>
      </c>
      <c r="F75" s="356">
        <f t="shared" si="3"/>
        <v>0</v>
      </c>
    </row>
    <row r="76" spans="1:6" ht="15" customHeight="1" x14ac:dyDescent="0.2">
      <c r="A76" s="420"/>
      <c r="B76" s="1221"/>
      <c r="C76" s="1225">
        <v>0</v>
      </c>
      <c r="D76" s="1217">
        <v>1</v>
      </c>
      <c r="E76" s="356">
        <f t="shared" si="4"/>
        <v>0</v>
      </c>
      <c r="F76" s="356">
        <f t="shared" si="3"/>
        <v>0</v>
      </c>
    </row>
    <row r="77" spans="1:6" ht="15" customHeight="1" x14ac:dyDescent="0.2">
      <c r="A77" s="420"/>
      <c r="B77" s="1221"/>
      <c r="C77" s="1225">
        <v>0</v>
      </c>
      <c r="D77" s="1217">
        <v>1</v>
      </c>
      <c r="E77" s="356">
        <f t="shared" si="4"/>
        <v>0</v>
      </c>
      <c r="F77" s="356">
        <f t="shared" si="3"/>
        <v>0</v>
      </c>
    </row>
    <row r="78" spans="1:6" ht="15" customHeight="1" x14ac:dyDescent="0.2">
      <c r="A78" s="420"/>
      <c r="B78" s="1221"/>
      <c r="C78" s="1225">
        <v>0</v>
      </c>
      <c r="D78" s="1217">
        <v>1</v>
      </c>
      <c r="E78" s="356">
        <f t="shared" si="4"/>
        <v>0</v>
      </c>
      <c r="F78" s="356">
        <f t="shared" si="3"/>
        <v>0</v>
      </c>
    </row>
    <row r="79" spans="1:6" ht="15" customHeight="1" x14ac:dyDescent="0.2">
      <c r="A79" s="420"/>
      <c r="B79" s="1221"/>
      <c r="C79" s="1225">
        <v>0</v>
      </c>
      <c r="D79" s="1217">
        <v>1</v>
      </c>
      <c r="E79" s="356">
        <f t="shared" si="4"/>
        <v>0</v>
      </c>
      <c r="F79" s="356">
        <f t="shared" si="3"/>
        <v>0</v>
      </c>
    </row>
    <row r="80" spans="1:6" ht="15" customHeight="1" x14ac:dyDescent="0.2">
      <c r="A80" s="420"/>
      <c r="B80" s="1221"/>
      <c r="C80" s="1225">
        <v>0</v>
      </c>
      <c r="D80" s="1217">
        <v>1</v>
      </c>
      <c r="E80" s="356">
        <f t="shared" si="4"/>
        <v>0</v>
      </c>
      <c r="F80" s="356">
        <f t="shared" si="3"/>
        <v>0</v>
      </c>
    </row>
    <row r="81" spans="1:6" ht="15" customHeight="1" x14ac:dyDescent="0.2">
      <c r="A81" s="420"/>
      <c r="B81" s="1212" t="s">
        <v>2246</v>
      </c>
      <c r="C81" s="1223"/>
    </row>
    <row r="82" spans="1:6" ht="15" customHeight="1" x14ac:dyDescent="0.2">
      <c r="A82" s="420"/>
      <c r="B82" s="1212" t="s">
        <v>2247</v>
      </c>
      <c r="C82" s="1223"/>
    </row>
    <row r="85" spans="1:6" x14ac:dyDescent="0.2">
      <c r="B85" s="356" t="s">
        <v>2321</v>
      </c>
    </row>
    <row r="86" spans="1:6" ht="25.5" x14ac:dyDescent="0.2">
      <c r="A86" s="420" t="s">
        <v>2250</v>
      </c>
      <c r="B86" s="1213" t="s">
        <v>2190</v>
      </c>
      <c r="C86" s="1224" t="s">
        <v>2187</v>
      </c>
      <c r="D86" s="1213" t="s">
        <v>2188</v>
      </c>
      <c r="E86" s="1214" t="s">
        <v>2248</v>
      </c>
      <c r="F86" s="1214" t="s">
        <v>2249</v>
      </c>
    </row>
    <row r="87" spans="1:6" ht="15" customHeight="1" x14ac:dyDescent="0.2">
      <c r="A87" s="420" t="s">
        <v>2253</v>
      </c>
      <c r="B87" s="1220" t="s">
        <v>2191</v>
      </c>
      <c r="C87" s="1225">
        <v>8</v>
      </c>
      <c r="D87" s="1217">
        <f>$D$2</f>
        <v>0.85</v>
      </c>
      <c r="E87" s="356">
        <f t="shared" ref="E87:E101" si="5">D87*C87</f>
        <v>6.8</v>
      </c>
      <c r="F87" s="356">
        <f t="shared" ref="F87:F101" si="6">E87</f>
        <v>6.8</v>
      </c>
    </row>
    <row r="88" spans="1:6" ht="15" customHeight="1" x14ac:dyDescent="0.2">
      <c r="A88" s="420" t="s">
        <v>2254</v>
      </c>
      <c r="B88" s="1220" t="s">
        <v>2192</v>
      </c>
      <c r="C88" s="1225">
        <v>6</v>
      </c>
      <c r="D88" s="1217">
        <f>$D$2</f>
        <v>0.85</v>
      </c>
      <c r="E88" s="356">
        <f t="shared" si="5"/>
        <v>5.0999999999999996</v>
      </c>
      <c r="F88" s="356">
        <f t="shared" si="6"/>
        <v>5.0999999999999996</v>
      </c>
    </row>
    <row r="89" spans="1:6" ht="15" customHeight="1" x14ac:dyDescent="0.2">
      <c r="A89" s="420" t="s">
        <v>2256</v>
      </c>
      <c r="B89" s="1220" t="s">
        <v>2193</v>
      </c>
      <c r="C89" s="1225">
        <v>16</v>
      </c>
      <c r="D89" s="1217">
        <f t="shared" si="1"/>
        <v>0.85</v>
      </c>
      <c r="E89" s="356">
        <f t="shared" si="5"/>
        <v>13.6</v>
      </c>
      <c r="F89" s="356">
        <f t="shared" si="6"/>
        <v>13.6</v>
      </c>
    </row>
    <row r="90" spans="1:6" ht="15" customHeight="1" x14ac:dyDescent="0.2">
      <c r="A90" s="420" t="s">
        <v>2255</v>
      </c>
      <c r="B90" s="1220" t="s">
        <v>2194</v>
      </c>
      <c r="C90" s="1225">
        <v>12</v>
      </c>
      <c r="D90" s="1217">
        <f t="shared" si="1"/>
        <v>0.85</v>
      </c>
      <c r="E90" s="356">
        <f t="shared" si="5"/>
        <v>10.199999999999999</v>
      </c>
      <c r="F90" s="356">
        <f t="shared" si="6"/>
        <v>10.199999999999999</v>
      </c>
    </row>
    <row r="91" spans="1:6" ht="15" customHeight="1" x14ac:dyDescent="0.2">
      <c r="A91" s="420" t="s">
        <v>2268</v>
      </c>
      <c r="B91" s="1220" t="s">
        <v>2209</v>
      </c>
      <c r="C91" s="1225">
        <v>3</v>
      </c>
      <c r="D91" s="1217">
        <f t="shared" si="1"/>
        <v>0.85</v>
      </c>
      <c r="E91" s="356">
        <f t="shared" si="5"/>
        <v>2.5499999999999998</v>
      </c>
      <c r="F91" s="356">
        <f t="shared" si="6"/>
        <v>2.5499999999999998</v>
      </c>
    </row>
    <row r="92" spans="1:6" ht="15" customHeight="1" x14ac:dyDescent="0.2">
      <c r="A92" s="420" t="s">
        <v>2269</v>
      </c>
      <c r="B92" s="1220" t="s">
        <v>2210</v>
      </c>
      <c r="C92" s="1225">
        <v>4.5</v>
      </c>
      <c r="D92" s="1217">
        <f t="shared" si="1"/>
        <v>0.85</v>
      </c>
      <c r="E92" s="356">
        <f t="shared" si="5"/>
        <v>3.8249999999999997</v>
      </c>
      <c r="F92" s="356">
        <f t="shared" si="6"/>
        <v>3.8249999999999997</v>
      </c>
    </row>
    <row r="93" spans="1:6" ht="15" customHeight="1" x14ac:dyDescent="0.2">
      <c r="A93" s="420" t="s">
        <v>2270</v>
      </c>
      <c r="B93" s="1220" t="s">
        <v>2211</v>
      </c>
      <c r="C93" s="1225">
        <v>7</v>
      </c>
      <c r="D93" s="1217">
        <f t="shared" si="1"/>
        <v>0.85</v>
      </c>
      <c r="E93" s="356">
        <f t="shared" si="5"/>
        <v>5.95</v>
      </c>
      <c r="F93" s="356">
        <f t="shared" si="6"/>
        <v>5.95</v>
      </c>
    </row>
    <row r="94" spans="1:6" ht="15" customHeight="1" x14ac:dyDescent="0.2">
      <c r="A94" s="420" t="s">
        <v>2271</v>
      </c>
      <c r="B94" s="1220" t="s">
        <v>2212</v>
      </c>
      <c r="C94" s="1225">
        <v>12</v>
      </c>
      <c r="D94" s="1217">
        <f t="shared" si="1"/>
        <v>0.85</v>
      </c>
      <c r="E94" s="356">
        <f t="shared" si="5"/>
        <v>10.199999999999999</v>
      </c>
      <c r="F94" s="356">
        <f t="shared" si="6"/>
        <v>10.199999999999999</v>
      </c>
    </row>
    <row r="95" spans="1:6" ht="15" customHeight="1" x14ac:dyDescent="0.2">
      <c r="A95" s="420" t="s">
        <v>2272</v>
      </c>
      <c r="B95" s="1220" t="s">
        <v>2213</v>
      </c>
      <c r="C95" s="1225">
        <v>16</v>
      </c>
      <c r="D95" s="1217">
        <f t="shared" si="1"/>
        <v>0.85</v>
      </c>
      <c r="E95" s="356">
        <f t="shared" si="5"/>
        <v>13.6</v>
      </c>
      <c r="F95" s="356">
        <f t="shared" si="6"/>
        <v>13.6</v>
      </c>
    </row>
    <row r="96" spans="1:6" ht="15" customHeight="1" x14ac:dyDescent="0.2">
      <c r="A96" s="420" t="s">
        <v>2273</v>
      </c>
      <c r="B96" s="1220" t="s">
        <v>2214</v>
      </c>
      <c r="C96" s="1225">
        <v>12</v>
      </c>
      <c r="D96" s="1217">
        <f t="shared" si="1"/>
        <v>0.85</v>
      </c>
      <c r="E96" s="356">
        <f t="shared" si="5"/>
        <v>10.199999999999999</v>
      </c>
      <c r="F96" s="356">
        <f t="shared" si="6"/>
        <v>10.199999999999999</v>
      </c>
    </row>
    <row r="97" spans="1:6" ht="15" customHeight="1" x14ac:dyDescent="0.2">
      <c r="A97" s="420" t="s">
        <v>2274</v>
      </c>
      <c r="B97" s="1220" t="s">
        <v>2215</v>
      </c>
      <c r="C97" s="1225">
        <v>16</v>
      </c>
      <c r="D97" s="1217">
        <f t="shared" si="1"/>
        <v>0.85</v>
      </c>
      <c r="E97" s="356">
        <f t="shared" si="5"/>
        <v>13.6</v>
      </c>
      <c r="F97" s="356">
        <f t="shared" si="6"/>
        <v>13.6</v>
      </c>
    </row>
    <row r="98" spans="1:6" ht="15" customHeight="1" x14ac:dyDescent="0.2">
      <c r="A98" s="420" t="s">
        <v>2275</v>
      </c>
      <c r="B98" s="1220" t="s">
        <v>2216</v>
      </c>
      <c r="C98" s="1225">
        <v>16</v>
      </c>
      <c r="D98" s="1217">
        <f t="shared" si="1"/>
        <v>0.85</v>
      </c>
      <c r="E98" s="356">
        <f t="shared" si="5"/>
        <v>13.6</v>
      </c>
      <c r="F98" s="356">
        <f t="shared" si="6"/>
        <v>13.6</v>
      </c>
    </row>
    <row r="99" spans="1:6" ht="15" customHeight="1" x14ac:dyDescent="0.2">
      <c r="A99" s="420" t="s">
        <v>2274</v>
      </c>
      <c r="B99" s="1220" t="s">
        <v>2217</v>
      </c>
      <c r="C99" s="1225">
        <v>8</v>
      </c>
      <c r="D99" s="1217">
        <f t="shared" si="1"/>
        <v>0.85</v>
      </c>
      <c r="E99" s="356">
        <f t="shared" si="5"/>
        <v>6.8</v>
      </c>
      <c r="F99" s="356">
        <f t="shared" si="6"/>
        <v>6.8</v>
      </c>
    </row>
    <row r="100" spans="1:6" ht="15" customHeight="1" x14ac:dyDescent="0.2">
      <c r="A100" s="420" t="s">
        <v>2276</v>
      </c>
      <c r="B100" s="1220" t="s">
        <v>2218</v>
      </c>
      <c r="C100" s="1225">
        <v>10</v>
      </c>
      <c r="D100" s="1217">
        <f t="shared" si="1"/>
        <v>0.85</v>
      </c>
      <c r="E100" s="356">
        <f t="shared" si="5"/>
        <v>8.5</v>
      </c>
      <c r="F100" s="356">
        <f t="shared" si="6"/>
        <v>8.5</v>
      </c>
    </row>
    <row r="101" spans="1:6" ht="15" customHeight="1" x14ac:dyDescent="0.2">
      <c r="A101" s="420" t="s">
        <v>2276</v>
      </c>
      <c r="B101" s="1220" t="s">
        <v>2219</v>
      </c>
      <c r="C101" s="1225">
        <v>9</v>
      </c>
      <c r="D101" s="1217">
        <f t="shared" si="1"/>
        <v>0.85</v>
      </c>
      <c r="E101" s="356">
        <f t="shared" si="5"/>
        <v>7.6499999999999995</v>
      </c>
      <c r="F101" s="356">
        <f t="shared" si="6"/>
        <v>7.6499999999999995</v>
      </c>
    </row>
  </sheetData>
  <customSheetViews>
    <customSheetView guid="{C88CD669-B349-4A86-8041-5686C62E698E}" state="hidden">
      <selection activeCell="J33" sqref="J33"/>
      <pageMargins left="0.7" right="0.7" top="0.75" bottom="0.75" header="0.3" footer="0.3"/>
      <pageSetup orientation="portrait" r:id="rId1"/>
    </customSheetView>
  </customSheetView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45"/>
  <sheetViews>
    <sheetView workbookViewId="0">
      <selection activeCell="C26" sqref="C26"/>
    </sheetView>
  </sheetViews>
  <sheetFormatPr defaultRowHeight="12.75" x14ac:dyDescent="0.2"/>
  <cols>
    <col min="1" max="1" width="31.5703125" customWidth="1"/>
    <col min="2" max="2" width="24.7109375" customWidth="1"/>
    <col min="3" max="4" width="16" customWidth="1"/>
    <col min="5" max="5" width="11.5703125" customWidth="1"/>
    <col min="6" max="6" width="13.140625" customWidth="1"/>
    <col min="7" max="7" width="13.28515625" customWidth="1"/>
  </cols>
  <sheetData>
    <row r="1" spans="1:6" ht="13.5" thickBot="1" x14ac:dyDescent="0.25">
      <c r="A1" s="1610"/>
      <c r="B1" s="1610"/>
    </row>
    <row r="2" spans="1:6" x14ac:dyDescent="0.2">
      <c r="A2" s="1858" t="s">
        <v>1709</v>
      </c>
      <c r="B2" s="1859"/>
    </row>
    <row r="3" spans="1:6" x14ac:dyDescent="0.2">
      <c r="A3" s="1285" t="s">
        <v>198</v>
      </c>
      <c r="B3" s="1297" t="s">
        <v>1710</v>
      </c>
    </row>
    <row r="4" spans="1:6" x14ac:dyDescent="0.2">
      <c r="A4" s="1298" t="s">
        <v>2455</v>
      </c>
      <c r="B4" s="1299">
        <v>1000</v>
      </c>
    </row>
    <row r="5" spans="1:6" x14ac:dyDescent="0.2">
      <c r="A5" s="1298" t="s">
        <v>176</v>
      </c>
      <c r="B5" s="1299">
        <v>5000</v>
      </c>
    </row>
    <row r="6" spans="1:6" x14ac:dyDescent="0.2">
      <c r="A6" s="1298" t="s">
        <v>1711</v>
      </c>
      <c r="B6" s="1299">
        <v>250</v>
      </c>
    </row>
    <row r="7" spans="1:6" x14ac:dyDescent="0.2">
      <c r="A7" s="1298" t="s">
        <v>213</v>
      </c>
      <c r="B7" s="1299">
        <v>1000</v>
      </c>
    </row>
    <row r="8" spans="1:6" x14ac:dyDescent="0.2">
      <c r="A8" s="1298" t="s">
        <v>175</v>
      </c>
      <c r="B8" s="1299">
        <v>2000</v>
      </c>
    </row>
    <row r="9" spans="1:6" ht="13.5" thickBot="1" x14ac:dyDescent="0.25">
      <c r="A9" s="1300" t="s">
        <v>2341</v>
      </c>
      <c r="B9" s="1301">
        <v>800</v>
      </c>
    </row>
    <row r="10" spans="1:6" ht="13.5" thickBot="1" x14ac:dyDescent="0.25">
      <c r="B10" s="602"/>
    </row>
    <row r="11" spans="1:6" ht="13.5" thickBot="1" x14ac:dyDescent="0.25">
      <c r="A11" s="1860" t="s">
        <v>2340</v>
      </c>
      <c r="B11" s="1861"/>
      <c r="C11" s="1861"/>
      <c r="D11" s="1861"/>
      <c r="E11" s="1861"/>
      <c r="F11" s="1862"/>
    </row>
    <row r="12" spans="1:6" ht="25.5" x14ac:dyDescent="0.2">
      <c r="A12" s="1324" t="s">
        <v>87</v>
      </c>
      <c r="B12" s="1325" t="s">
        <v>2389</v>
      </c>
      <c r="C12" s="1326" t="s">
        <v>1185</v>
      </c>
      <c r="D12" s="1327" t="s">
        <v>2362</v>
      </c>
      <c r="E12" s="1327" t="s">
        <v>2388</v>
      </c>
      <c r="F12" s="1327" t="s">
        <v>1150</v>
      </c>
    </row>
    <row r="13" spans="1:6" x14ac:dyDescent="0.2">
      <c r="A13" s="1285" t="s">
        <v>2338</v>
      </c>
      <c r="B13" s="1286">
        <v>0</v>
      </c>
      <c r="C13" s="1286"/>
      <c r="D13" s="1286"/>
      <c r="E13" s="1323"/>
      <c r="F13" s="1287"/>
    </row>
    <row r="14" spans="1:6" x14ac:dyDescent="0.2">
      <c r="A14" s="1285" t="s">
        <v>203</v>
      </c>
      <c r="B14" s="1286">
        <f>F14-(F14*E14)</f>
        <v>190</v>
      </c>
      <c r="C14" s="1286">
        <v>0</v>
      </c>
      <c r="D14" s="1287">
        <v>300</v>
      </c>
      <c r="E14" s="1323">
        <v>0</v>
      </c>
      <c r="F14" s="1287">
        <v>190</v>
      </c>
    </row>
    <row r="15" spans="1:6" x14ac:dyDescent="0.2">
      <c r="A15" s="1285" t="s">
        <v>204</v>
      </c>
      <c r="B15" s="1286">
        <f t="shared" ref="B15:B32" si="0">F15-(F15*E15)</f>
        <v>190</v>
      </c>
      <c r="C15" s="1286">
        <v>0</v>
      </c>
      <c r="D15" s="1287">
        <f t="shared" ref="D15:D21" si="1">$D$14</f>
        <v>300</v>
      </c>
      <c r="E15" s="1323">
        <f>$E$14</f>
        <v>0</v>
      </c>
      <c r="F15" s="1287">
        <v>190</v>
      </c>
    </row>
    <row r="16" spans="1:6" x14ac:dyDescent="0.2">
      <c r="A16" s="1285" t="s">
        <v>2325</v>
      </c>
      <c r="B16" s="1286">
        <f t="shared" si="0"/>
        <v>195</v>
      </c>
      <c r="C16" s="1286">
        <v>0</v>
      </c>
      <c r="D16" s="1287">
        <f t="shared" si="1"/>
        <v>300</v>
      </c>
      <c r="E16" s="1323">
        <f t="shared" ref="E16:E32" si="2">$E$14</f>
        <v>0</v>
      </c>
      <c r="F16" s="1287">
        <v>195</v>
      </c>
    </row>
    <row r="17" spans="1:6" x14ac:dyDescent="0.2">
      <c r="A17" s="1285" t="s">
        <v>74</v>
      </c>
      <c r="B17" s="1286">
        <f t="shared" si="0"/>
        <v>210</v>
      </c>
      <c r="C17" s="1286">
        <v>0</v>
      </c>
      <c r="D17" s="1287">
        <f t="shared" si="1"/>
        <v>300</v>
      </c>
      <c r="E17" s="1323">
        <f t="shared" si="2"/>
        <v>0</v>
      </c>
      <c r="F17" s="1287">
        <v>210</v>
      </c>
    </row>
    <row r="18" spans="1:6" x14ac:dyDescent="0.2">
      <c r="A18" s="1285" t="s">
        <v>205</v>
      </c>
      <c r="B18" s="1286">
        <f t="shared" si="0"/>
        <v>225</v>
      </c>
      <c r="C18" s="1286">
        <v>0</v>
      </c>
      <c r="D18" s="1287">
        <f t="shared" si="1"/>
        <v>300</v>
      </c>
      <c r="E18" s="1323">
        <f t="shared" si="2"/>
        <v>0</v>
      </c>
      <c r="F18" s="1287">
        <v>225</v>
      </c>
    </row>
    <row r="19" spans="1:6" x14ac:dyDescent="0.2">
      <c r="A19" s="1285" t="s">
        <v>206</v>
      </c>
      <c r="B19" s="1286">
        <f t="shared" si="0"/>
        <v>290</v>
      </c>
      <c r="C19" s="1286">
        <v>0</v>
      </c>
      <c r="D19" s="1287">
        <f t="shared" si="1"/>
        <v>300</v>
      </c>
      <c r="E19" s="1323">
        <f t="shared" si="2"/>
        <v>0</v>
      </c>
      <c r="F19" s="1287">
        <v>290</v>
      </c>
    </row>
    <row r="20" spans="1:6" x14ac:dyDescent="0.2">
      <c r="A20" s="1285" t="s">
        <v>2326</v>
      </c>
      <c r="B20" s="1286">
        <f t="shared" si="0"/>
        <v>320</v>
      </c>
      <c r="C20" s="1286">
        <v>0</v>
      </c>
      <c r="D20" s="1287">
        <f t="shared" si="1"/>
        <v>300</v>
      </c>
      <c r="E20" s="1323">
        <f t="shared" si="2"/>
        <v>0</v>
      </c>
      <c r="F20" s="1287">
        <v>320</v>
      </c>
    </row>
    <row r="21" spans="1:6" x14ac:dyDescent="0.2">
      <c r="A21" s="1285" t="s">
        <v>2327</v>
      </c>
      <c r="B21" s="1286">
        <f t="shared" si="0"/>
        <v>335</v>
      </c>
      <c r="C21" s="1286">
        <v>2340</v>
      </c>
      <c r="D21" s="1287">
        <f t="shared" si="1"/>
        <v>300</v>
      </c>
      <c r="E21" s="1323">
        <f t="shared" si="2"/>
        <v>0</v>
      </c>
      <c r="F21" s="1287">
        <v>335</v>
      </c>
    </row>
    <row r="22" spans="1:6" x14ac:dyDescent="0.2">
      <c r="A22" s="1288" t="s">
        <v>207</v>
      </c>
      <c r="B22" s="1286">
        <f t="shared" si="0"/>
        <v>355</v>
      </c>
      <c r="C22" s="1286">
        <v>2340</v>
      </c>
      <c r="D22" s="1287">
        <v>450</v>
      </c>
      <c r="E22" s="1323">
        <f t="shared" si="2"/>
        <v>0</v>
      </c>
      <c r="F22" s="1287">
        <v>355</v>
      </c>
    </row>
    <row r="23" spans="1:6" x14ac:dyDescent="0.2">
      <c r="A23" s="1288" t="s">
        <v>2328</v>
      </c>
      <c r="B23" s="1286">
        <f t="shared" si="0"/>
        <v>390</v>
      </c>
      <c r="C23" s="1289">
        <v>2500</v>
      </c>
      <c r="D23" s="1290">
        <f t="shared" ref="D23:D32" si="3">$D$22</f>
        <v>450</v>
      </c>
      <c r="E23" s="1323">
        <f t="shared" si="2"/>
        <v>0</v>
      </c>
      <c r="F23" s="1290">
        <v>390</v>
      </c>
    </row>
    <row r="24" spans="1:6" x14ac:dyDescent="0.2">
      <c r="A24" s="1288" t="s">
        <v>2329</v>
      </c>
      <c r="B24" s="1286">
        <f t="shared" si="0"/>
        <v>415</v>
      </c>
      <c r="C24" s="1289">
        <v>3200</v>
      </c>
      <c r="D24" s="1290">
        <f t="shared" si="3"/>
        <v>450</v>
      </c>
      <c r="E24" s="1323">
        <f t="shared" si="2"/>
        <v>0</v>
      </c>
      <c r="F24" s="1290">
        <v>415</v>
      </c>
    </row>
    <row r="25" spans="1:6" x14ac:dyDescent="0.2">
      <c r="A25" s="1288" t="s">
        <v>2330</v>
      </c>
      <c r="B25" s="1286">
        <f t="shared" si="0"/>
        <v>465</v>
      </c>
      <c r="C25" s="1289">
        <v>6000</v>
      </c>
      <c r="D25" s="1290">
        <f t="shared" si="3"/>
        <v>450</v>
      </c>
      <c r="E25" s="1323">
        <f t="shared" si="2"/>
        <v>0</v>
      </c>
      <c r="F25" s="1290">
        <v>465</v>
      </c>
    </row>
    <row r="26" spans="1:6" x14ac:dyDescent="0.2">
      <c r="A26" s="1288" t="s">
        <v>2337</v>
      </c>
      <c r="B26" s="1286">
        <f t="shared" si="0"/>
        <v>495</v>
      </c>
      <c r="C26" s="1291">
        <v>4330</v>
      </c>
      <c r="D26" s="1290">
        <f t="shared" si="3"/>
        <v>450</v>
      </c>
      <c r="E26" s="1323">
        <f t="shared" si="2"/>
        <v>0</v>
      </c>
      <c r="F26" s="1290">
        <v>495</v>
      </c>
    </row>
    <row r="27" spans="1:6" x14ac:dyDescent="0.2">
      <c r="A27" s="1288" t="s">
        <v>2331</v>
      </c>
      <c r="B27" s="1286">
        <f t="shared" si="0"/>
        <v>495</v>
      </c>
      <c r="C27" s="1289">
        <v>7590</v>
      </c>
      <c r="D27" s="1290">
        <f t="shared" si="3"/>
        <v>450</v>
      </c>
      <c r="E27" s="1323">
        <f t="shared" si="2"/>
        <v>0</v>
      </c>
      <c r="F27" s="1290">
        <v>495</v>
      </c>
    </row>
    <row r="28" spans="1:6" x14ac:dyDescent="0.2">
      <c r="A28" s="1288" t="s">
        <v>2332</v>
      </c>
      <c r="B28" s="1286">
        <f t="shared" si="0"/>
        <v>530</v>
      </c>
      <c r="C28" s="1289">
        <v>7590</v>
      </c>
      <c r="D28" s="1290">
        <f t="shared" si="3"/>
        <v>450</v>
      </c>
      <c r="E28" s="1323">
        <f t="shared" si="2"/>
        <v>0</v>
      </c>
      <c r="F28" s="1290">
        <v>530</v>
      </c>
    </row>
    <row r="29" spans="1:6" x14ac:dyDescent="0.2">
      <c r="A29" s="1288" t="s">
        <v>2333</v>
      </c>
      <c r="B29" s="1286">
        <f t="shared" si="0"/>
        <v>650</v>
      </c>
      <c r="C29" s="1291">
        <v>11910</v>
      </c>
      <c r="D29" s="1290">
        <f t="shared" si="3"/>
        <v>450</v>
      </c>
      <c r="E29" s="1323">
        <f t="shared" si="2"/>
        <v>0</v>
      </c>
      <c r="F29" s="1290">
        <v>650</v>
      </c>
    </row>
    <row r="30" spans="1:6" x14ac:dyDescent="0.2">
      <c r="A30" s="1288" t="s">
        <v>2336</v>
      </c>
      <c r="B30" s="1286">
        <f t="shared" si="0"/>
        <v>705</v>
      </c>
      <c r="C30" s="1291">
        <v>11910</v>
      </c>
      <c r="D30" s="1290">
        <f t="shared" si="3"/>
        <v>450</v>
      </c>
      <c r="E30" s="1323">
        <f t="shared" si="2"/>
        <v>0</v>
      </c>
      <c r="F30" s="1290">
        <v>705</v>
      </c>
    </row>
    <row r="31" spans="1:6" x14ac:dyDescent="0.2">
      <c r="A31" s="1292" t="s">
        <v>2334</v>
      </c>
      <c r="B31" s="1286">
        <f t="shared" si="0"/>
        <v>725</v>
      </c>
      <c r="C31" s="1289">
        <v>11910</v>
      </c>
      <c r="D31" s="1290">
        <f t="shared" si="3"/>
        <v>450</v>
      </c>
      <c r="E31" s="1323">
        <f t="shared" si="2"/>
        <v>0</v>
      </c>
      <c r="F31" s="1290">
        <v>725</v>
      </c>
    </row>
    <row r="32" spans="1:6" x14ac:dyDescent="0.2">
      <c r="A32" s="1292" t="s">
        <v>2335</v>
      </c>
      <c r="B32" s="1286">
        <f t="shared" si="0"/>
        <v>765</v>
      </c>
      <c r="C32" s="1289">
        <v>14240</v>
      </c>
      <c r="D32" s="1290">
        <f t="shared" si="3"/>
        <v>450</v>
      </c>
      <c r="E32" s="1323">
        <f t="shared" si="2"/>
        <v>0</v>
      </c>
      <c r="F32" s="1290">
        <v>765</v>
      </c>
    </row>
    <row r="33" spans="1:7" x14ac:dyDescent="0.2">
      <c r="A33" s="1292" t="s">
        <v>2164</v>
      </c>
      <c r="B33" s="1289">
        <v>200</v>
      </c>
      <c r="C33" s="1289"/>
      <c r="D33" s="1290"/>
      <c r="E33" s="1290"/>
      <c r="F33" s="1290"/>
    </row>
    <row r="34" spans="1:7" x14ac:dyDescent="0.2">
      <c r="A34" s="1394" t="s">
        <v>2165</v>
      </c>
      <c r="B34" s="1393">
        <v>110</v>
      </c>
      <c r="C34" s="1395"/>
      <c r="D34" s="1396"/>
      <c r="E34" s="1396"/>
      <c r="F34" s="1396"/>
    </row>
    <row r="35" spans="1:7" ht="13.5" thickBot="1" x14ac:dyDescent="0.25">
      <c r="A35" s="1293"/>
      <c r="B35" s="1294">
        <v>0</v>
      </c>
      <c r="C35" s="1295"/>
      <c r="D35" s="1296"/>
      <c r="E35" s="1296"/>
      <c r="F35" s="1296"/>
    </row>
    <row r="36" spans="1:7" ht="13.5" thickBot="1" x14ac:dyDescent="0.25">
      <c r="A36" s="1255"/>
    </row>
    <row r="37" spans="1:7" x14ac:dyDescent="0.2">
      <c r="A37" s="1856" t="s">
        <v>427</v>
      </c>
      <c r="B37" s="1857"/>
    </row>
    <row r="38" spans="1:7" x14ac:dyDescent="0.2">
      <c r="A38" s="1283" t="s">
        <v>2342</v>
      </c>
      <c r="B38" s="1284" t="s">
        <v>1710</v>
      </c>
    </row>
    <row r="39" spans="1:7" x14ac:dyDescent="0.2">
      <c r="A39" s="1298" t="s">
        <v>1712</v>
      </c>
      <c r="B39" s="1287">
        <v>1000</v>
      </c>
    </row>
    <row r="40" spans="1:7" x14ac:dyDescent="0.2">
      <c r="A40" s="1298" t="s">
        <v>1713</v>
      </c>
      <c r="B40" s="1299">
        <v>300</v>
      </c>
    </row>
    <row r="41" spans="1:7" ht="13.5" thickBot="1" x14ac:dyDescent="0.25">
      <c r="A41" s="1300" t="s">
        <v>1714</v>
      </c>
      <c r="B41" s="1301">
        <v>100</v>
      </c>
    </row>
    <row r="42" spans="1:7" ht="13.5" thickBot="1" x14ac:dyDescent="0.25"/>
    <row r="43" spans="1:7" ht="13.5" thickBot="1" x14ac:dyDescent="0.25">
      <c r="A43" s="1679" t="s">
        <v>2404</v>
      </c>
      <c r="B43" s="1680"/>
      <c r="C43" s="1680"/>
      <c r="D43" s="1680"/>
      <c r="E43" s="1680"/>
      <c r="F43" s="1680"/>
      <c r="G43" s="1681"/>
    </row>
    <row r="44" spans="1:7" ht="25.5" x14ac:dyDescent="0.2">
      <c r="A44" s="1324" t="s">
        <v>2406</v>
      </c>
      <c r="B44" s="1325" t="s">
        <v>2407</v>
      </c>
      <c r="C44" s="1326" t="s">
        <v>2408</v>
      </c>
      <c r="D44" s="1327" t="s">
        <v>2405</v>
      </c>
      <c r="E44" s="1327" t="s">
        <v>1529</v>
      </c>
      <c r="F44" s="1327" t="s">
        <v>2409</v>
      </c>
      <c r="G44" s="1397" t="s">
        <v>2410</v>
      </c>
    </row>
    <row r="45" spans="1:7" x14ac:dyDescent="0.2">
      <c r="A45" s="1285">
        <v>5</v>
      </c>
      <c r="B45" s="1398">
        <v>6</v>
      </c>
      <c r="C45" s="1398">
        <v>4</v>
      </c>
      <c r="D45" s="1398">
        <v>1</v>
      </c>
      <c r="E45" s="1399">
        <f>(A45+D45)*(B45+D45)*C45</f>
        <v>168</v>
      </c>
      <c r="F45" s="1287">
        <v>1.25</v>
      </c>
      <c r="G45" s="1287">
        <f>F45*E45</f>
        <v>210</v>
      </c>
    </row>
  </sheetData>
  <sortState xmlns:xlrd2="http://schemas.microsoft.com/office/spreadsheetml/2017/richdata2" ref="A4:A8">
    <sortCondition ref="A4"/>
  </sortState>
  <customSheetViews>
    <customSheetView guid="{C88CD669-B349-4A86-8041-5686C62E698E}" state="hidden" topLeftCell="A10">
      <selection activeCell="A43" sqref="A43:G45"/>
      <pageMargins left="0.7" right="0.7" top="0.75" bottom="0.75" header="0.3" footer="0.3"/>
      <pageSetup orientation="portrait" r:id="rId1"/>
    </customSheetView>
    <customSheetView guid="{14A9C729-6567-47B0-B521-30EFFF4E950A}" state="hidden">
      <selection activeCell="B7" sqref="B7"/>
      <pageMargins left="0.7" right="0.7" top="0.75" bottom="0.75" header="0.3" footer="0.3"/>
    </customSheetView>
  </customSheetViews>
  <mergeCells count="5">
    <mergeCell ref="A1:B1"/>
    <mergeCell ref="A37:B37"/>
    <mergeCell ref="A2:B2"/>
    <mergeCell ref="A11:F11"/>
    <mergeCell ref="A43:G43"/>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98"/>
  <sheetViews>
    <sheetView tabSelected="1" topLeftCell="A37" zoomScale="90" zoomScaleNormal="90" workbookViewId="0">
      <selection activeCell="E62" sqref="E62"/>
    </sheetView>
  </sheetViews>
  <sheetFormatPr defaultColWidth="9.140625" defaultRowHeight="12.75" x14ac:dyDescent="0.2"/>
  <cols>
    <col min="1" max="1" width="2.140625" style="115" customWidth="1"/>
    <col min="2" max="2" width="17.85546875" style="115" customWidth="1"/>
    <col min="3" max="3" width="14.140625" style="115" customWidth="1"/>
    <col min="4" max="4" width="14.7109375" style="115" customWidth="1"/>
    <col min="5" max="5" width="37.140625" style="115" customWidth="1"/>
    <col min="6" max="6" width="23.5703125" style="115" customWidth="1"/>
    <col min="7" max="8" width="14" style="115" customWidth="1"/>
    <col min="9" max="9" width="1.7109375" style="115" customWidth="1"/>
    <col min="10" max="10" width="9.7109375" style="115" bestFit="1" customWidth="1"/>
    <col min="11" max="11" width="13" style="115" customWidth="1"/>
    <col min="12" max="12" width="14" style="115" bestFit="1" customWidth="1"/>
    <col min="13" max="13" width="10.28515625" style="115" bestFit="1" customWidth="1"/>
    <col min="14" max="14" width="1.85546875" style="115" customWidth="1"/>
    <col min="15" max="16" width="9.140625" style="115"/>
    <col min="17" max="17" width="15" style="115" bestFit="1" customWidth="1"/>
    <col min="18" max="18" width="9.140625" style="115"/>
    <col min="19" max="19" width="11.28515625" style="115" bestFit="1" customWidth="1"/>
    <col min="20" max="16384" width="9.140625" style="115"/>
  </cols>
  <sheetData>
    <row r="1" spans="1:15" ht="9" customHeight="1" x14ac:dyDescent="0.2">
      <c r="A1" s="886"/>
      <c r="B1" s="684"/>
      <c r="C1" s="684"/>
      <c r="D1" s="684"/>
      <c r="E1" s="684"/>
      <c r="F1" s="684"/>
      <c r="G1" s="684"/>
      <c r="H1" s="684"/>
      <c r="I1" s="684"/>
      <c r="J1" s="684"/>
      <c r="K1" s="684"/>
      <c r="L1" s="684"/>
      <c r="M1" s="684"/>
      <c r="N1" s="686"/>
    </row>
    <row r="2" spans="1:15" ht="18.75" x14ac:dyDescent="0.3">
      <c r="A2" s="887"/>
      <c r="B2" s="1552" t="s">
        <v>1954</v>
      </c>
      <c r="C2" s="1552"/>
      <c r="D2" s="1552"/>
      <c r="E2" s="1552"/>
      <c r="F2" s="1552"/>
      <c r="G2" s="1552"/>
      <c r="H2" s="1552"/>
      <c r="I2" s="1552"/>
      <c r="J2" s="642"/>
      <c r="K2" s="888" t="s">
        <v>467</v>
      </c>
      <c r="L2" s="642"/>
      <c r="M2" s="642"/>
      <c r="N2" s="644"/>
    </row>
    <row r="3" spans="1:15" ht="17.25" x14ac:dyDescent="0.25">
      <c r="A3" s="887"/>
      <c r="B3" s="1553" t="s">
        <v>0</v>
      </c>
      <c r="C3" s="1553"/>
      <c r="D3" s="1553"/>
      <c r="E3" s="1553"/>
      <c r="F3" s="1553"/>
      <c r="G3" s="1553"/>
      <c r="H3" s="1553"/>
      <c r="I3" s="1553"/>
      <c r="J3" s="642"/>
      <c r="K3" s="642"/>
      <c r="L3" s="642"/>
      <c r="M3" s="642"/>
      <c r="N3" s="644"/>
    </row>
    <row r="4" spans="1:15" ht="17.25" x14ac:dyDescent="0.25">
      <c r="A4" s="887"/>
      <c r="B4" s="1108"/>
      <c r="C4" s="1108"/>
      <c r="D4" s="1108"/>
      <c r="E4" s="1108"/>
      <c r="F4" s="1108"/>
      <c r="G4" s="1108"/>
      <c r="H4" s="1108"/>
      <c r="I4" s="1108"/>
      <c r="J4" s="642"/>
      <c r="K4" s="642"/>
      <c r="L4" s="642"/>
      <c r="M4" s="642"/>
      <c r="N4" s="644"/>
    </row>
    <row r="5" spans="1:15" ht="15.75" x14ac:dyDescent="0.25">
      <c r="A5" s="887"/>
      <c r="B5" s="122" t="s">
        <v>1</v>
      </c>
      <c r="C5" s="889" t="str">
        <f>'PROJECT INFO'!E3</f>
        <v>300 University Boulevard</v>
      </c>
      <c r="D5" s="120"/>
      <c r="E5" s="120"/>
      <c r="F5" s="120"/>
      <c r="G5" s="120"/>
      <c r="H5" s="890" t="s">
        <v>173</v>
      </c>
      <c r="I5" s="120"/>
      <c r="J5" s="642"/>
      <c r="K5" s="642"/>
      <c r="L5" s="642"/>
      <c r="M5" s="642"/>
      <c r="N5" s="644"/>
    </row>
    <row r="6" spans="1:15" ht="15.75" x14ac:dyDescent="0.25">
      <c r="A6" s="887"/>
      <c r="B6" s="118" t="s">
        <v>2</v>
      </c>
      <c r="C6" s="889" t="str">
        <f>'PROJECT INFO'!E6</f>
        <v>Denver, CO 80206</v>
      </c>
      <c r="D6" s="119"/>
      <c r="E6" s="120"/>
      <c r="F6" s="120"/>
      <c r="G6" s="128" t="s">
        <v>3</v>
      </c>
      <c r="H6" s="504">
        <f ca="1">NOW()</f>
        <v>44718.519324884262</v>
      </c>
      <c r="I6" s="120"/>
      <c r="J6" s="642"/>
      <c r="K6" s="642"/>
      <c r="L6" s="642"/>
      <c r="M6" s="642"/>
      <c r="N6" s="644"/>
    </row>
    <row r="7" spans="1:15" x14ac:dyDescent="0.2">
      <c r="A7" s="887"/>
      <c r="B7" s="891" t="s">
        <v>4</v>
      </c>
      <c r="C7" s="892">
        <f>'PROJECT INFO'!H3</f>
        <v>44624</v>
      </c>
      <c r="D7" s="121"/>
      <c r="E7" s="121" t="s">
        <v>2587</v>
      </c>
      <c r="F7" s="120"/>
      <c r="G7" s="128" t="s">
        <v>5</v>
      </c>
      <c r="H7" s="893">
        <f ca="1">+TODAY()</f>
        <v>44718</v>
      </c>
      <c r="I7" s="120"/>
      <c r="J7" s="642"/>
      <c r="K7" s="642"/>
      <c r="L7" s="642"/>
      <c r="M7" s="642"/>
      <c r="N7" s="644"/>
    </row>
    <row r="8" spans="1:15" x14ac:dyDescent="0.2">
      <c r="A8" s="887"/>
      <c r="B8" s="122" t="s">
        <v>468</v>
      </c>
      <c r="C8" s="522" t="str">
        <f>'PROJECT INFO'!E4</f>
        <v>5888</v>
      </c>
      <c r="D8" s="124"/>
      <c r="E8" s="125">
        <v>44670</v>
      </c>
      <c r="F8" s="126"/>
      <c r="G8" s="127" t="s">
        <v>469</v>
      </c>
      <c r="H8" s="128"/>
      <c r="I8" s="120"/>
      <c r="J8" s="642"/>
      <c r="K8" s="642"/>
      <c r="L8" s="642"/>
      <c r="M8" s="642"/>
      <c r="N8" s="644"/>
    </row>
    <row r="9" spans="1:15" x14ac:dyDescent="0.2">
      <c r="A9" s="887"/>
      <c r="B9" s="122"/>
      <c r="C9" s="123"/>
      <c r="D9" s="124"/>
      <c r="E9" s="125"/>
      <c r="F9" s="126"/>
      <c r="G9" s="127"/>
      <c r="H9" s="128"/>
      <c r="I9" s="120"/>
      <c r="J9" s="642"/>
      <c r="K9" s="642"/>
      <c r="L9" s="642"/>
      <c r="M9" s="642"/>
      <c r="N9" s="644"/>
    </row>
    <row r="10" spans="1:15" ht="15.75" x14ac:dyDescent="0.25">
      <c r="A10" s="887"/>
      <c r="B10" s="894" t="s">
        <v>6</v>
      </c>
      <c r="C10" s="119"/>
      <c r="D10" s="129"/>
      <c r="E10" s="130"/>
      <c r="F10" s="131"/>
      <c r="G10" s="132"/>
      <c r="H10" s="133"/>
      <c r="I10" s="130"/>
      <c r="J10" s="642"/>
      <c r="K10" s="642"/>
      <c r="L10" s="642"/>
      <c r="M10" s="642"/>
      <c r="N10" s="644"/>
    </row>
    <row r="11" spans="1:15" ht="13.5" x14ac:dyDescent="0.25">
      <c r="A11" s="887"/>
      <c r="B11" s="120"/>
      <c r="C11" s="119"/>
      <c r="D11" s="119"/>
      <c r="E11" s="895"/>
      <c r="F11" s="131"/>
      <c r="G11" s="896" t="s">
        <v>7</v>
      </c>
      <c r="H11" s="896" t="s">
        <v>8</v>
      </c>
      <c r="I11" s="895"/>
      <c r="J11" s="642"/>
      <c r="K11" s="642"/>
      <c r="L11" s="642"/>
      <c r="M11" s="642"/>
      <c r="N11" s="644"/>
    </row>
    <row r="12" spans="1:15" x14ac:dyDescent="0.2">
      <c r="A12" s="887"/>
      <c r="B12" s="897" t="s">
        <v>9</v>
      </c>
      <c r="C12" s="132"/>
      <c r="D12" s="132"/>
      <c r="E12" s="132"/>
      <c r="F12" s="898"/>
      <c r="G12" s="899">
        <f>'Plumbing Recap'!H49</f>
        <v>808729.61762859754</v>
      </c>
      <c r="H12" s="900">
        <f>F12+G12</f>
        <v>808729.61762859754</v>
      </c>
      <c r="I12" s="132"/>
      <c r="J12" s="901" t="s">
        <v>180</v>
      </c>
      <c r="K12" s="901" t="s">
        <v>178</v>
      </c>
      <c r="L12" s="902"/>
      <c r="M12" s="903" t="s">
        <v>179</v>
      </c>
      <c r="N12" s="644"/>
    </row>
    <row r="13" spans="1:15" x14ac:dyDescent="0.2">
      <c r="A13" s="887"/>
      <c r="B13" s="897" t="s">
        <v>10</v>
      </c>
      <c r="C13" s="132"/>
      <c r="D13" s="119"/>
      <c r="E13" s="119"/>
      <c r="F13" s="898"/>
      <c r="G13" s="19">
        <f>L13</f>
        <v>0</v>
      </c>
      <c r="H13" s="1118">
        <f>F13+G13</f>
        <v>0</v>
      </c>
      <c r="I13" s="119"/>
      <c r="J13" s="904">
        <v>0</v>
      </c>
      <c r="K13" s="905">
        <f>'Plumbing Recap'!D29</f>
        <v>4230.1860000000006</v>
      </c>
      <c r="L13" s="906">
        <f>J13*K13</f>
        <v>0</v>
      </c>
      <c r="M13" s="907"/>
      <c r="N13" s="644"/>
      <c r="O13" s="136"/>
    </row>
    <row r="14" spans="1:15" x14ac:dyDescent="0.2">
      <c r="A14" s="887"/>
      <c r="B14" s="908" t="s">
        <v>11</v>
      </c>
      <c r="C14" s="132"/>
      <c r="D14" s="909"/>
      <c r="E14" s="119"/>
      <c r="F14" s="898"/>
      <c r="G14" s="642"/>
      <c r="H14" s="910">
        <f>H12+H13</f>
        <v>808729.61762859754</v>
      </c>
      <c r="I14" s="119"/>
      <c r="J14" s="642"/>
      <c r="K14" s="642"/>
      <c r="L14" s="642"/>
      <c r="M14" s="642"/>
      <c r="N14" s="644"/>
      <c r="O14" s="136"/>
    </row>
    <row r="15" spans="1:15" x14ac:dyDescent="0.2">
      <c r="A15" s="887"/>
      <c r="B15" s="897" t="s">
        <v>71</v>
      </c>
      <c r="C15" s="132"/>
      <c r="D15" s="909"/>
      <c r="E15" s="118"/>
      <c r="F15" s="898"/>
      <c r="G15" s="911">
        <f>'Heating Recap'!H51</f>
        <v>692927.29039809993</v>
      </c>
      <c r="H15" s="900">
        <f>F15+G15</f>
        <v>692927.29039809993</v>
      </c>
      <c r="I15" s="118"/>
      <c r="J15" s="901" t="s">
        <v>177</v>
      </c>
      <c r="K15" s="901" t="s">
        <v>178</v>
      </c>
      <c r="L15" s="642"/>
      <c r="M15" s="903" t="s">
        <v>179</v>
      </c>
      <c r="N15" s="644"/>
    </row>
    <row r="16" spans="1:15" x14ac:dyDescent="0.2">
      <c r="A16" s="887"/>
      <c r="B16" s="897" t="s">
        <v>10</v>
      </c>
      <c r="C16" s="132"/>
      <c r="D16" s="912"/>
      <c r="E16" s="132"/>
      <c r="F16" s="898"/>
      <c r="G16" s="19">
        <f>L16</f>
        <v>0</v>
      </c>
      <c r="H16" s="1118">
        <f>F16+G16</f>
        <v>0</v>
      </c>
      <c r="I16" s="132"/>
      <c r="J16" s="904">
        <v>0</v>
      </c>
      <c r="K16" s="905">
        <f>'Heating Recap'!D31</f>
        <v>2104.9499999999998</v>
      </c>
      <c r="L16" s="906">
        <f>J16*K16</f>
        <v>0</v>
      </c>
      <c r="M16" s="642"/>
      <c r="N16" s="644"/>
    </row>
    <row r="17" spans="1:15" x14ac:dyDescent="0.2">
      <c r="A17" s="887"/>
      <c r="B17" s="908" t="s">
        <v>12</v>
      </c>
      <c r="C17" s="132"/>
      <c r="D17" s="132"/>
      <c r="E17" s="119"/>
      <c r="F17" s="120"/>
      <c r="G17" s="120"/>
      <c r="H17" s="910">
        <f>SUM(H15+H16)</f>
        <v>692927.29039809993</v>
      </c>
      <c r="I17" s="119"/>
      <c r="J17" s="642"/>
      <c r="K17" s="642"/>
      <c r="L17" s="642"/>
      <c r="M17" s="642"/>
      <c r="N17" s="644"/>
    </row>
    <row r="18" spans="1:15" x14ac:dyDescent="0.2">
      <c r="A18" s="887"/>
      <c r="B18" s="897"/>
      <c r="C18" s="132"/>
      <c r="D18" s="132"/>
      <c r="E18" s="119"/>
      <c r="F18" s="120"/>
      <c r="G18" s="120"/>
      <c r="H18" s="135"/>
      <c r="I18" s="119"/>
      <c r="J18" s="642"/>
      <c r="K18" s="642"/>
      <c r="L18" s="642"/>
      <c r="M18" s="642"/>
      <c r="N18" s="644"/>
    </row>
    <row r="19" spans="1:15" x14ac:dyDescent="0.2">
      <c r="A19" s="887"/>
      <c r="B19" s="122" t="s">
        <v>20</v>
      </c>
      <c r="C19" s="132"/>
      <c r="D19" s="913"/>
      <c r="E19" s="119"/>
      <c r="F19" s="120"/>
      <c r="G19" s="120"/>
      <c r="H19" s="910">
        <f>SUM(H14+H17)</f>
        <v>1501656.9080266976</v>
      </c>
      <c r="I19" s="119"/>
      <c r="J19" s="642"/>
      <c r="K19" s="642"/>
      <c r="L19" s="642"/>
      <c r="M19" s="642"/>
      <c r="N19" s="644"/>
    </row>
    <row r="20" spans="1:15" ht="13.5" thickBot="1" x14ac:dyDescent="0.25">
      <c r="A20" s="887"/>
      <c r="B20" s="122"/>
      <c r="C20" s="132"/>
      <c r="D20" s="913"/>
      <c r="E20" s="119"/>
      <c r="F20" s="120"/>
      <c r="G20" s="120"/>
      <c r="H20" s="914"/>
      <c r="I20" s="119"/>
      <c r="J20" s="642"/>
      <c r="K20" s="642"/>
      <c r="L20" s="642"/>
      <c r="M20" s="642"/>
      <c r="N20" s="644"/>
    </row>
    <row r="21" spans="1:15" ht="15.75" customHeight="1" thickBot="1" x14ac:dyDescent="0.25">
      <c r="A21" s="887"/>
      <c r="B21" s="1554" t="s">
        <v>663</v>
      </c>
      <c r="C21" s="1555"/>
      <c r="D21" s="1555"/>
      <c r="E21" s="1555"/>
      <c r="F21" s="1555"/>
      <c r="G21" s="1555"/>
      <c r="H21" s="1556"/>
      <c r="I21" s="118"/>
      <c r="J21" s="642"/>
      <c r="K21" s="642"/>
      <c r="L21" s="642"/>
      <c r="M21" s="642"/>
      <c r="N21" s="644"/>
    </row>
    <row r="22" spans="1:15" ht="27.75" customHeight="1" thickBot="1" x14ac:dyDescent="0.25">
      <c r="A22" s="887"/>
      <c r="B22" s="1557" t="s">
        <v>657</v>
      </c>
      <c r="C22" s="1557"/>
      <c r="D22" s="1557"/>
      <c r="E22" s="282" t="s">
        <v>428</v>
      </c>
      <c r="F22" s="282" t="s">
        <v>658</v>
      </c>
      <c r="G22" s="283" t="s">
        <v>659</v>
      </c>
      <c r="H22" s="283" t="s">
        <v>574</v>
      </c>
      <c r="I22" s="132"/>
      <c r="J22" s="642"/>
      <c r="K22" s="642"/>
      <c r="L22" s="642"/>
      <c r="M22" s="915"/>
      <c r="N22" s="644"/>
    </row>
    <row r="23" spans="1:15" x14ac:dyDescent="0.2">
      <c r="A23" s="887"/>
      <c r="B23" s="1558" t="str">
        <f>Subs!B1</f>
        <v>CADD / BIM DOCUMENTATION</v>
      </c>
      <c r="C23" s="1559"/>
      <c r="D23" s="1560"/>
      <c r="E23" s="289" t="str">
        <f>Subs!B12</f>
        <v>PINNACLE</v>
      </c>
      <c r="F23" s="281">
        <v>0</v>
      </c>
      <c r="G23" s="1145">
        <f>Subs!H12</f>
        <v>9200</v>
      </c>
      <c r="H23" s="1122">
        <f t="shared" ref="H23:H39" si="0">F23+G23</f>
        <v>9200</v>
      </c>
      <c r="I23" s="119"/>
      <c r="J23" s="642"/>
      <c r="K23" s="642"/>
      <c r="L23" s="642"/>
      <c r="M23" s="642"/>
      <c r="N23" s="644"/>
    </row>
    <row r="24" spans="1:15" x14ac:dyDescent="0.2">
      <c r="A24" s="887"/>
      <c r="B24" s="1535" t="str">
        <f>Subs!B14</f>
        <v>CHEMICAL TREATMENT</v>
      </c>
      <c r="C24" s="1536"/>
      <c r="D24" s="1537"/>
      <c r="E24" s="290">
        <f>Subs!B25</f>
        <v>0</v>
      </c>
      <c r="F24" s="275">
        <v>0</v>
      </c>
      <c r="G24" s="1145">
        <f>Subs!G25</f>
        <v>0</v>
      </c>
      <c r="H24" s="1123">
        <f t="shared" si="0"/>
        <v>0</v>
      </c>
      <c r="I24" s="119"/>
      <c r="J24" s="642"/>
      <c r="K24" s="642"/>
      <c r="L24" s="642"/>
      <c r="M24" s="642"/>
      <c r="N24" s="644"/>
    </row>
    <row r="25" spans="1:15" x14ac:dyDescent="0.2">
      <c r="A25" s="887"/>
      <c r="B25" s="1535" t="str">
        <f>Subs!B27</f>
        <v>CORE-DRILLING/SAWCUT &amp; REMOVAL</v>
      </c>
      <c r="C25" s="1536"/>
      <c r="D25" s="1537"/>
      <c r="E25" s="290">
        <f>Subs!B38</f>
        <v>0</v>
      </c>
      <c r="F25" s="275">
        <v>0</v>
      </c>
      <c r="G25" s="1145">
        <f>Subs!T38</f>
        <v>0</v>
      </c>
      <c r="H25" s="1123">
        <f>F25+G25</f>
        <v>0</v>
      </c>
      <c r="I25" s="119"/>
      <c r="J25" s="642"/>
      <c r="K25" s="642"/>
      <c r="L25" s="642"/>
      <c r="M25" s="642"/>
      <c r="N25" s="644"/>
    </row>
    <row r="26" spans="1:15" x14ac:dyDescent="0.2">
      <c r="A26" s="887"/>
      <c r="B26" s="1105" t="str">
        <f>Subs!B41</f>
        <v>ELECTRICAL CONTRACTOR</v>
      </c>
      <c r="C26" s="1106"/>
      <c r="D26" s="1107"/>
      <c r="E26" s="290">
        <f>Subs!B51</f>
        <v>0</v>
      </c>
      <c r="F26" s="275">
        <v>0</v>
      </c>
      <c r="G26" s="1145">
        <f>Subs!F51</f>
        <v>0</v>
      </c>
      <c r="H26" s="1123">
        <f t="shared" si="0"/>
        <v>0</v>
      </c>
      <c r="I26" s="119"/>
      <c r="J26" s="642"/>
      <c r="K26" s="642"/>
      <c r="L26" s="642"/>
      <c r="M26" s="642"/>
      <c r="N26" s="644"/>
    </row>
    <row r="27" spans="1:15" x14ac:dyDescent="0.2">
      <c r="A27" s="887"/>
      <c r="B27" s="1105" t="str">
        <f>Subs!B53</f>
        <v>EXCAVATION</v>
      </c>
      <c r="C27" s="1106"/>
      <c r="D27" s="1107"/>
      <c r="E27" s="291" t="str">
        <f>Subs!B65</f>
        <v>3 GEN EXCAVATION</v>
      </c>
      <c r="F27" s="275">
        <v>0</v>
      </c>
      <c r="G27" s="1145">
        <f>Subs!K65</f>
        <v>36865</v>
      </c>
      <c r="H27" s="1123">
        <f t="shared" si="0"/>
        <v>36865</v>
      </c>
      <c r="I27" s="119"/>
      <c r="J27" s="642"/>
      <c r="K27" s="642"/>
      <c r="L27" s="642"/>
      <c r="M27" s="642"/>
      <c r="N27" s="644"/>
    </row>
    <row r="28" spans="1:15" x14ac:dyDescent="0.2">
      <c r="A28" s="887"/>
      <c r="B28" s="1105" t="str">
        <f>Subs!B67</f>
        <v>FIRE PROTECTION</v>
      </c>
      <c r="C28" s="1106"/>
      <c r="D28" s="1107"/>
      <c r="E28" s="292">
        <f>Subs!B77</f>
        <v>0</v>
      </c>
      <c r="F28" s="275">
        <v>0</v>
      </c>
      <c r="G28" s="1145">
        <f>Subs!F77</f>
        <v>0</v>
      </c>
      <c r="H28" s="1123">
        <f t="shared" si="0"/>
        <v>0</v>
      </c>
      <c r="I28" s="119"/>
      <c r="J28" s="642"/>
      <c r="K28" s="642"/>
      <c r="L28" s="642"/>
      <c r="M28" s="888"/>
      <c r="N28" s="943"/>
      <c r="O28" s="175"/>
    </row>
    <row r="29" spans="1:15" x14ac:dyDescent="0.2">
      <c r="A29" s="887"/>
      <c r="B29" s="1105" t="str">
        <f>Subs!B79</f>
        <v>FIRE STOPPING</v>
      </c>
      <c r="C29" s="1106"/>
      <c r="D29" s="1107"/>
      <c r="E29" s="291">
        <f>Subs!B89</f>
        <v>0</v>
      </c>
      <c r="F29" s="275">
        <v>0</v>
      </c>
      <c r="G29" s="1145">
        <f>Subs!H89</f>
        <v>0</v>
      </c>
      <c r="H29" s="1123">
        <f t="shared" si="0"/>
        <v>0</v>
      </c>
      <c r="I29" s="119"/>
      <c r="J29" s="642"/>
      <c r="K29" s="642"/>
      <c r="L29" s="642"/>
      <c r="M29" s="642"/>
      <c r="N29" s="644"/>
    </row>
    <row r="30" spans="1:15" x14ac:dyDescent="0.2">
      <c r="A30" s="887"/>
      <c r="B30" s="1105" t="str">
        <f>Subs!B91</f>
        <v>GENERAL CONTRACTOR</v>
      </c>
      <c r="C30" s="1106"/>
      <c r="D30" s="1107"/>
      <c r="E30" s="290">
        <f>Subs!B101</f>
        <v>0</v>
      </c>
      <c r="F30" s="275">
        <v>0</v>
      </c>
      <c r="G30" s="1145">
        <f>Subs!F101</f>
        <v>0</v>
      </c>
      <c r="H30" s="1123">
        <f t="shared" si="0"/>
        <v>0</v>
      </c>
      <c r="I30" s="119"/>
      <c r="J30" s="642"/>
      <c r="K30" s="642"/>
      <c r="L30" s="642" t="s">
        <v>182</v>
      </c>
      <c r="M30" s="642"/>
      <c r="N30" s="644"/>
    </row>
    <row r="31" spans="1:15" x14ac:dyDescent="0.2">
      <c r="A31" s="887"/>
      <c r="B31" s="1535" t="str">
        <f>Subs!B103</f>
        <v>INSULATION</v>
      </c>
      <c r="C31" s="1536"/>
      <c r="D31" s="1537"/>
      <c r="E31" s="290" t="str">
        <f>Subs!B115</f>
        <v>FORTUNATO</v>
      </c>
      <c r="F31" s="275">
        <v>0</v>
      </c>
      <c r="G31" s="1145">
        <f>Subs!I115</f>
        <v>28365</v>
      </c>
      <c r="H31" s="1123">
        <f t="shared" si="0"/>
        <v>28365</v>
      </c>
      <c r="I31" s="119"/>
      <c r="J31" s="642"/>
      <c r="K31" s="642"/>
      <c r="L31" s="642" t="s">
        <v>182</v>
      </c>
      <c r="M31" s="642"/>
      <c r="N31" s="644"/>
    </row>
    <row r="32" spans="1:15" x14ac:dyDescent="0.2">
      <c r="A32" s="887"/>
      <c r="B32" s="1535" t="str">
        <f>Subs!B117</f>
        <v>MED GAS CERTIFICATION &amp; SMART TAPS</v>
      </c>
      <c r="C32" s="1536"/>
      <c r="D32" s="1537"/>
      <c r="E32" s="290">
        <f>Subs!B127</f>
        <v>0</v>
      </c>
      <c r="F32" s="275">
        <v>0</v>
      </c>
      <c r="G32" s="1145">
        <f>Subs!H127</f>
        <v>0</v>
      </c>
      <c r="H32" s="1123">
        <f t="shared" si="0"/>
        <v>0</v>
      </c>
      <c r="I32" s="119"/>
      <c r="J32" s="642"/>
      <c r="K32" s="642" t="s">
        <v>183</v>
      </c>
      <c r="L32" s="899">
        <f>H43</f>
        <v>58062.5</v>
      </c>
      <c r="M32" s="642"/>
      <c r="N32" s="644"/>
    </row>
    <row r="33" spans="1:14" x14ac:dyDescent="0.2">
      <c r="A33" s="887"/>
      <c r="B33" s="1535" t="str">
        <f>Subs!B129</f>
        <v>REFRIGERATION</v>
      </c>
      <c r="C33" s="1536"/>
      <c r="D33" s="1537"/>
      <c r="E33" s="293">
        <f>Subs!B139</f>
        <v>0</v>
      </c>
      <c r="F33" s="275">
        <v>0</v>
      </c>
      <c r="G33" s="1145">
        <f>Subs!F139</f>
        <v>0</v>
      </c>
      <c r="H33" s="1123">
        <f t="shared" si="0"/>
        <v>0</v>
      </c>
      <c r="I33" s="119"/>
      <c r="J33" s="642"/>
      <c r="K33" s="642" t="s">
        <v>184</v>
      </c>
      <c r="L33" s="899">
        <f>'Heating Recap'!H48</f>
        <v>95576.177985944829</v>
      </c>
      <c r="M33" s="642"/>
      <c r="N33" s="644"/>
    </row>
    <row r="34" spans="1:14" x14ac:dyDescent="0.2">
      <c r="A34" s="887"/>
      <c r="B34" s="1535" t="str">
        <f>Subs!B141</f>
        <v>ROOFING CONTRACTOR</v>
      </c>
      <c r="C34" s="1536"/>
      <c r="D34" s="1537"/>
      <c r="E34" s="293">
        <f>Subs!B151</f>
        <v>0</v>
      </c>
      <c r="F34" s="275">
        <v>0</v>
      </c>
      <c r="G34" s="1145">
        <f>Subs!F151</f>
        <v>0</v>
      </c>
      <c r="H34" s="1123">
        <f>F34+G34</f>
        <v>0</v>
      </c>
      <c r="I34" s="119"/>
      <c r="J34" s="642"/>
      <c r="K34" s="642" t="s">
        <v>122</v>
      </c>
      <c r="L34" s="899">
        <f>'Plumbing Recap'!H46</f>
        <v>111548.91277635828</v>
      </c>
      <c r="M34" s="642"/>
      <c r="N34" s="644"/>
    </row>
    <row r="35" spans="1:14" x14ac:dyDescent="0.2">
      <c r="A35" s="887"/>
      <c r="B35" s="1535" t="str">
        <f>Subs!B153</f>
        <v>SHEET METAL</v>
      </c>
      <c r="C35" s="1536"/>
      <c r="D35" s="1537"/>
      <c r="E35" s="293" t="str">
        <f>Subs!B163</f>
        <v>AIR SYSTEMS</v>
      </c>
      <c r="F35" s="275">
        <v>0</v>
      </c>
      <c r="G35" s="1145">
        <f>Subs!F163</f>
        <v>347845</v>
      </c>
      <c r="H35" s="1123">
        <f t="shared" si="0"/>
        <v>347845</v>
      </c>
      <c r="I35" s="119"/>
      <c r="J35" s="642"/>
      <c r="K35" s="916" t="s">
        <v>248</v>
      </c>
      <c r="L35" s="1124">
        <f>H54</f>
        <v>187.5</v>
      </c>
      <c r="M35" s="642"/>
      <c r="N35" s="644"/>
    </row>
    <row r="36" spans="1:14" x14ac:dyDescent="0.2">
      <c r="A36" s="887"/>
      <c r="B36" s="1535" t="str">
        <f>Subs!B165</f>
        <v>SITE UTILITIES</v>
      </c>
      <c r="C36" s="1536"/>
      <c r="D36" s="1537"/>
      <c r="E36" s="293">
        <f>Subs!B175</f>
        <v>0</v>
      </c>
      <c r="F36" s="275">
        <v>0</v>
      </c>
      <c r="G36" s="1145">
        <f>Subs!F175</f>
        <v>0</v>
      </c>
      <c r="H36" s="1123">
        <f t="shared" si="0"/>
        <v>0</v>
      </c>
      <c r="I36" s="119"/>
      <c r="J36" s="642"/>
      <c r="K36" s="916" t="s">
        <v>69</v>
      </c>
      <c r="L36" s="1125">
        <f>SUM(L32:L35)</f>
        <v>265375.09076230309</v>
      </c>
      <c r="M36" s="642"/>
      <c r="N36" s="644"/>
    </row>
    <row r="37" spans="1:14" x14ac:dyDescent="0.2">
      <c r="A37" s="887"/>
      <c r="B37" s="1535" t="str">
        <f>Subs!B177</f>
        <v>TEMPERATURE CONTROLS</v>
      </c>
      <c r="C37" s="1536"/>
      <c r="D37" s="1537"/>
      <c r="E37" s="293" t="str">
        <f>Subs!B186</f>
        <v>LONG BUILDING TECHNOLOGIES</v>
      </c>
      <c r="F37" s="275">
        <v>0</v>
      </c>
      <c r="G37" s="1145">
        <f>Subs!F186</f>
        <v>155000</v>
      </c>
      <c r="H37" s="1123">
        <f t="shared" si="0"/>
        <v>155000</v>
      </c>
      <c r="I37" s="119"/>
      <c r="J37" s="642"/>
      <c r="K37" s="642"/>
      <c r="L37" s="137"/>
      <c r="M37" s="642"/>
      <c r="N37" s="644"/>
    </row>
    <row r="38" spans="1:14" x14ac:dyDescent="0.2">
      <c r="A38" s="887"/>
      <c r="B38" s="1535" t="str">
        <f>Subs!B188</f>
        <v>TEST &amp; BALANCE</v>
      </c>
      <c r="C38" s="1536"/>
      <c r="D38" s="1537"/>
      <c r="E38" s="290" t="str">
        <f>Subs!B198</f>
        <v>FINN &amp; ASSOCIATES</v>
      </c>
      <c r="F38" s="275">
        <v>0</v>
      </c>
      <c r="G38" s="1145">
        <f>Subs!J198</f>
        <v>3350</v>
      </c>
      <c r="H38" s="1123">
        <f t="shared" si="0"/>
        <v>3350</v>
      </c>
      <c r="I38" s="119"/>
      <c r="J38" s="642"/>
      <c r="K38" s="642"/>
      <c r="L38" s="137"/>
      <c r="M38" s="642"/>
      <c r="N38" s="644"/>
    </row>
    <row r="39" spans="1:14" x14ac:dyDescent="0.2">
      <c r="A39" s="887"/>
      <c r="B39" s="1535" t="str">
        <f>Subs!B200</f>
        <v>MISCELLANEOUS (CHANGE TO SUIT)</v>
      </c>
      <c r="C39" s="1536"/>
      <c r="D39" s="1537"/>
      <c r="E39" s="290">
        <f>Subs!B210</f>
        <v>0</v>
      </c>
      <c r="F39" s="275">
        <v>0</v>
      </c>
      <c r="G39" s="1145">
        <f>Subs!F210</f>
        <v>0</v>
      </c>
      <c r="H39" s="1123">
        <f t="shared" si="0"/>
        <v>0</v>
      </c>
      <c r="I39" s="119"/>
      <c r="J39" s="642"/>
      <c r="K39" s="642"/>
      <c r="L39" s="137"/>
      <c r="M39" s="642"/>
      <c r="N39" s="644"/>
    </row>
    <row r="40" spans="1:14" x14ac:dyDescent="0.2">
      <c r="A40" s="887"/>
      <c r="B40" s="274"/>
      <c r="C40" s="273"/>
      <c r="D40" s="273"/>
      <c r="E40" s="592" t="s">
        <v>660</v>
      </c>
      <c r="F40" s="593"/>
      <c r="G40" s="1121">
        <v>0</v>
      </c>
      <c r="H40" s="1123">
        <f>G40</f>
        <v>0</v>
      </c>
      <c r="I40" s="119"/>
      <c r="J40" s="642"/>
      <c r="K40" s="642"/>
      <c r="L40" s="642"/>
      <c r="M40" s="642"/>
      <c r="N40" s="644"/>
    </row>
    <row r="41" spans="1:14" x14ac:dyDescent="0.2">
      <c r="A41" s="887"/>
      <c r="B41" s="274"/>
      <c r="C41" s="273"/>
      <c r="D41" s="273"/>
      <c r="E41" s="272"/>
      <c r="F41" s="277"/>
      <c r="G41" s="278"/>
      <c r="H41" s="276"/>
      <c r="I41" s="119"/>
      <c r="J41" s="642"/>
      <c r="K41" s="642"/>
      <c r="L41" s="642"/>
      <c r="M41" s="642"/>
      <c r="N41" s="644"/>
    </row>
    <row r="42" spans="1:14" x14ac:dyDescent="0.2">
      <c r="A42" s="887"/>
      <c r="B42" s="1549" t="s">
        <v>661</v>
      </c>
      <c r="C42" s="1550"/>
      <c r="D42" s="1550"/>
      <c r="E42" s="1550"/>
      <c r="F42" s="1550"/>
      <c r="G42" s="1551"/>
      <c r="H42" s="1126">
        <f>SUM(H23:H40)</f>
        <v>580625</v>
      </c>
      <c r="I42" s="119"/>
      <c r="J42" s="642"/>
      <c r="K42" s="642" t="s">
        <v>19</v>
      </c>
      <c r="L42" s="899">
        <f>H55</f>
        <v>2365854.9080266976</v>
      </c>
      <c r="M42" s="642"/>
      <c r="N42" s="644"/>
    </row>
    <row r="43" spans="1:14" x14ac:dyDescent="0.2">
      <c r="A43" s="887"/>
      <c r="B43" s="280" t="s">
        <v>16</v>
      </c>
      <c r="C43" s="273"/>
      <c r="D43" s="279">
        <v>0.1</v>
      </c>
      <c r="E43" s="272"/>
      <c r="F43" s="277"/>
      <c r="G43" s="288" t="s">
        <v>760</v>
      </c>
      <c r="H43" s="1126">
        <f>(D43*H42)</f>
        <v>58062.5</v>
      </c>
      <c r="I43" s="119"/>
      <c r="J43" s="642"/>
      <c r="K43" s="642" t="s">
        <v>185</v>
      </c>
      <c r="L43" s="899">
        <f>L36</f>
        <v>265375.09076230309</v>
      </c>
      <c r="M43" s="642"/>
      <c r="N43" s="644"/>
    </row>
    <row r="44" spans="1:14" ht="13.5" thickBot="1" x14ac:dyDescent="0.25">
      <c r="A44" s="887"/>
      <c r="B44" s="1546" t="s">
        <v>662</v>
      </c>
      <c r="C44" s="1547"/>
      <c r="D44" s="1547"/>
      <c r="E44" s="1547"/>
      <c r="F44" s="1547"/>
      <c r="G44" s="1548"/>
      <c r="H44" s="1127">
        <f>SUM(H42+H43)</f>
        <v>638687.5</v>
      </c>
      <c r="I44" s="119"/>
      <c r="J44" s="642"/>
      <c r="K44" s="642" t="s">
        <v>186</v>
      </c>
      <c r="L44" s="899">
        <f>H16</f>
        <v>0</v>
      </c>
      <c r="M44" s="642"/>
      <c r="N44" s="644"/>
    </row>
    <row r="45" spans="1:14" x14ac:dyDescent="0.2">
      <c r="A45" s="887"/>
      <c r="B45" s="897"/>
      <c r="C45" s="132"/>
      <c r="D45" s="912"/>
      <c r="E45" s="119"/>
      <c r="F45" s="120"/>
      <c r="G45" s="120"/>
      <c r="H45" s="642"/>
      <c r="I45" s="119"/>
      <c r="J45" s="642"/>
      <c r="K45" s="642" t="s">
        <v>187</v>
      </c>
      <c r="L45" s="1124">
        <f>H13</f>
        <v>0</v>
      </c>
      <c r="M45" s="642"/>
      <c r="N45" s="644"/>
    </row>
    <row r="46" spans="1:14" x14ac:dyDescent="0.2">
      <c r="A46" s="887"/>
      <c r="B46" s="897"/>
      <c r="C46" s="132"/>
      <c r="D46" s="912"/>
      <c r="E46" s="119"/>
      <c r="F46" s="120" t="s">
        <v>10</v>
      </c>
      <c r="G46" s="138">
        <v>221573</v>
      </c>
      <c r="H46" s="910">
        <f>G46</f>
        <v>221573</v>
      </c>
      <c r="I46" s="119"/>
      <c r="J46" s="642"/>
      <c r="K46" s="642"/>
      <c r="L46" s="137"/>
      <c r="M46" s="642"/>
      <c r="N46" s="644"/>
    </row>
    <row r="47" spans="1:14" x14ac:dyDescent="0.2">
      <c r="A47" s="887"/>
      <c r="B47" s="917" t="s">
        <v>21</v>
      </c>
      <c r="C47" s="132"/>
      <c r="D47" s="132"/>
      <c r="E47" s="119"/>
      <c r="F47" s="120"/>
      <c r="G47" s="120"/>
      <c r="H47" s="910">
        <f>SUM(H44+H19+H46)</f>
        <v>2361917.4080266976</v>
      </c>
      <c r="I47" s="119"/>
      <c r="J47" s="642"/>
      <c r="K47" s="642" t="s">
        <v>136</v>
      </c>
      <c r="L47" s="899">
        <f>L42-L43-L44-L45</f>
        <v>2100479.8172643944</v>
      </c>
      <c r="M47" s="642"/>
      <c r="N47" s="644"/>
    </row>
    <row r="48" spans="1:14" x14ac:dyDescent="0.2">
      <c r="A48" s="887"/>
      <c r="B48" s="918" t="s">
        <v>18</v>
      </c>
      <c r="C48" s="132"/>
      <c r="D48" s="24">
        <f>IF('PROJECT INFO'!H50="One Year",B76,IF('PROJECT INFO'!H50="Three Years",D76,IF('PROJECT INFO'!H50="Two Years",C76,IF('PROJECT INFO'!H50="Four Years",E76,IF('PROJECT INFO'!H50="Five Years",F76)))))</f>
        <v>9.906646765172486E-3</v>
      </c>
      <c r="E48" s="853">
        <f>(D48*H47)</f>
        <v>23398.681449832267</v>
      </c>
      <c r="F48" s="852">
        <v>0.15</v>
      </c>
      <c r="G48" s="1130">
        <f>E48+(E48*F48)</f>
        <v>26908.483667307108</v>
      </c>
      <c r="H48" s="919">
        <f>G48*'PROJECT INFO'!I17</f>
        <v>0</v>
      </c>
      <c r="I48" s="119"/>
      <c r="J48" s="1129">
        <f>G48/H52</f>
        <v>1.139264377994836E-2</v>
      </c>
      <c r="K48" s="642"/>
      <c r="L48" s="642"/>
      <c r="M48" s="642"/>
      <c r="N48" s="644"/>
    </row>
    <row r="49" spans="1:19" x14ac:dyDescent="0.2">
      <c r="A49" s="887"/>
      <c r="B49" s="917"/>
      <c r="C49" s="132"/>
      <c r="D49" s="132"/>
      <c r="E49" s="850" t="s">
        <v>1729</v>
      </c>
      <c r="F49" s="851" t="s">
        <v>1730</v>
      </c>
      <c r="G49" s="851" t="s">
        <v>1731</v>
      </c>
      <c r="H49" s="914"/>
      <c r="I49" s="119"/>
      <c r="J49" s="642"/>
      <c r="K49" s="642" t="s">
        <v>188</v>
      </c>
      <c r="L49" s="1128">
        <f>L36/L47</f>
        <v>0.12634022406743242</v>
      </c>
      <c r="M49" s="642"/>
      <c r="N49" s="644"/>
    </row>
    <row r="50" spans="1:19" x14ac:dyDescent="0.2">
      <c r="A50" s="887"/>
      <c r="B50" s="917"/>
      <c r="C50" s="917"/>
      <c r="D50" s="917"/>
      <c r="E50" s="917"/>
      <c r="F50" s="917"/>
      <c r="G50" s="851"/>
      <c r="H50" s="914"/>
      <c r="I50" s="119"/>
      <c r="J50" s="642"/>
      <c r="K50" s="642"/>
      <c r="L50" s="920"/>
      <c r="M50" s="642"/>
      <c r="N50" s="644"/>
    </row>
    <row r="51" spans="1:19" x14ac:dyDescent="0.2">
      <c r="A51" s="887"/>
      <c r="B51" s="1082"/>
      <c r="C51" s="913"/>
      <c r="D51" s="913"/>
      <c r="E51" s="1085"/>
      <c r="F51" s="1086"/>
      <c r="G51" s="120"/>
      <c r="H51" s="135"/>
      <c r="I51" s="119"/>
      <c r="J51" s="642"/>
      <c r="K51" s="642"/>
      <c r="L51" s="642"/>
      <c r="M51" s="642"/>
      <c r="N51" s="644"/>
    </row>
    <row r="52" spans="1:19" ht="15.75" x14ac:dyDescent="0.25">
      <c r="A52" s="887"/>
      <c r="B52" s="921" t="s">
        <v>19</v>
      </c>
      <c r="C52" s="922"/>
      <c r="D52" s="923"/>
      <c r="E52" s="140"/>
      <c r="F52" s="140"/>
      <c r="G52" s="140"/>
      <c r="H52" s="1135">
        <f>SUM(H48+H47)</f>
        <v>2361917.4080266976</v>
      </c>
      <c r="I52" s="119"/>
      <c r="J52" s="642"/>
      <c r="K52" s="642" t="s">
        <v>190</v>
      </c>
      <c r="L52" s="1128">
        <f>L36/H55</f>
        <v>0.11216879355617207</v>
      </c>
      <c r="M52" s="642"/>
      <c r="N52" s="644"/>
    </row>
    <row r="53" spans="1:19" x14ac:dyDescent="0.2">
      <c r="A53" s="887"/>
      <c r="B53" s="121" t="s">
        <v>1917</v>
      </c>
      <c r="C53" s="920"/>
      <c r="D53" s="141">
        <v>2.2000000000000001E-3</v>
      </c>
      <c r="E53" s="1131">
        <f>H52</f>
        <v>2361917.4080266976</v>
      </c>
      <c r="F53" s="1132">
        <f>D53*E53</f>
        <v>5196.2182976587346</v>
      </c>
      <c r="G53" s="143"/>
      <c r="H53" s="1131">
        <f>IF($F53&lt;$K53,($E53*$D53),$K53)*'PROJECT INFO'!I21</f>
        <v>3750</v>
      </c>
      <c r="I53" s="144"/>
      <c r="J53" s="642"/>
      <c r="K53" s="1133">
        <v>3750</v>
      </c>
      <c r="L53" s="642"/>
      <c r="M53" s="642"/>
      <c r="N53" s="644"/>
    </row>
    <row r="54" spans="1:19" x14ac:dyDescent="0.2">
      <c r="A54" s="887"/>
      <c r="B54" s="121" t="s">
        <v>246</v>
      </c>
      <c r="C54" s="141"/>
      <c r="D54" s="139"/>
      <c r="E54" s="142"/>
      <c r="F54" s="145">
        <v>0.05</v>
      </c>
      <c r="G54" s="143"/>
      <c r="H54" s="1131">
        <f>H53*F54</f>
        <v>187.5</v>
      </c>
      <c r="I54" s="144"/>
      <c r="J54" s="642"/>
      <c r="K54" s="642"/>
      <c r="L54" s="642"/>
      <c r="M54" s="642"/>
      <c r="N54" s="644"/>
    </row>
    <row r="55" spans="1:19" ht="15.75" x14ac:dyDescent="0.25">
      <c r="A55" s="887"/>
      <c r="B55" s="921" t="s">
        <v>247</v>
      </c>
      <c r="C55" s="642"/>
      <c r="D55" s="642"/>
      <c r="E55" s="642"/>
      <c r="F55" s="642"/>
      <c r="G55" s="642"/>
      <c r="H55" s="1134">
        <f>SUM(H52:H54)</f>
        <v>2365854.9080266976</v>
      </c>
      <c r="I55" s="642"/>
      <c r="J55" s="642"/>
      <c r="K55" s="642" t="s">
        <v>2566</v>
      </c>
      <c r="L55" s="642" t="s">
        <v>2568</v>
      </c>
      <c r="M55" s="642"/>
      <c r="N55" s="644"/>
      <c r="Q55" s="115" t="s">
        <v>2598</v>
      </c>
      <c r="S55" s="115" t="s">
        <v>2599</v>
      </c>
    </row>
    <row r="56" spans="1:19" ht="17.25" x14ac:dyDescent="0.35">
      <c r="A56" s="887"/>
      <c r="B56" s="921"/>
      <c r="C56" s="642"/>
      <c r="D56" s="642"/>
      <c r="E56" s="642"/>
      <c r="F56" s="642"/>
      <c r="G56" s="924" t="s">
        <v>1529</v>
      </c>
      <c r="H56" s="505" t="s">
        <v>1528</v>
      </c>
      <c r="I56" s="642"/>
      <c r="J56" s="642"/>
      <c r="K56" s="643">
        <v>1590988.7895066836</v>
      </c>
      <c r="L56" s="643">
        <f>H55-K56</f>
        <v>774866.11852001399</v>
      </c>
      <c r="M56" s="642"/>
      <c r="N56" s="644"/>
      <c r="Q56" s="300">
        <v>2365854.9377666973</v>
      </c>
      <c r="S56" s="136">
        <f>H55-Q56</f>
        <v>-2.9739999677985907E-2</v>
      </c>
    </row>
    <row r="57" spans="1:19" x14ac:dyDescent="0.2">
      <c r="A57" s="887"/>
      <c r="B57" s="642"/>
      <c r="C57" s="642"/>
      <c r="D57" s="642"/>
      <c r="E57" s="642"/>
      <c r="F57" s="925" t="str">
        <f>'PROJECT INFO'!G31</f>
        <v>Type of Facility</v>
      </c>
      <c r="G57" s="925">
        <f>'PROJECT INFO'!H31</f>
        <v>0</v>
      </c>
      <c r="H57" s="642"/>
      <c r="I57" s="642"/>
      <c r="J57" s="642"/>
      <c r="K57" s="642"/>
      <c r="L57" s="642"/>
      <c r="M57" s="642"/>
      <c r="N57" s="644"/>
    </row>
    <row r="58" spans="1:19" ht="15.75" x14ac:dyDescent="0.25">
      <c r="A58" s="887"/>
      <c r="B58" s="642"/>
      <c r="C58" s="642"/>
      <c r="D58" s="642"/>
      <c r="E58" s="642"/>
      <c r="F58" s="925" t="str">
        <f>'PROJECT INFO'!G32</f>
        <v>Building Square Foot</v>
      </c>
      <c r="G58" s="925">
        <f>'PROJECT INFO'!H32</f>
        <v>106000</v>
      </c>
      <c r="H58" s="146"/>
      <c r="I58" s="642"/>
      <c r="J58" s="642"/>
      <c r="K58" s="642" t="s">
        <v>2567</v>
      </c>
      <c r="L58" s="642"/>
      <c r="M58" s="642"/>
      <c r="N58" s="644"/>
    </row>
    <row r="59" spans="1:19" x14ac:dyDescent="0.2">
      <c r="A59" s="887"/>
      <c r="B59" s="642"/>
      <c r="C59" s="642"/>
      <c r="D59" s="642"/>
      <c r="E59" s="642"/>
      <c r="F59" s="925" t="str">
        <f>'PROJECT INFO'!G33</f>
        <v>Garage Square Foot</v>
      </c>
      <c r="G59" s="925">
        <f>'PROJECT INFO'!H33</f>
        <v>0</v>
      </c>
      <c r="H59" s="926"/>
      <c r="I59" s="642"/>
      <c r="J59" s="642"/>
      <c r="K59" s="643">
        <f>1821409-32071</f>
        <v>1789338</v>
      </c>
      <c r="L59" s="137">
        <f>H55-K59</f>
        <v>576516.90802669758</v>
      </c>
      <c r="M59" s="642"/>
      <c r="N59" s="644"/>
    </row>
    <row r="60" spans="1:19" x14ac:dyDescent="0.2">
      <c r="A60" s="887"/>
      <c r="B60" s="642"/>
      <c r="C60" s="642"/>
      <c r="D60" s="642"/>
      <c r="E60" s="642"/>
      <c r="F60" s="916" t="s">
        <v>2117</v>
      </c>
      <c r="G60" s="1136">
        <f>'PROJECT INFO'!H34</f>
        <v>106000</v>
      </c>
      <c r="H60" s="641">
        <f>H55/G60</f>
        <v>22.319385924780168</v>
      </c>
      <c r="I60" s="642"/>
      <c r="J60" s="907"/>
      <c r="K60" s="907"/>
      <c r="L60" s="907"/>
      <c r="M60" s="907"/>
      <c r="N60" s="644"/>
    </row>
    <row r="61" spans="1:19" x14ac:dyDescent="0.2">
      <c r="A61" s="887"/>
      <c r="B61" s="642"/>
      <c r="C61" s="642"/>
      <c r="D61" s="642"/>
      <c r="E61" s="642"/>
      <c r="F61" s="916" t="s">
        <v>1605</v>
      </c>
      <c r="G61" s="642"/>
      <c r="H61" s="928">
        <f>H55</f>
        <v>2365854.9080266976</v>
      </c>
      <c r="I61" s="642"/>
      <c r="J61" s="933"/>
      <c r="K61" s="933" t="s">
        <v>2588</v>
      </c>
      <c r="L61" s="933" t="s">
        <v>2568</v>
      </c>
      <c r="M61" s="933"/>
      <c r="N61" s="644"/>
    </row>
    <row r="62" spans="1:19" x14ac:dyDescent="0.2">
      <c r="A62" s="887"/>
      <c r="B62" s="642"/>
      <c r="C62" s="642"/>
      <c r="D62" s="642"/>
      <c r="E62" s="642"/>
      <c r="F62" s="916" t="s">
        <v>1620</v>
      </c>
      <c r="G62" s="642"/>
      <c r="H62" s="928">
        <f>G48</f>
        <v>26908.483667307108</v>
      </c>
      <c r="I62" s="642"/>
      <c r="J62" s="933"/>
      <c r="K62" s="1435">
        <v>2365855</v>
      </c>
      <c r="L62" s="1436">
        <f>K62-H55</f>
        <v>9.197330242022872E-2</v>
      </c>
      <c r="M62" s="933"/>
      <c r="N62" s="644"/>
    </row>
    <row r="63" spans="1:19" x14ac:dyDescent="0.2">
      <c r="A63" s="887"/>
      <c r="B63" s="929" t="s">
        <v>1606</v>
      </c>
      <c r="C63" s="930"/>
      <c r="D63" s="930"/>
      <c r="E63" s="930"/>
      <c r="F63" s="930"/>
      <c r="G63" s="930"/>
      <c r="H63" s="930"/>
      <c r="I63" s="642"/>
      <c r="J63" s="642"/>
      <c r="K63" s="642"/>
      <c r="L63" s="642"/>
      <c r="M63" s="642"/>
      <c r="N63" s="644"/>
    </row>
    <row r="64" spans="1:19" ht="25.5" x14ac:dyDescent="0.2">
      <c r="A64" s="887"/>
      <c r="B64" s="945" t="s">
        <v>1955</v>
      </c>
      <c r="C64" s="931" t="s">
        <v>588</v>
      </c>
      <c r="D64" s="929" t="s">
        <v>1215</v>
      </c>
      <c r="E64" s="932" t="s">
        <v>1607</v>
      </c>
      <c r="F64" s="933" t="s">
        <v>1715</v>
      </c>
      <c r="G64" s="934"/>
      <c r="H64" s="916" t="s">
        <v>136</v>
      </c>
      <c r="I64" s="642"/>
      <c r="J64" s="935" t="s">
        <v>1691</v>
      </c>
      <c r="K64" s="929" t="s">
        <v>1622</v>
      </c>
      <c r="L64" s="934" t="s">
        <v>2586</v>
      </c>
      <c r="M64" s="934"/>
      <c r="N64" s="927"/>
      <c r="O64" s="134"/>
      <c r="P64" s="134"/>
      <c r="Q64" s="134"/>
    </row>
    <row r="65" spans="1:17" x14ac:dyDescent="0.2">
      <c r="A65" s="887"/>
      <c r="B65" s="931" t="s">
        <v>2394</v>
      </c>
      <c r="C65" s="155">
        <v>65</v>
      </c>
      <c r="D65" s="1119">
        <v>1</v>
      </c>
      <c r="E65" s="937" t="s">
        <v>2531</v>
      </c>
      <c r="F65" s="933" t="s">
        <v>2445</v>
      </c>
      <c r="G65" s="934"/>
      <c r="H65" s="643">
        <f>'ALT #1'!M99</f>
        <v>502879.66736081586</v>
      </c>
      <c r="I65" s="642"/>
      <c r="J65" s="938">
        <v>1</v>
      </c>
      <c r="K65" s="1425">
        <f>J65*H65</f>
        <v>502879.66736081586</v>
      </c>
      <c r="L65" s="939"/>
      <c r="M65" s="1120"/>
      <c r="N65" s="944"/>
      <c r="O65" s="603"/>
      <c r="P65" s="134"/>
      <c r="Q65" s="134"/>
    </row>
    <row r="66" spans="1:17" x14ac:dyDescent="0.2">
      <c r="A66" s="887"/>
      <c r="B66" s="931" t="s">
        <v>2395</v>
      </c>
      <c r="C66" s="155">
        <f t="shared" ref="C66:C72" si="1">C65</f>
        <v>65</v>
      </c>
      <c r="D66" s="1119">
        <v>1</v>
      </c>
      <c r="E66" s="937" t="s">
        <v>2519</v>
      </c>
      <c r="F66" s="933" t="s">
        <v>2445</v>
      </c>
      <c r="G66" s="934"/>
      <c r="H66" s="643">
        <f>'ALT #2'!M99</f>
        <v>-5789.1977262049995</v>
      </c>
      <c r="I66" s="642"/>
      <c r="J66" s="938">
        <v>1</v>
      </c>
      <c r="K66" s="1425">
        <f t="shared" ref="K66:K72" si="2">J66*H66</f>
        <v>-5789.1977262049995</v>
      </c>
      <c r="L66" s="939"/>
      <c r="M66" s="1120"/>
      <c r="N66" s="944"/>
      <c r="O66" s="603"/>
      <c r="P66" s="134"/>
      <c r="Q66" s="134"/>
    </row>
    <row r="67" spans="1:17" x14ac:dyDescent="0.2">
      <c r="A67" s="887"/>
      <c r="B67" s="931" t="s">
        <v>2396</v>
      </c>
      <c r="C67" s="155">
        <f t="shared" si="1"/>
        <v>65</v>
      </c>
      <c r="D67" s="1119">
        <v>1</v>
      </c>
      <c r="E67" s="937" t="s">
        <v>2579</v>
      </c>
      <c r="F67" s="933" t="s">
        <v>2445</v>
      </c>
      <c r="G67" s="934"/>
      <c r="H67" s="643">
        <f>'ALT #3'!M99</f>
        <v>17705.967585055529</v>
      </c>
      <c r="I67" s="642"/>
      <c r="J67" s="938">
        <v>1</v>
      </c>
      <c r="K67" s="1425">
        <f t="shared" si="2"/>
        <v>17705.967585055529</v>
      </c>
      <c r="L67" s="853">
        <v>25000</v>
      </c>
      <c r="M67" s="1120"/>
      <c r="N67" s="944"/>
      <c r="O67" s="603"/>
      <c r="P67" s="134"/>
      <c r="Q67" s="134"/>
    </row>
    <row r="68" spans="1:17" x14ac:dyDescent="0.2">
      <c r="A68" s="887"/>
      <c r="B68" s="931" t="s">
        <v>2397</v>
      </c>
      <c r="C68" s="155">
        <f t="shared" si="1"/>
        <v>65</v>
      </c>
      <c r="D68" s="1119">
        <v>1</v>
      </c>
      <c r="E68" s="937" t="s">
        <v>2589</v>
      </c>
      <c r="F68" s="933" t="s">
        <v>2445</v>
      </c>
      <c r="G68" s="934"/>
      <c r="H68" s="643">
        <f>'ALT #4'!M99</f>
        <v>-12301.896287564001</v>
      </c>
      <c r="I68" s="642"/>
      <c r="J68" s="938">
        <v>1</v>
      </c>
      <c r="K68" s="1425">
        <f t="shared" si="2"/>
        <v>-12301.896287564001</v>
      </c>
      <c r="L68" s="939"/>
      <c r="M68" s="1120"/>
      <c r="N68" s="944"/>
      <c r="O68" s="603"/>
      <c r="P68" s="134"/>
      <c r="Q68" s="134"/>
    </row>
    <row r="69" spans="1:17" x14ac:dyDescent="0.2">
      <c r="A69" s="887"/>
      <c r="B69" s="931" t="s">
        <v>2398</v>
      </c>
      <c r="C69" s="155">
        <f t="shared" si="1"/>
        <v>65</v>
      </c>
      <c r="D69" s="1119">
        <v>1</v>
      </c>
      <c r="E69" s="937" t="s">
        <v>1693</v>
      </c>
      <c r="F69" s="933" t="s">
        <v>2445</v>
      </c>
      <c r="G69" s="934"/>
      <c r="H69" s="643">
        <f>'ALT #5'!M99</f>
        <v>21.04851</v>
      </c>
      <c r="I69" s="642"/>
      <c r="J69" s="938">
        <v>1</v>
      </c>
      <c r="K69" s="1425">
        <f t="shared" si="2"/>
        <v>21.04851</v>
      </c>
      <c r="L69" s="939"/>
      <c r="M69" s="1120"/>
      <c r="N69" s="944"/>
      <c r="O69" s="603"/>
      <c r="P69" s="134"/>
      <c r="Q69" s="134"/>
    </row>
    <row r="70" spans="1:17" x14ac:dyDescent="0.2">
      <c r="A70" s="887"/>
      <c r="B70" s="931" t="s">
        <v>2399</v>
      </c>
      <c r="C70" s="155">
        <f t="shared" si="1"/>
        <v>65</v>
      </c>
      <c r="D70" s="1119">
        <v>1</v>
      </c>
      <c r="E70" s="937" t="s">
        <v>1693</v>
      </c>
      <c r="F70" s="933" t="s">
        <v>2445</v>
      </c>
      <c r="G70" s="934"/>
      <c r="H70" s="643">
        <f>'ALT #6'!M99</f>
        <v>21.04851</v>
      </c>
      <c r="I70" s="642"/>
      <c r="J70" s="938">
        <v>1</v>
      </c>
      <c r="K70" s="1425">
        <f t="shared" si="2"/>
        <v>21.04851</v>
      </c>
      <c r="L70" s="939"/>
      <c r="M70" s="1120"/>
      <c r="N70" s="944"/>
      <c r="O70" s="603"/>
      <c r="P70" s="134"/>
      <c r="Q70" s="134"/>
    </row>
    <row r="71" spans="1:17" x14ac:dyDescent="0.2">
      <c r="A71" s="887"/>
      <c r="B71" s="931" t="s">
        <v>2400</v>
      </c>
      <c r="C71" s="155">
        <f t="shared" si="1"/>
        <v>65</v>
      </c>
      <c r="D71" s="1119">
        <v>1</v>
      </c>
      <c r="E71" s="937" t="s">
        <v>1693</v>
      </c>
      <c r="F71" s="933" t="s">
        <v>2445</v>
      </c>
      <c r="G71" s="934"/>
      <c r="H71" s="643">
        <f>'ALT #7'!M99</f>
        <v>21.04851</v>
      </c>
      <c r="I71" s="642"/>
      <c r="J71" s="938">
        <v>1</v>
      </c>
      <c r="K71" s="1425">
        <f t="shared" si="2"/>
        <v>21.04851</v>
      </c>
      <c r="L71" s="939"/>
      <c r="M71" s="1120"/>
      <c r="N71" s="944"/>
      <c r="O71" s="603"/>
      <c r="P71" s="134"/>
      <c r="Q71" s="134"/>
    </row>
    <row r="72" spans="1:17" x14ac:dyDescent="0.2">
      <c r="A72" s="887"/>
      <c r="B72" s="931" t="s">
        <v>2401</v>
      </c>
      <c r="C72" s="155">
        <f t="shared" si="1"/>
        <v>65</v>
      </c>
      <c r="D72" s="1119">
        <v>1</v>
      </c>
      <c r="E72" s="937" t="s">
        <v>1693</v>
      </c>
      <c r="F72" s="933" t="s">
        <v>2445</v>
      </c>
      <c r="G72" s="934"/>
      <c r="H72" s="643">
        <f>'ALT #8'!M99</f>
        <v>21</v>
      </c>
      <c r="I72" s="642"/>
      <c r="J72" s="938">
        <v>1</v>
      </c>
      <c r="K72" s="1425">
        <f t="shared" si="2"/>
        <v>21</v>
      </c>
      <c r="L72" s="939"/>
      <c r="M72" s="1120"/>
      <c r="N72" s="944"/>
      <c r="O72" s="603"/>
      <c r="P72" s="134"/>
      <c r="Q72" s="134"/>
    </row>
    <row r="73" spans="1:17" ht="13.5" thickBot="1" x14ac:dyDescent="0.25">
      <c r="A73" s="887"/>
      <c r="B73" s="936"/>
      <c r="C73" s="155"/>
      <c r="D73" s="1119"/>
      <c r="E73" s="937"/>
      <c r="F73" s="933"/>
      <c r="G73" s="934"/>
      <c r="H73" s="643"/>
      <c r="I73" s="642"/>
      <c r="J73" s="938"/>
      <c r="K73" s="137"/>
      <c r="L73" s="939"/>
      <c r="M73" s="1120"/>
      <c r="N73" s="944"/>
      <c r="O73" s="603"/>
      <c r="P73" s="134"/>
      <c r="Q73" s="134"/>
    </row>
    <row r="74" spans="1:17" ht="13.5" thickTop="1" x14ac:dyDescent="0.2">
      <c r="A74" s="887"/>
      <c r="B74" s="1543" t="s">
        <v>2085</v>
      </c>
      <c r="C74" s="1544"/>
      <c r="D74" s="1544"/>
      <c r="E74" s="1544"/>
      <c r="F74" s="1545"/>
      <c r="G74" s="934"/>
      <c r="H74" s="643"/>
      <c r="I74" s="642"/>
      <c r="J74" s="938"/>
      <c r="K74" s="137"/>
      <c r="L74" s="939"/>
      <c r="M74" s="1120"/>
      <c r="N74" s="944"/>
      <c r="O74" s="603"/>
      <c r="P74" s="134"/>
      <c r="Q74" s="134"/>
    </row>
    <row r="75" spans="1:17" x14ac:dyDescent="0.2">
      <c r="A75" s="887"/>
      <c r="B75" s="1094" t="s">
        <v>2075</v>
      </c>
      <c r="C75" s="1095" t="s">
        <v>2076</v>
      </c>
      <c r="D75" s="1095" t="s">
        <v>2077</v>
      </c>
      <c r="E75" s="1095" t="s">
        <v>2078</v>
      </c>
      <c r="F75" s="1096" t="s">
        <v>2079</v>
      </c>
      <c r="G75" s="642"/>
      <c r="H75" s="642"/>
      <c r="I75" s="642"/>
      <c r="J75" s="642"/>
      <c r="K75" s="642"/>
      <c r="L75" s="642"/>
      <c r="M75" s="642"/>
      <c r="N75" s="644"/>
    </row>
    <row r="76" spans="1:17" x14ac:dyDescent="0.2">
      <c r="A76" s="887"/>
      <c r="B76" s="1091">
        <f>'REG BOND'!G29</f>
        <v>9.906646765172486E-3</v>
      </c>
      <c r="C76" s="1087">
        <f>'REG BOND'!P20</f>
        <v>1.17828560345518E-2</v>
      </c>
      <c r="D76" s="1087">
        <f>'REG BOND'!P30</f>
        <v>1.3659065303931118E-2</v>
      </c>
      <c r="E76" s="1092">
        <f>'REG BOND'!P40</f>
        <v>1.5707925099520785E-2</v>
      </c>
      <c r="F76" s="1093">
        <f>'REG BOND'!P50</f>
        <v>1.8064113864448901E-2</v>
      </c>
      <c r="G76" s="642"/>
      <c r="H76" s="642"/>
      <c r="I76" s="642"/>
      <c r="J76" s="642"/>
      <c r="K76" s="642"/>
      <c r="L76" s="642"/>
      <c r="M76" s="642"/>
      <c r="N76" s="644"/>
    </row>
    <row r="77" spans="1:17" ht="13.5" thickBot="1" x14ac:dyDescent="0.25">
      <c r="A77" s="887"/>
      <c r="B77" s="1088"/>
      <c r="C77" s="1089"/>
      <c r="D77" s="1089"/>
      <c r="E77" s="1089"/>
      <c r="F77" s="1090"/>
      <c r="G77" s="642"/>
      <c r="H77" s="642"/>
      <c r="I77" s="642"/>
      <c r="J77" s="642"/>
      <c r="K77" s="642"/>
      <c r="L77" s="642"/>
      <c r="M77" s="642"/>
      <c r="N77" s="644"/>
    </row>
    <row r="78" spans="1:17" ht="14.25" thickTop="1" thickBot="1" x14ac:dyDescent="0.25">
      <c r="A78" s="940"/>
      <c r="B78" s="941"/>
      <c r="C78" s="941"/>
      <c r="D78" s="941"/>
      <c r="E78" s="941"/>
      <c r="F78" s="941"/>
      <c r="G78" s="941"/>
      <c r="H78" s="941"/>
      <c r="I78" s="941"/>
      <c r="J78" s="941"/>
      <c r="K78" s="941"/>
      <c r="L78" s="941"/>
      <c r="M78" s="941"/>
      <c r="N78" s="942"/>
    </row>
    <row r="79" spans="1:17" ht="13.5" thickBot="1" x14ac:dyDescent="0.25">
      <c r="A79" s="642"/>
      <c r="B79" s="642"/>
      <c r="C79" s="642"/>
      <c r="D79" s="642"/>
      <c r="E79" s="642"/>
      <c r="F79" s="642"/>
      <c r="G79" s="642"/>
      <c r="H79" s="642"/>
      <c r="I79" s="642"/>
      <c r="J79" s="642"/>
      <c r="K79" s="642"/>
      <c r="L79" s="642"/>
      <c r="M79" s="642"/>
      <c r="N79" s="642"/>
    </row>
    <row r="80" spans="1:17" x14ac:dyDescent="0.2">
      <c r="B80" s="1540" t="s">
        <v>2096</v>
      </c>
      <c r="C80" s="1541"/>
      <c r="D80" s="1542"/>
    </row>
    <row r="81" spans="2:4" hidden="1" x14ac:dyDescent="0.2">
      <c r="B81" s="1533" t="s">
        <v>2089</v>
      </c>
      <c r="C81" s="1534"/>
      <c r="D81" s="1097">
        <f>H61</f>
        <v>2365854.9080266976</v>
      </c>
    </row>
    <row r="82" spans="2:4" hidden="1" x14ac:dyDescent="0.2">
      <c r="B82" s="1533" t="s">
        <v>584</v>
      </c>
      <c r="C82" s="1534"/>
      <c r="D82" s="1097">
        <f>H62</f>
        <v>26908.483667307108</v>
      </c>
    </row>
    <row r="83" spans="2:4" hidden="1" x14ac:dyDescent="0.2">
      <c r="B83" s="1533" t="s">
        <v>1678</v>
      </c>
      <c r="C83" s="1534"/>
      <c r="D83" s="1098">
        <f>BREAKOUT!F34</f>
        <v>890569.36762859754</v>
      </c>
    </row>
    <row r="84" spans="2:4" hidden="1" x14ac:dyDescent="0.2">
      <c r="B84" s="1533" t="s">
        <v>1679</v>
      </c>
      <c r="C84" s="1534"/>
      <c r="D84" s="1098">
        <f>BREAKOUT!F35</f>
        <v>1253712.5403980999</v>
      </c>
    </row>
    <row r="85" spans="2:4" hidden="1" x14ac:dyDescent="0.2">
      <c r="B85" s="1533" t="s">
        <v>2090</v>
      </c>
      <c r="C85" s="1534"/>
      <c r="D85" s="1099">
        <f>'Plumbing Recap'!L40</f>
        <v>61.133795199998296</v>
      </c>
    </row>
    <row r="86" spans="2:4" hidden="1" x14ac:dyDescent="0.2">
      <c r="B86" s="1533" t="s">
        <v>2091</v>
      </c>
      <c r="C86" s="1534"/>
      <c r="D86" s="1099">
        <f>'Heating Recap'!L42</f>
        <v>61.148761701703116</v>
      </c>
    </row>
    <row r="87" spans="2:4" hidden="1" x14ac:dyDescent="0.2">
      <c r="B87" s="1533" t="s">
        <v>581</v>
      </c>
      <c r="C87" s="1534"/>
      <c r="D87" s="1100">
        <f>'Project Cost Recap'!K13</f>
        <v>4230.1860000000006</v>
      </c>
    </row>
    <row r="88" spans="2:4" hidden="1" x14ac:dyDescent="0.2">
      <c r="B88" s="1533" t="s">
        <v>2094</v>
      </c>
      <c r="C88" s="1534"/>
      <c r="D88" s="1100">
        <f>K16</f>
        <v>2104.9499999999998</v>
      </c>
    </row>
    <row r="89" spans="2:4" hidden="1" x14ac:dyDescent="0.2">
      <c r="B89" s="1533" t="s">
        <v>2092</v>
      </c>
      <c r="C89" s="1534"/>
      <c r="D89" s="1101">
        <f>'Plumbing Recap'!L41</f>
        <v>3</v>
      </c>
    </row>
    <row r="90" spans="2:4" hidden="1" x14ac:dyDescent="0.2">
      <c r="B90" s="1533" t="s">
        <v>2093</v>
      </c>
      <c r="C90" s="1534"/>
      <c r="D90" s="1101">
        <f>'Heating Recap'!L43</f>
        <v>2</v>
      </c>
    </row>
    <row r="91" spans="2:4" hidden="1" x14ac:dyDescent="0.2">
      <c r="B91" s="1533" t="s">
        <v>2101</v>
      </c>
      <c r="C91" s="1534"/>
      <c r="D91" s="1102">
        <f>'Plumbing Recap'!N33</f>
        <v>238605.53184000001</v>
      </c>
    </row>
    <row r="92" spans="2:4" hidden="1" x14ac:dyDescent="0.2">
      <c r="B92" s="1533" t="s">
        <v>2099</v>
      </c>
      <c r="C92" s="1534"/>
      <c r="D92" s="1102">
        <f>'Plumbing Recap'!N34</f>
        <v>570124.08578859759</v>
      </c>
    </row>
    <row r="93" spans="2:4" hidden="1" x14ac:dyDescent="0.2">
      <c r="B93" s="1533" t="s">
        <v>2102</v>
      </c>
      <c r="C93" s="1534"/>
      <c r="D93" s="1102">
        <f>'Heating Recap'!L35</f>
        <v>56507.000284800008</v>
      </c>
    </row>
    <row r="94" spans="2:4" hidden="1" x14ac:dyDescent="0.2">
      <c r="B94" s="1533" t="s">
        <v>2100</v>
      </c>
      <c r="C94" s="1534"/>
      <c r="D94" s="1102">
        <f>'Heating Recap'!L36</f>
        <v>636420.29011329997</v>
      </c>
    </row>
    <row r="95" spans="2:4" hidden="1" x14ac:dyDescent="0.2">
      <c r="B95" s="1533" t="s">
        <v>2097</v>
      </c>
      <c r="C95" s="1534"/>
      <c r="D95" s="1103">
        <f>'Plumbing Recap'!L42</f>
        <v>0.38980122198279149</v>
      </c>
    </row>
    <row r="96" spans="2:4" hidden="1" x14ac:dyDescent="0.2">
      <c r="B96" s="1533" t="s">
        <v>2098</v>
      </c>
      <c r="C96" s="1534"/>
      <c r="D96" s="1103">
        <f>'Heating Recap'!L44</f>
        <v>0.67118333664522634</v>
      </c>
    </row>
    <row r="97" spans="2:4" hidden="1" x14ac:dyDescent="0.2">
      <c r="B97" s="1533" t="s">
        <v>2095</v>
      </c>
      <c r="C97" s="1534"/>
      <c r="D97" s="1097">
        <f>L36</f>
        <v>265375.09076230309</v>
      </c>
    </row>
    <row r="98" spans="2:4" ht="13.5" hidden="1" thickBot="1" x14ac:dyDescent="0.25">
      <c r="B98" s="1538" t="s">
        <v>190</v>
      </c>
      <c r="C98" s="1539"/>
      <c r="D98" s="1104">
        <f>L52</f>
        <v>0.11216879355617207</v>
      </c>
    </row>
  </sheetData>
  <sheetProtection formatCells="0" formatColumns="0" formatRows="0" insertColumns="0" insertRows="0" deleteRows="0" selectLockedCells="1" sort="0" autoFilter="0" pivotTables="0"/>
  <customSheetViews>
    <customSheetView guid="{C88CD669-B349-4A86-8041-5686C62E698E}" showPageBreaks="1" fitToPage="1" printArea="1" hiddenRows="1">
      <selection activeCell="I74" sqref="I74"/>
      <pageMargins left="0.75" right="0.75" top="1" bottom="0.75" header="0.5" footer="0.5"/>
      <pageSetup scale="48" orientation="portrait" verticalDpi="300" r:id="rId1"/>
      <headerFooter alignWithMargins="0"/>
    </customSheetView>
    <customSheetView guid="{14A9C729-6567-47B0-B521-30EFFF4E950A}" scale="80" showPageBreaks="1" fitToPage="1" printArea="1" topLeftCell="A21">
      <selection activeCell="L36" sqref="L36"/>
      <pageMargins left="0.75" right="0.75" top="1" bottom="0.75" header="0.5" footer="0.5"/>
      <pageSetup scale="50" orientation="landscape" verticalDpi="300" r:id="rId2"/>
      <headerFooter alignWithMargins="0"/>
    </customSheetView>
    <customSheetView guid="{198460B7-6D23-4AED-A971-BF824A975991}" fitToPage="1" topLeftCell="B19">
      <selection activeCell="E7" sqref="E7"/>
      <pageMargins left="0.75" right="0.75" top="1" bottom="0.75" header="0.5" footer="0.5"/>
      <pageSetup scale="52" orientation="landscape" verticalDpi="300" r:id="rId3"/>
      <headerFooter alignWithMargins="0"/>
    </customSheetView>
  </customSheetViews>
  <mergeCells count="38">
    <mergeCell ref="B42:G42"/>
    <mergeCell ref="B2:I2"/>
    <mergeCell ref="B3:I3"/>
    <mergeCell ref="B21:H21"/>
    <mergeCell ref="B22:D22"/>
    <mergeCell ref="B23:D23"/>
    <mergeCell ref="B87:C87"/>
    <mergeCell ref="B24:D24"/>
    <mergeCell ref="B31:D31"/>
    <mergeCell ref="B32:D32"/>
    <mergeCell ref="B33:D33"/>
    <mergeCell ref="B25:D25"/>
    <mergeCell ref="B83:C83"/>
    <mergeCell ref="B84:C84"/>
    <mergeCell ref="B35:D35"/>
    <mergeCell ref="B81:C81"/>
    <mergeCell ref="B82:C82"/>
    <mergeCell ref="B74:F74"/>
    <mergeCell ref="B44:G44"/>
    <mergeCell ref="B36:D36"/>
    <mergeCell ref="B37:D37"/>
    <mergeCell ref="B38:D38"/>
    <mergeCell ref="B88:C88"/>
    <mergeCell ref="B34:D34"/>
    <mergeCell ref="B85:C85"/>
    <mergeCell ref="B39:D39"/>
    <mergeCell ref="B98:C98"/>
    <mergeCell ref="B80:D80"/>
    <mergeCell ref="B95:C95"/>
    <mergeCell ref="B96:C96"/>
    <mergeCell ref="B91:C91"/>
    <mergeCell ref="B92:C92"/>
    <mergeCell ref="B93:C93"/>
    <mergeCell ref="B94:C94"/>
    <mergeCell ref="B86:C86"/>
    <mergeCell ref="B89:C89"/>
    <mergeCell ref="B90:C90"/>
    <mergeCell ref="B97:C97"/>
  </mergeCells>
  <phoneticPr fontId="0" type="noConversion"/>
  <conditionalFormatting sqref="L52">
    <cfRule type="cellIs" dxfId="170" priority="18" operator="lessThan">
      <formula>0.1</formula>
    </cfRule>
  </conditionalFormatting>
  <conditionalFormatting sqref="D95">
    <cfRule type="cellIs" dxfId="169" priority="9" operator="lessThan">
      <formula>0.3</formula>
    </cfRule>
  </conditionalFormatting>
  <conditionalFormatting sqref="D96">
    <cfRule type="cellIs" dxfId="168" priority="8" operator="lessThan">
      <formula>0.3</formula>
    </cfRule>
  </conditionalFormatting>
  <conditionalFormatting sqref="D98">
    <cfRule type="cellIs" dxfId="167" priority="7" operator="lessThan">
      <formula>0.1</formula>
    </cfRule>
  </conditionalFormatting>
  <conditionalFormatting sqref="D85:D86">
    <cfRule type="cellIs" dxfId="166" priority="2" operator="greaterThan">
      <formula>60.01</formula>
    </cfRule>
    <cfRule type="cellIs" dxfId="165" priority="3" operator="lessThan">
      <formula>55</formula>
    </cfRule>
    <cfRule type="cellIs" dxfId="164" priority="4" operator="lessThan">
      <formula>55</formula>
    </cfRule>
    <cfRule type="cellIs" dxfId="163" priority="5" operator="greaterThan">
      <formula>60.01</formula>
    </cfRule>
    <cfRule type="cellIs" dxfId="162" priority="6" operator="between">
      <formula>57</formula>
      <formula>60</formula>
    </cfRule>
  </conditionalFormatting>
  <conditionalFormatting sqref="G23:G39">
    <cfRule type="cellIs" dxfId="161" priority="1" operator="equal">
      <formula>0</formula>
    </cfRule>
  </conditionalFormatting>
  <pageMargins left="0.75" right="0.75" top="1" bottom="0.75" header="0.5" footer="0.5"/>
  <pageSetup scale="48" orientation="portrait" verticalDpi="300" r:id="rId4"/>
  <headerFooter alignWithMargins="0"/>
  <extLst>
    <ext xmlns:x14="http://schemas.microsoft.com/office/spreadsheetml/2009/9/main" uri="{CCE6A557-97BC-4b89-ADB6-D9C93CAAB3DF}">
      <x14:dataValidations xmlns:xm="http://schemas.microsoft.com/office/excel/2006/main" count="1">
        <x14:dataValidation type="list" allowBlank="1" showInputMessage="1" xr:uid="{00000000-0002-0000-0300-000000000000}">
          <x14:formula1>
            <xm:f>DATA!$N$71:$N$92</xm:f>
          </x14:formula1>
          <xm:sqref>L65:L74 J65:J74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P38"/>
  <sheetViews>
    <sheetView zoomScaleNormal="100" workbookViewId="0">
      <selection activeCell="G37" sqref="G37"/>
    </sheetView>
  </sheetViews>
  <sheetFormatPr defaultRowHeight="12.75" x14ac:dyDescent="0.2"/>
  <cols>
    <col min="2" max="2" width="41.140625" customWidth="1"/>
    <col min="3" max="3" width="16.85546875" customWidth="1"/>
    <col min="4" max="4" width="22.7109375" customWidth="1"/>
    <col min="6" max="6" width="13.42578125" customWidth="1"/>
    <col min="7" max="7" width="12.5703125" customWidth="1"/>
    <col min="9" max="9" width="27.42578125" customWidth="1"/>
    <col min="10" max="13" width="12.7109375" customWidth="1"/>
    <col min="14" max="18" width="12.42578125" customWidth="1"/>
  </cols>
  <sheetData>
    <row r="1" spans="2:16" ht="23.25" thickBot="1" x14ac:dyDescent="0.25">
      <c r="J1" s="1417" t="s">
        <v>136</v>
      </c>
      <c r="K1" s="1416" t="s">
        <v>188</v>
      </c>
      <c r="L1" s="1422" t="s">
        <v>2436</v>
      </c>
    </row>
    <row r="2" spans="2:16" ht="12.75" customHeight="1" x14ac:dyDescent="0.2">
      <c r="B2" s="1561" t="s">
        <v>1630</v>
      </c>
      <c r="C2" s="1562"/>
      <c r="D2" s="1562"/>
      <c r="J2" s="1417"/>
      <c r="K2" s="1421">
        <v>0.05</v>
      </c>
      <c r="L2" s="1422"/>
      <c r="N2" s="416">
        <f>'Heating Recap'!L42</f>
        <v>61.148761701703116</v>
      </c>
      <c r="P2" s="1418">
        <v>0.1</v>
      </c>
    </row>
    <row r="3" spans="2:16" x14ac:dyDescent="0.2">
      <c r="B3" s="508" t="s">
        <v>1674</v>
      </c>
      <c r="C3" s="1563" t="s">
        <v>1673</v>
      </c>
      <c r="D3" s="1563"/>
      <c r="I3" s="356" t="s">
        <v>2424</v>
      </c>
      <c r="J3" s="1417"/>
      <c r="K3" s="1421"/>
      <c r="L3" s="1422"/>
      <c r="M3" s="1415" t="s">
        <v>1171</v>
      </c>
      <c r="N3" s="1415" t="s">
        <v>2437</v>
      </c>
      <c r="O3" s="356" t="s">
        <v>453</v>
      </c>
      <c r="P3" s="356" t="s">
        <v>2438</v>
      </c>
    </row>
    <row r="4" spans="2:16" x14ac:dyDescent="0.2">
      <c r="B4" s="510" t="s">
        <v>657</v>
      </c>
      <c r="C4" s="511" t="s">
        <v>83</v>
      </c>
      <c r="D4" s="511" t="s">
        <v>1629</v>
      </c>
      <c r="E4" s="519" t="s">
        <v>1675</v>
      </c>
      <c r="F4" s="594" t="s">
        <v>132</v>
      </c>
      <c r="G4" s="594" t="s">
        <v>1626</v>
      </c>
      <c r="I4" t="s">
        <v>2425</v>
      </c>
      <c r="J4" s="602">
        <f>N4+O4+P4</f>
        <v>0</v>
      </c>
      <c r="K4" s="859">
        <f>K2</f>
        <v>0.05</v>
      </c>
      <c r="L4" s="602">
        <f>J4+J4*K4</f>
        <v>0</v>
      </c>
      <c r="M4" s="1420">
        <f>'QP Reports'!J7+'QP Reports'!J31</f>
        <v>0</v>
      </c>
      <c r="N4" s="602">
        <f>M4*$N$2</f>
        <v>0</v>
      </c>
      <c r="O4">
        <f>'QP Reports'!F7+'QP Reports'!F31</f>
        <v>0</v>
      </c>
      <c r="P4">
        <f>O4*$P$2</f>
        <v>0</v>
      </c>
    </row>
    <row r="5" spans="2:16" x14ac:dyDescent="0.2">
      <c r="B5" s="510" t="str">
        <f>'Project Cost Recap'!B23</f>
        <v>CADD / BIM DOCUMENTATION</v>
      </c>
      <c r="C5" s="509">
        <f>Subs!E12</f>
        <v>9200</v>
      </c>
      <c r="D5" s="509">
        <f>Subs!F12+Subs!G12</f>
        <v>0</v>
      </c>
      <c r="E5" s="92">
        <f>'Project Cost Recap'!D43</f>
        <v>0.1</v>
      </c>
      <c r="F5" s="416">
        <f>C5+(C5*E5)</f>
        <v>10120</v>
      </c>
      <c r="G5" s="416">
        <f>D5+(D5*E5)</f>
        <v>0</v>
      </c>
      <c r="I5" s="356" t="s">
        <v>2439</v>
      </c>
      <c r="J5" s="602">
        <f t="shared" ref="J5:J11" si="0">N5+O5+P5</f>
        <v>194998.85949761845</v>
      </c>
      <c r="K5" s="859">
        <f t="shared" ref="K5:K16" si="1">K4</f>
        <v>0.05</v>
      </c>
      <c r="L5" s="602">
        <f>J5+J5*K5</f>
        <v>204748.80247249937</v>
      </c>
      <c r="M5" s="1419">
        <f>'Plumbing Recap'!D12</f>
        <v>598</v>
      </c>
      <c r="N5" s="602">
        <f t="shared" ref="N5:N11" si="2">M5*$N$2</f>
        <v>36566.95949761846</v>
      </c>
      <c r="O5" s="416">
        <f>'Plumbing Recap'!F12</f>
        <v>144029</v>
      </c>
      <c r="P5">
        <f t="shared" ref="P5:P11" si="3">O5*$P$2</f>
        <v>14402.900000000001</v>
      </c>
    </row>
    <row r="6" spans="2:16" x14ac:dyDescent="0.2">
      <c r="B6" s="510" t="str">
        <f>'Project Cost Recap'!B24</f>
        <v>CHEMICAL TREATMENT</v>
      </c>
      <c r="C6" s="509">
        <f>Subs!E25</f>
        <v>0</v>
      </c>
      <c r="D6" s="509">
        <f>Subs!F25</f>
        <v>0</v>
      </c>
      <c r="E6" s="92">
        <f>E5</f>
        <v>0.1</v>
      </c>
      <c r="F6" s="416">
        <f t="shared" ref="F6:F15" si="4">C6+(C6*E6)</f>
        <v>0</v>
      </c>
      <c r="G6" s="416">
        <f t="shared" ref="G6:G15" si="5">D6+(D6*E6)</f>
        <v>0</v>
      </c>
      <c r="I6" s="356" t="s">
        <v>2427</v>
      </c>
      <c r="J6" s="602">
        <f t="shared" si="0"/>
        <v>82262.265552853976</v>
      </c>
      <c r="K6" s="859">
        <f t="shared" si="1"/>
        <v>0.05</v>
      </c>
      <c r="L6" s="602">
        <f t="shared" ref="L6:L16" si="6">J6+J6*K6</f>
        <v>86375.378830496673</v>
      </c>
      <c r="M6" s="1419">
        <f>'QP Reports'!J12+'QP Reports'!J13</f>
        <v>795</v>
      </c>
      <c r="N6" s="602">
        <f t="shared" si="2"/>
        <v>48613.265552853976</v>
      </c>
      <c r="O6">
        <f>'QP Reports'!F12+'QP Reports'!F13</f>
        <v>30590</v>
      </c>
      <c r="P6">
        <f t="shared" si="3"/>
        <v>3059</v>
      </c>
    </row>
    <row r="7" spans="2:16" x14ac:dyDescent="0.2">
      <c r="B7" s="510" t="str">
        <f>'Project Cost Recap'!B25</f>
        <v>CORE-DRILLING/SAWCUT &amp; REMOVAL</v>
      </c>
      <c r="C7" s="509">
        <f>'Project Cost Recap'!H25/2</f>
        <v>0</v>
      </c>
      <c r="D7" s="509">
        <f>'Project Cost Recap'!H25/2</f>
        <v>0</v>
      </c>
      <c r="E7" s="92">
        <f t="shared" ref="E7:E15" si="7">E6</f>
        <v>0.1</v>
      </c>
      <c r="F7" s="416">
        <f t="shared" si="4"/>
        <v>0</v>
      </c>
      <c r="G7" s="416">
        <f t="shared" si="5"/>
        <v>0</v>
      </c>
      <c r="I7" s="356" t="s">
        <v>2426</v>
      </c>
      <c r="J7" s="602">
        <f t="shared" si="0"/>
        <v>160902.75858760122</v>
      </c>
      <c r="K7" s="859">
        <f t="shared" si="1"/>
        <v>0.05</v>
      </c>
      <c r="L7" s="602">
        <f t="shared" si="6"/>
        <v>168947.89651698127</v>
      </c>
      <c r="M7" s="1419">
        <f>'QP Reports'!J10+'QP Reports'!J11</f>
        <v>1139.8</v>
      </c>
      <c r="N7" s="602">
        <f t="shared" si="2"/>
        <v>69697.358587601208</v>
      </c>
      <c r="O7">
        <f>'QP Reports'!F10+'QP Reports'!F11</f>
        <v>82914</v>
      </c>
      <c r="P7">
        <f t="shared" si="3"/>
        <v>8291.4</v>
      </c>
    </row>
    <row r="8" spans="2:16" x14ac:dyDescent="0.2">
      <c r="B8" s="510" t="str">
        <f>'Project Cost Recap'!B27</f>
        <v>EXCAVATION</v>
      </c>
      <c r="C8" s="509">
        <f>Subs!G65</f>
        <v>36865</v>
      </c>
      <c r="D8" s="509">
        <f>Subs!J65</f>
        <v>0</v>
      </c>
      <c r="E8" s="92">
        <f t="shared" si="7"/>
        <v>0.1</v>
      </c>
      <c r="F8" s="416">
        <f t="shared" si="4"/>
        <v>40551.5</v>
      </c>
      <c r="G8" s="416">
        <f t="shared" si="5"/>
        <v>0</v>
      </c>
      <c r="I8" t="s">
        <v>2428</v>
      </c>
      <c r="J8" s="602">
        <f t="shared" si="0"/>
        <v>130590.89329313474</v>
      </c>
      <c r="K8" s="859">
        <f t="shared" si="1"/>
        <v>0.05</v>
      </c>
      <c r="L8" s="602">
        <f t="shared" si="6"/>
        <v>137120.43795779147</v>
      </c>
      <c r="M8" s="1419">
        <f>'QP Reports'!J8+'QP Reports'!J9</f>
        <v>1136</v>
      </c>
      <c r="N8" s="602">
        <f t="shared" si="2"/>
        <v>69464.993293134743</v>
      </c>
      <c r="O8">
        <f>'QP Reports'!F8+'QP Reports'!F9</f>
        <v>55569</v>
      </c>
      <c r="P8">
        <f t="shared" si="3"/>
        <v>5556.9000000000005</v>
      </c>
    </row>
    <row r="9" spans="2:16" x14ac:dyDescent="0.2">
      <c r="B9" s="510" t="str">
        <f>'Project Cost Recap'!B29</f>
        <v>FIRE STOPPING</v>
      </c>
      <c r="C9" s="509">
        <f>Subs!E89</f>
        <v>0</v>
      </c>
      <c r="D9" s="509">
        <f>Subs!F89+Subs!G89</f>
        <v>0</v>
      </c>
      <c r="E9" s="92">
        <f t="shared" si="7"/>
        <v>0.1</v>
      </c>
      <c r="F9" s="416">
        <f t="shared" si="4"/>
        <v>0</v>
      </c>
      <c r="G9" s="416">
        <f t="shared" si="5"/>
        <v>0</v>
      </c>
      <c r="I9" s="356" t="s">
        <v>2435</v>
      </c>
      <c r="J9" s="602">
        <f t="shared" si="0"/>
        <v>151914.45089715952</v>
      </c>
      <c r="K9" s="859">
        <f t="shared" si="1"/>
        <v>0.05</v>
      </c>
      <c r="L9" s="602">
        <f t="shared" si="6"/>
        <v>159510.17344201749</v>
      </c>
      <c r="M9" s="1419">
        <f>'QP Reports'!J32+'QP Reports'!J33+'QP Reports'!J34+'QP Reports'!J35+'QP Reports'!J36+'QP Reports'!J37+'QP Reports'!J40+'QP Reports'!J41+'QP Reports'!J42+'QP Reports'!J43</f>
        <v>1679</v>
      </c>
      <c r="N9" s="602">
        <f t="shared" si="2"/>
        <v>102668.77089715953</v>
      </c>
      <c r="O9">
        <f>'QP Reports'!F32+'QP Reports'!F33+'QP Reports'!F34+'QP Reports'!F35+'QP Reports'!F36+'QP Reports'!F37+'QP Reports'!F40+'QP Reports'!F41+'QP Reports'!F42+'QP Reports'!F43</f>
        <v>44768.800000000003</v>
      </c>
      <c r="P9">
        <f t="shared" si="3"/>
        <v>4476.88</v>
      </c>
    </row>
    <row r="10" spans="2:16" x14ac:dyDescent="0.2">
      <c r="B10" s="510" t="str">
        <f>'Project Cost Recap'!B31</f>
        <v>INSULATION</v>
      </c>
      <c r="C10" s="509">
        <f>Subs!E115</f>
        <v>26545</v>
      </c>
      <c r="D10" s="509">
        <f>Subs!F115+Subs!G115+Subs!H115</f>
        <v>1820</v>
      </c>
      <c r="E10" s="92">
        <f t="shared" si="7"/>
        <v>0.1</v>
      </c>
      <c r="F10" s="416">
        <f t="shared" si="4"/>
        <v>29199.5</v>
      </c>
      <c r="G10" s="416">
        <f t="shared" si="5"/>
        <v>2002</v>
      </c>
      <c r="I10" s="356" t="s">
        <v>2434</v>
      </c>
      <c r="J10" s="602">
        <f t="shared" si="0"/>
        <v>0</v>
      </c>
      <c r="K10" s="859">
        <f t="shared" si="1"/>
        <v>0.05</v>
      </c>
      <c r="L10" s="602">
        <f t="shared" si="6"/>
        <v>0</v>
      </c>
      <c r="M10" s="1419">
        <f>'QP Reports'!J38+'QP Reports'!J39</f>
        <v>0</v>
      </c>
      <c r="N10" s="602">
        <f t="shared" si="2"/>
        <v>0</v>
      </c>
      <c r="O10">
        <f>'QP Reports'!F38+'QP Reports'!F39</f>
        <v>0</v>
      </c>
      <c r="P10">
        <f t="shared" si="3"/>
        <v>0</v>
      </c>
    </row>
    <row r="11" spans="2:16" x14ac:dyDescent="0.2">
      <c r="B11" s="510" t="str">
        <f>'Project Cost Recap'!B32</f>
        <v>MED GAS CERTIFICATION &amp; SMART TAPS</v>
      </c>
      <c r="C11" s="509">
        <f>Subs!E127+Subs!F127</f>
        <v>0</v>
      </c>
      <c r="D11" s="509">
        <v>0</v>
      </c>
      <c r="E11" s="92">
        <f t="shared" si="7"/>
        <v>0.1</v>
      </c>
      <c r="F11" s="416">
        <f t="shared" si="4"/>
        <v>0</v>
      </c>
      <c r="G11" s="416">
        <f t="shared" si="5"/>
        <v>0</v>
      </c>
      <c r="I11" s="356" t="s">
        <v>2433</v>
      </c>
      <c r="J11" s="602">
        <f t="shared" si="0"/>
        <v>396285.0260339143</v>
      </c>
      <c r="K11" s="859">
        <f t="shared" si="1"/>
        <v>0.05</v>
      </c>
      <c r="L11" s="602">
        <f t="shared" si="6"/>
        <v>416099.27733561001</v>
      </c>
      <c r="M11" s="1419">
        <f>'Heating Recap'!D12</f>
        <v>302</v>
      </c>
      <c r="N11" s="602">
        <f t="shared" si="2"/>
        <v>18466.92603391434</v>
      </c>
      <c r="O11" s="416">
        <f>'Heating Recap'!F12</f>
        <v>343471</v>
      </c>
      <c r="P11">
        <f t="shared" si="3"/>
        <v>34347.1</v>
      </c>
    </row>
    <row r="12" spans="2:16" x14ac:dyDescent="0.2">
      <c r="B12" s="510" t="str">
        <f>'Project Cost Recap'!B33</f>
        <v>REFRIGERATION</v>
      </c>
      <c r="C12" s="509">
        <v>0</v>
      </c>
      <c r="D12" s="509">
        <f>Subs!E139</f>
        <v>0</v>
      </c>
      <c r="E12" s="92">
        <f t="shared" si="7"/>
        <v>0.1</v>
      </c>
      <c r="F12" s="416">
        <f t="shared" si="4"/>
        <v>0</v>
      </c>
      <c r="G12" s="416">
        <f t="shared" si="5"/>
        <v>0</v>
      </c>
      <c r="I12" s="356" t="s">
        <v>2429</v>
      </c>
      <c r="J12" s="602">
        <f>'Project Cost Recap'!H35</f>
        <v>347845</v>
      </c>
      <c r="K12" s="859">
        <f t="shared" si="1"/>
        <v>0.05</v>
      </c>
      <c r="L12" s="602">
        <f t="shared" si="6"/>
        <v>365237.25</v>
      </c>
      <c r="M12" s="1419"/>
      <c r="N12" s="602"/>
    </row>
    <row r="13" spans="2:16" x14ac:dyDescent="0.2">
      <c r="B13" s="510" t="str">
        <f>'Project Cost Recap'!B35</f>
        <v>SHEET METAL</v>
      </c>
      <c r="C13" s="509">
        <v>0</v>
      </c>
      <c r="D13" s="509">
        <f>Subs!F163</f>
        <v>347845</v>
      </c>
      <c r="E13" s="92">
        <f t="shared" si="7"/>
        <v>0.1</v>
      </c>
      <c r="F13" s="416">
        <f t="shared" si="4"/>
        <v>0</v>
      </c>
      <c r="G13" s="416">
        <f t="shared" si="5"/>
        <v>382629.5</v>
      </c>
      <c r="I13" t="s">
        <v>2430</v>
      </c>
      <c r="J13" s="602">
        <f>'Project Cost Recap'!H31</f>
        <v>28365</v>
      </c>
      <c r="K13" s="859">
        <f t="shared" si="1"/>
        <v>0.05</v>
      </c>
      <c r="L13" s="602">
        <f t="shared" si="6"/>
        <v>29783.25</v>
      </c>
      <c r="M13" s="1419"/>
      <c r="N13" s="602"/>
    </row>
    <row r="14" spans="2:16" x14ac:dyDescent="0.2">
      <c r="B14" s="510" t="str">
        <f>'Project Cost Recap'!B37</f>
        <v>TEMPERATURE CONTROLS</v>
      </c>
      <c r="C14" s="509">
        <v>0</v>
      </c>
      <c r="D14" s="509">
        <f>Subs!F186</f>
        <v>155000</v>
      </c>
      <c r="E14" s="92">
        <f t="shared" si="7"/>
        <v>0.1</v>
      </c>
      <c r="F14" s="416">
        <f t="shared" si="4"/>
        <v>0</v>
      </c>
      <c r="G14" s="416">
        <f t="shared" si="5"/>
        <v>170500</v>
      </c>
      <c r="I14" t="s">
        <v>381</v>
      </c>
      <c r="J14" s="602">
        <f>'Project Cost Recap'!H37</f>
        <v>155000</v>
      </c>
      <c r="K14" s="859">
        <f t="shared" si="1"/>
        <v>0.05</v>
      </c>
      <c r="L14" s="602">
        <f t="shared" si="6"/>
        <v>162750</v>
      </c>
      <c r="M14" s="1419"/>
      <c r="N14" s="602"/>
    </row>
    <row r="15" spans="2:16" x14ac:dyDescent="0.2">
      <c r="B15" s="510" t="str">
        <f>'Project Cost Recap'!B38</f>
        <v>TEST &amp; BALANCE</v>
      </c>
      <c r="C15" s="509">
        <v>0</v>
      </c>
      <c r="D15" s="509">
        <f>Subs!J198</f>
        <v>3350</v>
      </c>
      <c r="E15" s="92">
        <f t="shared" si="7"/>
        <v>0.1</v>
      </c>
      <c r="F15" s="416">
        <f t="shared" si="4"/>
        <v>0</v>
      </c>
      <c r="G15" s="416">
        <f t="shared" si="5"/>
        <v>3685</v>
      </c>
      <c r="I15" t="s">
        <v>2431</v>
      </c>
      <c r="J15" s="602">
        <f>'Project Cost Recap'!H38</f>
        <v>3350</v>
      </c>
      <c r="K15" s="859">
        <f t="shared" si="1"/>
        <v>0.05</v>
      </c>
      <c r="L15" s="602">
        <f t="shared" si="6"/>
        <v>3517.5</v>
      </c>
      <c r="M15" s="1419"/>
      <c r="N15" s="602"/>
    </row>
    <row r="16" spans="2:16" x14ac:dyDescent="0.2">
      <c r="B16" s="519" t="s">
        <v>1682</v>
      </c>
      <c r="C16" s="601">
        <f>SUM(C5:C15)</f>
        <v>72610</v>
      </c>
      <c r="D16" s="595"/>
      <c r="F16" s="416">
        <f>SUM(F5:F15)</f>
        <v>79871</v>
      </c>
      <c r="I16" s="356" t="s">
        <v>2440</v>
      </c>
      <c r="J16" s="602">
        <f>SUM('Project Cost Recap'!H24:H30)+'Project Cost Recap'!H32+'Project Cost Recap'!H33+'Project Cost Recap'!H34+'Project Cost Recap'!H36+'Project Cost Recap'!H39</f>
        <v>36865</v>
      </c>
      <c r="K16" s="859">
        <f t="shared" si="1"/>
        <v>0.05</v>
      </c>
      <c r="L16" s="602">
        <f t="shared" si="6"/>
        <v>38708.25</v>
      </c>
      <c r="M16" s="1419"/>
      <c r="N16" s="602"/>
    </row>
    <row r="17" spans="2:15" ht="13.5" thickBot="1" x14ac:dyDescent="0.25">
      <c r="B17" s="519" t="s">
        <v>1683</v>
      </c>
      <c r="C17" s="518"/>
      <c r="D17" s="601">
        <f>SUM(D5:D15)</f>
        <v>508015</v>
      </c>
      <c r="G17" s="416">
        <f>SUM(G5:G15)</f>
        <v>558816.5</v>
      </c>
      <c r="I17" t="s">
        <v>2432</v>
      </c>
      <c r="J17" s="602">
        <f>N17+O17+'Project Cost Recap'!L36+SUM('Heating Recap'!H13:H29)+SUM('Plumbing Recap'!H14:H27)</f>
        <v>345093.26209479751</v>
      </c>
      <c r="K17" s="602"/>
      <c r="L17" s="602"/>
      <c r="M17" s="1423">
        <f>'Heating Recap'!D33+'Plumbing Recap'!D31</f>
        <v>120</v>
      </c>
      <c r="N17" s="602">
        <f>M17*75</f>
        <v>9000</v>
      </c>
      <c r="O17">
        <f>'Project Cost Recap'!H23</f>
        <v>9200</v>
      </c>
    </row>
    <row r="18" spans="2:15" x14ac:dyDescent="0.2">
      <c r="B18" s="512" t="s">
        <v>1627</v>
      </c>
      <c r="C18" s="513">
        <f>'Project Cost Recap'!H14</f>
        <v>808729.61762859754</v>
      </c>
      <c r="D18" s="514"/>
      <c r="F18" s="597"/>
      <c r="J18" s="602"/>
      <c r="K18" s="602"/>
      <c r="L18" s="602"/>
      <c r="M18" s="602"/>
      <c r="N18" s="602"/>
    </row>
    <row r="19" spans="2:15" ht="13.5" thickBot="1" x14ac:dyDescent="0.25">
      <c r="B19" s="515" t="s">
        <v>1628</v>
      </c>
      <c r="C19" s="516"/>
      <c r="D19" s="517">
        <f>'Project Cost Recap'!H17</f>
        <v>692927.29039809993</v>
      </c>
      <c r="F19" s="597"/>
      <c r="I19" s="356" t="s">
        <v>47</v>
      </c>
      <c r="J19" s="602">
        <f>SUM(J4:J17)</f>
        <v>2033472.5159570798</v>
      </c>
      <c r="K19" s="602"/>
      <c r="L19" s="602">
        <f>SUM(L4:L16)</f>
        <v>1772798.2165553963</v>
      </c>
      <c r="M19" s="602"/>
      <c r="N19" s="602"/>
    </row>
    <row r="20" spans="2:15" x14ac:dyDescent="0.2">
      <c r="B20" s="1564" t="s">
        <v>1678</v>
      </c>
      <c r="C20" s="1565"/>
      <c r="D20" s="1565"/>
      <c r="F20" s="598">
        <f>C18+F16</f>
        <v>888600.61762859754</v>
      </c>
      <c r="J20" s="602"/>
      <c r="K20" s="602"/>
      <c r="L20" s="602"/>
      <c r="M20" s="602"/>
      <c r="N20" s="602"/>
    </row>
    <row r="21" spans="2:15" x14ac:dyDescent="0.2">
      <c r="B21" s="1566" t="s">
        <v>1679</v>
      </c>
      <c r="C21" s="1567"/>
      <c r="D21" s="1567"/>
      <c r="F21" s="599">
        <f>D19+G17</f>
        <v>1251743.7903980999</v>
      </c>
    </row>
    <row r="22" spans="2:15" x14ac:dyDescent="0.2">
      <c r="I22" s="356" t="s">
        <v>2441</v>
      </c>
      <c r="J22" s="597">
        <f>J19-F37</f>
        <v>-332382.39206961775</v>
      </c>
      <c r="L22" s="597">
        <f>L19-F37</f>
        <v>-593056.69147130125</v>
      </c>
    </row>
    <row r="23" spans="2:15" x14ac:dyDescent="0.2">
      <c r="B23" s="356" t="s">
        <v>1676</v>
      </c>
      <c r="E23" s="356" t="s">
        <v>1675</v>
      </c>
      <c r="F23" s="356" t="s">
        <v>1681</v>
      </c>
    </row>
    <row r="24" spans="2:15" x14ac:dyDescent="0.2">
      <c r="B24" t="str">
        <f>'Project Cost Recap'!B26</f>
        <v>ELECTRICAL CONTRACTOR</v>
      </c>
      <c r="D24">
        <f>'Project Cost Recap'!H26</f>
        <v>0</v>
      </c>
      <c r="E24" s="92">
        <f>E5</f>
        <v>0.1</v>
      </c>
      <c r="F24">
        <f t="shared" ref="F24:F29" si="8">D24+(D24*E24)</f>
        <v>0</v>
      </c>
    </row>
    <row r="25" spans="2:15" x14ac:dyDescent="0.2">
      <c r="B25" t="str">
        <f>'Project Cost Recap'!B28</f>
        <v>FIRE PROTECTION</v>
      </c>
      <c r="D25">
        <f>'Project Cost Recap'!H28</f>
        <v>0</v>
      </c>
      <c r="E25" s="92">
        <f>E24</f>
        <v>0.1</v>
      </c>
      <c r="F25">
        <f t="shared" si="8"/>
        <v>0</v>
      </c>
    </row>
    <row r="26" spans="2:15" x14ac:dyDescent="0.2">
      <c r="B26" t="str">
        <f>'Project Cost Recap'!B30</f>
        <v>GENERAL CONTRACTOR</v>
      </c>
      <c r="D26">
        <f>'Project Cost Recap'!H28</f>
        <v>0</v>
      </c>
      <c r="E26" s="92">
        <f>E25</f>
        <v>0.1</v>
      </c>
      <c r="F26">
        <f t="shared" si="8"/>
        <v>0</v>
      </c>
    </row>
    <row r="27" spans="2:15" x14ac:dyDescent="0.2">
      <c r="B27" t="str">
        <f>'Project Cost Recap'!B33</f>
        <v>REFRIGERATION</v>
      </c>
      <c r="D27">
        <f>'Project Cost Recap'!H29</f>
        <v>0</v>
      </c>
      <c r="E27" s="92">
        <f>E26</f>
        <v>0.1</v>
      </c>
      <c r="F27">
        <f t="shared" si="8"/>
        <v>0</v>
      </c>
    </row>
    <row r="28" spans="2:15" x14ac:dyDescent="0.2">
      <c r="B28" t="str">
        <f>'Project Cost Recap'!B36</f>
        <v>SITE UTILITIES</v>
      </c>
      <c r="D28">
        <f>'Project Cost Recap'!H30</f>
        <v>0</v>
      </c>
      <c r="E28" s="92">
        <f>E27</f>
        <v>0.1</v>
      </c>
      <c r="F28">
        <f t="shared" si="8"/>
        <v>0</v>
      </c>
      <c r="I28" s="43" t="s">
        <v>2570</v>
      </c>
      <c r="J28">
        <v>40963</v>
      </c>
      <c r="K28" t="s">
        <v>2600</v>
      </c>
    </row>
    <row r="29" spans="2:15" x14ac:dyDescent="0.2">
      <c r="B29" t="str">
        <f>'Project Cost Recap'!B39</f>
        <v>MISCELLANEOUS (CHANGE TO SUIT)</v>
      </c>
      <c r="D29">
        <f>'Project Cost Recap'!H39</f>
        <v>0</v>
      </c>
      <c r="E29" s="92">
        <f>E28</f>
        <v>0.1</v>
      </c>
      <c r="F29">
        <f t="shared" si="8"/>
        <v>0</v>
      </c>
      <c r="I29" t="s">
        <v>2571</v>
      </c>
      <c r="J29" s="597">
        <f>C8</f>
        <v>36865</v>
      </c>
    </row>
    <row r="30" spans="2:15" x14ac:dyDescent="0.2">
      <c r="B30" s="1568" t="s">
        <v>1680</v>
      </c>
      <c r="C30" s="1569"/>
      <c r="D30" s="1569"/>
      <c r="F30" s="596">
        <f>SUM(F24:F29)</f>
        <v>0</v>
      </c>
      <c r="I30" t="s">
        <v>2429</v>
      </c>
      <c r="J30">
        <v>54500</v>
      </c>
      <c r="K30">
        <f>J30/J28</f>
        <v>1.330468959792984</v>
      </c>
    </row>
    <row r="31" spans="2:15" x14ac:dyDescent="0.2">
      <c r="B31" s="356"/>
      <c r="F31" s="597"/>
      <c r="I31" t="s">
        <v>2572</v>
      </c>
      <c r="J31">
        <v>65000</v>
      </c>
    </row>
    <row r="32" spans="2:15" x14ac:dyDescent="0.2">
      <c r="B32" s="356" t="s">
        <v>1684</v>
      </c>
      <c r="F32" s="602">
        <f>'Project Cost Recap'!H53+'Project Cost Recap'!H54</f>
        <v>3937.5</v>
      </c>
      <c r="G32" t="s">
        <v>2601</v>
      </c>
      <c r="H32" t="s">
        <v>2602</v>
      </c>
      <c r="I32" t="s">
        <v>2573</v>
      </c>
      <c r="J32" t="s">
        <v>2578</v>
      </c>
    </row>
    <row r="33" spans="2:10" x14ac:dyDescent="0.2">
      <c r="G33">
        <v>60238</v>
      </c>
      <c r="H33">
        <v>40963</v>
      </c>
      <c r="I33" t="s">
        <v>2574</v>
      </c>
      <c r="J33">
        <v>78000</v>
      </c>
    </row>
    <row r="34" spans="2:10" x14ac:dyDescent="0.2">
      <c r="B34" s="356" t="s">
        <v>1685</v>
      </c>
      <c r="F34" s="597">
        <f>F20+(F32/2)</f>
        <v>890569.36762859754</v>
      </c>
      <c r="G34" s="1437">
        <f>(F34-J37+J30*1.1)/G33</f>
        <v>10.111854105856727</v>
      </c>
      <c r="H34" s="1437">
        <f>(J37-J30)/H33</f>
        <v>7.0039181700559041</v>
      </c>
      <c r="I34" s="356" t="s">
        <v>2575</v>
      </c>
      <c r="J34">
        <v>76000</v>
      </c>
    </row>
    <row r="35" spans="2:10" x14ac:dyDescent="0.2">
      <c r="B35" s="356" t="s">
        <v>1686</v>
      </c>
      <c r="F35" s="597">
        <f>F21+(F32/2)</f>
        <v>1253712.5403980999</v>
      </c>
      <c r="G35" s="1437">
        <f>(F35-J30*1.1)/G33</f>
        <v>19.817433188321324</v>
      </c>
      <c r="H35" s="1437">
        <f>(J30*1.1)/H33</f>
        <v>1.4635158557722825</v>
      </c>
      <c r="I35" s="356" t="s">
        <v>2576</v>
      </c>
      <c r="J35" s="1434">
        <f>SUM(J29:J34)</f>
        <v>310365</v>
      </c>
    </row>
    <row r="36" spans="2:10" x14ac:dyDescent="0.2">
      <c r="B36" s="356" t="s">
        <v>1688</v>
      </c>
      <c r="F36" s="597">
        <f>F35+F34+F30</f>
        <v>2144281.9080266976</v>
      </c>
      <c r="G36" s="1437" t="s">
        <v>2603</v>
      </c>
      <c r="H36" s="1437"/>
      <c r="I36" s="356" t="s">
        <v>2577</v>
      </c>
      <c r="J36" s="416">
        <f>J35*0.1</f>
        <v>31036.5</v>
      </c>
    </row>
    <row r="37" spans="2:10" x14ac:dyDescent="0.2">
      <c r="B37" s="356" t="s">
        <v>1687</v>
      </c>
      <c r="F37" s="602">
        <f>'Project Cost Recap'!H61</f>
        <v>2365854.9080266976</v>
      </c>
      <c r="G37" s="1437">
        <f>(F35+F38-J30*1.1)/G33</f>
        <v>23.495725960325707</v>
      </c>
      <c r="H37" s="1437"/>
      <c r="I37" s="356" t="s">
        <v>47</v>
      </c>
      <c r="J37" s="602">
        <f>SUM(J35:J36)</f>
        <v>341401.5</v>
      </c>
    </row>
    <row r="38" spans="2:10" x14ac:dyDescent="0.2">
      <c r="B38" s="356" t="s">
        <v>1621</v>
      </c>
      <c r="F38" s="600">
        <f>F37-F36</f>
        <v>221573</v>
      </c>
      <c r="G38" s="1437"/>
      <c r="H38" s="1437"/>
    </row>
  </sheetData>
  <customSheetViews>
    <customSheetView guid="{C88CD669-B349-4A86-8041-5686C62E698E}" state="hidden">
      <pageMargins left="0.7" right="0.7" top="0.75" bottom="0.75" header="0.3" footer="0.3"/>
    </customSheetView>
    <customSheetView guid="{14A9C729-6567-47B0-B521-30EFFF4E950A}">
      <selection activeCell="G38" sqref="G38"/>
      <pageMargins left="0.7" right="0.7" top="0.75" bottom="0.75" header="0.3" footer="0.3"/>
    </customSheetView>
    <customSheetView guid="{198460B7-6D23-4AED-A971-BF824A975991}">
      <selection activeCell="G38" sqref="G38"/>
      <pageMargins left="0.7" right="0.7" top="0.75" bottom="0.75" header="0.3" footer="0.3"/>
    </customSheetView>
  </customSheetViews>
  <mergeCells count="5">
    <mergeCell ref="B2:D2"/>
    <mergeCell ref="C3:D3"/>
    <mergeCell ref="B20:D20"/>
    <mergeCell ref="B21:D21"/>
    <mergeCell ref="B30:D30"/>
  </mergeCells>
  <conditionalFormatting sqref="F38">
    <cfRule type="cellIs" dxfId="160"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W211"/>
  <sheetViews>
    <sheetView topLeftCell="A134" zoomScale="80" zoomScaleNormal="80" workbookViewId="0">
      <selection activeCell="I170" sqref="I170"/>
    </sheetView>
  </sheetViews>
  <sheetFormatPr defaultColWidth="9.140625" defaultRowHeight="12.75" x14ac:dyDescent="0.2"/>
  <cols>
    <col min="1" max="1" width="2.7109375" style="166" customWidth="1"/>
    <col min="2" max="2" width="34" style="166" customWidth="1"/>
    <col min="3" max="3" width="14.85546875" style="566" customWidth="1"/>
    <col min="4" max="4" width="14" style="566" customWidth="1"/>
    <col min="5" max="5" width="16" style="176" customWidth="1"/>
    <col min="6" max="6" width="12.7109375" style="176" customWidth="1"/>
    <col min="7" max="7" width="16.140625" style="176" customWidth="1"/>
    <col min="8" max="8" width="14.140625" style="166" customWidth="1"/>
    <col min="9" max="9" width="13.42578125" style="166" customWidth="1"/>
    <col min="10" max="10" width="13.85546875" style="166" customWidth="1"/>
    <col min="11" max="11" width="13.42578125" style="166" customWidth="1"/>
    <col min="12" max="12" width="15" style="166" customWidth="1"/>
    <col min="13" max="13" width="11.140625" style="166" customWidth="1"/>
    <col min="14" max="14" width="11.28515625" style="166" customWidth="1"/>
    <col min="15" max="15" width="9.85546875" style="166" customWidth="1"/>
    <col min="16" max="16" width="11.28515625" style="166" bestFit="1" customWidth="1"/>
    <col min="17" max="17" width="12.140625" style="166" customWidth="1"/>
    <col min="18" max="18" width="12.85546875" style="166" customWidth="1"/>
    <col min="19" max="19" width="13.5703125" style="166" customWidth="1"/>
    <col min="20" max="21" width="9" style="166" customWidth="1"/>
    <col min="22" max="16384" width="9.140625" style="166"/>
  </cols>
  <sheetData>
    <row r="1" spans="2:23" x14ac:dyDescent="0.2">
      <c r="B1" s="1571" t="s">
        <v>580</v>
      </c>
      <c r="C1" s="1570"/>
      <c r="D1" s="1570"/>
      <c r="E1" s="1570"/>
      <c r="F1" s="1570"/>
      <c r="G1" s="1570"/>
      <c r="H1" s="1570"/>
      <c r="I1" s="1570"/>
      <c r="J1" s="1570"/>
      <c r="K1" s="1570"/>
      <c r="L1" s="1570"/>
      <c r="M1" s="1570"/>
      <c r="N1" s="1570"/>
      <c r="O1" s="1570"/>
      <c r="P1" s="1570"/>
      <c r="Q1" s="1570"/>
      <c r="R1" s="1570"/>
      <c r="S1" s="1570"/>
      <c r="T1" s="1570"/>
      <c r="U1" s="1588"/>
      <c r="W1" s="116" t="s">
        <v>467</v>
      </c>
    </row>
    <row r="2" spans="2:23" s="503" customFormat="1" ht="25.5" customHeight="1" thickBot="1" x14ac:dyDescent="0.25">
      <c r="B2" s="813" t="s">
        <v>428</v>
      </c>
      <c r="C2" s="814" t="s">
        <v>1658</v>
      </c>
      <c r="D2" s="814" t="s">
        <v>429</v>
      </c>
      <c r="E2" s="815" t="s">
        <v>83</v>
      </c>
      <c r="F2" s="816" t="s">
        <v>430</v>
      </c>
      <c r="G2" s="816" t="s">
        <v>81</v>
      </c>
      <c r="H2" s="817" t="s">
        <v>69</v>
      </c>
      <c r="I2" s="814" t="s">
        <v>581</v>
      </c>
      <c r="J2" s="814" t="s">
        <v>582</v>
      </c>
      <c r="K2" s="814" t="s">
        <v>583</v>
      </c>
      <c r="L2" s="814" t="s">
        <v>133</v>
      </c>
      <c r="M2" s="814" t="s">
        <v>586</v>
      </c>
      <c r="N2" s="814" t="s">
        <v>587</v>
      </c>
      <c r="O2" s="814" t="s">
        <v>588</v>
      </c>
      <c r="P2" s="814" t="s">
        <v>170</v>
      </c>
      <c r="Q2" s="814" t="s">
        <v>592</v>
      </c>
      <c r="R2" s="814" t="s">
        <v>593</v>
      </c>
      <c r="S2" s="821" t="s">
        <v>589</v>
      </c>
      <c r="T2" s="818"/>
      <c r="U2" s="819"/>
    </row>
    <row r="3" spans="2:23" x14ac:dyDescent="0.2">
      <c r="B3" s="472" t="s">
        <v>590</v>
      </c>
      <c r="C3" s="689"/>
      <c r="D3" s="690"/>
      <c r="E3" s="757">
        <f t="shared" ref="E3:G4" si="0">P3</f>
        <v>22408.649999999998</v>
      </c>
      <c r="F3" s="757">
        <f t="shared" si="0"/>
        <v>11333.249999999998</v>
      </c>
      <c r="G3" s="757">
        <f t="shared" si="0"/>
        <v>0</v>
      </c>
      <c r="H3" s="753">
        <f t="shared" ref="H3:H10" si="1">SUM(E3:G3)</f>
        <v>33741.899999999994</v>
      </c>
      <c r="I3" s="692">
        <f>'Plumbing Recap'!D9</f>
        <v>3319.8</v>
      </c>
      <c r="J3" s="693">
        <f>'Heating Recap'!D9</f>
        <v>1679</v>
      </c>
      <c r="K3" s="693">
        <f>H163</f>
        <v>0</v>
      </c>
      <c r="L3" s="693">
        <f>SUM(I3:K3)</f>
        <v>4998.8</v>
      </c>
      <c r="M3" s="694">
        <v>0.09</v>
      </c>
      <c r="N3" s="695">
        <f>M3*L3</f>
        <v>449.892</v>
      </c>
      <c r="O3" s="696">
        <v>75</v>
      </c>
      <c r="P3" s="696">
        <f>I3*M3*O3</f>
        <v>22408.649999999998</v>
      </c>
      <c r="Q3" s="696">
        <f>J3*M3*O3</f>
        <v>11333.249999999998</v>
      </c>
      <c r="R3" s="696">
        <f>K3*M3*O3</f>
        <v>0</v>
      </c>
      <c r="S3" s="691">
        <f>SUM(P3:R3)</f>
        <v>33741.899999999994</v>
      </c>
      <c r="T3" s="696"/>
      <c r="U3" s="697"/>
    </row>
    <row r="4" spans="2:23" ht="13.5" thickBot="1" x14ac:dyDescent="0.25">
      <c r="B4" s="472" t="s">
        <v>591</v>
      </c>
      <c r="C4" s="689"/>
      <c r="D4" s="690"/>
      <c r="E4" s="180">
        <f t="shared" si="0"/>
        <v>29878.2</v>
      </c>
      <c r="F4" s="180">
        <f t="shared" si="0"/>
        <v>15111</v>
      </c>
      <c r="G4" s="180">
        <f t="shared" si="0"/>
        <v>0</v>
      </c>
      <c r="H4" s="754">
        <f t="shared" si="1"/>
        <v>44989.2</v>
      </c>
      <c r="I4" s="692">
        <f>'Plumbing Recap'!D9</f>
        <v>3319.8</v>
      </c>
      <c r="J4" s="693">
        <f>'Heating Recap'!D9</f>
        <v>1679</v>
      </c>
      <c r="K4" s="693">
        <f>H163</f>
        <v>0</v>
      </c>
      <c r="L4" s="693">
        <f>SUM(I4:K4)</f>
        <v>4998.8</v>
      </c>
      <c r="M4" s="694">
        <v>0.12</v>
      </c>
      <c r="N4" s="695">
        <f>M4*L4</f>
        <v>599.85599999999999</v>
      </c>
      <c r="O4" s="696">
        <v>75</v>
      </c>
      <c r="P4" s="696">
        <f>I4*M4*O4</f>
        <v>29878.2</v>
      </c>
      <c r="Q4" s="696">
        <f>J4*M4*O4</f>
        <v>15111</v>
      </c>
      <c r="R4" s="696">
        <f>K4*M4*O4</f>
        <v>0</v>
      </c>
      <c r="S4" s="691">
        <f>SUM(P4:R4)</f>
        <v>44989.2</v>
      </c>
      <c r="T4" s="696"/>
      <c r="U4" s="697"/>
    </row>
    <row r="5" spans="2:23" ht="26.25" thickBot="1" x14ac:dyDescent="0.25">
      <c r="B5" s="698" t="s">
        <v>2420</v>
      </c>
      <c r="C5" s="690"/>
      <c r="D5" s="690"/>
      <c r="E5" s="699">
        <v>9200</v>
      </c>
      <c r="F5" s="699">
        <v>0</v>
      </c>
      <c r="G5" s="699">
        <v>0</v>
      </c>
      <c r="H5" s="755">
        <f t="shared" si="1"/>
        <v>9200</v>
      </c>
      <c r="I5" s="1370" t="str">
        <f>'Project Cost Recap'!$B$65</f>
        <v>#1</v>
      </c>
      <c r="J5" s="1371" t="str">
        <f>'Project Cost Recap'!$B$66</f>
        <v>#2</v>
      </c>
      <c r="K5" s="1371" t="str">
        <f>'Project Cost Recap'!$B$67</f>
        <v>#3</v>
      </c>
      <c r="L5" s="1372" t="str">
        <f>'Project Cost Recap'!$B$68</f>
        <v>#4</v>
      </c>
      <c r="M5" s="1372" t="str">
        <f>'Project Cost Recap'!$B$69</f>
        <v>#5</v>
      </c>
      <c r="N5" s="1372" t="str">
        <f>'Project Cost Recap'!$B$70</f>
        <v>#6</v>
      </c>
      <c r="O5" s="1372" t="str">
        <f>'Project Cost Recap'!$B$71</f>
        <v>#7</v>
      </c>
      <c r="P5" s="1372" t="str">
        <f>'Project Cost Recap'!$B$72</f>
        <v>#8</v>
      </c>
      <c r="Q5" s="546" t="s">
        <v>1726</v>
      </c>
      <c r="R5" s="1576" t="s">
        <v>1618</v>
      </c>
      <c r="S5" s="1577"/>
      <c r="T5" s="1577"/>
      <c r="U5" s="1578"/>
    </row>
    <row r="6" spans="2:23" x14ac:dyDescent="0.2">
      <c r="B6" s="698">
        <f>'GO-NO-GO CHECKLIST'!B47</f>
        <v>0</v>
      </c>
      <c r="C6" s="690"/>
      <c r="D6" s="690"/>
      <c r="E6" s="699">
        <v>0</v>
      </c>
      <c r="F6" s="699">
        <v>0</v>
      </c>
      <c r="G6" s="699">
        <v>0</v>
      </c>
      <c r="H6" s="755">
        <f t="shared" si="1"/>
        <v>0</v>
      </c>
      <c r="I6" s="180">
        <v>0</v>
      </c>
      <c r="J6" s="180">
        <v>0</v>
      </c>
      <c r="K6" s="180">
        <v>0</v>
      </c>
      <c r="L6" s="180">
        <v>0</v>
      </c>
      <c r="M6" s="180">
        <v>0</v>
      </c>
      <c r="N6" s="180">
        <v>0</v>
      </c>
      <c r="O6" s="180">
        <v>0</v>
      </c>
      <c r="P6" s="180">
        <v>0</v>
      </c>
      <c r="Q6" s="1373">
        <f t="shared" ref="Q6:Q11" si="2">E6+F6+G6+I6+J6+K6+L6+M6+N6+O6+P6</f>
        <v>0</v>
      </c>
      <c r="R6" s="696"/>
      <c r="S6" s="696"/>
      <c r="T6" s="696"/>
      <c r="U6" s="697"/>
    </row>
    <row r="7" spans="2:23" x14ac:dyDescent="0.2">
      <c r="B7" s="698">
        <f>'GO-NO-GO CHECKLIST'!B48</f>
        <v>0</v>
      </c>
      <c r="C7" s="690"/>
      <c r="D7" s="690"/>
      <c r="E7" s="699">
        <v>0</v>
      </c>
      <c r="F7" s="699">
        <v>0</v>
      </c>
      <c r="G7" s="699">
        <v>0</v>
      </c>
      <c r="H7" s="755">
        <f t="shared" si="1"/>
        <v>0</v>
      </c>
      <c r="I7" s="180">
        <v>0</v>
      </c>
      <c r="J7" s="180">
        <v>0</v>
      </c>
      <c r="K7" s="180">
        <v>0</v>
      </c>
      <c r="L7" s="180">
        <v>0</v>
      </c>
      <c r="M7" s="180">
        <v>0</v>
      </c>
      <c r="N7" s="180">
        <v>0</v>
      </c>
      <c r="O7" s="180">
        <v>0</v>
      </c>
      <c r="P7" s="180">
        <v>0</v>
      </c>
      <c r="Q7" s="1374">
        <f t="shared" si="2"/>
        <v>0</v>
      </c>
      <c r="R7" s="696"/>
      <c r="S7" s="696"/>
      <c r="T7" s="696"/>
      <c r="U7" s="697"/>
    </row>
    <row r="8" spans="2:23" x14ac:dyDescent="0.2">
      <c r="B8" s="698">
        <f>'GO-NO-GO CHECKLIST'!B49</f>
        <v>0</v>
      </c>
      <c r="C8" s="690"/>
      <c r="D8" s="690"/>
      <c r="E8" s="699">
        <v>0</v>
      </c>
      <c r="F8" s="699">
        <v>0</v>
      </c>
      <c r="G8" s="699">
        <v>0</v>
      </c>
      <c r="H8" s="755">
        <f t="shared" si="1"/>
        <v>0</v>
      </c>
      <c r="I8" s="180">
        <v>0</v>
      </c>
      <c r="J8" s="180">
        <v>0</v>
      </c>
      <c r="K8" s="180">
        <v>0</v>
      </c>
      <c r="L8" s="180">
        <v>0</v>
      </c>
      <c r="M8" s="180">
        <v>0</v>
      </c>
      <c r="N8" s="180">
        <v>0</v>
      </c>
      <c r="O8" s="180">
        <v>0</v>
      </c>
      <c r="P8" s="180">
        <v>0</v>
      </c>
      <c r="Q8" s="1374">
        <f t="shared" si="2"/>
        <v>0</v>
      </c>
      <c r="R8" s="696"/>
      <c r="S8" s="696"/>
      <c r="T8" s="696"/>
      <c r="U8" s="697"/>
    </row>
    <row r="9" spans="2:23" x14ac:dyDescent="0.2">
      <c r="B9" s="698">
        <f>'GO-NO-GO CHECKLIST'!B50</f>
        <v>0</v>
      </c>
      <c r="C9" s="690"/>
      <c r="D9" s="690"/>
      <c r="E9" s="699">
        <v>0</v>
      </c>
      <c r="F9" s="699">
        <v>0</v>
      </c>
      <c r="G9" s="699">
        <v>0</v>
      </c>
      <c r="H9" s="755">
        <f t="shared" si="1"/>
        <v>0</v>
      </c>
      <c r="I9" s="180">
        <v>0</v>
      </c>
      <c r="J9" s="180">
        <v>0</v>
      </c>
      <c r="K9" s="180">
        <v>0</v>
      </c>
      <c r="L9" s="180">
        <v>0</v>
      </c>
      <c r="M9" s="180">
        <v>0</v>
      </c>
      <c r="N9" s="180">
        <v>0</v>
      </c>
      <c r="O9" s="180">
        <v>0</v>
      </c>
      <c r="P9" s="180">
        <v>0</v>
      </c>
      <c r="Q9" s="1374">
        <f t="shared" si="2"/>
        <v>0</v>
      </c>
      <c r="R9" s="696"/>
      <c r="S9" s="696"/>
      <c r="T9" s="696"/>
      <c r="U9" s="697"/>
    </row>
    <row r="10" spans="2:23" x14ac:dyDescent="0.2">
      <c r="B10" s="698">
        <f>'GO-NO-GO CHECKLIST'!B51</f>
        <v>0</v>
      </c>
      <c r="C10" s="690"/>
      <c r="D10" s="690"/>
      <c r="E10" s="699">
        <v>0</v>
      </c>
      <c r="F10" s="699">
        <v>0</v>
      </c>
      <c r="G10" s="699">
        <v>0</v>
      </c>
      <c r="H10" s="755">
        <f t="shared" si="1"/>
        <v>0</v>
      </c>
      <c r="I10" s="180">
        <v>0</v>
      </c>
      <c r="J10" s="180">
        <v>0</v>
      </c>
      <c r="K10" s="180">
        <v>0</v>
      </c>
      <c r="L10" s="180">
        <v>0</v>
      </c>
      <c r="M10" s="180">
        <v>0</v>
      </c>
      <c r="N10" s="180">
        <v>0</v>
      </c>
      <c r="O10" s="180">
        <v>0</v>
      </c>
      <c r="P10" s="180">
        <v>0</v>
      </c>
      <c r="Q10" s="1374">
        <f t="shared" si="2"/>
        <v>0</v>
      </c>
      <c r="R10" s="696"/>
      <c r="S10" s="696"/>
      <c r="T10" s="696"/>
      <c r="U10" s="697"/>
    </row>
    <row r="11" spans="2:23" x14ac:dyDescent="0.2">
      <c r="B11" s="472" t="s">
        <v>438</v>
      </c>
      <c r="C11" s="1573"/>
      <c r="D11" s="1574"/>
      <c r="E11" s="182"/>
      <c r="F11" s="182"/>
      <c r="G11" s="182"/>
      <c r="H11" s="1383">
        <f>MIN(H3:H10)</f>
        <v>0</v>
      </c>
      <c r="I11" s="180">
        <v>0</v>
      </c>
      <c r="J11" s="180">
        <v>0</v>
      </c>
      <c r="K11" s="180">
        <v>0</v>
      </c>
      <c r="L11" s="180">
        <v>0</v>
      </c>
      <c r="M11" s="180">
        <v>0</v>
      </c>
      <c r="N11" s="180">
        <v>0</v>
      </c>
      <c r="O11" s="180">
        <v>0</v>
      </c>
      <c r="P11" s="180">
        <v>0</v>
      </c>
      <c r="Q11" s="1374">
        <f t="shared" si="2"/>
        <v>0</v>
      </c>
      <c r="R11" s="696"/>
      <c r="S11" s="696"/>
      <c r="T11" s="696"/>
      <c r="U11" s="697"/>
    </row>
    <row r="12" spans="2:23" x14ac:dyDescent="0.2">
      <c r="B12" s="702" t="str">
        <f>B5</f>
        <v>PINNACLE</v>
      </c>
      <c r="C12" s="689"/>
      <c r="D12" s="689"/>
      <c r="E12" s="531">
        <f>E5</f>
        <v>9200</v>
      </c>
      <c r="F12" s="535"/>
      <c r="G12" s="535">
        <v>0</v>
      </c>
      <c r="H12" s="1384">
        <f>G12+F12+E12</f>
        <v>9200</v>
      </c>
      <c r="I12" s="527"/>
      <c r="J12" s="527"/>
      <c r="K12" s="527"/>
      <c r="L12" s="527"/>
      <c r="M12" s="527"/>
      <c r="N12" s="527"/>
      <c r="O12" s="527"/>
      <c r="P12" s="527"/>
      <c r="Q12" s="1385"/>
      <c r="R12" s="696"/>
      <c r="S12" s="696"/>
      <c r="T12" s="696"/>
      <c r="U12" s="697"/>
    </row>
    <row r="13" spans="2:23" ht="12.75" customHeight="1" x14ac:dyDescent="0.2">
      <c r="B13" s="703" t="s">
        <v>646</v>
      </c>
      <c r="C13" s="690"/>
      <c r="D13" s="689"/>
      <c r="E13" s="1575" t="s">
        <v>563</v>
      </c>
      <c r="F13" s="1575"/>
      <c r="G13" s="1575"/>
      <c r="H13" s="1575"/>
      <c r="I13" s="1575"/>
      <c r="J13" s="1575"/>
      <c r="K13" s="1575"/>
      <c r="L13" s="1575"/>
      <c r="M13" s="1575"/>
      <c r="N13" s="1575"/>
      <c r="O13" s="1575"/>
      <c r="P13" s="1575"/>
      <c r="Q13" s="704"/>
      <c r="R13" s="704"/>
      <c r="S13" s="704"/>
      <c r="T13" s="704"/>
      <c r="U13" s="705"/>
    </row>
    <row r="14" spans="2:23" x14ac:dyDescent="0.2">
      <c r="B14" s="1571" t="s">
        <v>425</v>
      </c>
      <c r="C14" s="1570"/>
      <c r="D14" s="1570"/>
      <c r="E14" s="1570"/>
      <c r="F14" s="1570"/>
      <c r="G14" s="1570"/>
      <c r="H14" s="1570"/>
      <c r="I14" s="1570"/>
      <c r="J14" s="1570"/>
      <c r="K14" s="1570"/>
      <c r="L14" s="1570"/>
      <c r="M14" s="1570"/>
      <c r="N14" s="1570"/>
      <c r="O14" s="1570"/>
      <c r="P14" s="1570"/>
      <c r="Q14" s="1570"/>
      <c r="R14" s="1570"/>
      <c r="S14" s="1570"/>
      <c r="T14" s="1570"/>
      <c r="U14" s="1588"/>
    </row>
    <row r="15" spans="2:23" s="503" customFormat="1" ht="39.75" customHeight="1" thickBot="1" x14ac:dyDescent="0.25">
      <c r="B15" s="813" t="s">
        <v>428</v>
      </c>
      <c r="C15" s="814" t="s">
        <v>1658</v>
      </c>
      <c r="D15" s="814" t="s">
        <v>429</v>
      </c>
      <c r="E15" s="815" t="s">
        <v>83</v>
      </c>
      <c r="F15" s="816" t="s">
        <v>430</v>
      </c>
      <c r="G15" s="817" t="s">
        <v>1689</v>
      </c>
      <c r="H15" s="814" t="s">
        <v>569</v>
      </c>
      <c r="I15" s="814" t="s">
        <v>570</v>
      </c>
      <c r="J15" s="814" t="s">
        <v>571</v>
      </c>
      <c r="K15" s="814" t="s">
        <v>572</v>
      </c>
      <c r="L15" s="814" t="s">
        <v>573</v>
      </c>
      <c r="M15" s="814" t="s">
        <v>433</v>
      </c>
      <c r="N15" s="814" t="s">
        <v>1127</v>
      </c>
      <c r="O15" s="814" t="s">
        <v>434</v>
      </c>
      <c r="P15" s="814" t="s">
        <v>431</v>
      </c>
      <c r="Q15" s="814" t="s">
        <v>432</v>
      </c>
      <c r="R15" s="814" t="s">
        <v>435</v>
      </c>
      <c r="S15" s="821" t="s">
        <v>437</v>
      </c>
      <c r="T15" s="821" t="s">
        <v>436</v>
      </c>
      <c r="U15" s="819"/>
      <c r="V15" s="526"/>
    </row>
    <row r="16" spans="2:23" ht="13.5" thickBot="1" x14ac:dyDescent="0.25">
      <c r="B16" s="472" t="s">
        <v>566</v>
      </c>
      <c r="C16" s="689"/>
      <c r="D16" s="706"/>
      <c r="E16" s="751">
        <v>0</v>
      </c>
      <c r="F16" s="752">
        <v>0</v>
      </c>
      <c r="G16" s="753">
        <f>F16+E16</f>
        <v>0</v>
      </c>
      <c r="H16" s="707">
        <v>0</v>
      </c>
      <c r="I16" s="696">
        <v>4</v>
      </c>
      <c r="J16" s="691">
        <f>I16*H16</f>
        <v>0</v>
      </c>
      <c r="K16" s="708">
        <v>0.1</v>
      </c>
      <c r="L16" s="708">
        <f>K16*H16</f>
        <v>0</v>
      </c>
      <c r="M16" s="707">
        <v>0</v>
      </c>
      <c r="N16" s="709">
        <f>M16*1.25</f>
        <v>0</v>
      </c>
      <c r="O16" s="701">
        <v>0.3</v>
      </c>
      <c r="P16" s="695">
        <f>O16*N16</f>
        <v>0</v>
      </c>
      <c r="Q16" s="696">
        <v>30</v>
      </c>
      <c r="R16" s="710">
        <f>Q16*P16</f>
        <v>0</v>
      </c>
      <c r="S16" s="711">
        <v>2.5000000000000001E-2</v>
      </c>
      <c r="T16" s="711">
        <f>S16*P16</f>
        <v>0</v>
      </c>
      <c r="U16" s="712"/>
      <c r="V16" s="168"/>
    </row>
    <row r="17" spans="2:22" ht="26.25" thickBot="1" x14ac:dyDescent="0.25">
      <c r="B17" s="472"/>
      <c r="C17" s="689"/>
      <c r="D17" s="706"/>
      <c r="E17" s="691"/>
      <c r="F17" s="699"/>
      <c r="G17" s="754"/>
      <c r="H17" s="1370" t="str">
        <f>'Project Cost Recap'!$B$65</f>
        <v>#1</v>
      </c>
      <c r="I17" s="1371" t="str">
        <f>'Project Cost Recap'!$B$66</f>
        <v>#2</v>
      </c>
      <c r="J17" s="1371" t="str">
        <f>'Project Cost Recap'!$B$67</f>
        <v>#3</v>
      </c>
      <c r="K17" s="1372" t="str">
        <f>'Project Cost Recap'!$B$68</f>
        <v>#4</v>
      </c>
      <c r="L17" s="1372" t="str">
        <f>'Project Cost Recap'!$B$69</f>
        <v>#5</v>
      </c>
      <c r="M17" s="1372" t="str">
        <f>'Project Cost Recap'!$B$70</f>
        <v>#6</v>
      </c>
      <c r="N17" s="1372" t="str">
        <f>'Project Cost Recap'!$B$71</f>
        <v>#7</v>
      </c>
      <c r="O17" s="1372" t="str">
        <f>'Project Cost Recap'!$B$72</f>
        <v>#8</v>
      </c>
      <c r="P17" s="1378" t="s">
        <v>1726</v>
      </c>
      <c r="Q17" s="1576" t="s">
        <v>1618</v>
      </c>
      <c r="R17" s="1577"/>
      <c r="S17" s="1577"/>
      <c r="T17" s="1577"/>
      <c r="U17" s="1578"/>
      <c r="V17" s="168"/>
    </row>
    <row r="18" spans="2:22" x14ac:dyDescent="0.2">
      <c r="B18" s="698" t="s">
        <v>566</v>
      </c>
      <c r="C18" s="689"/>
      <c r="D18" s="706"/>
      <c r="E18" s="699">
        <v>0</v>
      </c>
      <c r="F18" s="699">
        <v>0</v>
      </c>
      <c r="G18" s="755">
        <f t="shared" ref="G18:G23" si="3">F18+E18</f>
        <v>0</v>
      </c>
      <c r="H18" s="180">
        <v>0</v>
      </c>
      <c r="I18" s="180">
        <v>0</v>
      </c>
      <c r="J18" s="180">
        <v>0</v>
      </c>
      <c r="K18" s="180">
        <v>0</v>
      </c>
      <c r="L18" s="180">
        <v>0</v>
      </c>
      <c r="M18" s="180">
        <v>0</v>
      </c>
      <c r="N18" s="180">
        <v>0</v>
      </c>
      <c r="O18" s="180">
        <v>0</v>
      </c>
      <c r="P18" s="1376">
        <f>E18+F18+H18+I18+J18+K18+L18+M18+N18+O18</f>
        <v>0</v>
      </c>
      <c r="Q18" s="713"/>
      <c r="R18" s="713"/>
      <c r="S18" s="713"/>
      <c r="T18" s="713"/>
      <c r="U18" s="714"/>
    </row>
    <row r="19" spans="2:22" x14ac:dyDescent="0.2">
      <c r="B19" s="698" t="str">
        <f>'GO-NO-GO CHECKLIST'!B80</f>
        <v>PREFERRED WATER SOLUTIONS</v>
      </c>
      <c r="C19" s="715">
        <f>'GO-NO-GO CHECKLIST'!J80</f>
        <v>0</v>
      </c>
      <c r="D19" s="715">
        <f>'GO-NO-GO CHECKLIST'!K80</f>
        <v>0</v>
      </c>
      <c r="E19" s="699">
        <v>0</v>
      </c>
      <c r="F19" s="699">
        <v>0</v>
      </c>
      <c r="G19" s="755">
        <f t="shared" si="3"/>
        <v>0</v>
      </c>
      <c r="H19" s="180">
        <v>0</v>
      </c>
      <c r="I19" s="180">
        <v>0</v>
      </c>
      <c r="J19" s="180">
        <v>0</v>
      </c>
      <c r="K19" s="180">
        <v>0</v>
      </c>
      <c r="L19" s="180">
        <v>0</v>
      </c>
      <c r="M19" s="180">
        <v>0</v>
      </c>
      <c r="N19" s="180">
        <v>0</v>
      </c>
      <c r="O19" s="180">
        <v>0</v>
      </c>
      <c r="P19" s="1377">
        <f t="shared" ref="P19:P24" si="4">E19+F19+H19+I19+J19+K19+L19+M19+N19+O19</f>
        <v>0</v>
      </c>
      <c r="Q19" s="713"/>
      <c r="R19" s="713"/>
      <c r="S19" s="713"/>
      <c r="T19" s="713"/>
      <c r="U19" s="714"/>
    </row>
    <row r="20" spans="2:22" x14ac:dyDescent="0.2">
      <c r="B20" s="698">
        <f>'GO-NO-GO CHECKLIST'!B81</f>
        <v>0</v>
      </c>
      <c r="C20" s="715">
        <f>'GO-NO-GO CHECKLIST'!J81</f>
        <v>0</v>
      </c>
      <c r="D20" s="715">
        <f>'GO-NO-GO CHECKLIST'!K81</f>
        <v>0</v>
      </c>
      <c r="E20" s="699">
        <v>0</v>
      </c>
      <c r="F20" s="699">
        <v>0</v>
      </c>
      <c r="G20" s="755">
        <f t="shared" si="3"/>
        <v>0</v>
      </c>
      <c r="H20" s="180">
        <v>0</v>
      </c>
      <c r="I20" s="180">
        <v>0</v>
      </c>
      <c r="J20" s="180">
        <v>0</v>
      </c>
      <c r="K20" s="180">
        <v>0</v>
      </c>
      <c r="L20" s="180">
        <v>0</v>
      </c>
      <c r="M20" s="180">
        <v>0</v>
      </c>
      <c r="N20" s="180">
        <v>0</v>
      </c>
      <c r="O20" s="180">
        <v>0</v>
      </c>
      <c r="P20" s="1377">
        <f t="shared" si="4"/>
        <v>0</v>
      </c>
      <c r="Q20" s="713"/>
      <c r="R20" s="713"/>
      <c r="S20" s="713"/>
      <c r="T20" s="713"/>
      <c r="U20" s="714"/>
    </row>
    <row r="21" spans="2:22" x14ac:dyDescent="0.2">
      <c r="B21" s="698">
        <f>'GO-NO-GO CHECKLIST'!B82</f>
        <v>0</v>
      </c>
      <c r="C21" s="715">
        <f>'GO-NO-GO CHECKLIST'!J82</f>
        <v>0</v>
      </c>
      <c r="D21" s="715">
        <f>'GO-NO-GO CHECKLIST'!K82</f>
        <v>0</v>
      </c>
      <c r="E21" s="699">
        <v>0</v>
      </c>
      <c r="F21" s="699">
        <v>0</v>
      </c>
      <c r="G21" s="755">
        <f t="shared" si="3"/>
        <v>0</v>
      </c>
      <c r="H21" s="180">
        <v>0</v>
      </c>
      <c r="I21" s="180">
        <v>0</v>
      </c>
      <c r="J21" s="180">
        <v>0</v>
      </c>
      <c r="K21" s="180">
        <v>0</v>
      </c>
      <c r="L21" s="180">
        <v>0</v>
      </c>
      <c r="M21" s="180">
        <v>0</v>
      </c>
      <c r="N21" s="180">
        <v>0</v>
      </c>
      <c r="O21" s="180">
        <v>0</v>
      </c>
      <c r="P21" s="1377">
        <f t="shared" si="4"/>
        <v>0</v>
      </c>
      <c r="Q21" s="713"/>
      <c r="R21" s="713"/>
      <c r="S21" s="713"/>
      <c r="T21" s="713"/>
      <c r="U21" s="714"/>
    </row>
    <row r="22" spans="2:22" x14ac:dyDescent="0.2">
      <c r="B22" s="698">
        <f>'GO-NO-GO CHECKLIST'!B83</f>
        <v>0</v>
      </c>
      <c r="C22" s="715">
        <f>'GO-NO-GO CHECKLIST'!J83</f>
        <v>0</v>
      </c>
      <c r="D22" s="715">
        <f>'GO-NO-GO CHECKLIST'!K83</f>
        <v>0</v>
      </c>
      <c r="E22" s="699">
        <v>0</v>
      </c>
      <c r="F22" s="699">
        <v>0</v>
      </c>
      <c r="G22" s="755">
        <f t="shared" si="3"/>
        <v>0</v>
      </c>
      <c r="H22" s="180">
        <v>0</v>
      </c>
      <c r="I22" s="180">
        <v>0</v>
      </c>
      <c r="J22" s="180">
        <v>0</v>
      </c>
      <c r="K22" s="180">
        <v>0</v>
      </c>
      <c r="L22" s="180">
        <v>0</v>
      </c>
      <c r="M22" s="180">
        <v>0</v>
      </c>
      <c r="N22" s="180">
        <v>0</v>
      </c>
      <c r="O22" s="180">
        <v>0</v>
      </c>
      <c r="P22" s="1377">
        <f t="shared" si="4"/>
        <v>0</v>
      </c>
      <c r="Q22" s="713"/>
      <c r="R22" s="713"/>
      <c r="S22" s="713"/>
      <c r="T22" s="713"/>
      <c r="U22" s="714"/>
    </row>
    <row r="23" spans="2:22" x14ac:dyDescent="0.2">
      <c r="B23" s="698">
        <f>'GO-NO-GO CHECKLIST'!B84</f>
        <v>0</v>
      </c>
      <c r="C23" s="715">
        <f>'GO-NO-GO CHECKLIST'!J84</f>
        <v>0</v>
      </c>
      <c r="D23" s="715">
        <f>'GO-NO-GO CHECKLIST'!K84</f>
        <v>0</v>
      </c>
      <c r="E23" s="699">
        <v>0</v>
      </c>
      <c r="F23" s="699">
        <v>0</v>
      </c>
      <c r="G23" s="755">
        <f t="shared" si="3"/>
        <v>0</v>
      </c>
      <c r="H23" s="180">
        <v>0</v>
      </c>
      <c r="I23" s="180">
        <v>0</v>
      </c>
      <c r="J23" s="180">
        <v>0</v>
      </c>
      <c r="K23" s="180">
        <v>0</v>
      </c>
      <c r="L23" s="180">
        <v>0</v>
      </c>
      <c r="M23" s="180">
        <v>0</v>
      </c>
      <c r="N23" s="180">
        <v>0</v>
      </c>
      <c r="O23" s="180">
        <v>0</v>
      </c>
      <c r="P23" s="1377">
        <f t="shared" si="4"/>
        <v>0</v>
      </c>
      <c r="Q23" s="713"/>
      <c r="R23" s="713"/>
      <c r="S23" s="713"/>
      <c r="T23" s="713"/>
      <c r="U23" s="714"/>
    </row>
    <row r="24" spans="2:22" x14ac:dyDescent="0.2">
      <c r="B24" s="472" t="s">
        <v>438</v>
      </c>
      <c r="C24" s="689"/>
      <c r="D24" s="689"/>
      <c r="E24" s="184"/>
      <c r="F24" s="184"/>
      <c r="G24" s="756">
        <f>MIN(G18:G23)</f>
        <v>0</v>
      </c>
      <c r="H24" s="1379">
        <v>0</v>
      </c>
      <c r="I24" s="1380">
        <v>0</v>
      </c>
      <c r="J24" s="1380">
        <v>0</v>
      </c>
      <c r="K24" s="1380">
        <v>0</v>
      </c>
      <c r="L24" s="1380">
        <v>0</v>
      </c>
      <c r="M24" s="1380">
        <v>0</v>
      </c>
      <c r="N24" s="1380">
        <v>0</v>
      </c>
      <c r="O24" s="1380">
        <v>0</v>
      </c>
      <c r="P24" s="1381">
        <f t="shared" si="4"/>
        <v>0</v>
      </c>
      <c r="Q24" s="803"/>
      <c r="R24" s="803"/>
      <c r="S24" s="803"/>
      <c r="T24" s="803"/>
      <c r="U24" s="800"/>
      <c r="V24" s="168"/>
    </row>
    <row r="25" spans="2:22" ht="16.5" customHeight="1" x14ac:dyDescent="0.2">
      <c r="B25" s="702"/>
      <c r="C25" s="1573"/>
      <c r="D25" s="1573"/>
      <c r="E25" s="531"/>
      <c r="F25" s="535"/>
      <c r="G25" s="528">
        <f>F25+E25</f>
        <v>0</v>
      </c>
      <c r="H25" s="806"/>
      <c r="I25" s="806"/>
      <c r="J25" s="806"/>
      <c r="K25" s="806"/>
      <c r="L25" s="806"/>
      <c r="M25" s="806"/>
      <c r="N25" s="806"/>
      <c r="O25" s="806"/>
      <c r="P25" s="1375"/>
      <c r="Q25" s="695"/>
      <c r="R25" s="695"/>
      <c r="S25" s="695"/>
      <c r="T25" s="695"/>
      <c r="U25" s="716"/>
    </row>
    <row r="26" spans="2:22" ht="12.75" customHeight="1" x14ac:dyDescent="0.2">
      <c r="B26" s="703" t="s">
        <v>646</v>
      </c>
      <c r="C26" s="689"/>
      <c r="D26" s="689"/>
      <c r="E26" s="1575" t="s">
        <v>563</v>
      </c>
      <c r="F26" s="1575"/>
      <c r="G26" s="1575"/>
      <c r="H26" s="1575"/>
      <c r="I26" s="1575"/>
      <c r="J26" s="1575"/>
      <c r="K26" s="1575"/>
      <c r="L26" s="1575"/>
      <c r="M26" s="1575"/>
      <c r="N26" s="1575"/>
      <c r="O26" s="1575"/>
      <c r="P26" s="1575"/>
      <c r="Q26" s="695"/>
      <c r="R26" s="695"/>
      <c r="S26" s="695"/>
      <c r="T26" s="805"/>
      <c r="U26" s="716"/>
    </row>
    <row r="27" spans="2:22" ht="18" customHeight="1" x14ac:dyDescent="0.2">
      <c r="B27" s="1582" t="s">
        <v>422</v>
      </c>
      <c r="C27" s="1570"/>
      <c r="D27" s="1570"/>
      <c r="E27" s="1570"/>
      <c r="F27" s="1570"/>
      <c r="G27" s="1386"/>
      <c r="H27" s="1386"/>
      <c r="I27" s="1386"/>
      <c r="J27" s="1386"/>
      <c r="K27" s="1386"/>
      <c r="L27" s="1386"/>
      <c r="M27" s="1386"/>
      <c r="N27" s="1386"/>
      <c r="O27" s="1386"/>
      <c r="P27" s="1386"/>
      <c r="Q27" s="1386"/>
      <c r="R27" s="1386"/>
      <c r="S27" s="1386"/>
      <c r="T27" s="1386"/>
      <c r="U27" s="1388"/>
    </row>
    <row r="28" spans="2:22" s="503" customFormat="1" ht="40.5" customHeight="1" thickBot="1" x14ac:dyDescent="0.25">
      <c r="B28" s="813" t="s">
        <v>428</v>
      </c>
      <c r="C28" s="814" t="s">
        <v>1658</v>
      </c>
      <c r="D28" s="814" t="s">
        <v>429</v>
      </c>
      <c r="E28" s="820" t="s">
        <v>656</v>
      </c>
      <c r="F28" s="820" t="s">
        <v>651</v>
      </c>
      <c r="G28" s="820" t="s">
        <v>647</v>
      </c>
      <c r="H28" s="814" t="s">
        <v>650</v>
      </c>
      <c r="I28" s="814" t="s">
        <v>652</v>
      </c>
      <c r="J28" s="814" t="s">
        <v>649</v>
      </c>
      <c r="K28" s="814" t="s">
        <v>1519</v>
      </c>
      <c r="L28" s="814" t="s">
        <v>1515</v>
      </c>
      <c r="M28" s="814" t="s">
        <v>1514</v>
      </c>
      <c r="N28" s="814" t="s">
        <v>1516</v>
      </c>
      <c r="O28" s="814" t="s">
        <v>1517</v>
      </c>
      <c r="P28" s="814" t="s">
        <v>1518</v>
      </c>
      <c r="Q28" s="814" t="s">
        <v>1521</v>
      </c>
      <c r="R28" s="814" t="s">
        <v>1520</v>
      </c>
      <c r="S28" s="814" t="s">
        <v>648</v>
      </c>
      <c r="T28" s="822" t="s">
        <v>589</v>
      </c>
      <c r="U28" s="823"/>
    </row>
    <row r="29" spans="2:22" x14ac:dyDescent="0.2">
      <c r="B29" s="717" t="s">
        <v>566</v>
      </c>
      <c r="C29" s="689"/>
      <c r="D29" s="690"/>
      <c r="E29" s="718">
        <v>0</v>
      </c>
      <c r="F29" s="691">
        <v>100</v>
      </c>
      <c r="G29" s="691">
        <f>F29*E29</f>
        <v>0</v>
      </c>
      <c r="H29" s="718">
        <f>E29</f>
        <v>0</v>
      </c>
      <c r="I29" s="696">
        <v>100</v>
      </c>
      <c r="J29" s="710">
        <f>I29*H29</f>
        <v>0</v>
      </c>
      <c r="K29" s="719">
        <v>0</v>
      </c>
      <c r="L29" s="708">
        <f>(K29*2)+(K29/2*2)</f>
        <v>0</v>
      </c>
      <c r="M29" s="696">
        <v>3.75</v>
      </c>
      <c r="N29" s="691">
        <f>M29*L29</f>
        <v>0</v>
      </c>
      <c r="O29" s="708">
        <f>K29*2</f>
        <v>0</v>
      </c>
      <c r="P29" s="696">
        <v>4.25</v>
      </c>
      <c r="Q29" s="710">
        <f>P29*O29</f>
        <v>0</v>
      </c>
      <c r="R29" s="710">
        <f>Q29+N29</f>
        <v>0</v>
      </c>
      <c r="S29" s="696">
        <v>0</v>
      </c>
      <c r="T29" s="691">
        <f>S29+R29+J29+G29</f>
        <v>0</v>
      </c>
      <c r="U29" s="826"/>
    </row>
    <row r="30" spans="2:22" x14ac:dyDescent="0.2">
      <c r="B30" s="698" t="s">
        <v>1602</v>
      </c>
      <c r="C30" s="690"/>
      <c r="D30" s="690"/>
      <c r="E30" s="699"/>
      <c r="F30" s="691"/>
      <c r="G30" s="180">
        <v>1500</v>
      </c>
      <c r="H30" s="707"/>
      <c r="I30" s="693"/>
      <c r="J30" s="721"/>
      <c r="K30" s="721"/>
      <c r="L30" s="696"/>
      <c r="M30" s="696"/>
      <c r="N30" s="721"/>
      <c r="O30" s="696"/>
      <c r="P30" s="721"/>
      <c r="Q30" s="721"/>
      <c r="R30" s="721"/>
      <c r="S30" s="721"/>
      <c r="T30" s="691">
        <f>S30+R30+J30+G30</f>
        <v>1500</v>
      </c>
      <c r="U30" s="720"/>
    </row>
    <row r="31" spans="2:22" x14ac:dyDescent="0.2">
      <c r="B31" s="698"/>
      <c r="C31" s="690"/>
      <c r="D31" s="690"/>
      <c r="E31" s="699"/>
      <c r="F31" s="691"/>
      <c r="G31" s="180">
        <v>0</v>
      </c>
      <c r="H31" s="707"/>
      <c r="I31" s="693"/>
      <c r="J31" s="721">
        <v>0</v>
      </c>
      <c r="K31" s="721"/>
      <c r="L31" s="696"/>
      <c r="M31" s="696"/>
      <c r="N31" s="721">
        <v>0</v>
      </c>
      <c r="O31" s="696"/>
      <c r="P31" s="721"/>
      <c r="Q31" s="721">
        <v>0</v>
      </c>
      <c r="R31" s="721"/>
      <c r="S31" s="721">
        <v>0</v>
      </c>
      <c r="T31" s="696"/>
      <c r="U31" s="697"/>
    </row>
    <row r="32" spans="2:22" x14ac:dyDescent="0.2">
      <c r="B32" s="722"/>
      <c r="C32" s="690"/>
      <c r="D32" s="690"/>
      <c r="E32" s="699"/>
      <c r="F32" s="691"/>
      <c r="G32" s="180"/>
      <c r="H32" s="707"/>
      <c r="I32" s="693"/>
      <c r="J32" s="721"/>
      <c r="K32" s="721"/>
      <c r="L32" s="696"/>
      <c r="M32" s="696"/>
      <c r="N32" s="721"/>
      <c r="O32" s="696"/>
      <c r="P32" s="721"/>
      <c r="Q32" s="721"/>
      <c r="R32" s="721"/>
      <c r="S32" s="721"/>
      <c r="T32" s="696"/>
      <c r="U32" s="697"/>
    </row>
    <row r="33" spans="2:21" x14ac:dyDescent="0.2">
      <c r="B33" s="722"/>
      <c r="C33" s="690"/>
      <c r="D33" s="690"/>
      <c r="E33" s="699"/>
      <c r="F33" s="691"/>
      <c r="G33" s="180"/>
      <c r="H33" s="707"/>
      <c r="I33" s="693"/>
      <c r="J33" s="721"/>
      <c r="K33" s="721"/>
      <c r="L33" s="696"/>
      <c r="M33" s="696"/>
      <c r="N33" s="721"/>
      <c r="O33" s="696"/>
      <c r="P33" s="721"/>
      <c r="Q33" s="721"/>
      <c r="R33" s="721"/>
      <c r="S33" s="721"/>
      <c r="T33" s="696"/>
      <c r="U33" s="697"/>
    </row>
    <row r="34" spans="2:21" x14ac:dyDescent="0.2">
      <c r="B34" s="722"/>
      <c r="C34" s="690"/>
      <c r="D34" s="690"/>
      <c r="E34" s="699"/>
      <c r="F34" s="691"/>
      <c r="G34" s="180"/>
      <c r="H34" s="707"/>
      <c r="I34" s="693"/>
      <c r="J34" s="721"/>
      <c r="K34" s="721"/>
      <c r="L34" s="696"/>
      <c r="M34" s="696"/>
      <c r="N34" s="721"/>
      <c r="O34" s="696"/>
      <c r="P34" s="721"/>
      <c r="Q34" s="721"/>
      <c r="R34" s="721"/>
      <c r="S34" s="721"/>
      <c r="T34" s="696"/>
      <c r="U34" s="697"/>
    </row>
    <row r="35" spans="2:21" x14ac:dyDescent="0.2">
      <c r="B35" s="722"/>
      <c r="C35" s="690"/>
      <c r="D35" s="690"/>
      <c r="E35" s="699"/>
      <c r="F35" s="691"/>
      <c r="G35" s="180"/>
      <c r="H35" s="707"/>
      <c r="I35" s="693"/>
      <c r="J35" s="721"/>
      <c r="K35" s="721"/>
      <c r="L35" s="696"/>
      <c r="M35" s="696"/>
      <c r="N35" s="721"/>
      <c r="O35" s="696"/>
      <c r="P35" s="721"/>
      <c r="Q35" s="721"/>
      <c r="R35" s="721"/>
      <c r="S35" s="721"/>
      <c r="T35" s="696"/>
      <c r="U35" s="697"/>
    </row>
    <row r="36" spans="2:21" x14ac:dyDescent="0.2">
      <c r="B36" s="722"/>
      <c r="C36" s="690"/>
      <c r="D36" s="690"/>
      <c r="E36" s="699"/>
      <c r="F36" s="691"/>
      <c r="G36" s="180"/>
      <c r="H36" s="707"/>
      <c r="I36" s="693"/>
      <c r="J36" s="721"/>
      <c r="K36" s="721"/>
      <c r="L36" s="696"/>
      <c r="M36" s="696"/>
      <c r="N36" s="721"/>
      <c r="O36" s="696"/>
      <c r="P36" s="721"/>
      <c r="Q36" s="721"/>
      <c r="R36" s="721"/>
      <c r="S36" s="721"/>
      <c r="T36" s="696"/>
      <c r="U36" s="697"/>
    </row>
    <row r="37" spans="2:21" x14ac:dyDescent="0.2">
      <c r="B37" s="472" t="s">
        <v>438</v>
      </c>
      <c r="C37" s="1573"/>
      <c r="D37" s="1574"/>
      <c r="E37" s="180"/>
      <c r="F37" s="181"/>
      <c r="G37" s="791"/>
      <c r="H37" s="179"/>
      <c r="I37" s="179"/>
      <c r="J37" s="792">
        <f>MIN(J29:J36)</f>
        <v>0</v>
      </c>
      <c r="K37" s="179"/>
      <c r="L37" s="179"/>
      <c r="M37" s="179"/>
      <c r="N37" s="792">
        <f>MIN(N29:N36)</f>
        <v>0</v>
      </c>
      <c r="O37" s="179"/>
      <c r="P37" s="179"/>
      <c r="Q37" s="792">
        <f>MIN(Q29:Q36)</f>
        <v>0</v>
      </c>
      <c r="R37" s="179"/>
      <c r="S37" s="810">
        <f>MIN(S29:S36)</f>
        <v>0</v>
      </c>
      <c r="T37" s="178"/>
      <c r="U37" s="827"/>
    </row>
    <row r="38" spans="2:21" ht="12.75" customHeight="1" x14ac:dyDescent="0.2">
      <c r="B38" s="702"/>
      <c r="C38" s="689"/>
      <c r="D38" s="690"/>
      <c r="E38" s="414"/>
      <c r="F38" s="415"/>
      <c r="G38" s="287"/>
      <c r="H38" s="178"/>
      <c r="I38" s="178"/>
      <c r="J38" s="177"/>
      <c r="K38" s="793"/>
      <c r="L38" s="178"/>
      <c r="M38" s="794"/>
      <c r="N38" s="177"/>
      <c r="O38" s="793"/>
      <c r="P38" s="794"/>
      <c r="Q38" s="824"/>
      <c r="R38" s="795"/>
      <c r="S38" s="824"/>
      <c r="T38" s="825">
        <f>S38+Q38+N38+J38+G38</f>
        <v>0</v>
      </c>
      <c r="U38" s="825">
        <f>T38+R38+O38+K38+H38</f>
        <v>0</v>
      </c>
    </row>
    <row r="39" spans="2:21" ht="14.25" customHeight="1" x14ac:dyDescent="0.2">
      <c r="B39" s="703" t="s">
        <v>646</v>
      </c>
      <c r="C39" s="690"/>
      <c r="D39" s="689"/>
      <c r="E39" s="180"/>
      <c r="F39" s="181"/>
      <c r="G39" s="739"/>
      <c r="H39" s="501"/>
      <c r="I39" s="501"/>
      <c r="J39" s="501"/>
      <c r="K39" s="501"/>
      <c r="L39" s="501"/>
      <c r="M39" s="723"/>
      <c r="N39" s="723"/>
      <c r="O39" s="723"/>
      <c r="P39" s="723"/>
      <c r="Q39" s="1597" t="s">
        <v>563</v>
      </c>
      <c r="R39" s="1597"/>
      <c r="S39" s="1597"/>
      <c r="T39" s="1597"/>
      <c r="U39" s="828"/>
    </row>
    <row r="40" spans="2:21" ht="25.5" customHeight="1" x14ac:dyDescent="0.2">
      <c r="B40" s="724"/>
      <c r="C40" s="689"/>
      <c r="D40" s="689"/>
      <c r="E40" s="725"/>
      <c r="F40" s="725"/>
      <c r="G40" s="725"/>
      <c r="H40" s="689"/>
      <c r="I40" s="689"/>
      <c r="J40" s="689"/>
      <c r="K40" s="689"/>
      <c r="L40" s="689"/>
      <c r="M40" s="689"/>
      <c r="N40" s="689"/>
      <c r="O40" s="689"/>
      <c r="P40" s="689"/>
      <c r="Q40" s="799"/>
      <c r="R40" s="799"/>
      <c r="S40" s="799"/>
      <c r="T40" s="799"/>
      <c r="U40" s="726"/>
    </row>
    <row r="41" spans="2:21" ht="13.5" thickBot="1" x14ac:dyDescent="0.25">
      <c r="B41" s="1571" t="s">
        <v>420</v>
      </c>
      <c r="C41" s="1570"/>
      <c r="D41" s="1570"/>
      <c r="E41" s="1570"/>
      <c r="F41" s="1570"/>
      <c r="G41" s="1572" t="s">
        <v>1618</v>
      </c>
      <c r="H41" s="1572"/>
      <c r="I41" s="1572"/>
      <c r="J41" s="1572"/>
      <c r="K41" s="1572"/>
      <c r="L41" s="1572"/>
      <c r="M41" s="1572"/>
      <c r="N41" s="1572"/>
      <c r="O41" s="1572"/>
      <c r="P41" s="1386"/>
      <c r="Q41" s="1386"/>
      <c r="R41" s="1386"/>
      <c r="S41" s="1386"/>
      <c r="T41" s="1386"/>
      <c r="U41" s="1387"/>
    </row>
    <row r="42" spans="2:21" s="503" customFormat="1" ht="25.5" customHeight="1" thickBot="1" x14ac:dyDescent="0.25">
      <c r="B42" s="813" t="s">
        <v>428</v>
      </c>
      <c r="C42" s="814" t="s">
        <v>1658</v>
      </c>
      <c r="D42" s="814" t="s">
        <v>429</v>
      </c>
      <c r="E42" s="829" t="s">
        <v>1617</v>
      </c>
      <c r="F42" s="830" t="s">
        <v>69</v>
      </c>
      <c r="G42" s="1370" t="str">
        <f>'Project Cost Recap'!$B$65</f>
        <v>#1</v>
      </c>
      <c r="H42" s="1371" t="str">
        <f>'Project Cost Recap'!$B$66</f>
        <v>#2</v>
      </c>
      <c r="I42" s="1371" t="str">
        <f>'Project Cost Recap'!$B$67</f>
        <v>#3</v>
      </c>
      <c r="J42" s="1372" t="str">
        <f>'Project Cost Recap'!$B$68</f>
        <v>#4</v>
      </c>
      <c r="K42" s="1372" t="str">
        <f>'Project Cost Recap'!$B$69</f>
        <v>#5</v>
      </c>
      <c r="L42" s="1372" t="str">
        <f>'Project Cost Recap'!$B$70</f>
        <v>#6</v>
      </c>
      <c r="M42" s="1372" t="str">
        <f>'Project Cost Recap'!$B$71</f>
        <v>#7</v>
      </c>
      <c r="N42" s="1372" t="str">
        <f>'Project Cost Recap'!$B$72</f>
        <v>#8</v>
      </c>
      <c r="O42" s="1378" t="s">
        <v>1726</v>
      </c>
      <c r="P42" s="1579"/>
      <c r="Q42" s="1580"/>
      <c r="R42" s="1580"/>
      <c r="S42" s="1580"/>
      <c r="T42" s="1580"/>
      <c r="U42" s="1581"/>
    </row>
    <row r="43" spans="2:21" x14ac:dyDescent="0.2">
      <c r="B43" s="722" t="s">
        <v>566</v>
      </c>
      <c r="C43" s="690"/>
      <c r="D43" s="690"/>
      <c r="E43" s="752">
        <v>0</v>
      </c>
      <c r="F43" s="758">
        <f>E43</f>
        <v>0</v>
      </c>
      <c r="G43" s="180">
        <v>0</v>
      </c>
      <c r="H43" s="180">
        <v>0</v>
      </c>
      <c r="I43" s="180">
        <v>0</v>
      </c>
      <c r="J43" s="180">
        <v>0</v>
      </c>
      <c r="K43" s="180">
        <v>0</v>
      </c>
      <c r="L43" s="180">
        <v>0</v>
      </c>
      <c r="M43" s="180">
        <v>0</v>
      </c>
      <c r="N43" s="180">
        <v>0</v>
      </c>
      <c r="O43" s="1382">
        <f>SUM(F43:N43)</f>
        <v>0</v>
      </c>
      <c r="P43" s="713"/>
      <c r="Q43" s="713"/>
      <c r="R43" s="713"/>
      <c r="S43" s="713"/>
      <c r="T43" s="713"/>
      <c r="U43" s="714"/>
    </row>
    <row r="44" spans="2:21" x14ac:dyDescent="0.2">
      <c r="B44" s="727">
        <f>'GO-NO-GO CHECKLIST'!B87:I87</f>
        <v>0</v>
      </c>
      <c r="C44" s="690"/>
      <c r="D44" s="690"/>
      <c r="E44" s="699">
        <v>0</v>
      </c>
      <c r="F44" s="755">
        <f t="shared" ref="F44:F49" si="5">E44</f>
        <v>0</v>
      </c>
      <c r="G44" s="180">
        <v>0</v>
      </c>
      <c r="H44" s="180">
        <v>0</v>
      </c>
      <c r="I44" s="180">
        <v>0</v>
      </c>
      <c r="J44" s="180">
        <v>0</v>
      </c>
      <c r="K44" s="180">
        <v>0</v>
      </c>
      <c r="L44" s="180">
        <v>0</v>
      </c>
      <c r="M44" s="180">
        <v>0</v>
      </c>
      <c r="N44" s="180">
        <v>0</v>
      </c>
      <c r="O44" s="833">
        <f t="shared" ref="O44:O51" si="6">SUM(F44:N44)</f>
        <v>0</v>
      </c>
      <c r="P44" s="713"/>
      <c r="Q44" s="713"/>
      <c r="R44" s="713"/>
      <c r="S44" s="713"/>
      <c r="T44" s="713"/>
      <c r="U44" s="714"/>
    </row>
    <row r="45" spans="2:21" x14ac:dyDescent="0.2">
      <c r="B45" s="727">
        <f>'GO-NO-GO CHECKLIST'!B88:I88</f>
        <v>0</v>
      </c>
      <c r="C45" s="690"/>
      <c r="D45" s="690"/>
      <c r="E45" s="699">
        <v>0</v>
      </c>
      <c r="F45" s="755">
        <f t="shared" si="5"/>
        <v>0</v>
      </c>
      <c r="G45" s="180">
        <v>0</v>
      </c>
      <c r="H45" s="180">
        <v>0</v>
      </c>
      <c r="I45" s="180">
        <v>0</v>
      </c>
      <c r="J45" s="180">
        <v>0</v>
      </c>
      <c r="K45" s="180">
        <v>0</v>
      </c>
      <c r="L45" s="180">
        <v>0</v>
      </c>
      <c r="M45" s="180">
        <v>0</v>
      </c>
      <c r="N45" s="180">
        <v>0</v>
      </c>
      <c r="O45" s="833">
        <f t="shared" si="6"/>
        <v>0</v>
      </c>
      <c r="P45" s="713"/>
      <c r="Q45" s="713"/>
      <c r="R45" s="713"/>
      <c r="S45" s="713"/>
      <c r="T45" s="713"/>
      <c r="U45" s="714"/>
    </row>
    <row r="46" spans="2:21" x14ac:dyDescent="0.2">
      <c r="B46" s="727">
        <f>'GO-NO-GO CHECKLIST'!B89:I89</f>
        <v>0</v>
      </c>
      <c r="C46" s="690"/>
      <c r="D46" s="690"/>
      <c r="E46" s="699">
        <v>0</v>
      </c>
      <c r="F46" s="755">
        <f t="shared" si="5"/>
        <v>0</v>
      </c>
      <c r="G46" s="180">
        <v>0</v>
      </c>
      <c r="H46" s="180">
        <v>0</v>
      </c>
      <c r="I46" s="180">
        <v>0</v>
      </c>
      <c r="J46" s="180">
        <v>0</v>
      </c>
      <c r="K46" s="180">
        <v>0</v>
      </c>
      <c r="L46" s="180">
        <v>0</v>
      </c>
      <c r="M46" s="180">
        <v>0</v>
      </c>
      <c r="N46" s="180">
        <v>0</v>
      </c>
      <c r="O46" s="833">
        <f t="shared" si="6"/>
        <v>0</v>
      </c>
      <c r="P46" s="713"/>
      <c r="Q46" s="713"/>
      <c r="R46" s="713"/>
      <c r="S46" s="713"/>
      <c r="T46" s="713"/>
      <c r="U46" s="714"/>
    </row>
    <row r="47" spans="2:21" x14ac:dyDescent="0.2">
      <c r="B47" s="727">
        <f>'GO-NO-GO CHECKLIST'!B90:I90</f>
        <v>0</v>
      </c>
      <c r="C47" s="690"/>
      <c r="D47" s="690"/>
      <c r="E47" s="699">
        <v>0</v>
      </c>
      <c r="F47" s="755">
        <f t="shared" si="5"/>
        <v>0</v>
      </c>
      <c r="G47" s="180">
        <v>0</v>
      </c>
      <c r="H47" s="180">
        <v>0</v>
      </c>
      <c r="I47" s="180">
        <v>0</v>
      </c>
      <c r="J47" s="180">
        <v>0</v>
      </c>
      <c r="K47" s="180">
        <v>0</v>
      </c>
      <c r="L47" s="180">
        <v>0</v>
      </c>
      <c r="M47" s="180">
        <v>0</v>
      </c>
      <c r="N47" s="180">
        <v>0</v>
      </c>
      <c r="O47" s="833">
        <f t="shared" si="6"/>
        <v>0</v>
      </c>
      <c r="P47" s="713"/>
      <c r="Q47" s="713"/>
      <c r="R47" s="713"/>
      <c r="S47" s="713"/>
      <c r="T47" s="713"/>
      <c r="U47" s="714"/>
    </row>
    <row r="48" spans="2:21" x14ac:dyDescent="0.2">
      <c r="B48" s="727">
        <f>'GO-NO-GO CHECKLIST'!B91:I91</f>
        <v>0</v>
      </c>
      <c r="C48" s="690"/>
      <c r="D48" s="690"/>
      <c r="E48" s="699">
        <v>0</v>
      </c>
      <c r="F48" s="755">
        <f t="shared" si="5"/>
        <v>0</v>
      </c>
      <c r="G48" s="180">
        <v>0</v>
      </c>
      <c r="H48" s="180">
        <v>0</v>
      </c>
      <c r="I48" s="180">
        <v>0</v>
      </c>
      <c r="J48" s="180">
        <v>0</v>
      </c>
      <c r="K48" s="180">
        <v>0</v>
      </c>
      <c r="L48" s="180">
        <v>0</v>
      </c>
      <c r="M48" s="180">
        <v>0</v>
      </c>
      <c r="N48" s="180">
        <v>0</v>
      </c>
      <c r="O48" s="833">
        <f t="shared" si="6"/>
        <v>0</v>
      </c>
      <c r="P48" s="713"/>
      <c r="Q48" s="713"/>
      <c r="R48" s="713"/>
      <c r="S48" s="713"/>
      <c r="T48" s="713"/>
      <c r="U48" s="714"/>
    </row>
    <row r="49" spans="2:21" x14ac:dyDescent="0.2">
      <c r="B49" s="727">
        <f>'GO-NO-GO CHECKLIST'!B92:I92</f>
        <v>0</v>
      </c>
      <c r="C49" s="690"/>
      <c r="D49" s="690"/>
      <c r="E49" s="699">
        <v>0</v>
      </c>
      <c r="F49" s="755">
        <f t="shared" si="5"/>
        <v>0</v>
      </c>
      <c r="G49" s="180">
        <v>0</v>
      </c>
      <c r="H49" s="180">
        <v>0</v>
      </c>
      <c r="I49" s="180">
        <v>0</v>
      </c>
      <c r="J49" s="180">
        <v>0</v>
      </c>
      <c r="K49" s="180">
        <v>0</v>
      </c>
      <c r="L49" s="180">
        <v>0</v>
      </c>
      <c r="M49" s="180">
        <v>0</v>
      </c>
      <c r="N49" s="180">
        <v>0</v>
      </c>
      <c r="O49" s="833">
        <f t="shared" si="6"/>
        <v>0</v>
      </c>
      <c r="P49" s="713"/>
      <c r="Q49" s="713"/>
      <c r="R49" s="713"/>
      <c r="S49" s="713"/>
      <c r="T49" s="713"/>
      <c r="U49" s="714"/>
    </row>
    <row r="50" spans="2:21" x14ac:dyDescent="0.2">
      <c r="B50" s="472" t="s">
        <v>438</v>
      </c>
      <c r="C50" s="1573"/>
      <c r="D50" s="1574"/>
      <c r="E50" s="182"/>
      <c r="F50" s="759">
        <f>MIN(F44:F49)</f>
        <v>0</v>
      </c>
      <c r="G50" s="180">
        <v>0</v>
      </c>
      <c r="H50" s="180">
        <v>0</v>
      </c>
      <c r="I50" s="180">
        <v>0</v>
      </c>
      <c r="J50" s="180">
        <v>0</v>
      </c>
      <c r="K50" s="180">
        <v>0</v>
      </c>
      <c r="L50" s="180">
        <v>0</v>
      </c>
      <c r="M50" s="180">
        <v>0</v>
      </c>
      <c r="N50" s="180">
        <v>0</v>
      </c>
      <c r="O50" s="846">
        <f t="shared" si="6"/>
        <v>0</v>
      </c>
      <c r="P50" s="803"/>
      <c r="Q50" s="803"/>
      <c r="R50" s="803"/>
      <c r="S50" s="803"/>
      <c r="T50" s="803"/>
      <c r="U50" s="804"/>
    </row>
    <row r="51" spans="2:21" x14ac:dyDescent="0.2">
      <c r="B51" s="702"/>
      <c r="C51" s="689"/>
      <c r="D51" s="689"/>
      <c r="E51" s="502"/>
      <c r="F51" s="527">
        <f>E51</f>
        <v>0</v>
      </c>
      <c r="G51" s="806"/>
      <c r="H51" s="806"/>
      <c r="I51" s="806"/>
      <c r="J51" s="806"/>
      <c r="K51" s="806"/>
      <c r="L51" s="806"/>
      <c r="M51" s="806"/>
      <c r="N51" s="806"/>
      <c r="O51" s="801">
        <f t="shared" si="6"/>
        <v>0</v>
      </c>
      <c r="P51" s="723"/>
      <c r="Q51" s="723"/>
      <c r="R51" s="723"/>
      <c r="S51" s="723"/>
      <c r="T51" s="723"/>
      <c r="U51" s="728"/>
    </row>
    <row r="52" spans="2:21" ht="13.5" customHeight="1" x14ac:dyDescent="0.2">
      <c r="B52" s="703" t="s">
        <v>646</v>
      </c>
      <c r="C52" s="690"/>
      <c r="D52" s="689"/>
      <c r="E52" s="1575" t="s">
        <v>563</v>
      </c>
      <c r="F52" s="1575"/>
      <c r="G52" s="1575"/>
      <c r="H52" s="1575"/>
      <c r="I52" s="1575"/>
      <c r="J52" s="1575"/>
      <c r="K52" s="1575"/>
      <c r="L52" s="1575"/>
      <c r="M52" s="1575"/>
      <c r="N52" s="1575"/>
      <c r="O52" s="704"/>
      <c r="P52" s="704"/>
      <c r="Q52" s="704"/>
      <c r="R52" s="704"/>
      <c r="S52" s="704"/>
      <c r="T52" s="704"/>
      <c r="U52" s="705"/>
    </row>
    <row r="53" spans="2:21" ht="13.5" thickBot="1" x14ac:dyDescent="0.25">
      <c r="B53" s="1571" t="s">
        <v>417</v>
      </c>
      <c r="C53" s="1570"/>
      <c r="D53" s="1570"/>
      <c r="E53" s="1570"/>
      <c r="F53" s="1570"/>
      <c r="G53" s="1570"/>
      <c r="H53" s="1570"/>
      <c r="I53" s="1570"/>
      <c r="J53" s="1570"/>
      <c r="K53" s="1570"/>
      <c r="L53" s="1570" t="s">
        <v>1618</v>
      </c>
      <c r="M53" s="1570"/>
      <c r="N53" s="1570"/>
      <c r="O53" s="1570"/>
      <c r="P53" s="1570"/>
      <c r="Q53" s="1570"/>
      <c r="R53" s="1570"/>
      <c r="S53" s="1570"/>
      <c r="T53" s="1570"/>
      <c r="U53" s="1387"/>
    </row>
    <row r="54" spans="2:21" s="503" customFormat="1" ht="31.5" customHeight="1" thickBot="1" x14ac:dyDescent="0.25">
      <c r="B54" s="813" t="s">
        <v>428</v>
      </c>
      <c r="C54" s="814" t="s">
        <v>1658</v>
      </c>
      <c r="D54" s="814" t="s">
        <v>429</v>
      </c>
      <c r="E54" s="820" t="s">
        <v>640</v>
      </c>
      <c r="F54" s="820" t="s">
        <v>565</v>
      </c>
      <c r="G54" s="815" t="s">
        <v>567</v>
      </c>
      <c r="H54" s="814" t="s">
        <v>564</v>
      </c>
      <c r="I54" s="814" t="s">
        <v>565</v>
      </c>
      <c r="J54" s="832" t="s">
        <v>568</v>
      </c>
      <c r="K54" s="830" t="s">
        <v>69</v>
      </c>
      <c r="L54" s="1370" t="str">
        <f>'Project Cost Recap'!$B$65</f>
        <v>#1</v>
      </c>
      <c r="M54" s="1371" t="str">
        <f>'Project Cost Recap'!$B$66</f>
        <v>#2</v>
      </c>
      <c r="N54" s="1371" t="str">
        <f>'Project Cost Recap'!$B$67</f>
        <v>#3</v>
      </c>
      <c r="O54" s="1372" t="str">
        <f>'Project Cost Recap'!$B$68</f>
        <v>#4</v>
      </c>
      <c r="P54" s="1372" t="str">
        <f>'Project Cost Recap'!$B$69</f>
        <v>#5</v>
      </c>
      <c r="Q54" s="1372" t="str">
        <f>'Project Cost Recap'!$B$70</f>
        <v>#6</v>
      </c>
      <c r="R54" s="1372" t="str">
        <f>'Project Cost Recap'!$B$71</f>
        <v>#7</v>
      </c>
      <c r="S54" s="1372" t="str">
        <f>'Project Cost Recap'!$B$72</f>
        <v>#8</v>
      </c>
      <c r="T54" s="1378" t="s">
        <v>1726</v>
      </c>
      <c r="U54" s="808"/>
    </row>
    <row r="55" spans="2:21" x14ac:dyDescent="0.2">
      <c r="B55" s="472" t="s">
        <v>575</v>
      </c>
      <c r="C55" s="689"/>
      <c r="D55" s="690"/>
      <c r="E55" s="708">
        <f>'QP Reports'!E27</f>
        <v>924</v>
      </c>
      <c r="F55" s="691">
        <v>20</v>
      </c>
      <c r="G55" s="751">
        <f>F55*E55</f>
        <v>18480</v>
      </c>
      <c r="H55" s="760">
        <f>'QP Reports'!E51</f>
        <v>0</v>
      </c>
      <c r="I55" s="761">
        <f>F55</f>
        <v>20</v>
      </c>
      <c r="J55" s="762">
        <f>I55*H55</f>
        <v>0</v>
      </c>
      <c r="K55" s="763">
        <f>J55+G55</f>
        <v>18480</v>
      </c>
      <c r="L55" s="180">
        <v>0</v>
      </c>
      <c r="M55" s="180">
        <v>0</v>
      </c>
      <c r="N55" s="180">
        <v>0</v>
      </c>
      <c r="O55" s="180">
        <v>0</v>
      </c>
      <c r="P55" s="180">
        <v>0</v>
      </c>
      <c r="Q55" s="180">
        <v>0</v>
      </c>
      <c r="R55" s="180">
        <v>0</v>
      </c>
      <c r="S55" s="180">
        <v>0</v>
      </c>
      <c r="T55" s="1382">
        <f t="shared" ref="T55:T65" si="7">SUM(K55:S55)</f>
        <v>18480</v>
      </c>
      <c r="U55" s="807"/>
    </row>
    <row r="56" spans="2:21" x14ac:dyDescent="0.2">
      <c r="B56" s="472" t="s">
        <v>576</v>
      </c>
      <c r="C56" s="689"/>
      <c r="D56" s="690"/>
      <c r="E56" s="708">
        <f>'QP Reports'!E27</f>
        <v>924</v>
      </c>
      <c r="F56" s="691">
        <v>35</v>
      </c>
      <c r="G56" s="691">
        <f>F56*E56</f>
        <v>32340</v>
      </c>
      <c r="H56" s="708">
        <f>'QP Reports'!E51</f>
        <v>0</v>
      </c>
      <c r="I56" s="696">
        <f>F56</f>
        <v>35</v>
      </c>
      <c r="J56" s="695">
        <f>I56*H56</f>
        <v>0</v>
      </c>
      <c r="K56" s="764">
        <f>J56+G56</f>
        <v>32340</v>
      </c>
      <c r="L56" s="180">
        <v>0</v>
      </c>
      <c r="M56" s="180">
        <v>0</v>
      </c>
      <c r="N56" s="180">
        <v>0</v>
      </c>
      <c r="O56" s="180">
        <v>0</v>
      </c>
      <c r="P56" s="180">
        <v>0</v>
      </c>
      <c r="Q56" s="180">
        <v>0</v>
      </c>
      <c r="R56" s="180">
        <v>0</v>
      </c>
      <c r="S56" s="180">
        <v>0</v>
      </c>
      <c r="T56" s="833">
        <f t="shared" si="7"/>
        <v>32340</v>
      </c>
      <c r="U56" s="807"/>
    </row>
    <row r="57" spans="2:21" x14ac:dyDescent="0.2">
      <c r="B57" s="698" t="s">
        <v>566</v>
      </c>
      <c r="C57" s="690"/>
      <c r="D57" s="690"/>
      <c r="E57" s="691"/>
      <c r="F57" s="691"/>
      <c r="G57" s="699">
        <v>0</v>
      </c>
      <c r="H57" s="693"/>
      <c r="I57" s="693"/>
      <c r="J57" s="721">
        <v>0</v>
      </c>
      <c r="K57" s="755">
        <f>J57+G57</f>
        <v>0</v>
      </c>
      <c r="L57" s="180">
        <v>0</v>
      </c>
      <c r="M57" s="180">
        <v>0</v>
      </c>
      <c r="N57" s="180">
        <v>0</v>
      </c>
      <c r="O57" s="180">
        <v>0</v>
      </c>
      <c r="P57" s="180">
        <v>0</v>
      </c>
      <c r="Q57" s="180">
        <v>0</v>
      </c>
      <c r="R57" s="180">
        <v>0</v>
      </c>
      <c r="S57" s="180">
        <v>0</v>
      </c>
      <c r="T57" s="833">
        <f t="shared" si="7"/>
        <v>0</v>
      </c>
      <c r="U57" s="807"/>
    </row>
    <row r="58" spans="2:21" x14ac:dyDescent="0.2">
      <c r="B58" s="727" t="s">
        <v>1919</v>
      </c>
      <c r="C58" s="690"/>
      <c r="D58" s="690"/>
      <c r="E58" s="691"/>
      <c r="F58" s="691"/>
      <c r="G58" s="699">
        <v>36865</v>
      </c>
      <c r="H58" s="693"/>
      <c r="I58" s="693"/>
      <c r="J58" s="721"/>
      <c r="K58" s="755">
        <f t="shared" ref="K58:K63" si="8">J58+G58</f>
        <v>36865</v>
      </c>
      <c r="L58" s="180">
        <v>0</v>
      </c>
      <c r="M58" s="180">
        <v>0</v>
      </c>
      <c r="N58" s="180">
        <v>0</v>
      </c>
      <c r="O58" s="180">
        <v>0</v>
      </c>
      <c r="P58" s="180">
        <v>0</v>
      </c>
      <c r="Q58" s="180">
        <v>0</v>
      </c>
      <c r="R58" s="180">
        <v>0</v>
      </c>
      <c r="S58" s="180">
        <v>0</v>
      </c>
      <c r="T58" s="833">
        <f t="shared" si="7"/>
        <v>36865</v>
      </c>
      <c r="U58" s="807"/>
    </row>
    <row r="59" spans="2:21" x14ac:dyDescent="0.2">
      <c r="B59" s="727">
        <f>'GO-NO-GO CHECKLIST'!B96:I96</f>
        <v>0</v>
      </c>
      <c r="C59" s="690"/>
      <c r="D59" s="690"/>
      <c r="E59" s="691"/>
      <c r="F59" s="691"/>
      <c r="G59" s="699">
        <v>0</v>
      </c>
      <c r="H59" s="693"/>
      <c r="I59" s="693"/>
      <c r="J59" s="721">
        <v>0</v>
      </c>
      <c r="K59" s="755">
        <f t="shared" si="8"/>
        <v>0</v>
      </c>
      <c r="L59" s="180">
        <v>0</v>
      </c>
      <c r="M59" s="180">
        <v>0</v>
      </c>
      <c r="N59" s="180">
        <v>0</v>
      </c>
      <c r="O59" s="180">
        <v>0</v>
      </c>
      <c r="P59" s="180">
        <v>0</v>
      </c>
      <c r="Q59" s="180">
        <v>0</v>
      </c>
      <c r="R59" s="180">
        <v>0</v>
      </c>
      <c r="S59" s="180">
        <v>0</v>
      </c>
      <c r="T59" s="833">
        <f t="shared" si="7"/>
        <v>0</v>
      </c>
      <c r="U59" s="807"/>
    </row>
    <row r="60" spans="2:21" x14ac:dyDescent="0.2">
      <c r="B60" s="727">
        <f>'GO-NO-GO CHECKLIST'!B97:I97</f>
        <v>0</v>
      </c>
      <c r="C60" s="690"/>
      <c r="D60" s="690"/>
      <c r="E60" s="691"/>
      <c r="F60" s="691"/>
      <c r="G60" s="699">
        <v>0</v>
      </c>
      <c r="H60" s="693"/>
      <c r="I60" s="693"/>
      <c r="J60" s="721">
        <v>0</v>
      </c>
      <c r="K60" s="755">
        <f t="shared" si="8"/>
        <v>0</v>
      </c>
      <c r="L60" s="180">
        <v>0</v>
      </c>
      <c r="M60" s="180">
        <v>0</v>
      </c>
      <c r="N60" s="180">
        <v>0</v>
      </c>
      <c r="O60" s="180">
        <v>0</v>
      </c>
      <c r="P60" s="180">
        <v>0</v>
      </c>
      <c r="Q60" s="180">
        <v>0</v>
      </c>
      <c r="R60" s="180">
        <v>0</v>
      </c>
      <c r="S60" s="180">
        <v>0</v>
      </c>
      <c r="T60" s="833">
        <f t="shared" si="7"/>
        <v>0</v>
      </c>
      <c r="U60" s="807"/>
    </row>
    <row r="61" spans="2:21" x14ac:dyDescent="0.2">
      <c r="B61" s="727">
        <f>'GO-NO-GO CHECKLIST'!B98:I98</f>
        <v>0</v>
      </c>
      <c r="C61" s="690"/>
      <c r="D61" s="690"/>
      <c r="E61" s="691"/>
      <c r="F61" s="691"/>
      <c r="G61" s="699">
        <v>0</v>
      </c>
      <c r="H61" s="693"/>
      <c r="I61" s="693"/>
      <c r="J61" s="721">
        <v>0</v>
      </c>
      <c r="K61" s="755">
        <f t="shared" si="8"/>
        <v>0</v>
      </c>
      <c r="L61" s="180">
        <v>0</v>
      </c>
      <c r="M61" s="180">
        <v>0</v>
      </c>
      <c r="N61" s="180">
        <v>0</v>
      </c>
      <c r="O61" s="180">
        <v>0</v>
      </c>
      <c r="P61" s="180">
        <v>0</v>
      </c>
      <c r="Q61" s="180">
        <v>0</v>
      </c>
      <c r="R61" s="180">
        <v>0</v>
      </c>
      <c r="S61" s="180">
        <v>0</v>
      </c>
      <c r="T61" s="833">
        <f t="shared" si="7"/>
        <v>0</v>
      </c>
      <c r="U61" s="807"/>
    </row>
    <row r="62" spans="2:21" x14ac:dyDescent="0.2">
      <c r="B62" s="727">
        <f>'GO-NO-GO CHECKLIST'!B99:I99</f>
        <v>0</v>
      </c>
      <c r="C62" s="690"/>
      <c r="D62" s="690"/>
      <c r="E62" s="691"/>
      <c r="F62" s="691"/>
      <c r="G62" s="699">
        <v>0</v>
      </c>
      <c r="H62" s="693"/>
      <c r="I62" s="693"/>
      <c r="J62" s="721">
        <v>0</v>
      </c>
      <c r="K62" s="755">
        <f t="shared" si="8"/>
        <v>0</v>
      </c>
      <c r="L62" s="180">
        <v>0</v>
      </c>
      <c r="M62" s="180">
        <v>0</v>
      </c>
      <c r="N62" s="180">
        <v>0</v>
      </c>
      <c r="O62" s="180">
        <v>0</v>
      </c>
      <c r="P62" s="180">
        <v>0</v>
      </c>
      <c r="Q62" s="180">
        <v>0</v>
      </c>
      <c r="R62" s="180">
        <v>0</v>
      </c>
      <c r="S62" s="180">
        <v>0</v>
      </c>
      <c r="T62" s="833">
        <f t="shared" si="7"/>
        <v>0</v>
      </c>
      <c r="U62" s="807"/>
    </row>
    <row r="63" spans="2:21" x14ac:dyDescent="0.2">
      <c r="B63" s="727">
        <f>'GO-NO-GO CHECKLIST'!B100:I100</f>
        <v>0</v>
      </c>
      <c r="C63" s="690"/>
      <c r="D63" s="690"/>
      <c r="E63" s="691"/>
      <c r="F63" s="691"/>
      <c r="G63" s="699">
        <v>0</v>
      </c>
      <c r="H63" s="693"/>
      <c r="I63" s="693"/>
      <c r="J63" s="721">
        <v>0</v>
      </c>
      <c r="K63" s="755">
        <f t="shared" si="8"/>
        <v>0</v>
      </c>
      <c r="L63" s="180">
        <v>0</v>
      </c>
      <c r="M63" s="180">
        <v>0</v>
      </c>
      <c r="N63" s="180">
        <v>0</v>
      </c>
      <c r="O63" s="180">
        <v>0</v>
      </c>
      <c r="P63" s="180">
        <v>0</v>
      </c>
      <c r="Q63" s="180">
        <v>0</v>
      </c>
      <c r="R63" s="180">
        <v>0</v>
      </c>
      <c r="S63" s="180">
        <v>0</v>
      </c>
      <c r="T63" s="833">
        <f t="shared" si="7"/>
        <v>0</v>
      </c>
      <c r="U63" s="807"/>
    </row>
    <row r="64" spans="2:21" x14ac:dyDescent="0.2">
      <c r="B64" s="472" t="s">
        <v>438</v>
      </c>
      <c r="C64" s="1573"/>
      <c r="D64" s="1574"/>
      <c r="E64" s="180"/>
      <c r="F64" s="181"/>
      <c r="G64" s="182"/>
      <c r="H64" s="179"/>
      <c r="I64" s="179"/>
      <c r="J64" s="179"/>
      <c r="K64" s="765">
        <f>MIN(K57:K63)</f>
        <v>0</v>
      </c>
      <c r="L64" s="180">
        <v>0</v>
      </c>
      <c r="M64" s="180">
        <v>0</v>
      </c>
      <c r="N64" s="180">
        <v>0</v>
      </c>
      <c r="O64" s="180">
        <v>0</v>
      </c>
      <c r="P64" s="180">
        <v>0</v>
      </c>
      <c r="Q64" s="180">
        <v>0</v>
      </c>
      <c r="R64" s="180">
        <v>0</v>
      </c>
      <c r="S64" s="180">
        <v>0</v>
      </c>
      <c r="T64" s="833">
        <f t="shared" si="7"/>
        <v>0</v>
      </c>
      <c r="U64" s="807"/>
    </row>
    <row r="65" spans="2:21" ht="12.75" customHeight="1" x14ac:dyDescent="0.2">
      <c r="B65" s="702" t="str">
        <f>B58</f>
        <v>3 GEN EXCAVATION</v>
      </c>
      <c r="C65" s="689"/>
      <c r="D65" s="689"/>
      <c r="E65" s="691"/>
      <c r="F65" s="691"/>
      <c r="G65" s="532">
        <f>G58</f>
        <v>36865</v>
      </c>
      <c r="H65" s="178"/>
      <c r="I65" s="178"/>
      <c r="J65" s="536"/>
      <c r="K65" s="529">
        <f>J65+G65</f>
        <v>36865</v>
      </c>
      <c r="L65" s="527"/>
      <c r="M65" s="527"/>
      <c r="N65" s="527"/>
      <c r="O65" s="527"/>
      <c r="P65" s="527"/>
      <c r="Q65" s="527"/>
      <c r="R65" s="527"/>
      <c r="S65" s="811"/>
      <c r="T65" s="801">
        <f t="shared" si="7"/>
        <v>36865</v>
      </c>
      <c r="U65" s="802"/>
    </row>
    <row r="66" spans="2:21" ht="13.5" customHeight="1" x14ac:dyDescent="0.2">
      <c r="B66" s="703" t="s">
        <v>646</v>
      </c>
      <c r="C66" s="690"/>
      <c r="D66" s="689"/>
      <c r="E66" s="180"/>
      <c r="F66" s="181"/>
      <c r="G66" s="1594" t="s">
        <v>563</v>
      </c>
      <c r="H66" s="1595"/>
      <c r="I66" s="1595"/>
      <c r="J66" s="1595"/>
      <c r="K66" s="1595"/>
      <c r="L66" s="1595"/>
      <c r="M66" s="1595"/>
      <c r="N66" s="1595"/>
      <c r="O66" s="1595"/>
      <c r="P66" s="1595"/>
      <c r="Q66" s="1595"/>
      <c r="R66" s="1595"/>
      <c r="S66" s="1596"/>
      <c r="T66" s="834"/>
      <c r="U66" s="835"/>
    </row>
    <row r="67" spans="2:21" ht="13.5" thickBot="1" x14ac:dyDescent="0.25">
      <c r="B67" s="1571" t="str">
        <f>'GO-NO-GO CHECKLIST'!B102:I102</f>
        <v>FIRE PROTECTION</v>
      </c>
      <c r="C67" s="1570"/>
      <c r="D67" s="1570"/>
      <c r="E67" s="1570"/>
      <c r="F67" s="1570"/>
      <c r="G67" s="1572" t="s">
        <v>1618</v>
      </c>
      <c r="H67" s="1572"/>
      <c r="I67" s="1572"/>
      <c r="J67" s="1572"/>
      <c r="K67" s="1572"/>
      <c r="L67" s="1572"/>
      <c r="M67" s="1572"/>
      <c r="N67" s="1572"/>
      <c r="O67" s="1572"/>
      <c r="P67" s="1386"/>
      <c r="Q67" s="1386"/>
      <c r="R67" s="1386"/>
      <c r="S67" s="1386"/>
      <c r="T67" s="1386"/>
      <c r="U67" s="1387"/>
    </row>
    <row r="68" spans="2:21" s="503" customFormat="1" ht="25.5" customHeight="1" thickBot="1" x14ac:dyDescent="0.25">
      <c r="B68" s="813" t="s">
        <v>428</v>
      </c>
      <c r="C68" s="814" t="s">
        <v>1658</v>
      </c>
      <c r="D68" s="814" t="s">
        <v>429</v>
      </c>
      <c r="E68" s="829" t="s">
        <v>1616</v>
      </c>
      <c r="F68" s="830" t="s">
        <v>69</v>
      </c>
      <c r="G68" s="1370" t="str">
        <f>'Project Cost Recap'!$B$65</f>
        <v>#1</v>
      </c>
      <c r="H68" s="1371" t="str">
        <f>'Project Cost Recap'!$B$66</f>
        <v>#2</v>
      </c>
      <c r="I68" s="1371" t="str">
        <f>'Project Cost Recap'!$B$67</f>
        <v>#3</v>
      </c>
      <c r="J68" s="1372" t="str">
        <f>'Project Cost Recap'!$B$68</f>
        <v>#4</v>
      </c>
      <c r="K68" s="1372" t="str">
        <f>'Project Cost Recap'!$B$69</f>
        <v>#5</v>
      </c>
      <c r="L68" s="1372" t="str">
        <f>'Project Cost Recap'!$B$70</f>
        <v>#6</v>
      </c>
      <c r="M68" s="1372" t="str">
        <f>'Project Cost Recap'!$B$71</f>
        <v>#7</v>
      </c>
      <c r="N68" s="1372" t="str">
        <f>'Project Cost Recap'!$B$72</f>
        <v>#8</v>
      </c>
      <c r="O68" s="1378" t="s">
        <v>1726</v>
      </c>
      <c r="P68" s="836"/>
      <c r="Q68" s="836"/>
      <c r="R68" s="836"/>
      <c r="S68" s="836"/>
      <c r="T68" s="836"/>
      <c r="U68" s="837"/>
    </row>
    <row r="69" spans="2:21" x14ac:dyDescent="0.2">
      <c r="B69" s="722" t="s">
        <v>566</v>
      </c>
      <c r="C69" s="690"/>
      <c r="D69" s="690"/>
      <c r="E69" s="752">
        <v>0</v>
      </c>
      <c r="F69" s="758">
        <f>E69</f>
        <v>0</v>
      </c>
      <c r="G69" s="180">
        <v>0</v>
      </c>
      <c r="H69" s="180">
        <v>0</v>
      </c>
      <c r="I69" s="180">
        <v>0</v>
      </c>
      <c r="J69" s="180">
        <v>0</v>
      </c>
      <c r="K69" s="180">
        <v>0</v>
      </c>
      <c r="L69" s="180">
        <v>0</v>
      </c>
      <c r="M69" s="180">
        <v>0</v>
      </c>
      <c r="N69" s="180">
        <v>0</v>
      </c>
      <c r="O69" s="1382">
        <f>SUM(F69:N69)</f>
        <v>0</v>
      </c>
      <c r="P69" s="713"/>
      <c r="Q69" s="713"/>
      <c r="R69" s="713"/>
      <c r="S69" s="713"/>
      <c r="T69" s="713"/>
      <c r="U69" s="714"/>
    </row>
    <row r="70" spans="2:21" x14ac:dyDescent="0.2">
      <c r="B70" s="698">
        <f>'GO-NO-GO CHECKLIST'!B103</f>
        <v>0</v>
      </c>
      <c r="C70" s="690"/>
      <c r="D70" s="690"/>
      <c r="E70" s="699">
        <v>0</v>
      </c>
      <c r="F70" s="755">
        <f t="shared" ref="F70:F75" si="9">E70</f>
        <v>0</v>
      </c>
      <c r="G70" s="180">
        <v>0</v>
      </c>
      <c r="H70" s="180">
        <v>0</v>
      </c>
      <c r="I70" s="180">
        <v>0</v>
      </c>
      <c r="J70" s="180">
        <v>0</v>
      </c>
      <c r="K70" s="180">
        <v>0</v>
      </c>
      <c r="L70" s="180">
        <v>0</v>
      </c>
      <c r="M70" s="180">
        <v>0</v>
      </c>
      <c r="N70" s="180">
        <v>0</v>
      </c>
      <c r="O70" s="833">
        <f t="shared" ref="O70:O77" si="10">SUM(F70:N70)</f>
        <v>0</v>
      </c>
      <c r="P70" s="713"/>
      <c r="Q70" s="713"/>
      <c r="R70" s="713"/>
      <c r="S70" s="713"/>
      <c r="T70" s="713"/>
      <c r="U70" s="714"/>
    </row>
    <row r="71" spans="2:21" x14ac:dyDescent="0.2">
      <c r="B71" s="698">
        <f>'GO-NO-GO CHECKLIST'!B104</f>
        <v>0</v>
      </c>
      <c r="C71" s="690"/>
      <c r="D71" s="690"/>
      <c r="E71" s="699">
        <v>0</v>
      </c>
      <c r="F71" s="755">
        <f t="shared" si="9"/>
        <v>0</v>
      </c>
      <c r="G71" s="180">
        <v>0</v>
      </c>
      <c r="H71" s="180">
        <v>0</v>
      </c>
      <c r="I71" s="180">
        <v>0</v>
      </c>
      <c r="J71" s="180">
        <v>0</v>
      </c>
      <c r="K71" s="180">
        <v>0</v>
      </c>
      <c r="L71" s="180">
        <v>0</v>
      </c>
      <c r="M71" s="180">
        <v>0</v>
      </c>
      <c r="N71" s="180">
        <v>0</v>
      </c>
      <c r="O71" s="833">
        <f t="shared" si="10"/>
        <v>0</v>
      </c>
      <c r="P71" s="713"/>
      <c r="Q71" s="713"/>
      <c r="R71" s="713"/>
      <c r="S71" s="713"/>
      <c r="T71" s="713"/>
      <c r="U71" s="714"/>
    </row>
    <row r="72" spans="2:21" x14ac:dyDescent="0.2">
      <c r="B72" s="698">
        <f>'GO-NO-GO CHECKLIST'!B105</f>
        <v>0</v>
      </c>
      <c r="C72" s="690"/>
      <c r="D72" s="690"/>
      <c r="E72" s="699">
        <v>0</v>
      </c>
      <c r="F72" s="755">
        <f t="shared" si="9"/>
        <v>0</v>
      </c>
      <c r="G72" s="180">
        <v>0</v>
      </c>
      <c r="H72" s="180">
        <v>0</v>
      </c>
      <c r="I72" s="180">
        <v>0</v>
      </c>
      <c r="J72" s="180">
        <v>0</v>
      </c>
      <c r="K72" s="180">
        <v>0</v>
      </c>
      <c r="L72" s="180">
        <v>0</v>
      </c>
      <c r="M72" s="180">
        <v>0</v>
      </c>
      <c r="N72" s="180">
        <v>0</v>
      </c>
      <c r="O72" s="833">
        <f t="shared" si="10"/>
        <v>0</v>
      </c>
      <c r="P72" s="713"/>
      <c r="Q72" s="713"/>
      <c r="R72" s="713"/>
      <c r="S72" s="713"/>
      <c r="T72" s="713"/>
      <c r="U72" s="714"/>
    </row>
    <row r="73" spans="2:21" x14ac:dyDescent="0.2">
      <c r="B73" s="698">
        <f>'GO-NO-GO CHECKLIST'!B106</f>
        <v>0</v>
      </c>
      <c r="C73" s="690"/>
      <c r="D73" s="690"/>
      <c r="E73" s="699">
        <v>0</v>
      </c>
      <c r="F73" s="755">
        <f t="shared" si="9"/>
        <v>0</v>
      </c>
      <c r="G73" s="180">
        <v>0</v>
      </c>
      <c r="H73" s="180">
        <v>0</v>
      </c>
      <c r="I73" s="180">
        <v>0</v>
      </c>
      <c r="J73" s="180">
        <v>0</v>
      </c>
      <c r="K73" s="180">
        <v>0</v>
      </c>
      <c r="L73" s="180">
        <v>0</v>
      </c>
      <c r="M73" s="180">
        <v>0</v>
      </c>
      <c r="N73" s="180">
        <v>0</v>
      </c>
      <c r="O73" s="833">
        <f t="shared" si="10"/>
        <v>0</v>
      </c>
      <c r="P73" s="713"/>
      <c r="Q73" s="713"/>
      <c r="R73" s="713"/>
      <c r="S73" s="713"/>
      <c r="T73" s="713"/>
      <c r="U73" s="714"/>
    </row>
    <row r="74" spans="2:21" x14ac:dyDescent="0.2">
      <c r="B74" s="698">
        <f>'GO-NO-GO CHECKLIST'!B107</f>
        <v>0</v>
      </c>
      <c r="C74" s="690"/>
      <c r="D74" s="690"/>
      <c r="E74" s="699">
        <v>0</v>
      </c>
      <c r="F74" s="755">
        <f t="shared" si="9"/>
        <v>0</v>
      </c>
      <c r="G74" s="180">
        <v>0</v>
      </c>
      <c r="H74" s="180">
        <v>0</v>
      </c>
      <c r="I74" s="180">
        <v>0</v>
      </c>
      <c r="J74" s="180">
        <v>0</v>
      </c>
      <c r="K74" s="180">
        <v>0</v>
      </c>
      <c r="L74" s="180">
        <v>0</v>
      </c>
      <c r="M74" s="180">
        <v>0</v>
      </c>
      <c r="N74" s="180">
        <v>0</v>
      </c>
      <c r="O74" s="833">
        <f t="shared" si="10"/>
        <v>0</v>
      </c>
      <c r="P74" s="713"/>
      <c r="Q74" s="713"/>
      <c r="R74" s="713"/>
      <c r="S74" s="713"/>
      <c r="T74" s="713"/>
      <c r="U74" s="714"/>
    </row>
    <row r="75" spans="2:21" x14ac:dyDescent="0.2">
      <c r="B75" s="698">
        <f>'GO-NO-GO CHECKLIST'!B108</f>
        <v>0</v>
      </c>
      <c r="C75" s="690"/>
      <c r="D75" s="690"/>
      <c r="E75" s="699">
        <v>0</v>
      </c>
      <c r="F75" s="755">
        <f t="shared" si="9"/>
        <v>0</v>
      </c>
      <c r="G75" s="180">
        <v>0</v>
      </c>
      <c r="H75" s="180">
        <v>0</v>
      </c>
      <c r="I75" s="180">
        <v>0</v>
      </c>
      <c r="J75" s="180">
        <v>0</v>
      </c>
      <c r="K75" s="180">
        <v>0</v>
      </c>
      <c r="L75" s="180">
        <v>0</v>
      </c>
      <c r="M75" s="180">
        <v>0</v>
      </c>
      <c r="N75" s="180">
        <v>0</v>
      </c>
      <c r="O75" s="833">
        <f t="shared" si="10"/>
        <v>0</v>
      </c>
      <c r="P75" s="713"/>
      <c r="Q75" s="713"/>
      <c r="R75" s="713"/>
      <c r="S75" s="713"/>
      <c r="T75" s="713"/>
      <c r="U75" s="714"/>
    </row>
    <row r="76" spans="2:21" x14ac:dyDescent="0.2">
      <c r="B76" s="472" t="s">
        <v>438</v>
      </c>
      <c r="C76" s="1573"/>
      <c r="D76" s="1574"/>
      <c r="E76" s="182"/>
      <c r="F76" s="759">
        <f>MIN(F69:F75)</f>
        <v>0</v>
      </c>
      <c r="G76" s="180">
        <v>0</v>
      </c>
      <c r="H76" s="180">
        <v>0</v>
      </c>
      <c r="I76" s="180">
        <v>0</v>
      </c>
      <c r="J76" s="180">
        <v>0</v>
      </c>
      <c r="K76" s="180">
        <v>0</v>
      </c>
      <c r="L76" s="180">
        <v>0</v>
      </c>
      <c r="M76" s="180">
        <v>0</v>
      </c>
      <c r="N76" s="180">
        <v>0</v>
      </c>
      <c r="O76" s="833">
        <f t="shared" si="10"/>
        <v>0</v>
      </c>
      <c r="P76" s="803"/>
      <c r="Q76" s="803"/>
      <c r="R76" s="803"/>
      <c r="S76" s="803"/>
      <c r="T76" s="803"/>
      <c r="U76" s="804"/>
    </row>
    <row r="77" spans="2:21" ht="12.75" customHeight="1" x14ac:dyDescent="0.2">
      <c r="B77" s="702"/>
      <c r="C77" s="689"/>
      <c r="D77" s="581"/>
      <c r="E77" s="502"/>
      <c r="F77" s="527">
        <f>E77</f>
        <v>0</v>
      </c>
      <c r="G77" s="527"/>
      <c r="H77" s="527"/>
      <c r="I77" s="527"/>
      <c r="J77" s="527"/>
      <c r="K77" s="527"/>
      <c r="L77" s="527"/>
      <c r="M77" s="527"/>
      <c r="N77" s="527"/>
      <c r="O77" s="801">
        <f t="shared" si="10"/>
        <v>0</v>
      </c>
      <c r="P77" s="723"/>
      <c r="Q77" s="723"/>
      <c r="R77" s="723"/>
      <c r="S77" s="723"/>
      <c r="T77" s="723"/>
      <c r="U77" s="728"/>
    </row>
    <row r="78" spans="2:21" ht="13.5" customHeight="1" x14ac:dyDescent="0.2">
      <c r="B78" s="703" t="s">
        <v>646</v>
      </c>
      <c r="C78" s="690"/>
      <c r="D78" s="689"/>
      <c r="E78" s="1592" t="s">
        <v>563</v>
      </c>
      <c r="F78" s="1575"/>
      <c r="G78" s="1575"/>
      <c r="H78" s="1575"/>
      <c r="I78" s="1575"/>
      <c r="J78" s="1575"/>
      <c r="K78" s="1575"/>
      <c r="L78" s="1575"/>
      <c r="M78" s="1575"/>
      <c r="N78" s="1575"/>
      <c r="O78" s="704"/>
      <c r="P78" s="704"/>
      <c r="Q78" s="704"/>
      <c r="R78" s="704"/>
      <c r="S78" s="704"/>
      <c r="T78" s="704"/>
      <c r="U78" s="705"/>
    </row>
    <row r="79" spans="2:21" ht="13.5" thickBot="1" x14ac:dyDescent="0.25">
      <c r="B79" s="1571" t="str">
        <f>'GO-NO-GO CHECKLIST'!B110:I110</f>
        <v>FIRE STOPPING</v>
      </c>
      <c r="C79" s="1570"/>
      <c r="D79" s="1570"/>
      <c r="E79" s="1570"/>
      <c r="F79" s="1570"/>
      <c r="G79" s="1570"/>
      <c r="H79" s="1570"/>
      <c r="I79" s="1572" t="s">
        <v>1618</v>
      </c>
      <c r="J79" s="1572"/>
      <c r="K79" s="1572"/>
      <c r="L79" s="1572"/>
      <c r="M79" s="1572"/>
      <c r="N79" s="1572"/>
      <c r="O79" s="1572"/>
      <c r="P79" s="1572"/>
      <c r="Q79" s="1572"/>
      <c r="R79" s="1386"/>
      <c r="S79" s="1386"/>
      <c r="T79" s="1386"/>
      <c r="U79" s="1387"/>
    </row>
    <row r="80" spans="2:21" s="503" customFormat="1" ht="32.25" customHeight="1" thickBot="1" x14ac:dyDescent="0.25">
      <c r="B80" s="813" t="s">
        <v>428</v>
      </c>
      <c r="C80" s="814" t="s">
        <v>1658</v>
      </c>
      <c r="D80" s="814" t="s">
        <v>429</v>
      </c>
      <c r="E80" s="815" t="s">
        <v>1625</v>
      </c>
      <c r="F80" s="816" t="s">
        <v>1623</v>
      </c>
      <c r="G80" s="816" t="s">
        <v>1624</v>
      </c>
      <c r="H80" s="830" t="s">
        <v>69</v>
      </c>
      <c r="I80" s="1370" t="str">
        <f>'Project Cost Recap'!$B$65</f>
        <v>#1</v>
      </c>
      <c r="J80" s="1371" t="str">
        <f>'Project Cost Recap'!$B$66</f>
        <v>#2</v>
      </c>
      <c r="K80" s="1371" t="str">
        <f>'Project Cost Recap'!$B$67</f>
        <v>#3</v>
      </c>
      <c r="L80" s="1372" t="str">
        <f>'Project Cost Recap'!$B$68</f>
        <v>#4</v>
      </c>
      <c r="M80" s="1372" t="str">
        <f>'Project Cost Recap'!$B$69</f>
        <v>#5</v>
      </c>
      <c r="N80" s="1372" t="str">
        <f>'Project Cost Recap'!$B$70</f>
        <v>#6</v>
      </c>
      <c r="O80" s="1372" t="str">
        <f>'Project Cost Recap'!$B$71</f>
        <v>#7</v>
      </c>
      <c r="P80" s="1372" t="str">
        <f>'Project Cost Recap'!$B$72</f>
        <v>#8</v>
      </c>
      <c r="Q80" s="1378" t="s">
        <v>1726</v>
      </c>
      <c r="R80" s="836"/>
      <c r="S80" s="836"/>
      <c r="T80" s="838"/>
      <c r="U80" s="839"/>
    </row>
    <row r="81" spans="2:21" x14ac:dyDescent="0.2">
      <c r="B81" s="722" t="s">
        <v>566</v>
      </c>
      <c r="C81" s="690"/>
      <c r="D81" s="690"/>
      <c r="E81" s="752">
        <v>0</v>
      </c>
      <c r="F81" s="752">
        <v>0</v>
      </c>
      <c r="G81" s="752">
        <v>0</v>
      </c>
      <c r="H81" s="758">
        <f>G81+F81+E81</f>
        <v>0</v>
      </c>
      <c r="I81" s="180">
        <v>0</v>
      </c>
      <c r="J81" s="180">
        <v>0</v>
      </c>
      <c r="K81" s="180">
        <v>0</v>
      </c>
      <c r="L81" s="180">
        <v>0</v>
      </c>
      <c r="M81" s="180">
        <v>0</v>
      </c>
      <c r="N81" s="180">
        <v>0</v>
      </c>
      <c r="O81" s="180">
        <v>0</v>
      </c>
      <c r="P81" s="180">
        <v>0</v>
      </c>
      <c r="Q81" s="1382">
        <f>SUM(H81:P81)</f>
        <v>0</v>
      </c>
      <c r="R81" s="713"/>
      <c r="S81" s="713"/>
      <c r="T81" s="713"/>
      <c r="U81" s="714"/>
    </row>
    <row r="82" spans="2:21" x14ac:dyDescent="0.2">
      <c r="B82" s="698">
        <f>'GO-NO-GO CHECKLIST'!B111</f>
        <v>0</v>
      </c>
      <c r="C82" s="690"/>
      <c r="D82" s="690"/>
      <c r="E82" s="699">
        <v>0</v>
      </c>
      <c r="F82" s="699">
        <v>0</v>
      </c>
      <c r="G82" s="699">
        <v>0</v>
      </c>
      <c r="H82" s="755">
        <f t="shared" ref="H82:H87" si="11">G82+F82+E82</f>
        <v>0</v>
      </c>
      <c r="I82" s="180">
        <v>0</v>
      </c>
      <c r="J82" s="180">
        <v>0</v>
      </c>
      <c r="K82" s="180">
        <v>0</v>
      </c>
      <c r="L82" s="180">
        <v>0</v>
      </c>
      <c r="M82" s="180">
        <v>0</v>
      </c>
      <c r="N82" s="180">
        <v>0</v>
      </c>
      <c r="O82" s="180">
        <v>0</v>
      </c>
      <c r="P82" s="180">
        <v>0</v>
      </c>
      <c r="Q82" s="833">
        <f t="shared" ref="Q82:Q89" si="12">SUM(H82:P82)</f>
        <v>0</v>
      </c>
      <c r="R82" s="713"/>
      <c r="S82" s="713"/>
      <c r="T82" s="713"/>
      <c r="U82" s="714"/>
    </row>
    <row r="83" spans="2:21" x14ac:dyDescent="0.2">
      <c r="B83" s="698">
        <f>'GO-NO-GO CHECKLIST'!B112</f>
        <v>0</v>
      </c>
      <c r="C83" s="690"/>
      <c r="D83" s="690"/>
      <c r="E83" s="699">
        <v>0</v>
      </c>
      <c r="F83" s="699">
        <v>0</v>
      </c>
      <c r="G83" s="699">
        <v>0</v>
      </c>
      <c r="H83" s="755">
        <f t="shared" si="11"/>
        <v>0</v>
      </c>
      <c r="I83" s="180">
        <v>0</v>
      </c>
      <c r="J83" s="180">
        <v>0</v>
      </c>
      <c r="K83" s="180">
        <v>0</v>
      </c>
      <c r="L83" s="180">
        <v>0</v>
      </c>
      <c r="M83" s="180">
        <v>0</v>
      </c>
      <c r="N83" s="180">
        <v>0</v>
      </c>
      <c r="O83" s="180">
        <v>0</v>
      </c>
      <c r="P83" s="180">
        <v>0</v>
      </c>
      <c r="Q83" s="833">
        <f t="shared" si="12"/>
        <v>0</v>
      </c>
      <c r="R83" s="713"/>
      <c r="S83" s="713"/>
      <c r="T83" s="713"/>
      <c r="U83" s="714"/>
    </row>
    <row r="84" spans="2:21" x14ac:dyDescent="0.2">
      <c r="B84" s="698">
        <f>'GO-NO-GO CHECKLIST'!B113</f>
        <v>0</v>
      </c>
      <c r="C84" s="690"/>
      <c r="D84" s="690"/>
      <c r="E84" s="699">
        <v>0</v>
      </c>
      <c r="F84" s="699">
        <v>0</v>
      </c>
      <c r="G84" s="699">
        <v>0</v>
      </c>
      <c r="H84" s="755">
        <f t="shared" si="11"/>
        <v>0</v>
      </c>
      <c r="I84" s="180">
        <v>0</v>
      </c>
      <c r="J84" s="180">
        <v>0</v>
      </c>
      <c r="K84" s="180">
        <v>0</v>
      </c>
      <c r="L84" s="180">
        <v>0</v>
      </c>
      <c r="M84" s="180">
        <v>0</v>
      </c>
      <c r="N84" s="180">
        <v>0</v>
      </c>
      <c r="O84" s="180">
        <v>0</v>
      </c>
      <c r="P84" s="180">
        <v>0</v>
      </c>
      <c r="Q84" s="833">
        <f t="shared" si="12"/>
        <v>0</v>
      </c>
      <c r="R84" s="713"/>
      <c r="S84" s="713"/>
      <c r="T84" s="713"/>
      <c r="U84" s="714"/>
    </row>
    <row r="85" spans="2:21" x14ac:dyDescent="0.2">
      <c r="B85" s="698">
        <f>'GO-NO-GO CHECKLIST'!B114</f>
        <v>0</v>
      </c>
      <c r="C85" s="690"/>
      <c r="D85" s="690"/>
      <c r="E85" s="699">
        <v>0</v>
      </c>
      <c r="F85" s="699">
        <v>0</v>
      </c>
      <c r="G85" s="699">
        <v>0</v>
      </c>
      <c r="H85" s="755">
        <f t="shared" si="11"/>
        <v>0</v>
      </c>
      <c r="I85" s="180">
        <v>0</v>
      </c>
      <c r="J85" s="180">
        <v>0</v>
      </c>
      <c r="K85" s="180">
        <v>0</v>
      </c>
      <c r="L85" s="180">
        <v>0</v>
      </c>
      <c r="M85" s="180">
        <v>0</v>
      </c>
      <c r="N85" s="180">
        <v>0</v>
      </c>
      <c r="O85" s="180">
        <v>0</v>
      </c>
      <c r="P85" s="180">
        <v>0</v>
      </c>
      <c r="Q85" s="833">
        <f t="shared" si="12"/>
        <v>0</v>
      </c>
      <c r="R85" s="713"/>
      <c r="S85" s="713"/>
      <c r="T85" s="713"/>
      <c r="U85" s="714"/>
    </row>
    <row r="86" spans="2:21" x14ac:dyDescent="0.2">
      <c r="B86" s="698">
        <f>'GO-NO-GO CHECKLIST'!B115</f>
        <v>0</v>
      </c>
      <c r="C86" s="690"/>
      <c r="D86" s="690"/>
      <c r="E86" s="699">
        <v>0</v>
      </c>
      <c r="F86" s="699">
        <v>0</v>
      </c>
      <c r="G86" s="699">
        <v>0</v>
      </c>
      <c r="H86" s="755">
        <f t="shared" si="11"/>
        <v>0</v>
      </c>
      <c r="I86" s="180">
        <v>0</v>
      </c>
      <c r="J86" s="180">
        <v>0</v>
      </c>
      <c r="K86" s="180">
        <v>0</v>
      </c>
      <c r="L86" s="180">
        <v>0</v>
      </c>
      <c r="M86" s="180">
        <v>0</v>
      </c>
      <c r="N86" s="180">
        <v>0</v>
      </c>
      <c r="O86" s="180">
        <v>0</v>
      </c>
      <c r="P86" s="180">
        <v>0</v>
      </c>
      <c r="Q86" s="833">
        <f t="shared" si="12"/>
        <v>0</v>
      </c>
      <c r="R86" s="713"/>
      <c r="S86" s="713"/>
      <c r="T86" s="713"/>
      <c r="U86" s="714"/>
    </row>
    <row r="87" spans="2:21" x14ac:dyDescent="0.2">
      <c r="B87" s="698">
        <f>'GO-NO-GO CHECKLIST'!B116</f>
        <v>0</v>
      </c>
      <c r="C87" s="690"/>
      <c r="D87" s="690"/>
      <c r="E87" s="699">
        <v>0</v>
      </c>
      <c r="F87" s="699">
        <v>0</v>
      </c>
      <c r="G87" s="699">
        <v>0</v>
      </c>
      <c r="H87" s="755">
        <f t="shared" si="11"/>
        <v>0</v>
      </c>
      <c r="I87" s="180">
        <v>0</v>
      </c>
      <c r="J87" s="180">
        <v>0</v>
      </c>
      <c r="K87" s="180">
        <v>0</v>
      </c>
      <c r="L87" s="180">
        <v>0</v>
      </c>
      <c r="M87" s="180">
        <v>0</v>
      </c>
      <c r="N87" s="180">
        <v>0</v>
      </c>
      <c r="O87" s="180">
        <v>0</v>
      </c>
      <c r="P87" s="180">
        <v>0</v>
      </c>
      <c r="Q87" s="833">
        <f t="shared" si="12"/>
        <v>0</v>
      </c>
      <c r="R87" s="713"/>
      <c r="S87" s="713"/>
      <c r="T87" s="713"/>
      <c r="U87" s="714"/>
    </row>
    <row r="88" spans="2:21" x14ac:dyDescent="0.2">
      <c r="B88" s="472" t="s">
        <v>438</v>
      </c>
      <c r="C88" s="1573"/>
      <c r="D88" s="1574"/>
      <c r="E88" s="184"/>
      <c r="F88" s="184"/>
      <c r="G88" s="184"/>
      <c r="H88" s="756">
        <f>MIN(H81:H84)</f>
        <v>0</v>
      </c>
      <c r="I88" s="180">
        <v>0</v>
      </c>
      <c r="J88" s="180">
        <v>0</v>
      </c>
      <c r="K88" s="180">
        <v>0</v>
      </c>
      <c r="L88" s="180">
        <v>0</v>
      </c>
      <c r="M88" s="180">
        <v>0</v>
      </c>
      <c r="N88" s="180">
        <v>0</v>
      </c>
      <c r="O88" s="180">
        <v>0</v>
      </c>
      <c r="P88" s="180">
        <v>0</v>
      </c>
      <c r="Q88" s="833">
        <f t="shared" si="12"/>
        <v>0</v>
      </c>
      <c r="R88" s="803"/>
      <c r="S88" s="803"/>
      <c r="T88" s="803"/>
      <c r="U88" s="804"/>
    </row>
    <row r="89" spans="2:21" ht="12.75" customHeight="1" x14ac:dyDescent="0.2">
      <c r="B89" s="702"/>
      <c r="C89" s="689"/>
      <c r="D89" s="689"/>
      <c r="E89" s="533"/>
      <c r="F89" s="537"/>
      <c r="G89" s="537"/>
      <c r="H89" s="530">
        <f>G89+F89+E89</f>
        <v>0</v>
      </c>
      <c r="I89" s="527"/>
      <c r="J89" s="527"/>
      <c r="K89" s="527"/>
      <c r="L89" s="527"/>
      <c r="M89" s="527"/>
      <c r="N89" s="527"/>
      <c r="O89" s="527"/>
      <c r="P89" s="527"/>
      <c r="Q89" s="801">
        <f t="shared" si="12"/>
        <v>0</v>
      </c>
      <c r="R89" s="729"/>
      <c r="S89" s="729"/>
      <c r="T89" s="729"/>
      <c r="U89" s="730"/>
    </row>
    <row r="90" spans="2:21" ht="16.5" customHeight="1" x14ac:dyDescent="0.2">
      <c r="B90" s="703" t="s">
        <v>646</v>
      </c>
      <c r="C90" s="798"/>
      <c r="D90" s="799"/>
      <c r="E90" s="1583" t="s">
        <v>563</v>
      </c>
      <c r="F90" s="1584"/>
      <c r="G90" s="1584"/>
      <c r="H90" s="1584"/>
      <c r="I90" s="1584"/>
      <c r="J90" s="1584"/>
      <c r="K90" s="1584"/>
      <c r="L90" s="1584"/>
      <c r="M90" s="1584"/>
      <c r="N90" s="1584"/>
      <c r="O90" s="1584"/>
      <c r="P90" s="1584"/>
      <c r="Q90" s="704"/>
      <c r="R90" s="704"/>
      <c r="S90" s="704"/>
      <c r="T90" s="704"/>
      <c r="U90" s="705"/>
    </row>
    <row r="91" spans="2:21" ht="13.5" thickBot="1" x14ac:dyDescent="0.25">
      <c r="B91" s="1571" t="s">
        <v>421</v>
      </c>
      <c r="C91" s="1570"/>
      <c r="D91" s="1570"/>
      <c r="E91" s="1570"/>
      <c r="F91" s="1570"/>
      <c r="G91" s="1570" t="s">
        <v>1618</v>
      </c>
      <c r="H91" s="1570"/>
      <c r="I91" s="1570"/>
      <c r="J91" s="1570"/>
      <c r="K91" s="1570"/>
      <c r="L91" s="1570"/>
      <c r="M91" s="1570"/>
      <c r="N91" s="1570"/>
      <c r="O91" s="1570"/>
      <c r="P91" s="1386"/>
      <c r="Q91" s="1386"/>
      <c r="R91" s="1386"/>
      <c r="S91" s="1386"/>
      <c r="T91" s="1386"/>
      <c r="U91" s="1387"/>
    </row>
    <row r="92" spans="2:21" s="503" customFormat="1" ht="25.5" customHeight="1" thickBot="1" x14ac:dyDescent="0.25">
      <c r="B92" s="813" t="s">
        <v>428</v>
      </c>
      <c r="C92" s="814" t="s">
        <v>1658</v>
      </c>
      <c r="D92" s="814" t="s">
        <v>429</v>
      </c>
      <c r="E92" s="829" t="s">
        <v>1613</v>
      </c>
      <c r="F92" s="830" t="s">
        <v>69</v>
      </c>
      <c r="G92" s="1370" t="str">
        <f>'Project Cost Recap'!$B$65</f>
        <v>#1</v>
      </c>
      <c r="H92" s="1371" t="str">
        <f>'Project Cost Recap'!$B$66</f>
        <v>#2</v>
      </c>
      <c r="I92" s="1371" t="str">
        <f>'Project Cost Recap'!$B$67</f>
        <v>#3</v>
      </c>
      <c r="J92" s="1372" t="str">
        <f>'Project Cost Recap'!$B$68</f>
        <v>#4</v>
      </c>
      <c r="K92" s="1372" t="str">
        <f>'Project Cost Recap'!$B$69</f>
        <v>#5</v>
      </c>
      <c r="L92" s="1372" t="str">
        <f>'Project Cost Recap'!$B$70</f>
        <v>#6</v>
      </c>
      <c r="M92" s="1372" t="str">
        <f>'Project Cost Recap'!$B$71</f>
        <v>#7</v>
      </c>
      <c r="N92" s="1372" t="str">
        <f>'Project Cost Recap'!$B$72</f>
        <v>#8</v>
      </c>
      <c r="O92" s="1378" t="s">
        <v>1726</v>
      </c>
      <c r="P92" s="831"/>
      <c r="Q92" s="831"/>
      <c r="R92" s="831"/>
      <c r="S92" s="831"/>
      <c r="T92" s="831"/>
      <c r="U92" s="812"/>
    </row>
    <row r="93" spans="2:21" x14ac:dyDescent="0.2">
      <c r="B93" s="722" t="s">
        <v>566</v>
      </c>
      <c r="C93" s="690"/>
      <c r="D93" s="690"/>
      <c r="E93" s="752">
        <v>0</v>
      </c>
      <c r="F93" s="758">
        <f>E93</f>
        <v>0</v>
      </c>
      <c r="G93" s="180">
        <v>0</v>
      </c>
      <c r="H93" s="180">
        <v>0</v>
      </c>
      <c r="I93" s="180">
        <v>0</v>
      </c>
      <c r="J93" s="180">
        <v>0</v>
      </c>
      <c r="K93" s="180">
        <v>0</v>
      </c>
      <c r="L93" s="180">
        <v>0</v>
      </c>
      <c r="M93" s="180">
        <v>0</v>
      </c>
      <c r="N93" s="180">
        <v>0</v>
      </c>
      <c r="O93" s="1382">
        <f>SUM(F93:N93)</f>
        <v>0</v>
      </c>
      <c r="P93" s="713"/>
      <c r="Q93" s="713"/>
      <c r="R93" s="713"/>
      <c r="S93" s="713"/>
      <c r="T93" s="713"/>
      <c r="U93" s="714"/>
    </row>
    <row r="94" spans="2:21" x14ac:dyDescent="0.2">
      <c r="B94" s="698">
        <f>'GO-NO-GO CHECKLIST'!B119</f>
        <v>0</v>
      </c>
      <c r="C94" s="690">
        <f>'GO-NO-GO CHECKLIST'!J119</f>
        <v>0</v>
      </c>
      <c r="D94" s="690">
        <f>'GO-NO-GO CHECKLIST'!K119</f>
        <v>0</v>
      </c>
      <c r="E94" s="699">
        <v>0</v>
      </c>
      <c r="F94" s="755">
        <f t="shared" ref="F94:F99" si="13">E94</f>
        <v>0</v>
      </c>
      <c r="G94" s="180">
        <v>0</v>
      </c>
      <c r="H94" s="180">
        <v>0</v>
      </c>
      <c r="I94" s="180">
        <v>0</v>
      </c>
      <c r="J94" s="180">
        <v>0</v>
      </c>
      <c r="K94" s="180">
        <v>0</v>
      </c>
      <c r="L94" s="180">
        <v>0</v>
      </c>
      <c r="M94" s="180">
        <v>0</v>
      </c>
      <c r="N94" s="180">
        <v>0</v>
      </c>
      <c r="O94" s="833">
        <f t="shared" ref="O94:O101" si="14">SUM(F94:N94)</f>
        <v>0</v>
      </c>
      <c r="P94" s="713"/>
      <c r="Q94" s="713"/>
      <c r="R94" s="713"/>
      <c r="S94" s="713"/>
      <c r="T94" s="713"/>
      <c r="U94" s="714"/>
    </row>
    <row r="95" spans="2:21" x14ac:dyDescent="0.2">
      <c r="B95" s="698">
        <f>'GO-NO-GO CHECKLIST'!B120</f>
        <v>0</v>
      </c>
      <c r="C95" s="1137">
        <f>'GO-NO-GO CHECKLIST'!J120</f>
        <v>0</v>
      </c>
      <c r="D95" s="690">
        <f>'GO-NO-GO CHECKLIST'!K120</f>
        <v>0</v>
      </c>
      <c r="E95" s="699">
        <v>0</v>
      </c>
      <c r="F95" s="755">
        <f t="shared" si="13"/>
        <v>0</v>
      </c>
      <c r="G95" s="180">
        <v>0</v>
      </c>
      <c r="H95" s="180">
        <v>0</v>
      </c>
      <c r="I95" s="180">
        <v>0</v>
      </c>
      <c r="J95" s="180">
        <v>0</v>
      </c>
      <c r="K95" s="180">
        <v>0</v>
      </c>
      <c r="L95" s="180">
        <v>0</v>
      </c>
      <c r="M95" s="180">
        <v>0</v>
      </c>
      <c r="N95" s="180">
        <v>0</v>
      </c>
      <c r="O95" s="833">
        <f t="shared" si="14"/>
        <v>0</v>
      </c>
      <c r="P95" s="713"/>
      <c r="Q95" s="713"/>
      <c r="R95" s="713"/>
      <c r="S95" s="713"/>
      <c r="T95" s="713"/>
      <c r="U95" s="714"/>
    </row>
    <row r="96" spans="2:21" x14ac:dyDescent="0.2">
      <c r="B96" s="698">
        <f>'GO-NO-GO CHECKLIST'!B121</f>
        <v>0</v>
      </c>
      <c r="C96" s="1137">
        <f>'GO-NO-GO CHECKLIST'!J121</f>
        <v>0</v>
      </c>
      <c r="D96" s="690">
        <f>'GO-NO-GO CHECKLIST'!K121</f>
        <v>0</v>
      </c>
      <c r="E96" s="699">
        <v>0</v>
      </c>
      <c r="F96" s="755">
        <f t="shared" si="13"/>
        <v>0</v>
      </c>
      <c r="G96" s="180">
        <v>0</v>
      </c>
      <c r="H96" s="180">
        <v>0</v>
      </c>
      <c r="I96" s="180">
        <v>0</v>
      </c>
      <c r="J96" s="180">
        <v>0</v>
      </c>
      <c r="K96" s="180">
        <v>0</v>
      </c>
      <c r="L96" s="180">
        <v>0</v>
      </c>
      <c r="M96" s="180">
        <v>0</v>
      </c>
      <c r="N96" s="180">
        <v>0</v>
      </c>
      <c r="O96" s="833">
        <f t="shared" si="14"/>
        <v>0</v>
      </c>
      <c r="P96" s="713"/>
      <c r="Q96" s="713"/>
      <c r="R96" s="713"/>
      <c r="S96" s="713"/>
      <c r="T96" s="713"/>
      <c r="U96" s="714"/>
    </row>
    <row r="97" spans="2:21" x14ac:dyDescent="0.2">
      <c r="B97" s="698">
        <f>'GO-NO-GO CHECKLIST'!B122</f>
        <v>0</v>
      </c>
      <c r="C97" s="1137">
        <f>'GO-NO-GO CHECKLIST'!J122</f>
        <v>0</v>
      </c>
      <c r="D97" s="690">
        <f>'GO-NO-GO CHECKLIST'!K122</f>
        <v>0</v>
      </c>
      <c r="E97" s="699">
        <v>0</v>
      </c>
      <c r="F97" s="755">
        <f t="shared" si="13"/>
        <v>0</v>
      </c>
      <c r="G97" s="180">
        <v>0</v>
      </c>
      <c r="H97" s="180">
        <v>0</v>
      </c>
      <c r="I97" s="180">
        <v>0</v>
      </c>
      <c r="J97" s="180">
        <v>0</v>
      </c>
      <c r="K97" s="180">
        <v>0</v>
      </c>
      <c r="L97" s="180">
        <v>0</v>
      </c>
      <c r="M97" s="180">
        <v>0</v>
      </c>
      <c r="N97" s="180">
        <v>0</v>
      </c>
      <c r="O97" s="833">
        <f t="shared" si="14"/>
        <v>0</v>
      </c>
      <c r="P97" s="713"/>
      <c r="Q97" s="713"/>
      <c r="R97" s="713"/>
      <c r="S97" s="713"/>
      <c r="T97" s="713"/>
      <c r="U97" s="714"/>
    </row>
    <row r="98" spans="2:21" x14ac:dyDescent="0.2">
      <c r="B98" s="698">
        <f>'GO-NO-GO CHECKLIST'!B123</f>
        <v>0</v>
      </c>
      <c r="C98" s="1137">
        <f>'GO-NO-GO CHECKLIST'!J123</f>
        <v>0</v>
      </c>
      <c r="D98" s="690">
        <f>'GO-NO-GO CHECKLIST'!K123</f>
        <v>0</v>
      </c>
      <c r="E98" s="699">
        <v>0</v>
      </c>
      <c r="F98" s="755">
        <f t="shared" si="13"/>
        <v>0</v>
      </c>
      <c r="G98" s="180">
        <v>0</v>
      </c>
      <c r="H98" s="180">
        <v>0</v>
      </c>
      <c r="I98" s="180">
        <v>0</v>
      </c>
      <c r="J98" s="180">
        <v>0</v>
      </c>
      <c r="K98" s="180">
        <v>0</v>
      </c>
      <c r="L98" s="180">
        <v>0</v>
      </c>
      <c r="M98" s="180">
        <v>0</v>
      </c>
      <c r="N98" s="180">
        <v>0</v>
      </c>
      <c r="O98" s="833">
        <f t="shared" si="14"/>
        <v>0</v>
      </c>
      <c r="P98" s="713"/>
      <c r="Q98" s="713"/>
      <c r="R98" s="713"/>
      <c r="S98" s="713"/>
      <c r="T98" s="713"/>
      <c r="U98" s="714"/>
    </row>
    <row r="99" spans="2:21" x14ac:dyDescent="0.2">
      <c r="B99" s="698">
        <f>'GO-NO-GO CHECKLIST'!B124</f>
        <v>0</v>
      </c>
      <c r="C99" s="1137">
        <f>'GO-NO-GO CHECKLIST'!J124</f>
        <v>0</v>
      </c>
      <c r="D99" s="690">
        <f>'GO-NO-GO CHECKLIST'!K124</f>
        <v>0</v>
      </c>
      <c r="E99" s="699">
        <v>0</v>
      </c>
      <c r="F99" s="755">
        <f t="shared" si="13"/>
        <v>0</v>
      </c>
      <c r="G99" s="180">
        <v>0</v>
      </c>
      <c r="H99" s="180">
        <v>0</v>
      </c>
      <c r="I99" s="180">
        <v>0</v>
      </c>
      <c r="J99" s="180">
        <v>0</v>
      </c>
      <c r="K99" s="180">
        <v>0</v>
      </c>
      <c r="L99" s="180">
        <v>0</v>
      </c>
      <c r="M99" s="180">
        <v>0</v>
      </c>
      <c r="N99" s="180">
        <v>0</v>
      </c>
      <c r="O99" s="833">
        <f t="shared" si="14"/>
        <v>0</v>
      </c>
      <c r="P99" s="713"/>
      <c r="Q99" s="713"/>
      <c r="R99" s="713"/>
      <c r="S99" s="713"/>
      <c r="T99" s="713"/>
      <c r="U99" s="714"/>
    </row>
    <row r="100" spans="2:21" x14ac:dyDescent="0.2">
      <c r="B100" s="472" t="s">
        <v>438</v>
      </c>
      <c r="C100" s="1573"/>
      <c r="D100" s="1574"/>
      <c r="E100" s="182"/>
      <c r="F100" s="759">
        <f>MIN(F93:F99)</f>
        <v>0</v>
      </c>
      <c r="G100" s="180">
        <v>0</v>
      </c>
      <c r="H100" s="180">
        <v>0</v>
      </c>
      <c r="I100" s="180">
        <v>0</v>
      </c>
      <c r="J100" s="180">
        <v>0</v>
      </c>
      <c r="K100" s="180">
        <v>0</v>
      </c>
      <c r="L100" s="180">
        <v>0</v>
      </c>
      <c r="M100" s="180">
        <v>0</v>
      </c>
      <c r="N100" s="180">
        <v>0</v>
      </c>
      <c r="O100" s="833">
        <f t="shared" si="14"/>
        <v>0</v>
      </c>
      <c r="P100" s="803"/>
      <c r="Q100" s="803"/>
      <c r="R100" s="803"/>
      <c r="S100" s="803"/>
      <c r="T100" s="803"/>
      <c r="U100" s="804"/>
    </row>
    <row r="101" spans="2:21" ht="12.75" customHeight="1" x14ac:dyDescent="0.2">
      <c r="B101" s="702"/>
      <c r="C101" s="580"/>
      <c r="D101" s="581"/>
      <c r="E101" s="502"/>
      <c r="F101" s="527">
        <f>E101</f>
        <v>0</v>
      </c>
      <c r="G101" s="527"/>
      <c r="H101" s="527"/>
      <c r="I101" s="527"/>
      <c r="J101" s="527"/>
      <c r="K101" s="527"/>
      <c r="L101" s="527"/>
      <c r="M101" s="527"/>
      <c r="N101" s="527"/>
      <c r="O101" s="801">
        <f t="shared" si="14"/>
        <v>0</v>
      </c>
      <c r="P101" s="723"/>
      <c r="Q101" s="723"/>
      <c r="R101" s="723"/>
      <c r="S101" s="723"/>
      <c r="T101" s="723"/>
      <c r="U101" s="728"/>
    </row>
    <row r="102" spans="2:21" ht="15.75" customHeight="1" x14ac:dyDescent="0.2">
      <c r="B102" s="703" t="s">
        <v>646</v>
      </c>
      <c r="C102" s="690"/>
      <c r="D102" s="689"/>
      <c r="E102" s="1593" t="s">
        <v>563</v>
      </c>
      <c r="F102" s="1593"/>
      <c r="G102" s="1593"/>
      <c r="H102" s="1593"/>
      <c r="I102" s="1593"/>
      <c r="J102" s="1593"/>
      <c r="K102" s="1593"/>
      <c r="L102" s="1593"/>
      <c r="M102" s="1593"/>
      <c r="N102" s="1593"/>
      <c r="O102" s="704"/>
      <c r="P102" s="704"/>
      <c r="Q102" s="704"/>
      <c r="R102" s="704"/>
      <c r="S102" s="704"/>
      <c r="T102" s="704"/>
      <c r="U102" s="705"/>
    </row>
    <row r="103" spans="2:21" ht="13.5" thickBot="1" x14ac:dyDescent="0.25">
      <c r="B103" s="1591" t="s">
        <v>423</v>
      </c>
      <c r="C103" s="1572"/>
      <c r="D103" s="1572"/>
      <c r="E103" s="1572"/>
      <c r="F103" s="1572"/>
      <c r="G103" s="1572"/>
      <c r="H103" s="1572"/>
      <c r="I103" s="1572"/>
      <c r="J103" s="1572"/>
      <c r="K103" s="1572" t="s">
        <v>1618</v>
      </c>
      <c r="L103" s="1572"/>
      <c r="M103" s="1572"/>
      <c r="N103" s="1572"/>
      <c r="O103" s="1572"/>
      <c r="P103" s="1572"/>
      <c r="Q103" s="1572"/>
      <c r="R103" s="1572"/>
      <c r="S103" s="1572"/>
      <c r="T103" s="1389"/>
      <c r="U103" s="1390"/>
    </row>
    <row r="104" spans="2:21" s="503" customFormat="1" ht="34.5" customHeight="1" thickBot="1" x14ac:dyDescent="0.25">
      <c r="B104" s="745" t="s">
        <v>428</v>
      </c>
      <c r="C104" s="746" t="s">
        <v>1658</v>
      </c>
      <c r="D104" s="746" t="s">
        <v>429</v>
      </c>
      <c r="E104" s="747" t="s">
        <v>1625</v>
      </c>
      <c r="F104" s="748" t="s">
        <v>1677</v>
      </c>
      <c r="G104" s="748" t="s">
        <v>1604</v>
      </c>
      <c r="H104" s="748" t="s">
        <v>771</v>
      </c>
      <c r="I104" s="749" t="s">
        <v>69</v>
      </c>
      <c r="J104" s="750" t="s">
        <v>584</v>
      </c>
      <c r="K104" s="1370" t="str">
        <f>'Project Cost Recap'!$B$65</f>
        <v>#1</v>
      </c>
      <c r="L104" s="1371" t="str">
        <f>'Project Cost Recap'!$B$66</f>
        <v>#2</v>
      </c>
      <c r="M104" s="1371" t="str">
        <f>'Project Cost Recap'!$B$67</f>
        <v>#3</v>
      </c>
      <c r="N104" s="1372" t="str">
        <f>'Project Cost Recap'!$B$68</f>
        <v>#4</v>
      </c>
      <c r="O104" s="1372" t="str">
        <f>'Project Cost Recap'!$B$69</f>
        <v>#5</v>
      </c>
      <c r="P104" s="1372" t="str">
        <f>'Project Cost Recap'!$B$70</f>
        <v>#6</v>
      </c>
      <c r="Q104" s="1372" t="str">
        <f>'Project Cost Recap'!$B$71</f>
        <v>#7</v>
      </c>
      <c r="R104" s="1372" t="str">
        <f>'Project Cost Recap'!$B$72</f>
        <v>#8</v>
      </c>
      <c r="S104" s="1378" t="s">
        <v>1726</v>
      </c>
      <c r="T104" s="766"/>
      <c r="U104" s="767"/>
    </row>
    <row r="105" spans="2:21" x14ac:dyDescent="0.2">
      <c r="B105" s="722" t="s">
        <v>566</v>
      </c>
      <c r="C105" s="689"/>
      <c r="D105" s="690"/>
      <c r="E105" s="752">
        <v>0</v>
      </c>
      <c r="F105" s="752">
        <v>0</v>
      </c>
      <c r="G105" s="752">
        <v>0</v>
      </c>
      <c r="H105" s="752">
        <v>0</v>
      </c>
      <c r="I105" s="768">
        <f>H105+G105+F105+E105</f>
        <v>0</v>
      </c>
      <c r="J105" s="763">
        <v>0</v>
      </c>
      <c r="K105" s="180">
        <v>0</v>
      </c>
      <c r="L105" s="180">
        <v>0</v>
      </c>
      <c r="M105" s="180">
        <v>0</v>
      </c>
      <c r="N105" s="180">
        <v>0</v>
      </c>
      <c r="O105" s="180">
        <v>0</v>
      </c>
      <c r="P105" s="180">
        <v>0</v>
      </c>
      <c r="Q105" s="180">
        <v>0</v>
      </c>
      <c r="R105" s="180">
        <v>0</v>
      </c>
      <c r="S105" s="1382">
        <f>R105+Q105+P105+O105+N105+M105+L105+K105+I105</f>
        <v>0</v>
      </c>
      <c r="T105" s="713"/>
      <c r="U105" s="714"/>
    </row>
    <row r="106" spans="2:21" x14ac:dyDescent="0.2">
      <c r="B106" s="698" t="str">
        <f>'GO-NO-GO CHECKLIST'!B127</f>
        <v>CD SPECIALTY CONTRACTORS</v>
      </c>
      <c r="C106" s="689">
        <f>'GO-NO-GO CHECKLIST'!J127</f>
        <v>0</v>
      </c>
      <c r="D106" s="1138">
        <f>'GO-NO-GO CHECKLIST'!K127</f>
        <v>0</v>
      </c>
      <c r="E106" s="699">
        <v>30041</v>
      </c>
      <c r="F106" s="699">
        <v>0</v>
      </c>
      <c r="G106" s="699">
        <f>21349-3525</f>
        <v>17824</v>
      </c>
      <c r="H106" s="699">
        <v>0</v>
      </c>
      <c r="I106" s="700">
        <f t="shared" ref="I106:I113" si="15">H106+G106+F106+E106</f>
        <v>47865</v>
      </c>
      <c r="J106" s="764">
        <v>0</v>
      </c>
      <c r="K106" s="180">
        <v>0</v>
      </c>
      <c r="L106" s="180">
        <v>10180</v>
      </c>
      <c r="M106" s="180"/>
      <c r="N106" s="180">
        <v>0</v>
      </c>
      <c r="O106" s="180">
        <v>0</v>
      </c>
      <c r="P106" s="180">
        <v>0</v>
      </c>
      <c r="Q106" s="180">
        <v>0</v>
      </c>
      <c r="R106" s="180">
        <v>0</v>
      </c>
      <c r="S106" s="833">
        <f t="shared" ref="S106:S115" si="16">R106+Q106+P106+O106+N106+M106+L106+K106+I106</f>
        <v>58045</v>
      </c>
      <c r="T106" s="713"/>
      <c r="U106" s="714"/>
    </row>
    <row r="107" spans="2:21" x14ac:dyDescent="0.2">
      <c r="B107" s="698" t="str">
        <f>'GO-NO-GO CHECKLIST'!B128</f>
        <v>FORTUNATO</v>
      </c>
      <c r="C107" s="1138">
        <f>'GO-NO-GO CHECKLIST'!J128</f>
        <v>0</v>
      </c>
      <c r="D107" s="1138">
        <f>'GO-NO-GO CHECKLIST'!K128</f>
        <v>0</v>
      </c>
      <c r="E107" s="699">
        <v>26545</v>
      </c>
      <c r="F107" s="699">
        <v>0</v>
      </c>
      <c r="G107" s="699">
        <f>1820</f>
        <v>1820</v>
      </c>
      <c r="H107" s="699">
        <v>0</v>
      </c>
      <c r="I107" s="700">
        <f t="shared" si="15"/>
        <v>28365</v>
      </c>
      <c r="J107" s="764">
        <v>0</v>
      </c>
      <c r="K107" s="180">
        <v>0</v>
      </c>
      <c r="L107" s="180">
        <v>0</v>
      </c>
      <c r="M107" s="180"/>
      <c r="N107" s="180">
        <v>0</v>
      </c>
      <c r="O107" s="180">
        <v>0</v>
      </c>
      <c r="P107" s="180">
        <v>0</v>
      </c>
      <c r="Q107" s="180">
        <v>0</v>
      </c>
      <c r="R107" s="180">
        <v>0</v>
      </c>
      <c r="S107" s="833">
        <f t="shared" si="16"/>
        <v>28365</v>
      </c>
      <c r="T107" s="713"/>
      <c r="U107" s="714"/>
    </row>
    <row r="108" spans="2:21" x14ac:dyDescent="0.2">
      <c r="B108" s="698" t="s">
        <v>1534</v>
      </c>
      <c r="C108" s="1138">
        <f>'GO-NO-GO CHECKLIST'!J129</f>
        <v>0</v>
      </c>
      <c r="D108" s="1138">
        <f>'GO-NO-GO CHECKLIST'!K129</f>
        <v>0</v>
      </c>
      <c r="E108" s="699">
        <f>24820+19080</f>
        <v>43900</v>
      </c>
      <c r="F108" s="699">
        <v>0</v>
      </c>
      <c r="G108" s="699">
        <f>1385+5370+23995</f>
        <v>30750</v>
      </c>
      <c r="H108" s="699">
        <v>2795</v>
      </c>
      <c r="I108" s="700">
        <f t="shared" si="15"/>
        <v>77445</v>
      </c>
      <c r="J108" s="764">
        <v>0</v>
      </c>
      <c r="K108" s="180">
        <v>0</v>
      </c>
      <c r="L108" s="180">
        <v>0</v>
      </c>
      <c r="M108" s="180">
        <v>0</v>
      </c>
      <c r="N108" s="180">
        <v>0</v>
      </c>
      <c r="O108" s="180">
        <v>0</v>
      </c>
      <c r="P108" s="180">
        <v>0</v>
      </c>
      <c r="Q108" s="180">
        <v>0</v>
      </c>
      <c r="R108" s="180">
        <v>0</v>
      </c>
      <c r="S108" s="833">
        <f t="shared" si="16"/>
        <v>77445</v>
      </c>
      <c r="T108" s="713"/>
      <c r="U108" s="714"/>
    </row>
    <row r="109" spans="2:21" x14ac:dyDescent="0.2">
      <c r="B109" s="698" t="s">
        <v>1698</v>
      </c>
      <c r="C109" s="1138">
        <f>'GO-NO-GO CHECKLIST'!J130</f>
        <v>0</v>
      </c>
      <c r="D109" s="1138">
        <f>'GO-NO-GO CHECKLIST'!K130</f>
        <v>0</v>
      </c>
      <c r="E109" s="699">
        <v>44446</v>
      </c>
      <c r="F109" s="699">
        <v>0</v>
      </c>
      <c r="G109" s="699">
        <v>16298</v>
      </c>
      <c r="H109" s="699">
        <v>0</v>
      </c>
      <c r="I109" s="700">
        <f t="shared" si="15"/>
        <v>60744</v>
      </c>
      <c r="J109" s="764">
        <v>0</v>
      </c>
      <c r="K109" s="180">
        <v>0</v>
      </c>
      <c r="L109" s="180">
        <v>0</v>
      </c>
      <c r="M109" s="180">
        <v>0</v>
      </c>
      <c r="N109" s="180">
        <v>0</v>
      </c>
      <c r="O109" s="180">
        <v>0</v>
      </c>
      <c r="P109" s="180">
        <v>0</v>
      </c>
      <c r="Q109" s="180">
        <v>0</v>
      </c>
      <c r="R109" s="180">
        <v>0</v>
      </c>
      <c r="S109" s="833">
        <f t="shared" si="16"/>
        <v>60744</v>
      </c>
      <c r="T109" s="713"/>
      <c r="U109" s="714"/>
    </row>
    <row r="110" spans="2:21" x14ac:dyDescent="0.2">
      <c r="B110" s="698" t="s">
        <v>1538</v>
      </c>
      <c r="C110" s="1138">
        <f>'GO-NO-GO CHECKLIST'!J131</f>
        <v>0</v>
      </c>
      <c r="D110" s="1138">
        <f>'GO-NO-GO CHECKLIST'!K131</f>
        <v>0</v>
      </c>
      <c r="E110" s="699">
        <f>21990+15920</f>
        <v>37910</v>
      </c>
      <c r="F110" s="699">
        <v>0</v>
      </c>
      <c r="G110" s="699">
        <f>11615+2425</f>
        <v>14040</v>
      </c>
      <c r="H110" s="699">
        <v>0</v>
      </c>
      <c r="I110" s="700">
        <f t="shared" si="15"/>
        <v>51950</v>
      </c>
      <c r="J110" s="764">
        <v>0</v>
      </c>
      <c r="K110" s="180">
        <v>0</v>
      </c>
      <c r="L110" s="180">
        <v>850</v>
      </c>
      <c r="M110" s="180">
        <v>0</v>
      </c>
      <c r="N110" s="180">
        <v>0</v>
      </c>
      <c r="O110" s="180">
        <v>0</v>
      </c>
      <c r="P110" s="180">
        <v>0</v>
      </c>
      <c r="Q110" s="180">
        <v>0</v>
      </c>
      <c r="R110" s="180">
        <v>0</v>
      </c>
      <c r="S110" s="833">
        <f t="shared" si="16"/>
        <v>52800</v>
      </c>
      <c r="T110" s="713"/>
      <c r="U110" s="714"/>
    </row>
    <row r="111" spans="2:21" x14ac:dyDescent="0.2">
      <c r="B111" s="698">
        <f>'GO-NO-GO CHECKLIST'!B132</f>
        <v>0</v>
      </c>
      <c r="C111" s="1138">
        <f>'GO-NO-GO CHECKLIST'!J132</f>
        <v>0</v>
      </c>
      <c r="D111" s="1138">
        <f>'GO-NO-GO CHECKLIST'!K132</f>
        <v>0</v>
      </c>
      <c r="E111" s="699">
        <v>0</v>
      </c>
      <c r="F111" s="699">
        <v>0</v>
      </c>
      <c r="G111" s="699">
        <v>0</v>
      </c>
      <c r="H111" s="699">
        <v>0</v>
      </c>
      <c r="I111" s="700">
        <f t="shared" si="15"/>
        <v>0</v>
      </c>
      <c r="J111" s="764">
        <v>0</v>
      </c>
      <c r="K111" s="180">
        <v>0</v>
      </c>
      <c r="L111" s="180">
        <v>0</v>
      </c>
      <c r="M111" s="180">
        <v>0</v>
      </c>
      <c r="N111" s="180">
        <v>0</v>
      </c>
      <c r="O111" s="180">
        <v>0</v>
      </c>
      <c r="P111" s="180">
        <v>0</v>
      </c>
      <c r="Q111" s="180">
        <v>0</v>
      </c>
      <c r="R111" s="180">
        <v>0</v>
      </c>
      <c r="S111" s="833">
        <f t="shared" si="16"/>
        <v>0</v>
      </c>
      <c r="T111" s="713"/>
      <c r="U111" s="714"/>
    </row>
    <row r="112" spans="2:21" x14ac:dyDescent="0.2">
      <c r="B112" s="698"/>
      <c r="C112" s="1138">
        <f>'GO-NO-GO CHECKLIST'!J133</f>
        <v>0</v>
      </c>
      <c r="D112" s="1138">
        <f>'GO-NO-GO CHECKLIST'!K133</f>
        <v>0</v>
      </c>
      <c r="E112" s="699">
        <v>0</v>
      </c>
      <c r="F112" s="699">
        <v>0</v>
      </c>
      <c r="G112" s="699">
        <v>0</v>
      </c>
      <c r="H112" s="699">
        <v>0</v>
      </c>
      <c r="I112" s="700">
        <f t="shared" si="15"/>
        <v>0</v>
      </c>
      <c r="J112" s="764">
        <v>0</v>
      </c>
      <c r="K112" s="180">
        <v>0</v>
      </c>
      <c r="L112" s="180">
        <v>0</v>
      </c>
      <c r="M112" s="180">
        <v>0</v>
      </c>
      <c r="N112" s="180">
        <v>0</v>
      </c>
      <c r="O112" s="180">
        <v>0</v>
      </c>
      <c r="P112" s="180">
        <v>0</v>
      </c>
      <c r="Q112" s="180">
        <v>0</v>
      </c>
      <c r="R112" s="180">
        <v>0</v>
      </c>
      <c r="S112" s="833">
        <f t="shared" si="16"/>
        <v>0</v>
      </c>
      <c r="T112" s="713"/>
      <c r="U112" s="714"/>
    </row>
    <row r="113" spans="2:21" x14ac:dyDescent="0.2">
      <c r="B113" s="698"/>
      <c r="C113" s="732"/>
      <c r="D113" s="689"/>
      <c r="E113" s="699">
        <v>0</v>
      </c>
      <c r="F113" s="699">
        <v>0</v>
      </c>
      <c r="G113" s="699">
        <v>0</v>
      </c>
      <c r="H113" s="699">
        <v>0</v>
      </c>
      <c r="I113" s="700">
        <f t="shared" si="15"/>
        <v>0</v>
      </c>
      <c r="J113" s="764">
        <v>0</v>
      </c>
      <c r="K113" s="180">
        <v>0</v>
      </c>
      <c r="L113" s="180">
        <v>0</v>
      </c>
      <c r="M113" s="180">
        <v>0</v>
      </c>
      <c r="N113" s="180">
        <v>0</v>
      </c>
      <c r="O113" s="180">
        <v>0</v>
      </c>
      <c r="P113" s="180">
        <v>0</v>
      </c>
      <c r="Q113" s="180">
        <v>0</v>
      </c>
      <c r="R113" s="180">
        <v>0</v>
      </c>
      <c r="S113" s="833">
        <f t="shared" si="16"/>
        <v>0</v>
      </c>
      <c r="T113" s="713"/>
      <c r="U113" s="714"/>
    </row>
    <row r="114" spans="2:21" x14ac:dyDescent="0.2">
      <c r="B114" s="472" t="s">
        <v>438</v>
      </c>
      <c r="C114" s="1573"/>
      <c r="D114" s="1574"/>
      <c r="E114" s="184"/>
      <c r="F114" s="184"/>
      <c r="G114" s="184"/>
      <c r="H114" s="184"/>
      <c r="I114" s="520">
        <f>MIN(I105:I113)</f>
        <v>0</v>
      </c>
      <c r="J114" s="1391"/>
      <c r="K114" s="180">
        <v>0</v>
      </c>
      <c r="L114" s="180">
        <v>0</v>
      </c>
      <c r="M114" s="180">
        <v>0</v>
      </c>
      <c r="N114" s="180">
        <v>0</v>
      </c>
      <c r="O114" s="180">
        <v>0</v>
      </c>
      <c r="P114" s="180">
        <v>0</v>
      </c>
      <c r="Q114" s="180">
        <v>0</v>
      </c>
      <c r="R114" s="180">
        <v>0</v>
      </c>
      <c r="S114" s="833">
        <f t="shared" si="16"/>
        <v>0</v>
      </c>
      <c r="T114" s="803"/>
      <c r="U114" s="804"/>
    </row>
    <row r="115" spans="2:21" ht="12.75" customHeight="1" x14ac:dyDescent="0.2">
      <c r="B115" s="702" t="str">
        <f>B107</f>
        <v>FORTUNATO</v>
      </c>
      <c r="C115" s="689"/>
      <c r="D115" s="581"/>
      <c r="E115" s="533">
        <f>E107</f>
        <v>26545</v>
      </c>
      <c r="F115" s="537"/>
      <c r="G115" s="537">
        <f>G107</f>
        <v>1820</v>
      </c>
      <c r="H115" s="537"/>
      <c r="I115" s="528">
        <f>H115+G115+F115+E115</f>
        <v>28365</v>
      </c>
      <c r="J115" s="538"/>
      <c r="K115" s="527"/>
      <c r="L115" s="527">
        <f>L106</f>
        <v>10180</v>
      </c>
      <c r="M115" s="527">
        <f>M106+M107</f>
        <v>0</v>
      </c>
      <c r="N115" s="527"/>
      <c r="O115" s="527"/>
      <c r="P115" s="527"/>
      <c r="Q115" s="527"/>
      <c r="R115" s="527"/>
      <c r="S115" s="801">
        <f t="shared" si="16"/>
        <v>38545</v>
      </c>
      <c r="T115" s="731"/>
      <c r="U115" s="733"/>
    </row>
    <row r="116" spans="2:21" ht="18.75" customHeight="1" x14ac:dyDescent="0.2">
      <c r="B116" s="703" t="s">
        <v>646</v>
      </c>
      <c r="C116" s="690"/>
      <c r="D116" s="689"/>
      <c r="E116" s="1583" t="s">
        <v>563</v>
      </c>
      <c r="F116" s="1584"/>
      <c r="G116" s="1584"/>
      <c r="H116" s="1584"/>
      <c r="I116" s="1584"/>
      <c r="J116" s="1584"/>
      <c r="K116" s="1584"/>
      <c r="L116" s="1584"/>
      <c r="M116" s="1584"/>
      <c r="N116" s="1584"/>
      <c r="O116" s="1584"/>
      <c r="P116" s="1584"/>
      <c r="Q116" s="1584"/>
      <c r="R116" s="1584"/>
      <c r="S116" s="704"/>
      <c r="T116" s="840"/>
      <c r="U116" s="841"/>
    </row>
    <row r="117" spans="2:21" ht="13.5" customHeight="1" thickBot="1" x14ac:dyDescent="0.25">
      <c r="B117" s="1571" t="s">
        <v>951</v>
      </c>
      <c r="C117" s="1570"/>
      <c r="D117" s="1570"/>
      <c r="E117" s="1570"/>
      <c r="F117" s="1570"/>
      <c r="G117" s="1570"/>
      <c r="H117" s="1570"/>
      <c r="I117" s="1572" t="s">
        <v>1618</v>
      </c>
      <c r="J117" s="1572"/>
      <c r="K117" s="1572"/>
      <c r="L117" s="1572"/>
      <c r="M117" s="1572"/>
      <c r="N117" s="1572"/>
      <c r="O117" s="1572"/>
      <c r="P117" s="1572"/>
      <c r="Q117" s="1572"/>
      <c r="R117" s="1386"/>
      <c r="S117" s="1386"/>
      <c r="T117" s="1386"/>
      <c r="U117" s="1387"/>
    </row>
    <row r="118" spans="2:21" s="503" customFormat="1" ht="25.5" customHeight="1" thickBot="1" x14ac:dyDescent="0.25">
      <c r="B118" s="813" t="s">
        <v>428</v>
      </c>
      <c r="C118" s="814" t="s">
        <v>1658</v>
      </c>
      <c r="D118" s="814" t="s">
        <v>429</v>
      </c>
      <c r="E118" s="815" t="s">
        <v>1614</v>
      </c>
      <c r="F118" s="1589" t="s">
        <v>1615</v>
      </c>
      <c r="G118" s="1589"/>
      <c r="H118" s="830" t="s">
        <v>69</v>
      </c>
      <c r="I118" s="1370" t="str">
        <f>'Project Cost Recap'!$B$65</f>
        <v>#1</v>
      </c>
      <c r="J118" s="1371" t="str">
        <f>'Project Cost Recap'!$B$66</f>
        <v>#2</v>
      </c>
      <c r="K118" s="1371" t="str">
        <f>'Project Cost Recap'!$B$67</f>
        <v>#3</v>
      </c>
      <c r="L118" s="1372" t="str">
        <f>'Project Cost Recap'!$B$68</f>
        <v>#4</v>
      </c>
      <c r="M118" s="1372" t="str">
        <f>'Project Cost Recap'!$B$69</f>
        <v>#5</v>
      </c>
      <c r="N118" s="1372" t="str">
        <f>'Project Cost Recap'!$B$70</f>
        <v>#6</v>
      </c>
      <c r="O118" s="1372" t="str">
        <f>'Project Cost Recap'!$B$71</f>
        <v>#7</v>
      </c>
      <c r="P118" s="1372" t="str">
        <f>'Project Cost Recap'!$B$72</f>
        <v>#8</v>
      </c>
      <c r="Q118" s="546" t="s">
        <v>1726</v>
      </c>
      <c r="R118" s="836"/>
      <c r="S118" s="836"/>
      <c r="T118" s="838"/>
      <c r="U118" s="839"/>
    </row>
    <row r="119" spans="2:21" x14ac:dyDescent="0.2">
      <c r="B119" s="722" t="s">
        <v>566</v>
      </c>
      <c r="C119" s="690"/>
      <c r="D119" s="690"/>
      <c r="E119" s="752">
        <v>0</v>
      </c>
      <c r="F119" s="1590">
        <v>0</v>
      </c>
      <c r="G119" s="1590"/>
      <c r="H119" s="758">
        <f>F119+E119</f>
        <v>0</v>
      </c>
      <c r="I119" s="180">
        <v>0</v>
      </c>
      <c r="J119" s="180">
        <v>0</v>
      </c>
      <c r="K119" s="180">
        <v>0</v>
      </c>
      <c r="L119" s="180">
        <v>0</v>
      </c>
      <c r="M119" s="180">
        <v>0</v>
      </c>
      <c r="N119" s="180">
        <v>0</v>
      </c>
      <c r="O119" s="180">
        <v>0</v>
      </c>
      <c r="P119" s="180">
        <v>0</v>
      </c>
      <c r="Q119" s="833">
        <f>SUM(H119:P119)</f>
        <v>0</v>
      </c>
      <c r="R119" s="713"/>
      <c r="S119" s="713"/>
      <c r="T119" s="713"/>
      <c r="U119" s="714"/>
    </row>
    <row r="120" spans="2:21" x14ac:dyDescent="0.2">
      <c r="B120" s="698">
        <f>'GO-NO-GO CHECKLIST'!B135</f>
        <v>0</v>
      </c>
      <c r="C120" s="715">
        <f>'GO-NO-GO CHECKLIST'!C135</f>
        <v>0</v>
      </c>
      <c r="D120" s="715">
        <f>'GO-NO-GO CHECKLIST'!D135</f>
        <v>0</v>
      </c>
      <c r="E120" s="699">
        <v>0</v>
      </c>
      <c r="F120" s="1598">
        <v>0</v>
      </c>
      <c r="G120" s="1598"/>
      <c r="H120" s="755">
        <f t="shared" ref="H120:H125" si="17">F120+E120</f>
        <v>0</v>
      </c>
      <c r="I120" s="180">
        <v>0</v>
      </c>
      <c r="J120" s="180">
        <v>0</v>
      </c>
      <c r="K120" s="180">
        <v>0</v>
      </c>
      <c r="L120" s="180">
        <v>0</v>
      </c>
      <c r="M120" s="180">
        <v>0</v>
      </c>
      <c r="N120" s="180">
        <v>0</v>
      </c>
      <c r="O120" s="180">
        <v>0</v>
      </c>
      <c r="P120" s="180">
        <v>0</v>
      </c>
      <c r="Q120" s="833">
        <f t="shared" ref="Q120:Q127" si="18">SUM(H120:P120)</f>
        <v>0</v>
      </c>
      <c r="R120" s="713"/>
      <c r="S120" s="713"/>
      <c r="T120" s="713"/>
      <c r="U120" s="714"/>
    </row>
    <row r="121" spans="2:21" x14ac:dyDescent="0.2">
      <c r="B121" s="698">
        <f>'GO-NO-GO CHECKLIST'!B136</f>
        <v>0</v>
      </c>
      <c r="C121" s="715">
        <f>'GO-NO-GO CHECKLIST'!C136</f>
        <v>0</v>
      </c>
      <c r="D121" s="715">
        <f>'GO-NO-GO CHECKLIST'!D136</f>
        <v>0</v>
      </c>
      <c r="E121" s="699">
        <v>0</v>
      </c>
      <c r="F121" s="1598">
        <v>0</v>
      </c>
      <c r="G121" s="1598"/>
      <c r="H121" s="755">
        <f t="shared" si="17"/>
        <v>0</v>
      </c>
      <c r="I121" s="180">
        <v>0</v>
      </c>
      <c r="J121" s="180">
        <v>0</v>
      </c>
      <c r="K121" s="180">
        <v>0</v>
      </c>
      <c r="L121" s="180">
        <v>0</v>
      </c>
      <c r="M121" s="180">
        <v>0</v>
      </c>
      <c r="N121" s="180">
        <v>0</v>
      </c>
      <c r="O121" s="180">
        <v>0</v>
      </c>
      <c r="P121" s="180">
        <v>0</v>
      </c>
      <c r="Q121" s="833">
        <f t="shared" si="18"/>
        <v>0</v>
      </c>
      <c r="R121" s="713"/>
      <c r="S121" s="713"/>
      <c r="T121" s="713"/>
      <c r="U121" s="714"/>
    </row>
    <row r="122" spans="2:21" x14ac:dyDescent="0.2">
      <c r="B122" s="698">
        <f>'GO-NO-GO CHECKLIST'!B137</f>
        <v>0</v>
      </c>
      <c r="C122" s="715">
        <f>'GO-NO-GO CHECKLIST'!C137</f>
        <v>0</v>
      </c>
      <c r="D122" s="715">
        <f>'GO-NO-GO CHECKLIST'!D137</f>
        <v>0</v>
      </c>
      <c r="E122" s="699">
        <v>0</v>
      </c>
      <c r="F122" s="1598">
        <v>0</v>
      </c>
      <c r="G122" s="1598"/>
      <c r="H122" s="755">
        <f t="shared" si="17"/>
        <v>0</v>
      </c>
      <c r="I122" s="180">
        <v>0</v>
      </c>
      <c r="J122" s="180">
        <v>0</v>
      </c>
      <c r="K122" s="180">
        <v>0</v>
      </c>
      <c r="L122" s="180">
        <v>0</v>
      </c>
      <c r="M122" s="180">
        <v>0</v>
      </c>
      <c r="N122" s="180">
        <v>0</v>
      </c>
      <c r="O122" s="180">
        <v>0</v>
      </c>
      <c r="P122" s="180">
        <v>0</v>
      </c>
      <c r="Q122" s="833">
        <f t="shared" si="18"/>
        <v>0</v>
      </c>
      <c r="R122" s="713"/>
      <c r="S122" s="713"/>
      <c r="T122" s="713"/>
      <c r="U122" s="714"/>
    </row>
    <row r="123" spans="2:21" x14ac:dyDescent="0.2">
      <c r="B123" s="698">
        <f>'GO-NO-GO CHECKLIST'!B138</f>
        <v>0</v>
      </c>
      <c r="C123" s="715">
        <f>'GO-NO-GO CHECKLIST'!C138</f>
        <v>0</v>
      </c>
      <c r="D123" s="715">
        <f>'GO-NO-GO CHECKLIST'!D138</f>
        <v>0</v>
      </c>
      <c r="E123" s="699">
        <v>0</v>
      </c>
      <c r="F123" s="1598">
        <v>0</v>
      </c>
      <c r="G123" s="1598"/>
      <c r="H123" s="755">
        <f t="shared" si="17"/>
        <v>0</v>
      </c>
      <c r="I123" s="180">
        <v>0</v>
      </c>
      <c r="J123" s="180">
        <v>0</v>
      </c>
      <c r="K123" s="180">
        <v>0</v>
      </c>
      <c r="L123" s="180">
        <v>0</v>
      </c>
      <c r="M123" s="180">
        <v>0</v>
      </c>
      <c r="N123" s="180">
        <v>0</v>
      </c>
      <c r="O123" s="180">
        <v>0</v>
      </c>
      <c r="P123" s="180">
        <v>0</v>
      </c>
      <c r="Q123" s="833">
        <f t="shared" si="18"/>
        <v>0</v>
      </c>
      <c r="R123" s="713"/>
      <c r="S123" s="713"/>
      <c r="T123" s="713"/>
      <c r="U123" s="714"/>
    </row>
    <row r="124" spans="2:21" x14ac:dyDescent="0.2">
      <c r="B124" s="698">
        <f>'GO-NO-GO CHECKLIST'!B139</f>
        <v>0</v>
      </c>
      <c r="C124" s="715">
        <f>'GO-NO-GO CHECKLIST'!C139</f>
        <v>0</v>
      </c>
      <c r="D124" s="715">
        <f>'GO-NO-GO CHECKLIST'!D139</f>
        <v>0</v>
      </c>
      <c r="E124" s="699">
        <v>0</v>
      </c>
      <c r="F124" s="1598">
        <v>0</v>
      </c>
      <c r="G124" s="1598"/>
      <c r="H124" s="755">
        <f t="shared" si="17"/>
        <v>0</v>
      </c>
      <c r="I124" s="180">
        <v>0</v>
      </c>
      <c r="J124" s="180">
        <v>0</v>
      </c>
      <c r="K124" s="180">
        <v>0</v>
      </c>
      <c r="L124" s="180">
        <v>0</v>
      </c>
      <c r="M124" s="180">
        <v>0</v>
      </c>
      <c r="N124" s="180">
        <v>0</v>
      </c>
      <c r="O124" s="180">
        <v>0</v>
      </c>
      <c r="P124" s="180">
        <v>0</v>
      </c>
      <c r="Q124" s="833">
        <f t="shared" si="18"/>
        <v>0</v>
      </c>
      <c r="R124" s="713"/>
      <c r="S124" s="713"/>
      <c r="T124" s="713"/>
      <c r="U124" s="714"/>
    </row>
    <row r="125" spans="2:21" x14ac:dyDescent="0.2">
      <c r="B125" s="698">
        <f>'GO-NO-GO CHECKLIST'!B140</f>
        <v>0</v>
      </c>
      <c r="C125" s="715">
        <f>'GO-NO-GO CHECKLIST'!C140</f>
        <v>0</v>
      </c>
      <c r="D125" s="715">
        <f>'GO-NO-GO CHECKLIST'!D140</f>
        <v>0</v>
      </c>
      <c r="E125" s="699">
        <v>0</v>
      </c>
      <c r="F125" s="1598">
        <v>0</v>
      </c>
      <c r="G125" s="1598"/>
      <c r="H125" s="755">
        <f t="shared" si="17"/>
        <v>0</v>
      </c>
      <c r="I125" s="180">
        <v>0</v>
      </c>
      <c r="J125" s="180">
        <v>0</v>
      </c>
      <c r="K125" s="180">
        <v>0</v>
      </c>
      <c r="L125" s="180">
        <v>0</v>
      </c>
      <c r="M125" s="180">
        <v>0</v>
      </c>
      <c r="N125" s="180">
        <v>0</v>
      </c>
      <c r="O125" s="180">
        <v>0</v>
      </c>
      <c r="P125" s="180">
        <v>0</v>
      </c>
      <c r="Q125" s="833">
        <f t="shared" si="18"/>
        <v>0</v>
      </c>
      <c r="R125" s="713"/>
      <c r="S125" s="713"/>
      <c r="T125" s="713"/>
      <c r="U125" s="714"/>
    </row>
    <row r="126" spans="2:21" x14ac:dyDescent="0.2">
      <c r="B126" s="472" t="s">
        <v>438</v>
      </c>
      <c r="C126" s="1573"/>
      <c r="D126" s="1574"/>
      <c r="E126" s="182"/>
      <c r="F126" s="1599"/>
      <c r="G126" s="1600"/>
      <c r="H126" s="759">
        <f>MIN(H119:H125)</f>
        <v>0</v>
      </c>
      <c r="I126" s="180">
        <v>0</v>
      </c>
      <c r="J126" s="180">
        <v>0</v>
      </c>
      <c r="K126" s="180">
        <v>0</v>
      </c>
      <c r="L126" s="180">
        <v>0</v>
      </c>
      <c r="M126" s="180">
        <v>0</v>
      </c>
      <c r="N126" s="180">
        <v>0</v>
      </c>
      <c r="O126" s="180">
        <v>0</v>
      </c>
      <c r="P126" s="180">
        <v>0</v>
      </c>
      <c r="Q126" s="833">
        <f t="shared" si="18"/>
        <v>0</v>
      </c>
      <c r="R126" s="803"/>
      <c r="S126" s="803"/>
      <c r="T126" s="803"/>
      <c r="U126" s="804"/>
    </row>
    <row r="127" spans="2:21" ht="12.75" customHeight="1" x14ac:dyDescent="0.2">
      <c r="B127" s="702"/>
      <c r="C127" s="580"/>
      <c r="D127" s="581"/>
      <c r="E127" s="534"/>
      <c r="F127" s="1586"/>
      <c r="G127" s="1587"/>
      <c r="H127" s="527">
        <f>F127+E127</f>
        <v>0</v>
      </c>
      <c r="I127" s="527"/>
      <c r="J127" s="527"/>
      <c r="K127" s="527"/>
      <c r="L127" s="527"/>
      <c r="M127" s="527"/>
      <c r="N127" s="527"/>
      <c r="O127" s="527"/>
      <c r="P127" s="527"/>
      <c r="Q127" s="801">
        <f t="shared" si="18"/>
        <v>0</v>
      </c>
      <c r="R127" s="723"/>
      <c r="S127" s="723"/>
      <c r="T127" s="723"/>
      <c r="U127" s="728"/>
    </row>
    <row r="128" spans="2:21" ht="15" customHeight="1" x14ac:dyDescent="0.2">
      <c r="B128" s="703" t="s">
        <v>646</v>
      </c>
      <c r="C128" s="690"/>
      <c r="D128" s="689"/>
      <c r="E128" s="1583" t="s">
        <v>563</v>
      </c>
      <c r="F128" s="1584"/>
      <c r="G128" s="1584"/>
      <c r="H128" s="1584"/>
      <c r="I128" s="1584"/>
      <c r="J128" s="1584"/>
      <c r="K128" s="1584"/>
      <c r="L128" s="1584"/>
      <c r="M128" s="1584"/>
      <c r="N128" s="1584"/>
      <c r="O128" s="1584"/>
      <c r="P128" s="1584"/>
      <c r="Q128" s="704"/>
      <c r="R128" s="704"/>
      <c r="S128" s="704"/>
      <c r="T128" s="704"/>
      <c r="U128" s="705"/>
    </row>
    <row r="129" spans="2:21" ht="13.5" thickBot="1" x14ac:dyDescent="0.25">
      <c r="B129" s="1571" t="s">
        <v>426</v>
      </c>
      <c r="C129" s="1570"/>
      <c r="D129" s="1570"/>
      <c r="E129" s="1570"/>
      <c r="F129" s="1570"/>
      <c r="G129" s="1570" t="s">
        <v>1618</v>
      </c>
      <c r="H129" s="1570"/>
      <c r="I129" s="1570"/>
      <c r="J129" s="1570"/>
      <c r="K129" s="1570"/>
      <c r="L129" s="1570"/>
      <c r="M129" s="1570"/>
      <c r="N129" s="1570"/>
      <c r="O129" s="1570"/>
      <c r="P129" s="1386"/>
      <c r="Q129" s="1386"/>
      <c r="R129" s="1386"/>
      <c r="S129" s="1386"/>
      <c r="T129" s="1386"/>
      <c r="U129" s="1387"/>
    </row>
    <row r="130" spans="2:21" s="503" customFormat="1" ht="25.5" customHeight="1" thickBot="1" x14ac:dyDescent="0.25">
      <c r="B130" s="813" t="s">
        <v>428</v>
      </c>
      <c r="C130" s="814" t="s">
        <v>1658</v>
      </c>
      <c r="D130" s="814" t="s">
        <v>429</v>
      </c>
      <c r="E130" s="816" t="s">
        <v>173</v>
      </c>
      <c r="F130" s="830" t="s">
        <v>69</v>
      </c>
      <c r="G130" s="1370" t="str">
        <f>'Project Cost Recap'!$B$65</f>
        <v>#1</v>
      </c>
      <c r="H130" s="1371" t="str">
        <f>'Project Cost Recap'!$B$66</f>
        <v>#2</v>
      </c>
      <c r="I130" s="1371" t="str">
        <f>'Project Cost Recap'!$B$67</f>
        <v>#3</v>
      </c>
      <c r="J130" s="1372" t="str">
        <f>'Project Cost Recap'!$B$68</f>
        <v>#4</v>
      </c>
      <c r="K130" s="1372" t="str">
        <f>'Project Cost Recap'!$B$69</f>
        <v>#5</v>
      </c>
      <c r="L130" s="1372" t="str">
        <f>'Project Cost Recap'!$B$70</f>
        <v>#6</v>
      </c>
      <c r="M130" s="1372" t="str">
        <f>'Project Cost Recap'!$B$71</f>
        <v>#7</v>
      </c>
      <c r="N130" s="1372" t="str">
        <f>'Project Cost Recap'!$B$72</f>
        <v>#8</v>
      </c>
      <c r="O130" s="546" t="s">
        <v>1726</v>
      </c>
      <c r="P130" s="836"/>
      <c r="Q130" s="836"/>
      <c r="R130" s="836"/>
      <c r="S130" s="836"/>
      <c r="T130" s="836"/>
      <c r="U130" s="837"/>
    </row>
    <row r="131" spans="2:21" x14ac:dyDescent="0.2">
      <c r="B131" s="722" t="s">
        <v>566</v>
      </c>
      <c r="C131" s="690"/>
      <c r="D131" s="690"/>
      <c r="E131" s="752">
        <v>0</v>
      </c>
      <c r="F131" s="758">
        <f>E131</f>
        <v>0</v>
      </c>
      <c r="G131" s="180">
        <v>0</v>
      </c>
      <c r="H131" s="180">
        <v>0</v>
      </c>
      <c r="I131" s="180">
        <v>0</v>
      </c>
      <c r="J131" s="180">
        <v>0</v>
      </c>
      <c r="K131" s="180">
        <v>0</v>
      </c>
      <c r="L131" s="180">
        <v>0</v>
      </c>
      <c r="M131" s="180">
        <v>0</v>
      </c>
      <c r="N131" s="180">
        <v>0</v>
      </c>
      <c r="O131" s="833">
        <f>SUM(F131:N131)</f>
        <v>0</v>
      </c>
      <c r="P131" s="713"/>
      <c r="Q131" s="713"/>
      <c r="R131" s="713"/>
      <c r="S131" s="713"/>
      <c r="T131" s="713"/>
      <c r="U131" s="714"/>
    </row>
    <row r="132" spans="2:21" x14ac:dyDescent="0.2">
      <c r="B132" s="698"/>
      <c r="C132" s="690"/>
      <c r="D132" s="690"/>
      <c r="E132" s="699">
        <v>0</v>
      </c>
      <c r="F132" s="755">
        <f t="shared" ref="F132:F137" si="19">E132</f>
        <v>0</v>
      </c>
      <c r="G132" s="180">
        <v>0</v>
      </c>
      <c r="H132" s="180">
        <v>0</v>
      </c>
      <c r="I132" s="180">
        <v>0</v>
      </c>
      <c r="J132" s="180">
        <v>0</v>
      </c>
      <c r="K132" s="180">
        <v>0</v>
      </c>
      <c r="L132" s="180">
        <v>0</v>
      </c>
      <c r="M132" s="180">
        <v>0</v>
      </c>
      <c r="N132" s="180">
        <v>0</v>
      </c>
      <c r="O132" s="833">
        <f t="shared" ref="O132:O139" si="20">SUM(F132:N132)</f>
        <v>0</v>
      </c>
      <c r="P132" s="713"/>
      <c r="Q132" s="713"/>
      <c r="R132" s="713"/>
      <c r="S132" s="713"/>
      <c r="T132" s="713"/>
      <c r="U132" s="714"/>
    </row>
    <row r="133" spans="2:21" x14ac:dyDescent="0.2">
      <c r="B133" s="722"/>
      <c r="C133" s="690"/>
      <c r="D133" s="690"/>
      <c r="E133" s="699">
        <v>0</v>
      </c>
      <c r="F133" s="755">
        <f t="shared" si="19"/>
        <v>0</v>
      </c>
      <c r="G133" s="180">
        <v>0</v>
      </c>
      <c r="H133" s="180">
        <v>0</v>
      </c>
      <c r="I133" s="180">
        <v>0</v>
      </c>
      <c r="J133" s="180">
        <v>0</v>
      </c>
      <c r="K133" s="180">
        <v>0</v>
      </c>
      <c r="L133" s="180">
        <v>0</v>
      </c>
      <c r="M133" s="180">
        <v>0</v>
      </c>
      <c r="N133" s="180">
        <v>0</v>
      </c>
      <c r="O133" s="833">
        <f t="shared" si="20"/>
        <v>0</v>
      </c>
      <c r="P133" s="713"/>
      <c r="Q133" s="713"/>
      <c r="R133" s="713"/>
      <c r="S133" s="713"/>
      <c r="T133" s="713"/>
      <c r="U133" s="714"/>
    </row>
    <row r="134" spans="2:21" x14ac:dyDescent="0.2">
      <c r="B134" s="722"/>
      <c r="C134" s="690"/>
      <c r="D134" s="690"/>
      <c r="E134" s="699">
        <v>0</v>
      </c>
      <c r="F134" s="755">
        <f t="shared" si="19"/>
        <v>0</v>
      </c>
      <c r="G134" s="180">
        <v>0</v>
      </c>
      <c r="H134" s="180">
        <v>0</v>
      </c>
      <c r="I134" s="180">
        <v>0</v>
      </c>
      <c r="J134" s="180">
        <v>0</v>
      </c>
      <c r="K134" s="180">
        <v>0</v>
      </c>
      <c r="L134" s="180">
        <v>0</v>
      </c>
      <c r="M134" s="180">
        <v>0</v>
      </c>
      <c r="N134" s="180">
        <v>0</v>
      </c>
      <c r="O134" s="833">
        <f t="shared" si="20"/>
        <v>0</v>
      </c>
      <c r="P134" s="713"/>
      <c r="Q134" s="713"/>
      <c r="R134" s="713"/>
      <c r="S134" s="713"/>
      <c r="T134" s="713"/>
      <c r="U134" s="714"/>
    </row>
    <row r="135" spans="2:21" x14ac:dyDescent="0.2">
      <c r="B135" s="722"/>
      <c r="C135" s="690"/>
      <c r="D135" s="690"/>
      <c r="E135" s="699">
        <v>0</v>
      </c>
      <c r="F135" s="755">
        <f t="shared" si="19"/>
        <v>0</v>
      </c>
      <c r="G135" s="180">
        <v>0</v>
      </c>
      <c r="H135" s="180">
        <v>0</v>
      </c>
      <c r="I135" s="180">
        <v>0</v>
      </c>
      <c r="J135" s="180">
        <v>0</v>
      </c>
      <c r="K135" s="180">
        <v>0</v>
      </c>
      <c r="L135" s="180">
        <v>0</v>
      </c>
      <c r="M135" s="180">
        <v>0</v>
      </c>
      <c r="N135" s="180">
        <v>0</v>
      </c>
      <c r="O135" s="833">
        <f t="shared" si="20"/>
        <v>0</v>
      </c>
      <c r="P135" s="713"/>
      <c r="Q135" s="713"/>
      <c r="R135" s="713"/>
      <c r="S135" s="713"/>
      <c r="T135" s="713"/>
      <c r="U135" s="714"/>
    </row>
    <row r="136" spans="2:21" x14ac:dyDescent="0.2">
      <c r="B136" s="722"/>
      <c r="C136" s="690"/>
      <c r="D136" s="690"/>
      <c r="E136" s="699">
        <v>0</v>
      </c>
      <c r="F136" s="755">
        <f t="shared" si="19"/>
        <v>0</v>
      </c>
      <c r="G136" s="180">
        <v>0</v>
      </c>
      <c r="H136" s="180">
        <v>0</v>
      </c>
      <c r="I136" s="180">
        <v>0</v>
      </c>
      <c r="J136" s="180">
        <v>0</v>
      </c>
      <c r="K136" s="180">
        <v>0</v>
      </c>
      <c r="L136" s="180">
        <v>0</v>
      </c>
      <c r="M136" s="180">
        <v>0</v>
      </c>
      <c r="N136" s="180">
        <v>0</v>
      </c>
      <c r="O136" s="833">
        <f t="shared" si="20"/>
        <v>0</v>
      </c>
      <c r="P136" s="713"/>
      <c r="Q136" s="713"/>
      <c r="R136" s="713"/>
      <c r="S136" s="713"/>
      <c r="T136" s="713"/>
      <c r="U136" s="714"/>
    </row>
    <row r="137" spans="2:21" x14ac:dyDescent="0.2">
      <c r="B137" s="722"/>
      <c r="C137" s="690"/>
      <c r="D137" s="690"/>
      <c r="E137" s="699">
        <v>0</v>
      </c>
      <c r="F137" s="755">
        <f t="shared" si="19"/>
        <v>0</v>
      </c>
      <c r="G137" s="180">
        <v>0</v>
      </c>
      <c r="H137" s="180">
        <v>0</v>
      </c>
      <c r="I137" s="180">
        <v>0</v>
      </c>
      <c r="J137" s="180">
        <v>0</v>
      </c>
      <c r="K137" s="180">
        <v>0</v>
      </c>
      <c r="L137" s="180">
        <v>0</v>
      </c>
      <c r="M137" s="180">
        <v>0</v>
      </c>
      <c r="N137" s="180">
        <v>0</v>
      </c>
      <c r="O137" s="833">
        <f t="shared" si="20"/>
        <v>0</v>
      </c>
      <c r="P137" s="713"/>
      <c r="Q137" s="713"/>
      <c r="R137" s="713"/>
      <c r="S137" s="713"/>
      <c r="T137" s="713"/>
      <c r="U137" s="714"/>
    </row>
    <row r="138" spans="2:21" x14ac:dyDescent="0.2">
      <c r="B138" s="472" t="s">
        <v>438</v>
      </c>
      <c r="C138" s="1573"/>
      <c r="D138" s="1574"/>
      <c r="E138" s="182"/>
      <c r="F138" s="759">
        <f>MIN(F131:F137)</f>
        <v>0</v>
      </c>
      <c r="G138" s="1379">
        <v>0</v>
      </c>
      <c r="H138" s="1380">
        <v>0</v>
      </c>
      <c r="I138" s="1380">
        <v>0</v>
      </c>
      <c r="J138" s="1380">
        <v>0</v>
      </c>
      <c r="K138" s="1380">
        <v>0</v>
      </c>
      <c r="L138" s="1380">
        <v>0</v>
      </c>
      <c r="M138" s="1380">
        <v>0</v>
      </c>
      <c r="N138" s="1392">
        <v>0</v>
      </c>
      <c r="O138" s="833">
        <f t="shared" si="20"/>
        <v>0</v>
      </c>
      <c r="P138" s="803"/>
      <c r="Q138" s="803"/>
      <c r="R138" s="803"/>
      <c r="S138" s="803"/>
      <c r="T138" s="803"/>
      <c r="U138" s="804"/>
    </row>
    <row r="139" spans="2:21" ht="12.75" customHeight="1" x14ac:dyDescent="0.2">
      <c r="B139" s="702"/>
      <c r="C139" s="689"/>
      <c r="D139" s="689"/>
      <c r="E139" s="539"/>
      <c r="F139" s="527">
        <f>E139</f>
        <v>0</v>
      </c>
      <c r="G139" s="806"/>
      <c r="H139" s="806"/>
      <c r="I139" s="806"/>
      <c r="J139" s="806"/>
      <c r="K139" s="806"/>
      <c r="L139" s="806"/>
      <c r="M139" s="806"/>
      <c r="N139" s="806"/>
      <c r="O139" s="801">
        <f t="shared" si="20"/>
        <v>0</v>
      </c>
      <c r="P139" s="729"/>
      <c r="Q139" s="729"/>
      <c r="R139" s="729"/>
      <c r="S139" s="729"/>
      <c r="T139" s="729"/>
      <c r="U139" s="730"/>
    </row>
    <row r="140" spans="2:21" ht="16.5" customHeight="1" x14ac:dyDescent="0.2">
      <c r="B140" s="703" t="s">
        <v>646</v>
      </c>
      <c r="C140" s="690"/>
      <c r="D140" s="689"/>
      <c r="E140" s="1583" t="s">
        <v>563</v>
      </c>
      <c r="F140" s="1584"/>
      <c r="G140" s="1584"/>
      <c r="H140" s="1584"/>
      <c r="I140" s="1584"/>
      <c r="J140" s="1584"/>
      <c r="K140" s="1584"/>
      <c r="L140" s="1584"/>
      <c r="M140" s="1584"/>
      <c r="N140" s="1584"/>
      <c r="O140" s="704"/>
      <c r="P140" s="704"/>
      <c r="Q140" s="704"/>
      <c r="R140" s="704"/>
      <c r="S140" s="704"/>
      <c r="T140" s="704"/>
      <c r="U140" s="705"/>
    </row>
    <row r="141" spans="2:21" ht="13.5" thickBot="1" x14ac:dyDescent="0.25">
      <c r="B141" s="1571" t="s">
        <v>1700</v>
      </c>
      <c r="C141" s="1570"/>
      <c r="D141" s="1570"/>
      <c r="E141" s="1570"/>
      <c r="F141" s="1570"/>
      <c r="G141" s="1570" t="s">
        <v>1618</v>
      </c>
      <c r="H141" s="1570"/>
      <c r="I141" s="1570"/>
      <c r="J141" s="1570"/>
      <c r="K141" s="1570"/>
      <c r="L141" s="1570"/>
      <c r="M141" s="1570"/>
      <c r="N141" s="1570"/>
      <c r="O141" s="1570"/>
      <c r="P141" s="1386"/>
      <c r="Q141" s="1386"/>
      <c r="R141" s="1386"/>
      <c r="S141" s="1386"/>
      <c r="T141" s="1386"/>
      <c r="U141" s="1387"/>
    </row>
    <row r="142" spans="2:21" s="503" customFormat="1" ht="30.75" customHeight="1" thickBot="1" x14ac:dyDescent="0.25">
      <c r="B142" s="813" t="s">
        <v>428</v>
      </c>
      <c r="C142" s="814" t="s">
        <v>1658</v>
      </c>
      <c r="D142" s="814" t="s">
        <v>429</v>
      </c>
      <c r="E142" s="816" t="s">
        <v>1702</v>
      </c>
      <c r="F142" s="830" t="s">
        <v>1690</v>
      </c>
      <c r="G142" s="1370" t="str">
        <f>'Project Cost Recap'!$B$65</f>
        <v>#1</v>
      </c>
      <c r="H142" s="1371" t="str">
        <f>'Project Cost Recap'!$B$66</f>
        <v>#2</v>
      </c>
      <c r="I142" s="1371" t="str">
        <f>'Project Cost Recap'!$B$67</f>
        <v>#3</v>
      </c>
      <c r="J142" s="1372" t="str">
        <f>'Project Cost Recap'!$B$68</f>
        <v>#4</v>
      </c>
      <c r="K142" s="1372" t="str">
        <f>'Project Cost Recap'!$B$69</f>
        <v>#5</v>
      </c>
      <c r="L142" s="1372" t="str">
        <f>'Project Cost Recap'!$B$70</f>
        <v>#6</v>
      </c>
      <c r="M142" s="1372" t="str">
        <f>'Project Cost Recap'!$B$71</f>
        <v>#7</v>
      </c>
      <c r="N142" s="1372" t="str">
        <f>'Project Cost Recap'!$B$72</f>
        <v>#8</v>
      </c>
      <c r="O142" s="546" t="s">
        <v>1726</v>
      </c>
      <c r="P142" s="836"/>
      <c r="Q142" s="836"/>
      <c r="R142" s="836"/>
      <c r="S142" s="836"/>
      <c r="T142" s="836"/>
      <c r="U142" s="837"/>
    </row>
    <row r="143" spans="2:21" ht="12.75" customHeight="1" x14ac:dyDescent="0.2">
      <c r="B143" s="722" t="s">
        <v>566</v>
      </c>
      <c r="C143" s="689"/>
      <c r="D143" s="690"/>
      <c r="E143" s="752">
        <v>0</v>
      </c>
      <c r="F143" s="758">
        <f>E143</f>
        <v>0</v>
      </c>
      <c r="G143" s="180">
        <v>0</v>
      </c>
      <c r="H143" s="180">
        <v>0</v>
      </c>
      <c r="I143" s="180">
        <v>0</v>
      </c>
      <c r="J143" s="180">
        <v>0</v>
      </c>
      <c r="K143" s="180">
        <v>0</v>
      </c>
      <c r="L143" s="180">
        <v>0</v>
      </c>
      <c r="M143" s="180">
        <v>0</v>
      </c>
      <c r="N143" s="180">
        <v>0</v>
      </c>
      <c r="O143" s="833">
        <f>SUM(F143:N143)</f>
        <v>0</v>
      </c>
      <c r="P143" s="713"/>
      <c r="Q143" s="713"/>
      <c r="R143" s="713"/>
      <c r="S143" s="713"/>
      <c r="T143" s="713"/>
      <c r="U143" s="714"/>
    </row>
    <row r="144" spans="2:21" x14ac:dyDescent="0.2">
      <c r="B144" s="698">
        <f>'GO-NO-GO CHECKLIST'!B143</f>
        <v>0</v>
      </c>
      <c r="C144" s="715">
        <f>'GO-NO-GO CHECKLIST'!J143</f>
        <v>0</v>
      </c>
      <c r="D144" s="715">
        <f>'GO-NO-GO CHECKLIST'!K143</f>
        <v>0</v>
      </c>
      <c r="E144" s="699">
        <v>0</v>
      </c>
      <c r="F144" s="755">
        <f t="shared" ref="F144:F149" si="21">E144</f>
        <v>0</v>
      </c>
      <c r="G144" s="180">
        <v>0</v>
      </c>
      <c r="H144" s="180">
        <v>0</v>
      </c>
      <c r="I144" s="180">
        <v>0</v>
      </c>
      <c r="J144" s="180">
        <v>0</v>
      </c>
      <c r="K144" s="180">
        <v>0</v>
      </c>
      <c r="L144" s="180">
        <v>0</v>
      </c>
      <c r="M144" s="180">
        <v>0</v>
      </c>
      <c r="N144" s="180">
        <v>0</v>
      </c>
      <c r="O144" s="833">
        <f t="shared" ref="O144:O151" si="22">SUM(F144:N144)</f>
        <v>0</v>
      </c>
      <c r="P144" s="713"/>
      <c r="Q144" s="713"/>
      <c r="R144" s="713"/>
      <c r="S144" s="713"/>
      <c r="T144" s="713"/>
      <c r="U144" s="714"/>
    </row>
    <row r="145" spans="2:21" x14ac:dyDescent="0.2">
      <c r="B145" s="698">
        <f>'GO-NO-GO CHECKLIST'!B144</f>
        <v>0</v>
      </c>
      <c r="C145" s="715">
        <f>'GO-NO-GO CHECKLIST'!J144</f>
        <v>0</v>
      </c>
      <c r="D145" s="715">
        <f>'GO-NO-GO CHECKLIST'!K144</f>
        <v>0</v>
      </c>
      <c r="E145" s="699">
        <v>0</v>
      </c>
      <c r="F145" s="755">
        <f t="shared" si="21"/>
        <v>0</v>
      </c>
      <c r="G145" s="180">
        <v>0</v>
      </c>
      <c r="H145" s="180">
        <v>0</v>
      </c>
      <c r="I145" s="180">
        <v>0</v>
      </c>
      <c r="J145" s="180">
        <v>0</v>
      </c>
      <c r="K145" s="180">
        <v>0</v>
      </c>
      <c r="L145" s="180">
        <v>0</v>
      </c>
      <c r="M145" s="180">
        <v>0</v>
      </c>
      <c r="N145" s="180">
        <v>0</v>
      </c>
      <c r="O145" s="833">
        <f t="shared" si="22"/>
        <v>0</v>
      </c>
      <c r="P145" s="713"/>
      <c r="Q145" s="713"/>
      <c r="R145" s="713"/>
      <c r="S145" s="713"/>
      <c r="T145" s="713"/>
      <c r="U145" s="714"/>
    </row>
    <row r="146" spans="2:21" x14ac:dyDescent="0.2">
      <c r="B146" s="698">
        <f>'GO-NO-GO CHECKLIST'!B145</f>
        <v>0</v>
      </c>
      <c r="C146" s="715">
        <f>'GO-NO-GO CHECKLIST'!J145</f>
        <v>0</v>
      </c>
      <c r="D146" s="715">
        <f>'GO-NO-GO CHECKLIST'!K145</f>
        <v>0</v>
      </c>
      <c r="E146" s="699">
        <v>0</v>
      </c>
      <c r="F146" s="755">
        <f t="shared" si="21"/>
        <v>0</v>
      </c>
      <c r="G146" s="180">
        <v>0</v>
      </c>
      <c r="H146" s="180">
        <v>0</v>
      </c>
      <c r="I146" s="180">
        <v>0</v>
      </c>
      <c r="J146" s="180">
        <v>0</v>
      </c>
      <c r="K146" s="180">
        <v>0</v>
      </c>
      <c r="L146" s="180">
        <v>0</v>
      </c>
      <c r="M146" s="180">
        <v>0</v>
      </c>
      <c r="N146" s="180">
        <v>0</v>
      </c>
      <c r="O146" s="833">
        <f t="shared" si="22"/>
        <v>0</v>
      </c>
      <c r="P146" s="713"/>
      <c r="Q146" s="713"/>
      <c r="R146" s="713"/>
      <c r="S146" s="713"/>
      <c r="T146" s="713"/>
      <c r="U146" s="714"/>
    </row>
    <row r="147" spans="2:21" x14ac:dyDescent="0.2">
      <c r="B147" s="698">
        <f>'GO-NO-GO CHECKLIST'!B146</f>
        <v>0</v>
      </c>
      <c r="C147" s="715">
        <f>'GO-NO-GO CHECKLIST'!J146</f>
        <v>0</v>
      </c>
      <c r="D147" s="715">
        <f>'GO-NO-GO CHECKLIST'!K146</f>
        <v>0</v>
      </c>
      <c r="E147" s="699">
        <v>0</v>
      </c>
      <c r="F147" s="755">
        <f t="shared" si="21"/>
        <v>0</v>
      </c>
      <c r="G147" s="180">
        <v>0</v>
      </c>
      <c r="H147" s="180">
        <v>0</v>
      </c>
      <c r="I147" s="180">
        <v>0</v>
      </c>
      <c r="J147" s="180">
        <v>0</v>
      </c>
      <c r="K147" s="180">
        <v>0</v>
      </c>
      <c r="L147" s="180">
        <v>0</v>
      </c>
      <c r="M147" s="180">
        <v>0</v>
      </c>
      <c r="N147" s="180">
        <v>0</v>
      </c>
      <c r="O147" s="833">
        <f t="shared" si="22"/>
        <v>0</v>
      </c>
      <c r="P147" s="713"/>
      <c r="Q147" s="713"/>
      <c r="R147" s="713"/>
      <c r="S147" s="713"/>
      <c r="T147" s="713"/>
      <c r="U147" s="714"/>
    </row>
    <row r="148" spans="2:21" x14ac:dyDescent="0.2">
      <c r="B148" s="698">
        <f>'GO-NO-GO CHECKLIST'!B147</f>
        <v>0</v>
      </c>
      <c r="C148" s="715">
        <f>'GO-NO-GO CHECKLIST'!J147</f>
        <v>0</v>
      </c>
      <c r="D148" s="715">
        <f>'GO-NO-GO CHECKLIST'!K147</f>
        <v>0</v>
      </c>
      <c r="E148" s="699">
        <v>0</v>
      </c>
      <c r="F148" s="755">
        <f t="shared" si="21"/>
        <v>0</v>
      </c>
      <c r="G148" s="180">
        <v>0</v>
      </c>
      <c r="H148" s="180">
        <v>0</v>
      </c>
      <c r="I148" s="180">
        <v>0</v>
      </c>
      <c r="J148" s="180">
        <v>0</v>
      </c>
      <c r="K148" s="180">
        <v>0</v>
      </c>
      <c r="L148" s="180">
        <v>0</v>
      </c>
      <c r="M148" s="180">
        <v>0</v>
      </c>
      <c r="N148" s="180">
        <v>0</v>
      </c>
      <c r="O148" s="833">
        <f t="shared" si="22"/>
        <v>0</v>
      </c>
      <c r="P148" s="713"/>
      <c r="Q148" s="713"/>
      <c r="R148" s="713"/>
      <c r="S148" s="713"/>
      <c r="T148" s="713"/>
      <c r="U148" s="714"/>
    </row>
    <row r="149" spans="2:21" x14ac:dyDescent="0.2">
      <c r="B149" s="698">
        <f>'GO-NO-GO CHECKLIST'!B148</f>
        <v>0</v>
      </c>
      <c r="C149" s="715">
        <f>'GO-NO-GO CHECKLIST'!J148</f>
        <v>0</v>
      </c>
      <c r="D149" s="715">
        <f>'GO-NO-GO CHECKLIST'!K148</f>
        <v>0</v>
      </c>
      <c r="E149" s="699">
        <v>0</v>
      </c>
      <c r="F149" s="755">
        <f t="shared" si="21"/>
        <v>0</v>
      </c>
      <c r="G149" s="180">
        <v>0</v>
      </c>
      <c r="H149" s="180">
        <v>0</v>
      </c>
      <c r="I149" s="180">
        <v>0</v>
      </c>
      <c r="J149" s="180">
        <v>0</v>
      </c>
      <c r="K149" s="180">
        <v>0</v>
      </c>
      <c r="L149" s="180">
        <v>0</v>
      </c>
      <c r="M149" s="180">
        <v>0</v>
      </c>
      <c r="N149" s="180">
        <v>0</v>
      </c>
      <c r="O149" s="833">
        <f t="shared" si="22"/>
        <v>0</v>
      </c>
      <c r="P149" s="713"/>
      <c r="Q149" s="713"/>
      <c r="R149" s="713"/>
      <c r="S149" s="713"/>
      <c r="T149" s="713"/>
      <c r="U149" s="714"/>
    </row>
    <row r="150" spans="2:21" x14ac:dyDescent="0.2">
      <c r="B150" s="472" t="s">
        <v>438</v>
      </c>
      <c r="C150" s="1573"/>
      <c r="D150" s="1574"/>
      <c r="E150" s="182"/>
      <c r="F150" s="759">
        <f>MIN(F143:F149)</f>
        <v>0</v>
      </c>
      <c r="G150" s="1379">
        <v>0</v>
      </c>
      <c r="H150" s="1380">
        <v>0</v>
      </c>
      <c r="I150" s="1380">
        <v>0</v>
      </c>
      <c r="J150" s="1380">
        <v>0</v>
      </c>
      <c r="K150" s="1380">
        <v>0</v>
      </c>
      <c r="L150" s="1380">
        <v>0</v>
      </c>
      <c r="M150" s="1380">
        <v>0</v>
      </c>
      <c r="N150" s="1392">
        <v>0</v>
      </c>
      <c r="O150" s="833">
        <f t="shared" si="22"/>
        <v>0</v>
      </c>
      <c r="P150" s="803"/>
      <c r="Q150" s="803"/>
      <c r="R150" s="803"/>
      <c r="S150" s="803"/>
      <c r="T150" s="803"/>
      <c r="U150" s="804"/>
    </row>
    <row r="151" spans="2:21" ht="12.75" customHeight="1" x14ac:dyDescent="0.2">
      <c r="B151" s="702"/>
      <c r="C151" s="689"/>
      <c r="D151" s="581"/>
      <c r="E151" s="809"/>
      <c r="F151" s="527">
        <f>E151</f>
        <v>0</v>
      </c>
      <c r="G151" s="806"/>
      <c r="H151" s="806"/>
      <c r="I151" s="806"/>
      <c r="J151" s="806"/>
      <c r="K151" s="806"/>
      <c r="L151" s="806"/>
      <c r="M151" s="806"/>
      <c r="N151" s="806"/>
      <c r="O151" s="801">
        <f t="shared" si="22"/>
        <v>0</v>
      </c>
      <c r="P151" s="734"/>
      <c r="Q151" s="734"/>
      <c r="R151" s="734"/>
      <c r="S151" s="734"/>
      <c r="T151" s="734"/>
      <c r="U151" s="735"/>
    </row>
    <row r="152" spans="2:21" ht="12.75" customHeight="1" x14ac:dyDescent="0.2">
      <c r="B152" s="703" t="s">
        <v>646</v>
      </c>
      <c r="C152" s="690"/>
      <c r="D152" s="616"/>
      <c r="E152" s="1592" t="s">
        <v>563</v>
      </c>
      <c r="F152" s="1575"/>
      <c r="G152" s="1575"/>
      <c r="H152" s="1575"/>
      <c r="I152" s="1575"/>
      <c r="J152" s="1575"/>
      <c r="K152" s="1575"/>
      <c r="L152" s="1575"/>
      <c r="M152" s="1575"/>
      <c r="N152" s="1575"/>
      <c r="O152" s="734"/>
      <c r="P152" s="734"/>
      <c r="Q152" s="734"/>
      <c r="R152" s="734"/>
      <c r="S152" s="734"/>
      <c r="T152" s="734"/>
      <c r="U152" s="735"/>
    </row>
    <row r="153" spans="2:21" ht="13.5" thickBot="1" x14ac:dyDescent="0.25">
      <c r="B153" s="1571" t="s">
        <v>123</v>
      </c>
      <c r="C153" s="1570"/>
      <c r="D153" s="1570"/>
      <c r="E153" s="1570"/>
      <c r="F153" s="1570"/>
      <c r="G153" s="1570"/>
      <c r="H153" s="1570"/>
      <c r="I153" s="1570"/>
      <c r="J153" s="1570"/>
      <c r="K153" s="1570"/>
      <c r="L153" s="1570"/>
      <c r="M153" s="1570" t="s">
        <v>1618</v>
      </c>
      <c r="N153" s="1570"/>
      <c r="O153" s="1570"/>
      <c r="P153" s="1570"/>
      <c r="Q153" s="1570"/>
      <c r="R153" s="1570"/>
      <c r="S153" s="1570"/>
      <c r="T153" s="1570"/>
      <c r="U153" s="1588"/>
    </row>
    <row r="154" spans="2:21" s="503" customFormat="1" ht="54" customHeight="1" thickBot="1" x14ac:dyDescent="0.25">
      <c r="B154" s="813" t="s">
        <v>428</v>
      </c>
      <c r="C154" s="814" t="s">
        <v>1658</v>
      </c>
      <c r="D154" s="814" t="s">
        <v>429</v>
      </c>
      <c r="E154" s="816" t="s">
        <v>1604</v>
      </c>
      <c r="F154" s="817" t="s">
        <v>1690</v>
      </c>
      <c r="G154" s="820" t="s">
        <v>584</v>
      </c>
      <c r="H154" s="814" t="s">
        <v>585</v>
      </c>
      <c r="I154" s="844" t="s">
        <v>765</v>
      </c>
      <c r="J154" s="844" t="s">
        <v>767</v>
      </c>
      <c r="K154" s="844" t="s">
        <v>766</v>
      </c>
      <c r="L154" s="845" t="s">
        <v>1199</v>
      </c>
      <c r="M154" s="1370" t="str">
        <f>'Project Cost Recap'!$B$65</f>
        <v>#1</v>
      </c>
      <c r="N154" s="1371" t="str">
        <f>'Project Cost Recap'!$B$66</f>
        <v>#2</v>
      </c>
      <c r="O154" s="1371" t="str">
        <f>'Project Cost Recap'!$B$67</f>
        <v>#3</v>
      </c>
      <c r="P154" s="1372" t="str">
        <f>'Project Cost Recap'!$B$68</f>
        <v>#4</v>
      </c>
      <c r="Q154" s="1372" t="str">
        <f>'Project Cost Recap'!$B$69</f>
        <v>#5</v>
      </c>
      <c r="R154" s="1372" t="str">
        <f>'Project Cost Recap'!$B$70</f>
        <v>#6</v>
      </c>
      <c r="S154" s="1372" t="str">
        <f>'Project Cost Recap'!$B$71</f>
        <v>#7</v>
      </c>
      <c r="T154" s="1372" t="str">
        <f>'Project Cost Recap'!$B$72</f>
        <v>#8</v>
      </c>
      <c r="U154" s="546" t="s">
        <v>1726</v>
      </c>
    </row>
    <row r="155" spans="2:21" ht="12.75" customHeight="1" x14ac:dyDescent="0.2">
      <c r="B155" s="722" t="s">
        <v>566</v>
      </c>
      <c r="C155" s="689"/>
      <c r="D155" s="690"/>
      <c r="E155" s="699">
        <v>0</v>
      </c>
      <c r="F155" s="758">
        <f>E155</f>
        <v>0</v>
      </c>
      <c r="G155" s="699"/>
      <c r="H155" s="718">
        <v>0</v>
      </c>
      <c r="I155" s="736"/>
      <c r="J155" s="736"/>
      <c r="K155" s="736"/>
      <c r="L155" s="737"/>
      <c r="M155" s="180">
        <v>0</v>
      </c>
      <c r="N155" s="180">
        <v>0</v>
      </c>
      <c r="O155" s="180">
        <v>0</v>
      </c>
      <c r="P155" s="180">
        <v>0</v>
      </c>
      <c r="Q155" s="180">
        <v>0</v>
      </c>
      <c r="R155" s="180">
        <v>0</v>
      </c>
      <c r="S155" s="180">
        <v>0</v>
      </c>
      <c r="T155" s="180">
        <v>0</v>
      </c>
      <c r="U155" s="807">
        <f>SUM(M155:T155)+F155</f>
        <v>0</v>
      </c>
    </row>
    <row r="156" spans="2:21" x14ac:dyDescent="0.2">
      <c r="B156" s="698" t="str">
        <f>'GO-NO-GO CHECKLIST'!B72</f>
        <v>AIR SYSTEMS</v>
      </c>
      <c r="C156" s="715">
        <f>'GO-NO-GO CHECKLIST'!J72</f>
        <v>0</v>
      </c>
      <c r="D156" s="715">
        <f>'GO-NO-GO CHECKLIST'!K72</f>
        <v>0</v>
      </c>
      <c r="E156" s="699">
        <f>386744+12500-16873-12362-22164</f>
        <v>347845</v>
      </c>
      <c r="F156" s="755">
        <f t="shared" ref="F156:F161" si="23">E156</f>
        <v>347845</v>
      </c>
      <c r="G156" s="699"/>
      <c r="H156" s="718"/>
      <c r="I156" s="736"/>
      <c r="J156" s="736"/>
      <c r="K156" s="736"/>
      <c r="L156" s="737"/>
      <c r="M156" s="180">
        <v>10058</v>
      </c>
      <c r="N156" s="180">
        <v>0</v>
      </c>
      <c r="O156" s="180">
        <v>0</v>
      </c>
      <c r="P156" s="180">
        <v>0</v>
      </c>
      <c r="Q156" s="180">
        <v>0</v>
      </c>
      <c r="R156" s="180">
        <v>0</v>
      </c>
      <c r="S156" s="180">
        <v>0</v>
      </c>
      <c r="T156" s="180">
        <v>0</v>
      </c>
      <c r="U156" s="807">
        <f>SUM(M156:T156)+F156</f>
        <v>357903</v>
      </c>
    </row>
    <row r="157" spans="2:21" x14ac:dyDescent="0.2">
      <c r="B157" s="698" t="str">
        <f>'GO-NO-GO CHECKLIST'!B73</f>
        <v>MECHONE</v>
      </c>
      <c r="C157" s="715">
        <f>'GO-NO-GO CHECKLIST'!J73</f>
        <v>0</v>
      </c>
      <c r="D157" s="715">
        <f>'GO-NO-GO CHECKLIST'!K73</f>
        <v>0</v>
      </c>
      <c r="E157" s="699">
        <v>0</v>
      </c>
      <c r="F157" s="755">
        <f t="shared" si="23"/>
        <v>0</v>
      </c>
      <c r="G157" s="699"/>
      <c r="H157" s="718"/>
      <c r="I157" s="736"/>
      <c r="J157" s="736"/>
      <c r="K157" s="736"/>
      <c r="L157" s="737"/>
      <c r="M157" s="180">
        <v>0</v>
      </c>
      <c r="N157" s="180">
        <v>0</v>
      </c>
      <c r="O157" s="180">
        <v>0</v>
      </c>
      <c r="P157" s="180">
        <v>0</v>
      </c>
      <c r="Q157" s="180">
        <v>0</v>
      </c>
      <c r="R157" s="180">
        <v>0</v>
      </c>
      <c r="S157" s="180">
        <v>0</v>
      </c>
      <c r="T157" s="180">
        <v>0</v>
      </c>
      <c r="U157" s="807">
        <f t="shared" ref="U157:U163" si="24">SUM(M157:T157)+F157</f>
        <v>0</v>
      </c>
    </row>
    <row r="158" spans="2:21" x14ac:dyDescent="0.2">
      <c r="B158" s="698" t="str">
        <f>'GO-NO-GO CHECKLIST'!B74</f>
        <v>PARKER SHEET METAL</v>
      </c>
      <c r="C158" s="715">
        <f>'GO-NO-GO CHECKLIST'!J74</f>
        <v>0</v>
      </c>
      <c r="D158" s="715">
        <f>'GO-NO-GO CHECKLIST'!K74</f>
        <v>0</v>
      </c>
      <c r="E158" s="699">
        <v>0</v>
      </c>
      <c r="F158" s="755">
        <f t="shared" si="23"/>
        <v>0</v>
      </c>
      <c r="G158" s="699"/>
      <c r="H158" s="718"/>
      <c r="I158" s="736"/>
      <c r="J158" s="736"/>
      <c r="K158" s="736"/>
      <c r="L158" s="737"/>
      <c r="M158" s="180">
        <v>0</v>
      </c>
      <c r="N158" s="180">
        <v>0</v>
      </c>
      <c r="O158" s="180">
        <v>0</v>
      </c>
      <c r="P158" s="180">
        <v>0</v>
      </c>
      <c r="Q158" s="180">
        <v>0</v>
      </c>
      <c r="R158" s="180">
        <v>0</v>
      </c>
      <c r="S158" s="180">
        <v>0</v>
      </c>
      <c r="T158" s="180">
        <v>0</v>
      </c>
      <c r="U158" s="807">
        <f t="shared" si="24"/>
        <v>0</v>
      </c>
    </row>
    <row r="159" spans="2:21" x14ac:dyDescent="0.2">
      <c r="B159" s="698">
        <f>'GO-NO-GO CHECKLIST'!B75</f>
        <v>0</v>
      </c>
      <c r="C159" s="715">
        <f>'GO-NO-GO CHECKLIST'!J75</f>
        <v>0</v>
      </c>
      <c r="D159" s="715">
        <f>'GO-NO-GO CHECKLIST'!K75</f>
        <v>0</v>
      </c>
      <c r="E159" s="699">
        <v>0</v>
      </c>
      <c r="F159" s="755">
        <f t="shared" si="23"/>
        <v>0</v>
      </c>
      <c r="G159" s="699"/>
      <c r="H159" s="718"/>
      <c r="I159" s="736"/>
      <c r="J159" s="736"/>
      <c r="K159" s="736"/>
      <c r="L159" s="737"/>
      <c r="M159" s="180">
        <v>0</v>
      </c>
      <c r="N159" s="180">
        <v>0</v>
      </c>
      <c r="O159" s="180">
        <v>0</v>
      </c>
      <c r="P159" s="180">
        <v>0</v>
      </c>
      <c r="Q159" s="180">
        <v>0</v>
      </c>
      <c r="R159" s="180">
        <v>0</v>
      </c>
      <c r="S159" s="180">
        <v>0</v>
      </c>
      <c r="T159" s="180">
        <v>0</v>
      </c>
      <c r="U159" s="807">
        <f t="shared" si="24"/>
        <v>0</v>
      </c>
    </row>
    <row r="160" spans="2:21" x14ac:dyDescent="0.2">
      <c r="B160" s="698">
        <f>'GO-NO-GO CHECKLIST'!B76</f>
        <v>0</v>
      </c>
      <c r="C160" s="715">
        <f>'GO-NO-GO CHECKLIST'!J76</f>
        <v>0</v>
      </c>
      <c r="D160" s="715">
        <f>'GO-NO-GO CHECKLIST'!K76</f>
        <v>0</v>
      </c>
      <c r="E160" s="699">
        <v>0</v>
      </c>
      <c r="F160" s="755">
        <f t="shared" si="23"/>
        <v>0</v>
      </c>
      <c r="G160" s="699"/>
      <c r="H160" s="718"/>
      <c r="I160" s="736"/>
      <c r="J160" s="736"/>
      <c r="K160" s="736"/>
      <c r="L160" s="737"/>
      <c r="M160" s="180">
        <v>0</v>
      </c>
      <c r="N160" s="180">
        <v>0</v>
      </c>
      <c r="O160" s="180">
        <v>0</v>
      </c>
      <c r="P160" s="180">
        <v>0</v>
      </c>
      <c r="Q160" s="180">
        <v>0</v>
      </c>
      <c r="R160" s="180">
        <v>0</v>
      </c>
      <c r="S160" s="180">
        <v>0</v>
      </c>
      <c r="T160" s="180">
        <v>0</v>
      </c>
      <c r="U160" s="807">
        <f t="shared" si="24"/>
        <v>0</v>
      </c>
    </row>
    <row r="161" spans="2:21" x14ac:dyDescent="0.2">
      <c r="B161" s="698">
        <f>'GO-NO-GO CHECKLIST'!B77</f>
        <v>0</v>
      </c>
      <c r="C161" s="715">
        <f>'GO-NO-GO CHECKLIST'!J77</f>
        <v>0</v>
      </c>
      <c r="D161" s="715">
        <f>'GO-NO-GO CHECKLIST'!K77</f>
        <v>0</v>
      </c>
      <c r="E161" s="699">
        <v>0</v>
      </c>
      <c r="F161" s="755">
        <f t="shared" si="23"/>
        <v>0</v>
      </c>
      <c r="G161" s="699"/>
      <c r="H161" s="718"/>
      <c r="I161" s="736"/>
      <c r="J161" s="736"/>
      <c r="K161" s="736"/>
      <c r="L161" s="737"/>
      <c r="M161" s="180">
        <v>0</v>
      </c>
      <c r="N161" s="180">
        <v>0</v>
      </c>
      <c r="O161" s="180">
        <v>0</v>
      </c>
      <c r="P161" s="180">
        <v>0</v>
      </c>
      <c r="Q161" s="180">
        <v>0</v>
      </c>
      <c r="R161" s="180">
        <v>0</v>
      </c>
      <c r="S161" s="180">
        <v>0</v>
      </c>
      <c r="T161" s="180">
        <v>0</v>
      </c>
      <c r="U161" s="807">
        <f t="shared" si="24"/>
        <v>0</v>
      </c>
    </row>
    <row r="162" spans="2:21" x14ac:dyDescent="0.2">
      <c r="B162" s="472" t="s">
        <v>438</v>
      </c>
      <c r="C162" s="1573"/>
      <c r="D162" s="1574"/>
      <c r="E162" s="182"/>
      <c r="F162" s="759">
        <f>MIN(F155:F161)</f>
        <v>0</v>
      </c>
      <c r="G162" s="769"/>
      <c r="H162" s="182"/>
      <c r="I162" s="182"/>
      <c r="J162" s="182"/>
      <c r="K162" s="182"/>
      <c r="L162" s="182"/>
      <c r="M162" s="180">
        <v>0</v>
      </c>
      <c r="N162" s="180">
        <v>0</v>
      </c>
      <c r="O162" s="180">
        <v>0</v>
      </c>
      <c r="P162" s="180">
        <v>0</v>
      </c>
      <c r="Q162" s="180">
        <v>0</v>
      </c>
      <c r="R162" s="180">
        <v>0</v>
      </c>
      <c r="S162" s="180">
        <v>0</v>
      </c>
      <c r="T162" s="180">
        <v>0</v>
      </c>
      <c r="U162" s="807">
        <f t="shared" si="24"/>
        <v>0</v>
      </c>
    </row>
    <row r="163" spans="2:21" ht="12.75" customHeight="1" x14ac:dyDescent="0.2">
      <c r="B163" s="702" t="str">
        <f>B156</f>
        <v>AIR SYSTEMS</v>
      </c>
      <c r="C163" s="689"/>
      <c r="D163" s="581"/>
      <c r="E163" s="809">
        <f>E156</f>
        <v>347845</v>
      </c>
      <c r="F163" s="527">
        <f>E163</f>
        <v>347845</v>
      </c>
      <c r="G163" s="770"/>
      <c r="H163" s="185">
        <v>0</v>
      </c>
      <c r="I163" s="304"/>
      <c r="J163" s="304"/>
      <c r="K163" s="304"/>
      <c r="L163" s="183"/>
      <c r="M163" s="527">
        <f>M156</f>
        <v>10058</v>
      </c>
      <c r="N163" s="527">
        <f t="shared" ref="N163:T163" si="25">N156</f>
        <v>0</v>
      </c>
      <c r="O163" s="527">
        <f t="shared" si="25"/>
        <v>0</v>
      </c>
      <c r="P163" s="527">
        <f t="shared" si="25"/>
        <v>0</v>
      </c>
      <c r="Q163" s="527">
        <f t="shared" si="25"/>
        <v>0</v>
      </c>
      <c r="R163" s="527">
        <f t="shared" si="25"/>
        <v>0</v>
      </c>
      <c r="S163" s="527">
        <f t="shared" si="25"/>
        <v>0</v>
      </c>
      <c r="T163" s="527">
        <f t="shared" si="25"/>
        <v>0</v>
      </c>
      <c r="U163" s="802">
        <f t="shared" si="24"/>
        <v>357903</v>
      </c>
    </row>
    <row r="164" spans="2:21" ht="12.75" customHeight="1" x14ac:dyDescent="0.2">
      <c r="B164" s="703" t="s">
        <v>646</v>
      </c>
      <c r="C164" s="690"/>
      <c r="D164" s="616"/>
      <c r="E164" s="1583" t="s">
        <v>563</v>
      </c>
      <c r="F164" s="1584"/>
      <c r="G164" s="1584"/>
      <c r="H164" s="1584"/>
      <c r="I164" s="1584"/>
      <c r="J164" s="1584"/>
      <c r="K164" s="1584"/>
      <c r="L164" s="1585"/>
      <c r="M164" s="734"/>
      <c r="N164" s="734"/>
      <c r="O164" s="734"/>
      <c r="P164" s="734"/>
      <c r="Q164" s="734"/>
      <c r="R164" s="734"/>
      <c r="S164" s="734"/>
      <c r="T164" s="842"/>
      <c r="U164" s="843"/>
    </row>
    <row r="165" spans="2:21" ht="13.5" thickBot="1" x14ac:dyDescent="0.25">
      <c r="B165" s="1571" t="s">
        <v>578</v>
      </c>
      <c r="C165" s="1570"/>
      <c r="D165" s="1570"/>
      <c r="E165" s="1570"/>
      <c r="F165" s="1570"/>
      <c r="G165" s="1570" t="s">
        <v>1618</v>
      </c>
      <c r="H165" s="1570"/>
      <c r="I165" s="1570"/>
      <c r="J165" s="1570"/>
      <c r="K165" s="1570"/>
      <c r="L165" s="1570"/>
      <c r="M165" s="1570"/>
      <c r="N165" s="1570"/>
      <c r="O165" s="1570"/>
      <c r="P165" s="1386"/>
      <c r="Q165" s="1386"/>
      <c r="R165" s="1386"/>
      <c r="S165" s="1386"/>
      <c r="T165" s="1386"/>
      <c r="U165" s="1387"/>
    </row>
    <row r="166" spans="2:21" s="525" customFormat="1" ht="25.5" customHeight="1" thickBot="1" x14ac:dyDescent="0.25">
      <c r="B166" s="813" t="s">
        <v>428</v>
      </c>
      <c r="C166" s="814" t="s">
        <v>1658</v>
      </c>
      <c r="D166" s="814" t="s">
        <v>429</v>
      </c>
      <c r="E166" s="829" t="s">
        <v>655</v>
      </c>
      <c r="F166" s="830" t="s">
        <v>1690</v>
      </c>
      <c r="G166" s="1370" t="str">
        <f>'Project Cost Recap'!$B$65</f>
        <v>#1</v>
      </c>
      <c r="H166" s="1371" t="str">
        <f>'Project Cost Recap'!$B$66</f>
        <v>#2</v>
      </c>
      <c r="I166" s="1371" t="str">
        <f>'Project Cost Recap'!$B$67</f>
        <v>#3</v>
      </c>
      <c r="J166" s="1372" t="str">
        <f>'Project Cost Recap'!$B$68</f>
        <v>#4</v>
      </c>
      <c r="K166" s="1372" t="str">
        <f>'Project Cost Recap'!$B$69</f>
        <v>#5</v>
      </c>
      <c r="L166" s="1372" t="str">
        <f>'Project Cost Recap'!$B$70</f>
        <v>#6</v>
      </c>
      <c r="M166" s="1372" t="str">
        <f>'Project Cost Recap'!$B$71</f>
        <v>#7</v>
      </c>
      <c r="N166" s="1372" t="str">
        <f>'Project Cost Recap'!$B$72</f>
        <v>#8</v>
      </c>
      <c r="O166" s="546" t="s">
        <v>1726</v>
      </c>
      <c r="P166" s="836"/>
      <c r="Q166" s="836"/>
      <c r="R166" s="836"/>
      <c r="S166" s="836"/>
      <c r="T166" s="838"/>
      <c r="U166" s="839"/>
    </row>
    <row r="167" spans="2:21" x14ac:dyDescent="0.2">
      <c r="B167" s="722" t="s">
        <v>566</v>
      </c>
      <c r="C167" s="690"/>
      <c r="D167" s="690"/>
      <c r="E167" s="752">
        <v>0</v>
      </c>
      <c r="F167" s="758">
        <f>E167</f>
        <v>0</v>
      </c>
      <c r="G167" s="180">
        <v>0</v>
      </c>
      <c r="H167" s="180">
        <v>0</v>
      </c>
      <c r="I167" s="180">
        <v>0</v>
      </c>
      <c r="J167" s="180">
        <v>0</v>
      </c>
      <c r="K167" s="180">
        <v>0</v>
      </c>
      <c r="L167" s="180">
        <v>0</v>
      </c>
      <c r="M167" s="180">
        <v>0</v>
      </c>
      <c r="N167" s="180">
        <v>0</v>
      </c>
      <c r="O167" s="833">
        <f>SUM(F167:N167)</f>
        <v>0</v>
      </c>
      <c r="P167" s="713"/>
      <c r="Q167" s="713"/>
      <c r="R167" s="713"/>
      <c r="S167" s="713"/>
      <c r="T167" s="713"/>
      <c r="U167" s="714"/>
    </row>
    <row r="168" spans="2:21" x14ac:dyDescent="0.2">
      <c r="B168" s="698"/>
      <c r="C168" s="690"/>
      <c r="D168" s="690"/>
      <c r="E168" s="699">
        <v>0</v>
      </c>
      <c r="F168" s="755">
        <f t="shared" ref="F168:F173" si="26">E168</f>
        <v>0</v>
      </c>
      <c r="G168" s="180">
        <v>0</v>
      </c>
      <c r="H168" s="180">
        <v>0</v>
      </c>
      <c r="I168" s="180">
        <v>0</v>
      </c>
      <c r="J168" s="180">
        <v>0</v>
      </c>
      <c r="K168" s="180">
        <v>0</v>
      </c>
      <c r="L168" s="180">
        <v>0</v>
      </c>
      <c r="M168" s="180">
        <v>0</v>
      </c>
      <c r="N168" s="180">
        <v>0</v>
      </c>
      <c r="O168" s="833">
        <f t="shared" ref="O168:O175" si="27">SUM(F168:N168)</f>
        <v>0</v>
      </c>
      <c r="P168" s="713"/>
      <c r="Q168" s="713"/>
      <c r="R168" s="713"/>
      <c r="S168" s="713"/>
      <c r="T168" s="713"/>
      <c r="U168" s="714"/>
    </row>
    <row r="169" spans="2:21" x14ac:dyDescent="0.2">
      <c r="B169" s="722"/>
      <c r="C169" s="690"/>
      <c r="D169" s="690"/>
      <c r="E169" s="699">
        <v>0</v>
      </c>
      <c r="F169" s="755">
        <f t="shared" si="26"/>
        <v>0</v>
      </c>
      <c r="G169" s="180">
        <v>0</v>
      </c>
      <c r="H169" s="180">
        <v>0</v>
      </c>
      <c r="I169" s="180">
        <v>0</v>
      </c>
      <c r="J169" s="180">
        <v>0</v>
      </c>
      <c r="K169" s="180">
        <v>0</v>
      </c>
      <c r="L169" s="180">
        <v>0</v>
      </c>
      <c r="M169" s="180">
        <v>0</v>
      </c>
      <c r="N169" s="180">
        <v>0</v>
      </c>
      <c r="O169" s="833">
        <f t="shared" si="27"/>
        <v>0</v>
      </c>
      <c r="P169" s="713"/>
      <c r="Q169" s="713"/>
      <c r="R169" s="713"/>
      <c r="S169" s="713"/>
      <c r="T169" s="713"/>
      <c r="U169" s="714"/>
    </row>
    <row r="170" spans="2:21" x14ac:dyDescent="0.2">
      <c r="B170" s="722"/>
      <c r="C170" s="690"/>
      <c r="D170" s="690"/>
      <c r="E170" s="699">
        <v>0</v>
      </c>
      <c r="F170" s="755">
        <f t="shared" si="26"/>
        <v>0</v>
      </c>
      <c r="G170" s="180">
        <v>0</v>
      </c>
      <c r="H170" s="180">
        <v>0</v>
      </c>
      <c r="I170" s="180">
        <v>0</v>
      </c>
      <c r="J170" s="180">
        <v>0</v>
      </c>
      <c r="K170" s="180">
        <v>0</v>
      </c>
      <c r="L170" s="180">
        <v>0</v>
      </c>
      <c r="M170" s="180">
        <v>0</v>
      </c>
      <c r="N170" s="180">
        <v>0</v>
      </c>
      <c r="O170" s="833">
        <f t="shared" si="27"/>
        <v>0</v>
      </c>
      <c r="P170" s="713"/>
      <c r="Q170" s="713"/>
      <c r="R170" s="713"/>
      <c r="S170" s="713"/>
      <c r="T170" s="713"/>
      <c r="U170" s="714"/>
    </row>
    <row r="171" spans="2:21" x14ac:dyDescent="0.2">
      <c r="B171" s="722"/>
      <c r="C171" s="690"/>
      <c r="D171" s="690"/>
      <c r="E171" s="699">
        <v>0</v>
      </c>
      <c r="F171" s="755">
        <f t="shared" si="26"/>
        <v>0</v>
      </c>
      <c r="G171" s="180">
        <v>0</v>
      </c>
      <c r="H171" s="180">
        <v>0</v>
      </c>
      <c r="I171" s="180">
        <v>0</v>
      </c>
      <c r="J171" s="180">
        <v>0</v>
      </c>
      <c r="K171" s="180">
        <v>0</v>
      </c>
      <c r="L171" s="180">
        <v>0</v>
      </c>
      <c r="M171" s="180">
        <v>0</v>
      </c>
      <c r="N171" s="180">
        <v>0</v>
      </c>
      <c r="O171" s="833">
        <f t="shared" si="27"/>
        <v>0</v>
      </c>
      <c r="P171" s="713"/>
      <c r="Q171" s="713"/>
      <c r="R171" s="713"/>
      <c r="S171" s="713"/>
      <c r="T171" s="713"/>
      <c r="U171" s="714"/>
    </row>
    <row r="172" spans="2:21" x14ac:dyDescent="0.2">
      <c r="B172" s="722"/>
      <c r="C172" s="690"/>
      <c r="D172" s="690"/>
      <c r="E172" s="699">
        <v>0</v>
      </c>
      <c r="F172" s="755">
        <f t="shared" si="26"/>
        <v>0</v>
      </c>
      <c r="G172" s="180">
        <v>0</v>
      </c>
      <c r="H172" s="180">
        <v>0</v>
      </c>
      <c r="I172" s="180">
        <v>0</v>
      </c>
      <c r="J172" s="180">
        <v>0</v>
      </c>
      <c r="K172" s="180">
        <v>0</v>
      </c>
      <c r="L172" s="180">
        <v>0</v>
      </c>
      <c r="M172" s="180">
        <v>0</v>
      </c>
      <c r="N172" s="180">
        <v>0</v>
      </c>
      <c r="O172" s="833">
        <f t="shared" si="27"/>
        <v>0</v>
      </c>
      <c r="P172" s="713"/>
      <c r="Q172" s="713"/>
      <c r="R172" s="713"/>
      <c r="S172" s="713"/>
      <c r="T172" s="713"/>
      <c r="U172" s="714"/>
    </row>
    <row r="173" spans="2:21" x14ac:dyDescent="0.2">
      <c r="B173" s="722"/>
      <c r="C173" s="690"/>
      <c r="D173" s="690"/>
      <c r="E173" s="699">
        <v>0</v>
      </c>
      <c r="F173" s="755">
        <f t="shared" si="26"/>
        <v>0</v>
      </c>
      <c r="G173" s="180">
        <v>0</v>
      </c>
      <c r="H173" s="180">
        <v>0</v>
      </c>
      <c r="I173" s="180">
        <v>0</v>
      </c>
      <c r="J173" s="180">
        <v>0</v>
      </c>
      <c r="K173" s="180">
        <v>0</v>
      </c>
      <c r="L173" s="180">
        <v>0</v>
      </c>
      <c r="M173" s="180">
        <v>0</v>
      </c>
      <c r="N173" s="180">
        <v>0</v>
      </c>
      <c r="O173" s="833">
        <f t="shared" si="27"/>
        <v>0</v>
      </c>
      <c r="P173" s="713"/>
      <c r="Q173" s="713"/>
      <c r="R173" s="713"/>
      <c r="S173" s="713"/>
      <c r="T173" s="713"/>
      <c r="U173" s="714"/>
    </row>
    <row r="174" spans="2:21" x14ac:dyDescent="0.2">
      <c r="B174" s="472" t="s">
        <v>438</v>
      </c>
      <c r="C174" s="1573"/>
      <c r="D174" s="1574"/>
      <c r="E174" s="521">
        <f>MIN(E167:E173)</f>
        <v>0</v>
      </c>
      <c r="F174" s="759">
        <f>MIN(F167:F173)</f>
        <v>0</v>
      </c>
      <c r="G174" s="1379">
        <v>0</v>
      </c>
      <c r="H174" s="1380">
        <v>0</v>
      </c>
      <c r="I174" s="1380">
        <v>0</v>
      </c>
      <c r="J174" s="1380">
        <v>0</v>
      </c>
      <c r="K174" s="1380">
        <v>0</v>
      </c>
      <c r="L174" s="1380">
        <v>0</v>
      </c>
      <c r="M174" s="1380">
        <v>0</v>
      </c>
      <c r="N174" s="1392">
        <v>0</v>
      </c>
      <c r="O174" s="833">
        <f t="shared" si="27"/>
        <v>0</v>
      </c>
      <c r="P174" s="803"/>
      <c r="Q174" s="803"/>
      <c r="R174" s="803"/>
      <c r="S174" s="803"/>
      <c r="T174" s="803"/>
      <c r="U174" s="714"/>
    </row>
    <row r="175" spans="2:21" ht="12.75" customHeight="1" x14ac:dyDescent="0.2">
      <c r="B175" s="702"/>
      <c r="C175" s="580"/>
      <c r="D175" s="581"/>
      <c r="E175" s="502"/>
      <c r="F175" s="527">
        <f>E175</f>
        <v>0</v>
      </c>
      <c r="G175" s="806"/>
      <c r="H175" s="806"/>
      <c r="I175" s="806"/>
      <c r="J175" s="806"/>
      <c r="K175" s="806"/>
      <c r="L175" s="806"/>
      <c r="M175" s="806"/>
      <c r="N175" s="806"/>
      <c r="O175" s="801">
        <f t="shared" si="27"/>
        <v>0</v>
      </c>
      <c r="P175" s="723"/>
      <c r="Q175" s="723"/>
      <c r="R175" s="723"/>
      <c r="S175" s="723"/>
      <c r="T175" s="723"/>
      <c r="U175" s="728"/>
    </row>
    <row r="176" spans="2:21" ht="14.25" customHeight="1" x14ac:dyDescent="0.2">
      <c r="B176" s="703" t="s">
        <v>646</v>
      </c>
      <c r="C176" s="690"/>
      <c r="D176" s="689"/>
      <c r="E176" s="1583" t="s">
        <v>563</v>
      </c>
      <c r="F176" s="1584"/>
      <c r="G176" s="1584"/>
      <c r="H176" s="1584"/>
      <c r="I176" s="1584"/>
      <c r="J176" s="1584"/>
      <c r="K176" s="1584"/>
      <c r="L176" s="1584"/>
      <c r="M176" s="1584"/>
      <c r="N176" s="1584"/>
      <c r="O176" s="704"/>
      <c r="P176" s="704"/>
      <c r="Q176" s="704"/>
      <c r="R176" s="704"/>
      <c r="S176" s="704"/>
      <c r="T176" s="704"/>
      <c r="U176" s="705"/>
    </row>
    <row r="177" spans="2:21" ht="13.5" thickBot="1" x14ac:dyDescent="0.25">
      <c r="B177" s="1571" t="s">
        <v>419</v>
      </c>
      <c r="C177" s="1570"/>
      <c r="D177" s="1570"/>
      <c r="E177" s="1570"/>
      <c r="F177" s="1570"/>
      <c r="G177" s="1570" t="s">
        <v>1618</v>
      </c>
      <c r="H177" s="1570"/>
      <c r="I177" s="1570"/>
      <c r="J177" s="1570"/>
      <c r="K177" s="1570"/>
      <c r="L177" s="1570"/>
      <c r="M177" s="1570"/>
      <c r="N177" s="1570"/>
      <c r="O177" s="1570"/>
      <c r="P177" s="1386"/>
      <c r="Q177" s="1386"/>
      <c r="R177" s="1386"/>
      <c r="S177" s="1386"/>
      <c r="T177" s="1386"/>
      <c r="U177" s="1387"/>
    </row>
    <row r="178" spans="2:21" s="525" customFormat="1" ht="25.5" customHeight="1" thickBot="1" x14ac:dyDescent="0.25">
      <c r="B178" s="813" t="s">
        <v>428</v>
      </c>
      <c r="C178" s="814" t="s">
        <v>1658</v>
      </c>
      <c r="D178" s="814" t="s">
        <v>429</v>
      </c>
      <c r="E178" s="816" t="s">
        <v>1611</v>
      </c>
      <c r="F178" s="830" t="s">
        <v>69</v>
      </c>
      <c r="G178" s="1370" t="str">
        <f>'Project Cost Recap'!$B$65</f>
        <v>#1</v>
      </c>
      <c r="H178" s="1371" t="str">
        <f>'Project Cost Recap'!$B$66</f>
        <v>#2</v>
      </c>
      <c r="I178" s="1371" t="str">
        <f>'Project Cost Recap'!$B$67</f>
        <v>#3</v>
      </c>
      <c r="J178" s="1372" t="str">
        <f>'Project Cost Recap'!$B$68</f>
        <v>#4</v>
      </c>
      <c r="K178" s="1372" t="str">
        <f>'Project Cost Recap'!$B$69</f>
        <v>#5</v>
      </c>
      <c r="L178" s="1372" t="str">
        <f>'Project Cost Recap'!$B$70</f>
        <v>#6</v>
      </c>
      <c r="M178" s="1372" t="str">
        <f>'Project Cost Recap'!$B$71</f>
        <v>#7</v>
      </c>
      <c r="N178" s="1372" t="str">
        <f>'Project Cost Recap'!$B$72</f>
        <v>#8</v>
      </c>
      <c r="O178" s="546" t="s">
        <v>1726</v>
      </c>
      <c r="P178" s="836"/>
      <c r="Q178" s="836"/>
      <c r="R178" s="836"/>
      <c r="S178" s="836"/>
      <c r="T178" s="838"/>
      <c r="U178" s="839"/>
    </row>
    <row r="179" spans="2:21" x14ac:dyDescent="0.2">
      <c r="B179" s="722" t="s">
        <v>566</v>
      </c>
      <c r="C179" s="689"/>
      <c r="D179" s="690"/>
      <c r="E179" s="752">
        <v>0</v>
      </c>
      <c r="F179" s="758">
        <f t="shared" ref="F179:F184" si="28">E179</f>
        <v>0</v>
      </c>
      <c r="G179" s="180">
        <v>0</v>
      </c>
      <c r="H179" s="180">
        <v>0</v>
      </c>
      <c r="I179" s="180">
        <v>0</v>
      </c>
      <c r="J179" s="180">
        <v>0</v>
      </c>
      <c r="K179" s="180">
        <v>0</v>
      </c>
      <c r="L179" s="180">
        <v>0</v>
      </c>
      <c r="M179" s="180">
        <v>0</v>
      </c>
      <c r="N179" s="180">
        <v>0</v>
      </c>
      <c r="O179" s="833">
        <f>SUM(F179:N179)</f>
        <v>0</v>
      </c>
      <c r="P179" s="713"/>
      <c r="Q179" s="713"/>
      <c r="R179" s="713"/>
      <c r="S179" s="713"/>
      <c r="T179" s="713"/>
      <c r="U179" s="714"/>
    </row>
    <row r="180" spans="2:21" ht="15.75" customHeight="1" x14ac:dyDescent="0.2">
      <c r="B180" s="698" t="s">
        <v>1558</v>
      </c>
      <c r="C180" s="715">
        <f>'GO-NO-GO CHECKLIST'!J151</f>
        <v>0</v>
      </c>
      <c r="D180" s="715">
        <f>'GO-NO-GO CHECKLIST'!K151</f>
        <v>0</v>
      </c>
      <c r="E180" s="699">
        <v>151792</v>
      </c>
      <c r="F180" s="755">
        <f t="shared" si="28"/>
        <v>151792</v>
      </c>
      <c r="G180" s="180">
        <v>14850</v>
      </c>
      <c r="H180" s="180">
        <v>0</v>
      </c>
      <c r="I180" s="180">
        <v>0</v>
      </c>
      <c r="J180" s="180">
        <v>0</v>
      </c>
      <c r="K180" s="180">
        <v>0</v>
      </c>
      <c r="L180" s="180">
        <v>0</v>
      </c>
      <c r="M180" s="180">
        <v>0</v>
      </c>
      <c r="N180" s="180">
        <v>0</v>
      </c>
      <c r="O180" s="833">
        <f t="shared" ref="O180:O186" si="29">SUM(F180:N180)</f>
        <v>166642</v>
      </c>
      <c r="P180" s="713"/>
      <c r="Q180" s="713"/>
      <c r="R180" s="713"/>
      <c r="S180" s="713"/>
      <c r="T180" s="713"/>
      <c r="U180" s="714"/>
    </row>
    <row r="181" spans="2:21" x14ac:dyDescent="0.2">
      <c r="B181" s="698" t="s">
        <v>1557</v>
      </c>
      <c r="C181" s="715">
        <f>'GO-NO-GO CHECKLIST'!J152</f>
        <v>0</v>
      </c>
      <c r="D181" s="715">
        <f>'GO-NO-GO CHECKLIST'!K152</f>
        <v>0</v>
      </c>
      <c r="E181" s="699">
        <f>165000-10000</f>
        <v>155000</v>
      </c>
      <c r="F181" s="755">
        <f t="shared" si="28"/>
        <v>155000</v>
      </c>
      <c r="G181" s="180">
        <v>0</v>
      </c>
      <c r="H181" s="180">
        <v>0</v>
      </c>
      <c r="I181" s="180">
        <v>0</v>
      </c>
      <c r="J181" s="180">
        <v>0</v>
      </c>
      <c r="K181" s="180">
        <v>0</v>
      </c>
      <c r="L181" s="180">
        <v>0</v>
      </c>
      <c r="M181" s="180">
        <v>0</v>
      </c>
      <c r="N181" s="180">
        <v>0</v>
      </c>
      <c r="O181" s="833">
        <f t="shared" si="29"/>
        <v>155000</v>
      </c>
      <c r="P181" s="713"/>
      <c r="Q181" s="713"/>
      <c r="R181" s="713"/>
      <c r="S181" s="713"/>
      <c r="T181" s="713"/>
      <c r="U181" s="714"/>
    </row>
    <row r="182" spans="2:21" x14ac:dyDescent="0.2">
      <c r="B182" s="698">
        <f>'GO-NO-GO CHECKLIST'!B153</f>
        <v>0</v>
      </c>
      <c r="C182" s="715">
        <f>'GO-NO-GO CHECKLIST'!J153</f>
        <v>0</v>
      </c>
      <c r="D182" s="715">
        <f>'GO-NO-GO CHECKLIST'!K153</f>
        <v>0</v>
      </c>
      <c r="E182" s="699">
        <v>0</v>
      </c>
      <c r="F182" s="755">
        <f t="shared" si="28"/>
        <v>0</v>
      </c>
      <c r="G182" s="180">
        <v>0</v>
      </c>
      <c r="H182" s="180">
        <v>0</v>
      </c>
      <c r="I182" s="180">
        <v>0</v>
      </c>
      <c r="J182" s="180">
        <v>0</v>
      </c>
      <c r="K182" s="180">
        <v>0</v>
      </c>
      <c r="L182" s="180">
        <v>0</v>
      </c>
      <c r="M182" s="180">
        <v>0</v>
      </c>
      <c r="N182" s="180">
        <v>0</v>
      </c>
      <c r="O182" s="833">
        <f t="shared" si="29"/>
        <v>0</v>
      </c>
      <c r="P182" s="713"/>
      <c r="Q182" s="713"/>
      <c r="R182" s="713"/>
      <c r="S182" s="713"/>
      <c r="T182" s="713"/>
      <c r="U182" s="714"/>
    </row>
    <row r="183" spans="2:21" x14ac:dyDescent="0.2">
      <c r="B183" s="698">
        <f>'GO-NO-GO CHECKLIST'!B154</f>
        <v>0</v>
      </c>
      <c r="C183" s="715">
        <f>'GO-NO-GO CHECKLIST'!J154</f>
        <v>0</v>
      </c>
      <c r="D183" s="715">
        <f>'GO-NO-GO CHECKLIST'!K154</f>
        <v>0</v>
      </c>
      <c r="E183" s="699">
        <v>0</v>
      </c>
      <c r="F183" s="755">
        <f t="shared" si="28"/>
        <v>0</v>
      </c>
      <c r="G183" s="180">
        <v>0</v>
      </c>
      <c r="H183" s="180">
        <v>0</v>
      </c>
      <c r="I183" s="180">
        <v>0</v>
      </c>
      <c r="J183" s="180">
        <v>0</v>
      </c>
      <c r="K183" s="180">
        <v>0</v>
      </c>
      <c r="L183" s="180">
        <v>0</v>
      </c>
      <c r="M183" s="180">
        <v>0</v>
      </c>
      <c r="N183" s="180">
        <v>0</v>
      </c>
      <c r="O183" s="833">
        <f t="shared" si="29"/>
        <v>0</v>
      </c>
      <c r="P183" s="713"/>
      <c r="Q183" s="713"/>
      <c r="R183" s="713"/>
      <c r="S183" s="713"/>
      <c r="T183" s="713"/>
      <c r="U183" s="714"/>
    </row>
    <row r="184" spans="2:21" x14ac:dyDescent="0.2">
      <c r="B184" s="698">
        <f>'GO-NO-GO CHECKLIST'!B155</f>
        <v>0</v>
      </c>
      <c r="C184" s="715">
        <f>'GO-NO-GO CHECKLIST'!J155</f>
        <v>0</v>
      </c>
      <c r="D184" s="715">
        <f>'GO-NO-GO CHECKLIST'!K155</f>
        <v>0</v>
      </c>
      <c r="E184" s="699">
        <v>0</v>
      </c>
      <c r="F184" s="755">
        <f t="shared" si="28"/>
        <v>0</v>
      </c>
      <c r="G184" s="180">
        <v>0</v>
      </c>
      <c r="H184" s="180">
        <v>0</v>
      </c>
      <c r="I184" s="180">
        <v>0</v>
      </c>
      <c r="J184" s="180">
        <v>0</v>
      </c>
      <c r="K184" s="180">
        <v>0</v>
      </c>
      <c r="L184" s="180">
        <v>0</v>
      </c>
      <c r="M184" s="180">
        <v>0</v>
      </c>
      <c r="N184" s="180">
        <v>0</v>
      </c>
      <c r="O184" s="833">
        <f t="shared" si="29"/>
        <v>0</v>
      </c>
      <c r="P184" s="713"/>
      <c r="Q184" s="713"/>
      <c r="R184" s="713"/>
      <c r="S184" s="713"/>
      <c r="T184" s="713"/>
      <c r="U184" s="714"/>
    </row>
    <row r="185" spans="2:21" x14ac:dyDescent="0.2">
      <c r="B185" s="472" t="s">
        <v>438</v>
      </c>
      <c r="C185" s="1573"/>
      <c r="D185" s="1574"/>
      <c r="E185" s="521">
        <f>MIN(E179:E184)</f>
        <v>0</v>
      </c>
      <c r="F185" s="759">
        <f>MIN(F179:F184)</f>
        <v>0</v>
      </c>
      <c r="G185" s="180">
        <v>0</v>
      </c>
      <c r="H185" s="180">
        <v>0</v>
      </c>
      <c r="I185" s="180">
        <v>0</v>
      </c>
      <c r="J185" s="180">
        <v>0</v>
      </c>
      <c r="K185" s="180">
        <v>0</v>
      </c>
      <c r="L185" s="180">
        <v>0</v>
      </c>
      <c r="M185" s="180">
        <v>0</v>
      </c>
      <c r="N185" s="180">
        <v>0</v>
      </c>
      <c r="O185" s="833">
        <f t="shared" si="29"/>
        <v>0</v>
      </c>
      <c r="P185" s="803"/>
      <c r="Q185" s="803"/>
      <c r="R185" s="803"/>
      <c r="S185" s="803"/>
      <c r="T185" s="803"/>
      <c r="U185" s="804"/>
    </row>
    <row r="186" spans="2:21" x14ac:dyDescent="0.2">
      <c r="B186" s="702" t="str">
        <f>B181</f>
        <v>LONG BUILDING TECHNOLOGIES</v>
      </c>
      <c r="C186" s="1573"/>
      <c r="D186" s="1574"/>
      <c r="E186" s="738">
        <f>E181</f>
        <v>155000</v>
      </c>
      <c r="F186" s="527">
        <f>E186</f>
        <v>155000</v>
      </c>
      <c r="G186" s="527">
        <f>G180</f>
        <v>14850</v>
      </c>
      <c r="H186" s="527"/>
      <c r="I186" s="527"/>
      <c r="J186" s="527"/>
      <c r="K186" s="527"/>
      <c r="L186" s="527"/>
      <c r="M186" s="527"/>
      <c r="N186" s="527"/>
      <c r="O186" s="801">
        <f t="shared" si="29"/>
        <v>169850</v>
      </c>
      <c r="P186" s="723"/>
      <c r="Q186" s="723"/>
      <c r="R186" s="723"/>
      <c r="S186" s="723"/>
      <c r="T186" s="723"/>
      <c r="U186" s="728"/>
    </row>
    <row r="187" spans="2:21" ht="13.5" customHeight="1" x14ac:dyDescent="0.2">
      <c r="B187" s="703" t="s">
        <v>646</v>
      </c>
      <c r="C187" s="690"/>
      <c r="D187" s="689"/>
      <c r="E187" s="1583" t="s">
        <v>563</v>
      </c>
      <c r="F187" s="1584"/>
      <c r="G187" s="1584"/>
      <c r="H187" s="1584"/>
      <c r="I187" s="1584"/>
      <c r="J187" s="1584"/>
      <c r="K187" s="1584"/>
      <c r="L187" s="1584"/>
      <c r="M187" s="1584"/>
      <c r="N187" s="1584"/>
      <c r="O187" s="704"/>
      <c r="P187" s="704"/>
      <c r="Q187" s="704"/>
      <c r="R187" s="704"/>
      <c r="S187" s="704"/>
      <c r="T187" s="704"/>
      <c r="U187" s="705"/>
    </row>
    <row r="188" spans="2:21" ht="13.5" thickBot="1" x14ac:dyDescent="0.25">
      <c r="B188" s="1571" t="s">
        <v>418</v>
      </c>
      <c r="C188" s="1570"/>
      <c r="D188" s="1570"/>
      <c r="E188" s="1570"/>
      <c r="F188" s="1570"/>
      <c r="G188" s="1570"/>
      <c r="H188" s="1570"/>
      <c r="I188" s="1570"/>
      <c r="J188" s="1570"/>
      <c r="K188" s="1570" t="s">
        <v>1618</v>
      </c>
      <c r="L188" s="1570"/>
      <c r="M188" s="1570"/>
      <c r="N188" s="1570"/>
      <c r="O188" s="1570"/>
      <c r="P188" s="1570"/>
      <c r="Q188" s="1570"/>
      <c r="R188" s="1570"/>
      <c r="S188" s="1570"/>
      <c r="T188" s="1386"/>
      <c r="U188" s="1387"/>
    </row>
    <row r="189" spans="2:21" s="503" customFormat="1" ht="38.25" customHeight="1" thickBot="1" x14ac:dyDescent="0.25">
      <c r="B189" s="813" t="s">
        <v>428</v>
      </c>
      <c r="C189" s="814" t="s">
        <v>1658</v>
      </c>
      <c r="D189" s="814" t="s">
        <v>429</v>
      </c>
      <c r="E189" s="816" t="s">
        <v>1610</v>
      </c>
      <c r="F189" s="816" t="s">
        <v>1604</v>
      </c>
      <c r="G189" s="816" t="s">
        <v>1707</v>
      </c>
      <c r="H189" s="816" t="s">
        <v>1612</v>
      </c>
      <c r="I189" s="816" t="s">
        <v>772</v>
      </c>
      <c r="J189" s="830" t="s">
        <v>69</v>
      </c>
      <c r="K189" s="1370" t="str">
        <f>'Project Cost Recap'!$B$65</f>
        <v>#1</v>
      </c>
      <c r="L189" s="1371" t="str">
        <f>'Project Cost Recap'!$B$66</f>
        <v>#2</v>
      </c>
      <c r="M189" s="1371" t="str">
        <f>'Project Cost Recap'!$B$67</f>
        <v>#3</v>
      </c>
      <c r="N189" s="1372" t="str">
        <f>'Project Cost Recap'!$B$68</f>
        <v>#4</v>
      </c>
      <c r="O189" s="1372" t="str">
        <f>'Project Cost Recap'!$B$69</f>
        <v>#5</v>
      </c>
      <c r="P189" s="1372" t="str">
        <f>'Project Cost Recap'!$B$70</f>
        <v>#6</v>
      </c>
      <c r="Q189" s="1372" t="str">
        <f>'Project Cost Recap'!$B$71</f>
        <v>#7</v>
      </c>
      <c r="R189" s="1372" t="str">
        <f>'Project Cost Recap'!$B$72</f>
        <v>#8</v>
      </c>
      <c r="S189" s="546" t="s">
        <v>1726</v>
      </c>
      <c r="T189" s="838"/>
      <c r="U189" s="839"/>
    </row>
    <row r="190" spans="2:21" x14ac:dyDescent="0.2">
      <c r="B190" s="722" t="s">
        <v>566</v>
      </c>
      <c r="C190" s="689"/>
      <c r="D190" s="690"/>
      <c r="E190" s="752">
        <v>0</v>
      </c>
      <c r="F190" s="752">
        <v>0</v>
      </c>
      <c r="G190" s="752">
        <v>0</v>
      </c>
      <c r="H190" s="752">
        <v>0</v>
      </c>
      <c r="I190" s="752">
        <v>0</v>
      </c>
      <c r="J190" s="758">
        <f>I190+H190+G190+F190+E190</f>
        <v>0</v>
      </c>
      <c r="K190" s="180">
        <v>0</v>
      </c>
      <c r="L190" s="180">
        <v>0</v>
      </c>
      <c r="M190" s="180">
        <v>0</v>
      </c>
      <c r="N190" s="180">
        <v>0</v>
      </c>
      <c r="O190" s="180">
        <v>0</v>
      </c>
      <c r="P190" s="180">
        <v>0</v>
      </c>
      <c r="Q190" s="180">
        <v>0</v>
      </c>
      <c r="R190" s="180">
        <v>0</v>
      </c>
      <c r="S190" s="833">
        <f>SUM(J190:R190)</f>
        <v>0</v>
      </c>
      <c r="T190" s="713"/>
      <c r="U190" s="714"/>
    </row>
    <row r="191" spans="2:21" ht="12.75" customHeight="1" x14ac:dyDescent="0.2">
      <c r="B191" s="698" t="s">
        <v>1549</v>
      </c>
      <c r="C191" s="715">
        <f>'GO-NO-GO CHECKLIST'!J158</f>
        <v>0</v>
      </c>
      <c r="D191" s="715">
        <f>'GO-NO-GO CHECKLIST'!K158</f>
        <v>0</v>
      </c>
      <c r="E191" s="699">
        <v>400</v>
      </c>
      <c r="F191" s="699">
        <v>4000</v>
      </c>
      <c r="G191" s="699">
        <v>400</v>
      </c>
      <c r="H191" s="699">
        <v>0</v>
      </c>
      <c r="I191" s="699">
        <v>0</v>
      </c>
      <c r="J191" s="755">
        <f t="shared" ref="J191:J196" si="30">I191+H191+G191+F191+E191</f>
        <v>4800</v>
      </c>
      <c r="K191" s="180">
        <v>0</v>
      </c>
      <c r="L191" s="180">
        <v>0</v>
      </c>
      <c r="M191" s="180">
        <v>0</v>
      </c>
      <c r="N191" s="180">
        <v>0</v>
      </c>
      <c r="O191" s="180">
        <v>0</v>
      </c>
      <c r="P191" s="180">
        <v>0</v>
      </c>
      <c r="Q191" s="180">
        <v>0</v>
      </c>
      <c r="R191" s="180">
        <v>0</v>
      </c>
      <c r="S191" s="833">
        <f t="shared" ref="S191:S198" si="31">SUM(J191:R191)</f>
        <v>4800</v>
      </c>
      <c r="T191" s="713"/>
      <c r="U191" s="714"/>
    </row>
    <row r="192" spans="2:21" x14ac:dyDescent="0.2">
      <c r="B192" s="698" t="s">
        <v>1548</v>
      </c>
      <c r="C192" s="715">
        <f>'GO-NO-GO CHECKLIST'!J159</f>
        <v>0</v>
      </c>
      <c r="D192" s="715">
        <f>'GO-NO-GO CHECKLIST'!K159</f>
        <v>0</v>
      </c>
      <c r="E192" s="699">
        <v>0</v>
      </c>
      <c r="F192" s="699">
        <v>3000</v>
      </c>
      <c r="G192" s="699">
        <v>350</v>
      </c>
      <c r="H192" s="699">
        <v>0</v>
      </c>
      <c r="I192" s="699">
        <v>0</v>
      </c>
      <c r="J192" s="755">
        <f t="shared" si="30"/>
        <v>3350</v>
      </c>
      <c r="K192" s="180">
        <v>0</v>
      </c>
      <c r="L192" s="180">
        <v>0</v>
      </c>
      <c r="M192" s="180">
        <v>0</v>
      </c>
      <c r="N192" s="180">
        <v>0</v>
      </c>
      <c r="O192" s="180">
        <v>0</v>
      </c>
      <c r="P192" s="180">
        <v>0</v>
      </c>
      <c r="Q192" s="180">
        <v>0</v>
      </c>
      <c r="R192" s="180">
        <v>0</v>
      </c>
      <c r="S192" s="833">
        <f t="shared" si="31"/>
        <v>3350</v>
      </c>
      <c r="T192" s="713"/>
      <c r="U192" s="714"/>
    </row>
    <row r="193" spans="2:21" x14ac:dyDescent="0.2">
      <c r="B193" s="698" t="s">
        <v>1553</v>
      </c>
      <c r="C193" s="715">
        <f>'GO-NO-GO CHECKLIST'!J160</f>
        <v>0</v>
      </c>
      <c r="D193" s="715">
        <f>'GO-NO-GO CHECKLIST'!K160</f>
        <v>0</v>
      </c>
      <c r="E193" s="699">
        <v>0</v>
      </c>
      <c r="F193" s="699">
        <v>7420</v>
      </c>
      <c r="G193" s="699">
        <v>0</v>
      </c>
      <c r="H193" s="699">
        <v>0</v>
      </c>
      <c r="I193" s="699">
        <v>0</v>
      </c>
      <c r="J193" s="755">
        <f t="shared" si="30"/>
        <v>7420</v>
      </c>
      <c r="K193" s="180">
        <v>0</v>
      </c>
      <c r="L193" s="180">
        <v>0</v>
      </c>
      <c r="M193" s="180">
        <v>0</v>
      </c>
      <c r="N193" s="180">
        <v>0</v>
      </c>
      <c r="O193" s="180">
        <v>0</v>
      </c>
      <c r="P193" s="180">
        <v>0</v>
      </c>
      <c r="Q193" s="180">
        <v>0</v>
      </c>
      <c r="R193" s="180">
        <v>0</v>
      </c>
      <c r="S193" s="833">
        <f t="shared" si="31"/>
        <v>7420</v>
      </c>
      <c r="T193" s="713"/>
      <c r="U193" s="714"/>
    </row>
    <row r="194" spans="2:21" x14ac:dyDescent="0.2">
      <c r="B194" s="698">
        <f>'GO-NO-GO CHECKLIST'!B161</f>
        <v>0</v>
      </c>
      <c r="C194" s="715">
        <f>'GO-NO-GO CHECKLIST'!J161</f>
        <v>0</v>
      </c>
      <c r="D194" s="715">
        <f>'GO-NO-GO CHECKLIST'!K161</f>
        <v>0</v>
      </c>
      <c r="E194" s="699">
        <v>0</v>
      </c>
      <c r="F194" s="699">
        <v>0</v>
      </c>
      <c r="G194" s="699">
        <v>0</v>
      </c>
      <c r="H194" s="699">
        <v>0</v>
      </c>
      <c r="I194" s="699">
        <v>0</v>
      </c>
      <c r="J194" s="755">
        <f t="shared" si="30"/>
        <v>0</v>
      </c>
      <c r="K194" s="180">
        <v>0</v>
      </c>
      <c r="L194" s="180">
        <v>0</v>
      </c>
      <c r="M194" s="180">
        <v>0</v>
      </c>
      <c r="N194" s="180">
        <v>0</v>
      </c>
      <c r="O194" s="180">
        <v>0</v>
      </c>
      <c r="P194" s="180">
        <v>0</v>
      </c>
      <c r="Q194" s="180">
        <v>0</v>
      </c>
      <c r="R194" s="180">
        <v>0</v>
      </c>
      <c r="S194" s="833">
        <f t="shared" si="31"/>
        <v>0</v>
      </c>
      <c r="T194" s="713"/>
      <c r="U194" s="714"/>
    </row>
    <row r="195" spans="2:21" x14ac:dyDescent="0.2">
      <c r="B195" s="698">
        <f>'GO-NO-GO CHECKLIST'!B162</f>
        <v>0</v>
      </c>
      <c r="C195" s="715">
        <f>'GO-NO-GO CHECKLIST'!J162</f>
        <v>0</v>
      </c>
      <c r="D195" s="715">
        <f>'GO-NO-GO CHECKLIST'!K162</f>
        <v>0</v>
      </c>
      <c r="E195" s="699">
        <v>0</v>
      </c>
      <c r="F195" s="699">
        <v>0</v>
      </c>
      <c r="G195" s="699">
        <v>0</v>
      </c>
      <c r="H195" s="699">
        <v>0</v>
      </c>
      <c r="I195" s="699">
        <v>0</v>
      </c>
      <c r="J195" s="755">
        <f t="shared" si="30"/>
        <v>0</v>
      </c>
      <c r="K195" s="180">
        <v>0</v>
      </c>
      <c r="L195" s="180">
        <v>0</v>
      </c>
      <c r="M195" s="180">
        <v>0</v>
      </c>
      <c r="N195" s="180">
        <v>0</v>
      </c>
      <c r="O195" s="180">
        <v>0</v>
      </c>
      <c r="P195" s="180">
        <v>0</v>
      </c>
      <c r="Q195" s="180">
        <v>0</v>
      </c>
      <c r="R195" s="180">
        <v>0</v>
      </c>
      <c r="S195" s="833">
        <f t="shared" si="31"/>
        <v>0</v>
      </c>
      <c r="T195" s="713"/>
      <c r="U195" s="714"/>
    </row>
    <row r="196" spans="2:21" x14ac:dyDescent="0.2">
      <c r="B196" s="698">
        <f>'GO-NO-GO CHECKLIST'!B163</f>
        <v>0</v>
      </c>
      <c r="C196" s="715">
        <f>'GO-NO-GO CHECKLIST'!J163</f>
        <v>0</v>
      </c>
      <c r="D196" s="715">
        <f>'GO-NO-GO CHECKLIST'!K163</f>
        <v>0</v>
      </c>
      <c r="E196" s="699">
        <v>0</v>
      </c>
      <c r="F196" s="699">
        <v>0</v>
      </c>
      <c r="G196" s="699">
        <v>0</v>
      </c>
      <c r="H196" s="699">
        <v>0</v>
      </c>
      <c r="I196" s="699">
        <v>0</v>
      </c>
      <c r="J196" s="755">
        <f t="shared" si="30"/>
        <v>0</v>
      </c>
      <c r="K196" s="180">
        <v>0</v>
      </c>
      <c r="L196" s="180">
        <v>0</v>
      </c>
      <c r="M196" s="180">
        <v>0</v>
      </c>
      <c r="N196" s="180">
        <v>0</v>
      </c>
      <c r="O196" s="180">
        <v>0</v>
      </c>
      <c r="P196" s="180">
        <v>0</v>
      </c>
      <c r="Q196" s="180">
        <v>0</v>
      </c>
      <c r="R196" s="180">
        <v>0</v>
      </c>
      <c r="S196" s="833">
        <f t="shared" si="31"/>
        <v>0</v>
      </c>
      <c r="T196" s="713"/>
      <c r="U196" s="714"/>
    </row>
    <row r="197" spans="2:21" x14ac:dyDescent="0.2">
      <c r="B197" s="472" t="s">
        <v>438</v>
      </c>
      <c r="C197" s="1573"/>
      <c r="D197" s="1574"/>
      <c r="E197" s="184"/>
      <c r="F197" s="184"/>
      <c r="G197" s="184"/>
      <c r="H197" s="184"/>
      <c r="I197" s="184"/>
      <c r="J197" s="756">
        <f>MIN(J190:J193)</f>
        <v>0</v>
      </c>
      <c r="K197" s="180">
        <v>0</v>
      </c>
      <c r="L197" s="180">
        <v>0</v>
      </c>
      <c r="M197" s="180">
        <v>0</v>
      </c>
      <c r="N197" s="180">
        <v>0</v>
      </c>
      <c r="O197" s="180">
        <v>0</v>
      </c>
      <c r="P197" s="180">
        <v>0</v>
      </c>
      <c r="Q197" s="180">
        <v>0</v>
      </c>
      <c r="R197" s="180">
        <v>0</v>
      </c>
      <c r="S197" s="833">
        <f t="shared" si="31"/>
        <v>0</v>
      </c>
      <c r="T197" s="803"/>
      <c r="U197" s="804"/>
    </row>
    <row r="198" spans="2:21" x14ac:dyDescent="0.2">
      <c r="B198" s="702" t="str">
        <f>B192</f>
        <v>FINN &amp; ASSOCIATES</v>
      </c>
      <c r="C198" s="1573"/>
      <c r="D198" s="1574"/>
      <c r="E198" s="539"/>
      <c r="F198" s="539">
        <f>F192</f>
        <v>3000</v>
      </c>
      <c r="G198" s="539">
        <f>G192</f>
        <v>350</v>
      </c>
      <c r="H198" s="539"/>
      <c r="I198" s="539"/>
      <c r="J198" s="528">
        <f>I198+H198+G198+F198+E198</f>
        <v>3350</v>
      </c>
      <c r="K198" s="527"/>
      <c r="L198" s="527"/>
      <c r="M198" s="527"/>
      <c r="N198" s="527"/>
      <c r="O198" s="527"/>
      <c r="P198" s="527"/>
      <c r="Q198" s="527"/>
      <c r="R198" s="527"/>
      <c r="S198" s="801">
        <f t="shared" si="31"/>
        <v>3350</v>
      </c>
      <c r="T198" s="723"/>
      <c r="U198" s="728"/>
    </row>
    <row r="199" spans="2:21" ht="12.75" customHeight="1" x14ac:dyDescent="0.2">
      <c r="B199" s="703" t="s">
        <v>646</v>
      </c>
      <c r="C199" s="690"/>
      <c r="D199" s="689"/>
      <c r="E199" s="1583" t="s">
        <v>563</v>
      </c>
      <c r="F199" s="1584"/>
      <c r="G199" s="1584"/>
      <c r="H199" s="1584"/>
      <c r="I199" s="1584"/>
      <c r="J199" s="1584"/>
      <c r="K199" s="1584"/>
      <c r="L199" s="1584"/>
      <c r="M199" s="1584"/>
      <c r="N199" s="1584"/>
      <c r="O199" s="1584"/>
      <c r="P199" s="1584"/>
      <c r="Q199" s="1584"/>
      <c r="R199" s="1584"/>
      <c r="S199" s="704"/>
      <c r="T199" s="704"/>
      <c r="U199" s="705"/>
    </row>
    <row r="200" spans="2:21" ht="12.75" customHeight="1" thickBot="1" x14ac:dyDescent="0.25">
      <c r="B200" s="1571" t="str">
        <f>'GO-NO-GO CHECKLIST'!B165:I165</f>
        <v>MISCELLANEOUS (CHANGE TO SUIT)</v>
      </c>
      <c r="C200" s="1570"/>
      <c r="D200" s="1570"/>
      <c r="E200" s="1570"/>
      <c r="F200" s="1570"/>
      <c r="G200" s="1570" t="s">
        <v>1618</v>
      </c>
      <c r="H200" s="1570"/>
      <c r="I200" s="1570"/>
      <c r="J200" s="1570"/>
      <c r="K200" s="1570"/>
      <c r="L200" s="1570"/>
      <c r="M200" s="1570"/>
      <c r="N200" s="1570"/>
      <c r="O200" s="1570"/>
      <c r="P200" s="1386"/>
      <c r="Q200" s="1386"/>
      <c r="R200" s="1386"/>
      <c r="S200" s="1386"/>
      <c r="T200" s="1386"/>
      <c r="U200" s="1387"/>
    </row>
    <row r="201" spans="2:21" s="503" customFormat="1" ht="25.5" customHeight="1" thickBot="1" x14ac:dyDescent="0.25">
      <c r="B201" s="813" t="s">
        <v>428</v>
      </c>
      <c r="C201" s="814" t="s">
        <v>1658</v>
      </c>
      <c r="D201" s="814" t="s">
        <v>429</v>
      </c>
      <c r="E201" s="829" t="s">
        <v>655</v>
      </c>
      <c r="F201" s="830" t="s">
        <v>69</v>
      </c>
      <c r="G201" s="1370" t="str">
        <f>'Project Cost Recap'!$B$65</f>
        <v>#1</v>
      </c>
      <c r="H201" s="1371" t="str">
        <f>'Project Cost Recap'!$B$66</f>
        <v>#2</v>
      </c>
      <c r="I201" s="1371" t="str">
        <f>'Project Cost Recap'!$B$67</f>
        <v>#3</v>
      </c>
      <c r="J201" s="1372" t="str">
        <f>'Project Cost Recap'!$B$68</f>
        <v>#4</v>
      </c>
      <c r="K201" s="1372" t="str">
        <f>'Project Cost Recap'!$B$69</f>
        <v>#5</v>
      </c>
      <c r="L201" s="1372" t="str">
        <f>'Project Cost Recap'!$B$70</f>
        <v>#6</v>
      </c>
      <c r="M201" s="1372" t="str">
        <f>'Project Cost Recap'!$B$71</f>
        <v>#7</v>
      </c>
      <c r="N201" s="1372" t="str">
        <f>'Project Cost Recap'!$B$72</f>
        <v>#8</v>
      </c>
      <c r="O201" s="546" t="s">
        <v>1726</v>
      </c>
      <c r="P201" s="838"/>
      <c r="Q201" s="838"/>
      <c r="R201" s="838"/>
      <c r="S201" s="838"/>
      <c r="T201" s="838"/>
      <c r="U201" s="839"/>
    </row>
    <row r="202" spans="2:21" x14ac:dyDescent="0.2">
      <c r="B202" s="722" t="s">
        <v>566</v>
      </c>
      <c r="C202" s="690"/>
      <c r="D202" s="690"/>
      <c r="E202" s="752">
        <v>0</v>
      </c>
      <c r="F202" s="758">
        <f>E202</f>
        <v>0</v>
      </c>
      <c r="G202" s="180">
        <v>0</v>
      </c>
      <c r="H202" s="180">
        <v>0</v>
      </c>
      <c r="I202" s="180">
        <v>0</v>
      </c>
      <c r="J202" s="180">
        <v>0</v>
      </c>
      <c r="K202" s="180">
        <v>0</v>
      </c>
      <c r="L202" s="180">
        <v>0</v>
      </c>
      <c r="M202" s="180">
        <v>0</v>
      </c>
      <c r="N202" s="180">
        <v>0</v>
      </c>
      <c r="O202" s="833">
        <f>SUM(F202:N202)</f>
        <v>0</v>
      </c>
      <c r="P202" s="713"/>
      <c r="Q202" s="713"/>
      <c r="R202" s="713"/>
      <c r="S202" s="713"/>
      <c r="T202" s="713"/>
      <c r="U202" s="714"/>
    </row>
    <row r="203" spans="2:21" x14ac:dyDescent="0.2">
      <c r="B203" s="698"/>
      <c r="C203" s="690"/>
      <c r="D203" s="690"/>
      <c r="E203" s="699">
        <v>0</v>
      </c>
      <c r="F203" s="755">
        <f t="shared" ref="F203:F208" si="32">E203</f>
        <v>0</v>
      </c>
      <c r="G203" s="180">
        <v>0</v>
      </c>
      <c r="H203" s="180">
        <v>0</v>
      </c>
      <c r="I203" s="180">
        <v>0</v>
      </c>
      <c r="J203" s="180">
        <v>0</v>
      </c>
      <c r="K203" s="180">
        <v>0</v>
      </c>
      <c r="L203" s="180">
        <v>0</v>
      </c>
      <c r="M203" s="180">
        <v>0</v>
      </c>
      <c r="N203" s="180">
        <v>0</v>
      </c>
      <c r="O203" s="833">
        <f t="shared" ref="O203:O210" si="33">SUM(F203:N203)</f>
        <v>0</v>
      </c>
      <c r="P203" s="713"/>
      <c r="Q203" s="713"/>
      <c r="R203" s="713"/>
      <c r="S203" s="713"/>
      <c r="T203" s="713"/>
      <c r="U203" s="714"/>
    </row>
    <row r="204" spans="2:21" x14ac:dyDescent="0.2">
      <c r="B204" s="722"/>
      <c r="C204" s="690"/>
      <c r="D204" s="690"/>
      <c r="E204" s="699">
        <v>0</v>
      </c>
      <c r="F204" s="755">
        <f t="shared" si="32"/>
        <v>0</v>
      </c>
      <c r="G204" s="180">
        <v>0</v>
      </c>
      <c r="H204" s="180">
        <v>0</v>
      </c>
      <c r="I204" s="180">
        <v>0</v>
      </c>
      <c r="J204" s="180">
        <v>0</v>
      </c>
      <c r="K204" s="180">
        <v>0</v>
      </c>
      <c r="L204" s="180">
        <v>0</v>
      </c>
      <c r="M204" s="180">
        <v>0</v>
      </c>
      <c r="N204" s="180">
        <v>0</v>
      </c>
      <c r="O204" s="833">
        <f t="shared" si="33"/>
        <v>0</v>
      </c>
      <c r="P204" s="713"/>
      <c r="Q204" s="713"/>
      <c r="R204" s="713"/>
      <c r="S204" s="713"/>
      <c r="T204" s="713"/>
      <c r="U204" s="714"/>
    </row>
    <row r="205" spans="2:21" x14ac:dyDescent="0.2">
      <c r="B205" s="722"/>
      <c r="C205" s="690"/>
      <c r="D205" s="690"/>
      <c r="E205" s="699">
        <v>0</v>
      </c>
      <c r="F205" s="755">
        <f t="shared" si="32"/>
        <v>0</v>
      </c>
      <c r="G205" s="180">
        <v>0</v>
      </c>
      <c r="H205" s="180">
        <v>0</v>
      </c>
      <c r="I205" s="180">
        <v>0</v>
      </c>
      <c r="J205" s="180">
        <v>0</v>
      </c>
      <c r="K205" s="180">
        <v>0</v>
      </c>
      <c r="L205" s="180">
        <v>0</v>
      </c>
      <c r="M205" s="180">
        <v>0</v>
      </c>
      <c r="N205" s="180">
        <v>0</v>
      </c>
      <c r="O205" s="833">
        <f t="shared" si="33"/>
        <v>0</v>
      </c>
      <c r="P205" s="713"/>
      <c r="Q205" s="713"/>
      <c r="R205" s="713"/>
      <c r="S205" s="713"/>
      <c r="T205" s="713"/>
      <c r="U205" s="714"/>
    </row>
    <row r="206" spans="2:21" x14ac:dyDescent="0.2">
      <c r="B206" s="722"/>
      <c r="C206" s="690"/>
      <c r="D206" s="690"/>
      <c r="E206" s="699">
        <v>0</v>
      </c>
      <c r="F206" s="755">
        <f t="shared" si="32"/>
        <v>0</v>
      </c>
      <c r="G206" s="180">
        <v>0</v>
      </c>
      <c r="H206" s="180">
        <v>0</v>
      </c>
      <c r="I206" s="180">
        <v>0</v>
      </c>
      <c r="J206" s="180">
        <v>0</v>
      </c>
      <c r="K206" s="180">
        <v>0</v>
      </c>
      <c r="L206" s="180">
        <v>0</v>
      </c>
      <c r="M206" s="180">
        <v>0</v>
      </c>
      <c r="N206" s="180">
        <v>0</v>
      </c>
      <c r="O206" s="833">
        <f t="shared" si="33"/>
        <v>0</v>
      </c>
      <c r="P206" s="713"/>
      <c r="Q206" s="713"/>
      <c r="R206" s="713"/>
      <c r="S206" s="713"/>
      <c r="T206" s="713"/>
      <c r="U206" s="714"/>
    </row>
    <row r="207" spans="2:21" x14ac:dyDescent="0.2">
      <c r="B207" s="722"/>
      <c r="C207" s="690"/>
      <c r="D207" s="690"/>
      <c r="E207" s="699">
        <v>0</v>
      </c>
      <c r="F207" s="755">
        <f t="shared" si="32"/>
        <v>0</v>
      </c>
      <c r="G207" s="180">
        <v>0</v>
      </c>
      <c r="H207" s="180">
        <v>0</v>
      </c>
      <c r="I207" s="180">
        <v>0</v>
      </c>
      <c r="J207" s="180">
        <v>0</v>
      </c>
      <c r="K207" s="180">
        <v>0</v>
      </c>
      <c r="L207" s="180">
        <v>0</v>
      </c>
      <c r="M207" s="180">
        <v>0</v>
      </c>
      <c r="N207" s="180">
        <v>0</v>
      </c>
      <c r="O207" s="833">
        <f t="shared" si="33"/>
        <v>0</v>
      </c>
      <c r="P207" s="713"/>
      <c r="Q207" s="713"/>
      <c r="R207" s="713"/>
      <c r="S207" s="713"/>
      <c r="T207" s="713"/>
      <c r="U207" s="714"/>
    </row>
    <row r="208" spans="2:21" x14ac:dyDescent="0.2">
      <c r="B208" s="722"/>
      <c r="C208" s="690"/>
      <c r="D208" s="690"/>
      <c r="E208" s="699">
        <v>0</v>
      </c>
      <c r="F208" s="755">
        <f t="shared" si="32"/>
        <v>0</v>
      </c>
      <c r="G208" s="180">
        <v>0</v>
      </c>
      <c r="H208" s="180">
        <v>0</v>
      </c>
      <c r="I208" s="180">
        <v>0</v>
      </c>
      <c r="J208" s="180">
        <v>0</v>
      </c>
      <c r="K208" s="180">
        <v>0</v>
      </c>
      <c r="L208" s="180">
        <v>0</v>
      </c>
      <c r="M208" s="180">
        <v>0</v>
      </c>
      <c r="N208" s="180">
        <v>0</v>
      </c>
      <c r="O208" s="833">
        <f t="shared" si="33"/>
        <v>0</v>
      </c>
      <c r="P208" s="713"/>
      <c r="Q208" s="713"/>
      <c r="R208" s="713"/>
      <c r="S208" s="713"/>
      <c r="T208" s="713"/>
      <c r="U208" s="714"/>
    </row>
    <row r="209" spans="2:21" x14ac:dyDescent="0.2">
      <c r="B209" s="472" t="s">
        <v>438</v>
      </c>
      <c r="C209" s="1573"/>
      <c r="D209" s="1574"/>
      <c r="E209" s="182"/>
      <c r="F209" s="759">
        <f>MIN(F202:F208)</f>
        <v>0</v>
      </c>
      <c r="G209" s="180">
        <v>0</v>
      </c>
      <c r="H209" s="180">
        <v>0</v>
      </c>
      <c r="I209" s="180">
        <v>0</v>
      </c>
      <c r="J209" s="180">
        <v>0</v>
      </c>
      <c r="K209" s="180">
        <v>0</v>
      </c>
      <c r="L209" s="180">
        <v>0</v>
      </c>
      <c r="M209" s="180">
        <v>0</v>
      </c>
      <c r="N209" s="180">
        <v>0</v>
      </c>
      <c r="O209" s="833">
        <f t="shared" si="33"/>
        <v>0</v>
      </c>
      <c r="P209" s="803"/>
      <c r="Q209" s="803"/>
      <c r="R209" s="803"/>
      <c r="S209" s="803"/>
      <c r="T209" s="803"/>
      <c r="U209" s="714"/>
    </row>
    <row r="210" spans="2:21" x14ac:dyDescent="0.2">
      <c r="B210" s="702"/>
      <c r="C210" s="1573"/>
      <c r="D210" s="1574"/>
      <c r="E210" s="502"/>
      <c r="F210" s="527">
        <f>E210</f>
        <v>0</v>
      </c>
      <c r="G210" s="527"/>
      <c r="H210" s="527"/>
      <c r="I210" s="527"/>
      <c r="J210" s="527"/>
      <c r="K210" s="527"/>
      <c r="L210" s="527"/>
      <c r="M210" s="527"/>
      <c r="N210" s="527"/>
      <c r="O210" s="801">
        <f t="shared" si="33"/>
        <v>0</v>
      </c>
      <c r="P210" s="723"/>
      <c r="Q210" s="723"/>
      <c r="R210" s="723"/>
      <c r="S210" s="723"/>
      <c r="T210" s="723"/>
      <c r="U210" s="728"/>
    </row>
    <row r="211" spans="2:21" ht="13.5" customHeight="1" thickBot="1" x14ac:dyDescent="0.25">
      <c r="B211" s="740" t="s">
        <v>646</v>
      </c>
      <c r="C211" s="741"/>
      <c r="D211" s="742"/>
      <c r="E211" s="1601" t="s">
        <v>563</v>
      </c>
      <c r="F211" s="1602"/>
      <c r="G211" s="1602"/>
      <c r="H211" s="1602"/>
      <c r="I211" s="1602"/>
      <c r="J211" s="1602"/>
      <c r="K211" s="1602"/>
      <c r="L211" s="1602"/>
      <c r="M211" s="1602"/>
      <c r="N211" s="1602"/>
      <c r="O211" s="743"/>
      <c r="P211" s="743"/>
      <c r="Q211" s="743"/>
      <c r="R211" s="743"/>
      <c r="S211" s="743"/>
      <c r="T211" s="743"/>
      <c r="U211" s="744"/>
    </row>
  </sheetData>
  <sheetProtection formatCells="0" formatColumns="0" formatRows="0" insertHyperlinks="0" sort="0" autoFilter="0" pivotTables="0"/>
  <customSheetViews>
    <customSheetView guid="{C88CD669-B349-4A86-8041-5686C62E698E}" fitToPage="1">
      <pageMargins left="0.7" right="0.7" top="0.75" bottom="0.75" header="0.3" footer="0.3"/>
      <pageSetup scale="42" fitToHeight="0" orientation="landscape" horizontalDpi="1200" verticalDpi="1200" r:id="rId1"/>
    </customSheetView>
    <customSheetView guid="{14A9C729-6567-47B0-B521-30EFFF4E950A}" fitToPage="1" topLeftCell="A49">
      <selection activeCell="D59" sqref="D59"/>
      <pageMargins left="0.7" right="0.7" top="0.75" bottom="0.75" header="0.3" footer="0.3"/>
      <pageSetup scale="42" fitToHeight="0" orientation="landscape" horizontalDpi="1200" verticalDpi="1200" r:id="rId2"/>
    </customSheetView>
    <customSheetView guid="{198460B7-6D23-4AED-A971-BF824A975991}" fitToPage="1">
      <selection activeCell="Q21" sqref="Q21"/>
      <pageMargins left="0.7" right="0.7" top="0.75" bottom="0.75" header="0.3" footer="0.3"/>
      <pageSetup scale="42" fitToHeight="0" orientation="landscape" horizontalDpi="1200" verticalDpi="1200" r:id="rId3"/>
    </customSheetView>
  </customSheetViews>
  <mergeCells count="81">
    <mergeCell ref="E211:N211"/>
    <mergeCell ref="E152:N152"/>
    <mergeCell ref="C162:D162"/>
    <mergeCell ref="C174:D174"/>
    <mergeCell ref="C198:D198"/>
    <mergeCell ref="C197:D197"/>
    <mergeCell ref="C185:D185"/>
    <mergeCell ref="C209:D209"/>
    <mergeCell ref="C210:D210"/>
    <mergeCell ref="C186:D186"/>
    <mergeCell ref="E176:N176"/>
    <mergeCell ref="E187:N187"/>
    <mergeCell ref="E199:R199"/>
    <mergeCell ref="B165:F165"/>
    <mergeCell ref="G165:O165"/>
    <mergeCell ref="B177:F177"/>
    <mergeCell ref="C126:D126"/>
    <mergeCell ref="F120:G120"/>
    <mergeCell ref="F121:G121"/>
    <mergeCell ref="F122:G122"/>
    <mergeCell ref="F123:G123"/>
    <mergeCell ref="F125:G125"/>
    <mergeCell ref="F126:G126"/>
    <mergeCell ref="F124:G124"/>
    <mergeCell ref="B1:U1"/>
    <mergeCell ref="G66:S66"/>
    <mergeCell ref="C11:D11"/>
    <mergeCell ref="C76:D76"/>
    <mergeCell ref="C25:D25"/>
    <mergeCell ref="Q39:T39"/>
    <mergeCell ref="C37:D37"/>
    <mergeCell ref="B14:U14"/>
    <mergeCell ref="G67:O67"/>
    <mergeCell ref="E116:R116"/>
    <mergeCell ref="R5:U5"/>
    <mergeCell ref="G91:O91"/>
    <mergeCell ref="B103:J103"/>
    <mergeCell ref="K103:S103"/>
    <mergeCell ref="C50:D50"/>
    <mergeCell ref="C114:D114"/>
    <mergeCell ref="C100:D100"/>
    <mergeCell ref="E90:P90"/>
    <mergeCell ref="E78:N78"/>
    <mergeCell ref="E52:N52"/>
    <mergeCell ref="E102:N102"/>
    <mergeCell ref="C88:D88"/>
    <mergeCell ref="B53:K53"/>
    <mergeCell ref="L53:T53"/>
    <mergeCell ref="B67:F67"/>
    <mergeCell ref="B117:H117"/>
    <mergeCell ref="I117:Q117"/>
    <mergeCell ref="C138:D138"/>
    <mergeCell ref="E164:L164"/>
    <mergeCell ref="F127:G127"/>
    <mergeCell ref="C150:D150"/>
    <mergeCell ref="E128:P128"/>
    <mergeCell ref="B129:F129"/>
    <mergeCell ref="G129:O129"/>
    <mergeCell ref="B141:F141"/>
    <mergeCell ref="E140:N140"/>
    <mergeCell ref="G141:O141"/>
    <mergeCell ref="B153:L153"/>
    <mergeCell ref="M153:U153"/>
    <mergeCell ref="F118:G118"/>
    <mergeCell ref="F119:G119"/>
    <mergeCell ref="B79:H79"/>
    <mergeCell ref="I79:Q79"/>
    <mergeCell ref="C64:D64"/>
    <mergeCell ref="B91:F91"/>
    <mergeCell ref="E13:P13"/>
    <mergeCell ref="E26:P26"/>
    <mergeCell ref="Q17:U17"/>
    <mergeCell ref="P42:U42"/>
    <mergeCell ref="B41:F41"/>
    <mergeCell ref="G41:O41"/>
    <mergeCell ref="B27:F27"/>
    <mergeCell ref="G177:O177"/>
    <mergeCell ref="B188:J188"/>
    <mergeCell ref="K188:S188"/>
    <mergeCell ref="B200:F200"/>
    <mergeCell ref="G200:O200"/>
  </mergeCells>
  <conditionalFormatting sqref="D44">
    <cfRule type="cellIs" dxfId="159" priority="63" operator="equal">
      <formula>"No"</formula>
    </cfRule>
  </conditionalFormatting>
  <conditionalFormatting sqref="D45:D49">
    <cfRule type="cellIs" dxfId="158" priority="62" operator="equal">
      <formula>"No"</formula>
    </cfRule>
  </conditionalFormatting>
  <conditionalFormatting sqref="D70:D75">
    <cfRule type="cellIs" dxfId="157" priority="61" operator="equal">
      <formula>"No"</formula>
    </cfRule>
  </conditionalFormatting>
  <conditionalFormatting sqref="D82:D87">
    <cfRule type="cellIs" dxfId="156" priority="60" operator="equal">
      <formula>"No"</formula>
    </cfRule>
  </conditionalFormatting>
  <conditionalFormatting sqref="D132:D137">
    <cfRule type="cellIs" dxfId="155" priority="56" operator="equal">
      <formula>"No"</formula>
    </cfRule>
  </conditionalFormatting>
  <conditionalFormatting sqref="D203:D208">
    <cfRule type="cellIs" dxfId="154" priority="52" operator="equal">
      <formula>"No"</formula>
    </cfRule>
  </conditionalFormatting>
  <conditionalFormatting sqref="D156">
    <cfRule type="containsText" dxfId="153" priority="19" operator="containsText" text="No">
      <formula>NOT(ISERROR(SEARCH("No",D156)))</formula>
    </cfRule>
  </conditionalFormatting>
  <conditionalFormatting sqref="C19:D23">
    <cfRule type="containsText" dxfId="152" priority="17" operator="containsText" text="No">
      <formula>NOT(ISERROR(SEARCH("No",C19)))</formula>
    </cfRule>
  </conditionalFormatting>
  <conditionalFormatting sqref="C180:D184">
    <cfRule type="containsText" dxfId="151" priority="15" operator="containsText" text="No">
      <formula>NOT(ISERROR(SEARCH("No",C180)))</formula>
    </cfRule>
  </conditionalFormatting>
  <conditionalFormatting sqref="C191:D196">
    <cfRule type="containsText" dxfId="150" priority="13" operator="containsText" text="No">
      <formula>NOT(ISERROR(SEARCH("No",C191)))</formula>
    </cfRule>
  </conditionalFormatting>
  <conditionalFormatting sqref="C113">
    <cfRule type="containsText" dxfId="149" priority="10" operator="containsText" text="No">
      <formula>NOT(ISERROR(SEARCH("No",C113)))</formula>
    </cfRule>
  </conditionalFormatting>
  <conditionalFormatting sqref="D113">
    <cfRule type="containsText" dxfId="148" priority="9" operator="containsText" text="No">
      <formula>NOT(ISERROR(SEARCH("No",D113)))</formula>
    </cfRule>
  </conditionalFormatting>
  <conditionalFormatting sqref="C106:C112">
    <cfRule type="containsText" dxfId="147" priority="8" operator="containsText" text="No">
      <formula>NOT(ISERROR(SEARCH("No",C106)))</formula>
    </cfRule>
  </conditionalFormatting>
  <conditionalFormatting sqref="D157:D161">
    <cfRule type="containsText" dxfId="146" priority="7" operator="containsText" text="No">
      <formula>NOT(ISERROR(SEARCH("No",D157)))</formula>
    </cfRule>
  </conditionalFormatting>
  <conditionalFormatting sqref="C156:C161">
    <cfRule type="containsText" dxfId="145" priority="6" operator="containsText" text="No">
      <formula>NOT(ISERROR(SEARCH("No",C156)))</formula>
    </cfRule>
  </conditionalFormatting>
  <conditionalFormatting sqref="C144:C149">
    <cfRule type="containsText" dxfId="144" priority="3" operator="containsText" text="No">
      <formula>NOT(ISERROR(SEARCH("No",C144)))</formula>
    </cfRule>
  </conditionalFormatting>
  <conditionalFormatting sqref="D144:D149">
    <cfRule type="containsText" dxfId="143" priority="2" operator="containsText" text="No">
      <formula>NOT(ISERROR(SEARCH("No",D144)))</formula>
    </cfRule>
  </conditionalFormatting>
  <conditionalFormatting sqref="D106:D112">
    <cfRule type="containsText" dxfId="142" priority="1" operator="containsText" text="No">
      <formula>NOT(ISERROR(SEARCH("No",D106)))</formula>
    </cfRule>
  </conditionalFormatting>
  <pageMargins left="0.7" right="0.7" top="0.75" bottom="0.75" header="0.3" footer="0.3"/>
  <pageSetup scale="42" fitToHeight="0" orientation="landscape" horizontalDpi="1200" verticalDpi="1200" r:id="rId4"/>
  <legacyDrawing r:id="rId5"/>
  <extLst>
    <ext xmlns:x14="http://schemas.microsoft.com/office/spreadsheetml/2009/9/main" uri="{CCE6A557-97BC-4b89-ADB6-D9C93CAAB3DF}">
      <x14:dataValidations xmlns:xm="http://schemas.microsoft.com/office/excel/2006/main" disablePrompts="1" count="17">
        <x14:dataValidation type="list" allowBlank="1" showInputMessage="1" showErrorMessage="1" xr:uid="{00000000-0002-0000-0400-000000000000}">
          <x14:formula1>
            <xm:f>DATA!$E$15:$E$17</xm:f>
          </x14:formula1>
          <xm:sqref>D29:D36 D3:D10 D16 C57:C63 C30:C36 C5:C10 D17:D18 C43:D49 D55:D63 C69:D75 C81:D87 D143 D105 C167:D173 D155 D179 D190 C202:D208 C119:D119 C131:D137 D93:D99 C93</xm:sqref>
        </x14:dataValidation>
        <x14:dataValidation type="list" allowBlank="1" showInputMessage="1" xr:uid="{00000000-0002-0000-0400-000001000000}">
          <x14:formula1>
            <xm:f>DATA!$I$100:$I$102</xm:f>
          </x14:formula1>
          <xm:sqref>B57</xm:sqref>
        </x14:dataValidation>
        <x14:dataValidation type="list" allowBlank="1" showInputMessage="1" xr:uid="{00000000-0002-0000-0400-000002000000}">
          <x14:formula1>
            <xm:f>DATA!$J$78:$J$88</xm:f>
          </x14:formula1>
          <xm:sqref>B18:B23</xm:sqref>
        </x14:dataValidation>
        <x14:dataValidation type="list" allowBlank="1" showInputMessage="1" xr:uid="{00000000-0002-0000-0400-000003000000}">
          <x14:formula1>
            <xm:f>DATA!$I$42:$I$60</xm:f>
          </x14:formula1>
          <xm:sqref>B44:B49</xm:sqref>
        </x14:dataValidation>
        <x14:dataValidation type="list" allowBlank="1" showInputMessage="1" xr:uid="{00000000-0002-0000-0400-000004000000}">
          <x14:formula1>
            <xm:f>DATA!$H$42:$H$53</xm:f>
          </x14:formula1>
          <xm:sqref>B106:B113</xm:sqref>
        </x14:dataValidation>
        <x14:dataValidation type="list" allowBlank="1" showInputMessage="1" xr:uid="{00000000-0002-0000-0400-000005000000}">
          <x14:formula1>
            <xm:f>DATA!$J$90:$J$94</xm:f>
          </x14:formula1>
          <xm:sqref>B120:B125</xm:sqref>
        </x14:dataValidation>
        <x14:dataValidation type="list" allowBlank="1" showInputMessage="1" xr:uid="{00000000-0002-0000-0400-000008000000}">
          <x14:formula1>
            <xm:f>DATA!$J$64:$J$76</xm:f>
          </x14:formula1>
          <xm:sqref>B191:B196</xm:sqref>
        </x14:dataValidation>
        <x14:dataValidation type="list" allowBlank="1" showInputMessage="1" xr:uid="{00000000-0002-0000-0400-000009000000}">
          <x14:formula1>
            <xm:f>DATA!$E$15:$E$18</xm:f>
          </x14:formula1>
          <xm:sqref>C180:D184 C191:D196 C19:D23 C156:D161 C144:D149 D120:D125 D106:D113</xm:sqref>
        </x14:dataValidation>
        <x14:dataValidation type="list" allowBlank="1" showInputMessage="1" xr:uid="{00000000-0002-0000-0400-00000A000000}">
          <x14:formula1>
            <xm:f>DATA!$I$100:$I$106</xm:f>
          </x14:formula1>
          <xm:sqref>B58:B63</xm:sqref>
        </x14:dataValidation>
        <x14:dataValidation type="list" allowBlank="1" showInputMessage="1" xr:uid="{00000000-0002-0000-0400-00000B000000}">
          <x14:formula1>
            <xm:f>DATA!$G$15:$G$19</xm:f>
          </x14:formula1>
          <xm:sqref>C120:C125 C106:C112</xm:sqref>
        </x14:dataValidation>
        <x14:dataValidation type="list" allowBlank="1" showInputMessage="1" showErrorMessage="1" xr:uid="{00000000-0002-0000-0400-00000C000000}">
          <x14:formula1>
            <xm:f>DATA!$G$15:$G$19</xm:f>
          </x14:formula1>
          <xm:sqref>C94:C99</xm:sqref>
        </x14:dataValidation>
        <x14:dataValidation type="list" allowBlank="1" showInputMessage="1" xr:uid="{00000000-0002-0000-0400-00000D000000}">
          <x14:formula1>
            <xm:f>DATA!$H$117:$H$127</xm:f>
          </x14:formula1>
          <xm:sqref>B5:B10</xm:sqref>
        </x14:dataValidation>
        <x14:dataValidation type="list" allowBlank="1" showInputMessage="1" xr:uid="{76F4040F-2262-43CB-9B2B-B1A01198E2AF}">
          <x14:formula1>
            <xm:f>DATA!$I$77:$I$98</xm:f>
          </x14:formula1>
          <xm:sqref>B180:B184</xm:sqref>
        </x14:dataValidation>
        <x14:dataValidation type="list" allowBlank="1" showInputMessage="1" xr:uid="{2E5DC74F-51FF-40EE-83A0-8E152EBA7B82}">
          <x14:formula1>
            <xm:f>DATA!$I$108:$I$115</xm:f>
          </x14:formula1>
          <xm:sqref>B70:B75</xm:sqref>
        </x14:dataValidation>
        <x14:dataValidation type="list" allowBlank="1" showInputMessage="1" xr:uid="{31F1E724-2752-4789-9539-BB129AB9A01B}">
          <x14:formula1>
            <xm:f>DATA!$J$117:$J$125</xm:f>
          </x14:formula1>
          <xm:sqref>B82:B87</xm:sqref>
        </x14:dataValidation>
        <x14:dataValidation type="list" allowBlank="1" showInputMessage="1" xr:uid="{26335E2E-DFD6-4C63-A533-DFAE54BAE1A9}">
          <x14:formula1>
            <xm:f>DATA!$J$108:$J$115</xm:f>
          </x14:formula1>
          <xm:sqref>B94:B99</xm:sqref>
        </x14:dataValidation>
        <x14:dataValidation type="list" allowBlank="1" showInputMessage="1" xr:uid="{045230D8-2B35-4347-80F2-A5E75FDF221A}">
          <x14:formula1>
            <xm:f>DATA!$I$64:$I$75</xm:f>
          </x14:formula1>
          <xm:sqref>B156:B161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X81"/>
  <sheetViews>
    <sheetView topLeftCell="A28" zoomScaleNormal="100" workbookViewId="0">
      <selection activeCell="J27" sqref="J27"/>
    </sheetView>
  </sheetViews>
  <sheetFormatPr defaultRowHeight="12.75" x14ac:dyDescent="0.2"/>
  <cols>
    <col min="1" max="1" width="13.42578125" customWidth="1"/>
    <col min="2" max="2" width="13" customWidth="1"/>
    <col min="3" max="3" width="8.5703125" customWidth="1"/>
    <col min="4" max="4" width="9.5703125" customWidth="1"/>
    <col min="5" max="5" width="5.42578125" customWidth="1"/>
    <col min="6" max="6" width="15.7109375" customWidth="1"/>
    <col min="7" max="7" width="6.85546875" customWidth="1"/>
    <col min="8" max="8" width="23.140625" customWidth="1"/>
    <col min="9" max="9" width="4.140625" customWidth="1"/>
    <col min="10" max="10" width="25.140625" customWidth="1"/>
    <col min="11" max="11" width="14.140625" customWidth="1"/>
    <col min="12" max="12" width="13" customWidth="1"/>
    <col min="13" max="13" width="11.28515625" bestFit="1" customWidth="1"/>
    <col min="15" max="15" width="10.42578125" customWidth="1"/>
    <col min="16" max="16" width="11.5703125" customWidth="1"/>
    <col min="17" max="17" width="10.140625" bestFit="1" customWidth="1"/>
    <col min="19" max="19" width="13.28515625" bestFit="1" customWidth="1"/>
    <col min="20" max="20" width="12.140625" bestFit="1" customWidth="1"/>
    <col min="21" max="21" width="11.5703125" customWidth="1"/>
  </cols>
  <sheetData>
    <row r="1" spans="1:14" ht="18.75" x14ac:dyDescent="0.3">
      <c r="A1" s="1621" t="s">
        <v>25</v>
      </c>
      <c r="B1" s="1621"/>
      <c r="C1" s="1621"/>
      <c r="D1" s="1621"/>
      <c r="E1" s="1621"/>
      <c r="F1" s="1621"/>
      <c r="G1" s="1621"/>
      <c r="H1" s="1621"/>
      <c r="I1" s="1621"/>
    </row>
    <row r="2" spans="1:14" ht="17.25" x14ac:dyDescent="0.25">
      <c r="A2" s="1622" t="s">
        <v>24</v>
      </c>
      <c r="B2" s="1622"/>
      <c r="C2" s="1622"/>
      <c r="D2" s="1622"/>
      <c r="E2" s="1622"/>
      <c r="F2" s="1622"/>
      <c r="G2" s="1622"/>
      <c r="H2" s="1622"/>
      <c r="I2" s="1622"/>
    </row>
    <row r="3" spans="1:14" ht="15.75" x14ac:dyDescent="0.25">
      <c r="A3" s="1" t="str">
        <f>'Project Cost Recap'!B5</f>
        <v>Project Name:</v>
      </c>
      <c r="B3" s="417" t="str">
        <f>'Project Cost Recap'!C5</f>
        <v>300 University Boulevard</v>
      </c>
      <c r="C3" s="2"/>
      <c r="D3" s="3"/>
      <c r="E3" s="3"/>
      <c r="F3" s="3"/>
      <c r="G3" s="3"/>
      <c r="H3" s="89" t="str">
        <f>'Project Cost Recap'!H5</f>
        <v>BASE BID</v>
      </c>
      <c r="I3" s="4"/>
      <c r="J3" s="91" t="s">
        <v>208</v>
      </c>
      <c r="K3" s="303">
        <f>'PROJECT INFO'!H24</f>
        <v>44757</v>
      </c>
    </row>
    <row r="4" spans="1:14" ht="15.75" x14ac:dyDescent="0.25">
      <c r="A4" s="5" t="str">
        <f>'Project Cost Recap'!B6</f>
        <v>Location:</v>
      </c>
      <c r="B4" s="417" t="str">
        <f>'Project Cost Recap'!C6</f>
        <v>Denver, CO 80206</v>
      </c>
      <c r="C4" s="6"/>
      <c r="D4" s="7"/>
      <c r="E4" s="7"/>
      <c r="F4" s="7"/>
      <c r="G4" s="8" t="s">
        <v>3</v>
      </c>
      <c r="H4" s="9">
        <f ca="1">NOW()</f>
        <v>44718.519324884262</v>
      </c>
      <c r="J4" s="91" t="s">
        <v>209</v>
      </c>
      <c r="K4" s="303">
        <f>'PROJECT INFO'!H25</f>
        <v>45056</v>
      </c>
    </row>
    <row r="5" spans="1:14" x14ac:dyDescent="0.2">
      <c r="A5" s="10" t="str">
        <f>'Project Cost Recap'!B7</f>
        <v>Bid Date:</v>
      </c>
      <c r="B5" s="418">
        <f>'Project Cost Recap'!C7</f>
        <v>44624</v>
      </c>
      <c r="C5" s="6"/>
      <c r="D5" s="7"/>
      <c r="E5" s="7"/>
      <c r="F5" s="7"/>
      <c r="G5" s="8" t="s">
        <v>5</v>
      </c>
      <c r="H5" s="11">
        <f ca="1">+TODAY()</f>
        <v>44718</v>
      </c>
      <c r="J5" s="91" t="s">
        <v>125</v>
      </c>
      <c r="K5" s="100">
        <f>'PROJECT INFO'!H26</f>
        <v>9.9666666666666668</v>
      </c>
    </row>
    <row r="6" spans="1:14" x14ac:dyDescent="0.2">
      <c r="A6" s="11" t="s">
        <v>637</v>
      </c>
      <c r="B6" s="419" t="str">
        <f>'PROJECT INFO'!E4</f>
        <v>5888</v>
      </c>
      <c r="C6" s="97"/>
      <c r="D6" s="11"/>
      <c r="E6" s="6"/>
      <c r="F6" s="7"/>
      <c r="G6" s="6"/>
      <c r="H6" s="7"/>
      <c r="J6" s="91" t="s">
        <v>210</v>
      </c>
      <c r="K6" s="100">
        <f>'PROJECT INFO'!H27</f>
        <v>42.714285714285715</v>
      </c>
    </row>
    <row r="7" spans="1:14" ht="13.5" x14ac:dyDescent="0.25">
      <c r="A7" s="12" t="s">
        <v>26</v>
      </c>
      <c r="B7" s="2"/>
      <c r="C7" s="28" t="s">
        <v>48</v>
      </c>
      <c r="D7" s="13" t="s">
        <v>45</v>
      </c>
      <c r="E7" s="13"/>
      <c r="F7" s="13" t="s">
        <v>46</v>
      </c>
      <c r="G7" s="13"/>
      <c r="H7" s="26" t="s">
        <v>47</v>
      </c>
      <c r="J7" s="91" t="s">
        <v>211</v>
      </c>
      <c r="K7" s="100">
        <f>'PROJECT INFO'!H28</f>
        <v>299</v>
      </c>
    </row>
    <row r="8" spans="1:14" ht="13.5" customHeight="1" thickBot="1" x14ac:dyDescent="0.3">
      <c r="A8" s="3"/>
      <c r="B8" s="2"/>
      <c r="C8" s="98">
        <f>'PROJECT INFO'!H14</f>
        <v>8.8099999999999998E-2</v>
      </c>
      <c r="D8" s="14"/>
      <c r="E8" s="14"/>
      <c r="F8" s="15"/>
      <c r="G8" s="14"/>
      <c r="H8" s="15" t="s">
        <v>44</v>
      </c>
      <c r="J8" s="91" t="s">
        <v>212</v>
      </c>
      <c r="K8" s="100">
        <f>'PROJECT INFO'!H29</f>
        <v>213.57142857142858</v>
      </c>
    </row>
    <row r="9" spans="1:14" ht="13.5" customHeight="1" x14ac:dyDescent="0.2">
      <c r="A9" s="16" t="s">
        <v>27</v>
      </c>
      <c r="B9" s="17"/>
      <c r="C9" s="99">
        <f>C8</f>
        <v>8.8099999999999998E-2</v>
      </c>
      <c r="D9" s="33">
        <f>'QP Reports'!J51</f>
        <v>1679</v>
      </c>
      <c r="E9" s="18"/>
      <c r="F9" s="357">
        <f>'QP Reports'!F51</f>
        <v>44768.800000000003</v>
      </c>
      <c r="G9" s="18"/>
      <c r="H9" s="30">
        <f>(C9*F9)+F9</f>
        <v>48712.931280000004</v>
      </c>
      <c r="J9" s="361" t="s">
        <v>1117</v>
      </c>
      <c r="K9" s="362" t="s">
        <v>212</v>
      </c>
      <c r="L9" s="362" t="s">
        <v>1118</v>
      </c>
      <c r="M9" s="362" t="s">
        <v>1119</v>
      </c>
      <c r="N9" s="363" t="s">
        <v>69</v>
      </c>
    </row>
    <row r="10" spans="1:14" ht="13.5" customHeight="1" thickBot="1" x14ac:dyDescent="0.25">
      <c r="A10" s="16" t="s">
        <v>1117</v>
      </c>
      <c r="B10" s="17"/>
      <c r="C10" s="99">
        <f>C9</f>
        <v>8.8099999999999998E-2</v>
      </c>
      <c r="D10" s="33">
        <v>0</v>
      </c>
      <c r="E10" s="18"/>
      <c r="F10" s="19">
        <f>N10</f>
        <v>4805.3571428571431</v>
      </c>
      <c r="G10" s="18"/>
      <c r="H10" s="30">
        <f>(C10*F10)+F10</f>
        <v>5228.7091071428576</v>
      </c>
      <c r="J10" s="358">
        <f>1*'PROJECT INFO'!I22</f>
        <v>1</v>
      </c>
      <c r="K10" s="359">
        <f>K8</f>
        <v>213.57142857142858</v>
      </c>
      <c r="L10" s="358">
        <v>1.5</v>
      </c>
      <c r="M10" s="364">
        <v>15</v>
      </c>
      <c r="N10" s="364">
        <f>M10*L10*K10*J10</f>
        <v>4805.3571428571431</v>
      </c>
    </row>
    <row r="11" spans="1:14" ht="13.5" customHeight="1" thickBot="1" x14ac:dyDescent="0.25">
      <c r="A11" s="16" t="s">
        <v>28</v>
      </c>
      <c r="B11" s="17"/>
      <c r="C11" s="99">
        <f>C9</f>
        <v>8.8099999999999998E-2</v>
      </c>
      <c r="D11" s="33">
        <v>0</v>
      </c>
      <c r="E11" s="18"/>
      <c r="F11" s="19">
        <v>0</v>
      </c>
      <c r="G11" s="18"/>
      <c r="H11" s="30">
        <f t="shared" ref="H11:H29" si="0">(C11*F11)+F11</f>
        <v>0</v>
      </c>
      <c r="J11" s="360" t="s">
        <v>1120</v>
      </c>
    </row>
    <row r="12" spans="1:14" ht="13.5" customHeight="1" x14ac:dyDescent="0.2">
      <c r="A12" s="16" t="s">
        <v>22</v>
      </c>
      <c r="B12" s="17"/>
      <c r="C12" s="99">
        <f t="shared" ref="C12:C29" si="1">C11</f>
        <v>8.8099999999999998E-2</v>
      </c>
      <c r="D12" s="112">
        <f>Htg!I5</f>
        <v>302</v>
      </c>
      <c r="E12" s="18"/>
      <c r="F12" s="42">
        <f>Htg!G7</f>
        <v>343471</v>
      </c>
      <c r="G12" s="18"/>
      <c r="H12" s="30">
        <f t="shared" si="0"/>
        <v>373730.79509999999</v>
      </c>
    </row>
    <row r="13" spans="1:14" ht="13.5" customHeight="1" x14ac:dyDescent="0.2">
      <c r="A13" s="16" t="s">
        <v>29</v>
      </c>
      <c r="B13" s="17"/>
      <c r="C13" s="99">
        <v>8.3099999999999993E-2</v>
      </c>
      <c r="D13" s="33">
        <v>0</v>
      </c>
      <c r="E13" s="18"/>
      <c r="F13" s="19">
        <f>L13</f>
        <v>0</v>
      </c>
      <c r="G13" s="18"/>
      <c r="H13" s="30">
        <f t="shared" si="0"/>
        <v>0</v>
      </c>
      <c r="J13" s="100">
        <v>0</v>
      </c>
      <c r="K13" s="90">
        <f>Rentals!B40</f>
        <v>300</v>
      </c>
      <c r="L13" s="90">
        <f>J13*K13</f>
        <v>0</v>
      </c>
      <c r="M13" s="1610" t="s">
        <v>2363</v>
      </c>
      <c r="N13" s="1610"/>
    </row>
    <row r="14" spans="1:14" ht="13.5" customHeight="1" x14ac:dyDescent="0.2">
      <c r="A14" s="16" t="s">
        <v>30</v>
      </c>
      <c r="B14" s="17"/>
      <c r="C14" s="99">
        <f t="shared" si="1"/>
        <v>8.3099999999999993E-2</v>
      </c>
      <c r="D14" s="33">
        <v>0</v>
      </c>
      <c r="E14" s="18"/>
      <c r="F14" s="19">
        <f>L14</f>
        <v>600</v>
      </c>
      <c r="G14" s="18"/>
      <c r="H14" s="30">
        <f t="shared" si="0"/>
        <v>649.86</v>
      </c>
      <c r="J14" s="100">
        <v>6</v>
      </c>
      <c r="K14" s="90">
        <f>Rentals!B41</f>
        <v>100</v>
      </c>
      <c r="L14" s="90">
        <f>J14*K14</f>
        <v>600</v>
      </c>
      <c r="M14" s="1610" t="s">
        <v>1714</v>
      </c>
      <c r="N14" s="1610"/>
    </row>
    <row r="15" spans="1:14" ht="13.5" customHeight="1" x14ac:dyDescent="0.2">
      <c r="A15" s="16" t="s">
        <v>31</v>
      </c>
      <c r="B15" s="17"/>
      <c r="C15" s="99">
        <f t="shared" si="1"/>
        <v>8.3099999999999993E-2</v>
      </c>
      <c r="D15" s="33">
        <v>0</v>
      </c>
      <c r="E15" s="18"/>
      <c r="F15" s="42">
        <f>0.03*H44</f>
        <v>4271.985287819999</v>
      </c>
      <c r="G15" s="18"/>
      <c r="H15" s="30">
        <f t="shared" si="0"/>
        <v>4626.9872652378408</v>
      </c>
      <c r="J15" s="100"/>
    </row>
    <row r="16" spans="1:14" ht="13.5" customHeight="1" x14ac:dyDescent="0.2">
      <c r="A16" s="16" t="s">
        <v>32</v>
      </c>
      <c r="B16" s="17"/>
      <c r="C16" s="99">
        <f t="shared" si="1"/>
        <v>8.3099999999999993E-2</v>
      </c>
      <c r="D16" s="33">
        <v>0</v>
      </c>
      <c r="E16" s="18"/>
      <c r="F16" s="19">
        <v>0</v>
      </c>
      <c r="G16" s="18"/>
      <c r="H16" s="30">
        <f t="shared" si="0"/>
        <v>0</v>
      </c>
      <c r="J16" s="100"/>
    </row>
    <row r="17" spans="1:24" ht="13.5" customHeight="1" x14ac:dyDescent="0.2">
      <c r="A17" s="16" t="s">
        <v>238</v>
      </c>
      <c r="B17" s="17"/>
      <c r="C17" s="99">
        <f t="shared" si="1"/>
        <v>8.3099999999999993E-2</v>
      </c>
      <c r="D17" s="112">
        <f>D9*0.05</f>
        <v>83.95</v>
      </c>
      <c r="E17" s="18"/>
      <c r="F17" s="19">
        <v>0</v>
      </c>
      <c r="G17" s="18"/>
      <c r="H17" s="30">
        <f t="shared" si="0"/>
        <v>0</v>
      </c>
      <c r="J17" s="100"/>
    </row>
    <row r="18" spans="1:24" ht="13.5" customHeight="1" x14ac:dyDescent="0.2">
      <c r="A18" s="16" t="s">
        <v>33</v>
      </c>
      <c r="B18" s="17"/>
      <c r="C18" s="99">
        <f t="shared" si="1"/>
        <v>8.3099999999999993E-2</v>
      </c>
      <c r="D18" s="33">
        <v>0</v>
      </c>
      <c r="E18" s="18"/>
      <c r="F18" s="19">
        <f>'HOISTING EQP'!J53</f>
        <v>0</v>
      </c>
      <c r="G18" s="18"/>
      <c r="H18" s="30">
        <f t="shared" si="0"/>
        <v>0</v>
      </c>
      <c r="J18" s="100"/>
    </row>
    <row r="19" spans="1:24" ht="13.5" customHeight="1" x14ac:dyDescent="0.2">
      <c r="A19" s="16" t="s">
        <v>34</v>
      </c>
      <c r="B19" s="17"/>
      <c r="C19" s="99">
        <f t="shared" si="1"/>
        <v>8.3099999999999993E-2</v>
      </c>
      <c r="D19" s="33">
        <v>0</v>
      </c>
      <c r="E19" s="18"/>
      <c r="F19" s="19">
        <f>L19</f>
        <v>6000</v>
      </c>
      <c r="G19" s="18"/>
      <c r="H19" s="30">
        <f t="shared" si="0"/>
        <v>6498.6</v>
      </c>
      <c r="J19" s="100">
        <v>6</v>
      </c>
      <c r="K19" s="90">
        <f>Rentals!B39</f>
        <v>1000</v>
      </c>
      <c r="L19" s="90">
        <f>J19*K19</f>
        <v>6000</v>
      </c>
      <c r="M19" s="1626" t="s">
        <v>2364</v>
      </c>
      <c r="N19" s="1626"/>
    </row>
    <row r="20" spans="1:24" ht="13.5" customHeight="1" x14ac:dyDescent="0.2">
      <c r="A20" s="16" t="s">
        <v>35</v>
      </c>
      <c r="B20" s="17"/>
      <c r="C20" s="99">
        <f t="shared" si="1"/>
        <v>8.3099999999999993E-2</v>
      </c>
      <c r="D20" s="109">
        <v>0</v>
      </c>
      <c r="E20" s="18"/>
      <c r="F20" s="19">
        <v>0</v>
      </c>
      <c r="G20" s="18"/>
      <c r="H20" s="30">
        <f t="shared" si="0"/>
        <v>0</v>
      </c>
      <c r="J20" s="100"/>
    </row>
    <row r="21" spans="1:24" ht="13.5" customHeight="1" thickBot="1" x14ac:dyDescent="0.25">
      <c r="A21" s="16" t="s">
        <v>36</v>
      </c>
      <c r="B21" s="17"/>
      <c r="C21" s="99">
        <f t="shared" si="1"/>
        <v>8.3099999999999993E-2</v>
      </c>
      <c r="D21" s="33">
        <v>0</v>
      </c>
      <c r="E21" s="18"/>
      <c r="F21" s="42">
        <f>F9*0.02</f>
        <v>895.37600000000009</v>
      </c>
      <c r="G21" s="18"/>
      <c r="H21" s="30">
        <f t="shared" si="0"/>
        <v>969.78174560000014</v>
      </c>
      <c r="J21" s="100"/>
    </row>
    <row r="22" spans="1:24" ht="13.5" customHeight="1" x14ac:dyDescent="0.2">
      <c r="A22" s="16" t="s">
        <v>653</v>
      </c>
      <c r="B22" s="17"/>
      <c r="C22" s="99">
        <f t="shared" si="1"/>
        <v>8.3099999999999993E-2</v>
      </c>
      <c r="D22" s="33">
        <f>Subs!T16</f>
        <v>0</v>
      </c>
      <c r="E22" s="18"/>
      <c r="F22" s="19">
        <f>Subs!R16</f>
        <v>0</v>
      </c>
      <c r="G22" s="18"/>
      <c r="H22" s="30">
        <f t="shared" si="0"/>
        <v>0</v>
      </c>
      <c r="I22" s="1623" t="s">
        <v>1709</v>
      </c>
      <c r="J22" s="1312">
        <v>0</v>
      </c>
      <c r="K22" s="1304">
        <f>Rentals!B4</f>
        <v>1000</v>
      </c>
      <c r="L22" s="1304">
        <f t="shared" ref="L22:L27" si="2">J22*K22</f>
        <v>0</v>
      </c>
      <c r="M22" s="1627" t="str">
        <f>Rentals!A4</f>
        <v>DUMPSTERS monthly</v>
      </c>
      <c r="N22" s="1628"/>
    </row>
    <row r="23" spans="1:24" ht="13.5" customHeight="1" x14ac:dyDescent="0.2">
      <c r="A23" s="16" t="s">
        <v>37</v>
      </c>
      <c r="B23" s="17"/>
      <c r="C23" s="99">
        <f t="shared" si="1"/>
        <v>8.3099999999999993E-2</v>
      </c>
      <c r="D23" s="33">
        <v>0</v>
      </c>
      <c r="E23" s="18"/>
      <c r="F23" s="19">
        <f>SUM(L22:L27)</f>
        <v>9500</v>
      </c>
      <c r="G23" s="18"/>
      <c r="H23" s="30">
        <f t="shared" si="0"/>
        <v>10289.450000000001</v>
      </c>
      <c r="I23" s="1624"/>
      <c r="J23" s="1313">
        <v>1</v>
      </c>
      <c r="K23" s="1306">
        <v>5500</v>
      </c>
      <c r="L23" s="1306">
        <f t="shared" si="2"/>
        <v>5500</v>
      </c>
      <c r="M23" s="1617" t="str">
        <f>Rentals!A5</f>
        <v>FORKLIFT</v>
      </c>
      <c r="N23" s="1618"/>
    </row>
    <row r="24" spans="1:24" ht="13.5" customHeight="1" x14ac:dyDescent="0.2">
      <c r="A24" s="16" t="s">
        <v>38</v>
      </c>
      <c r="B24" s="17"/>
      <c r="C24" s="99">
        <f t="shared" si="1"/>
        <v>8.3099999999999993E-2</v>
      </c>
      <c r="D24" s="33">
        <v>0</v>
      </c>
      <c r="E24" s="18"/>
      <c r="F24" s="19">
        <f>0.01*H34</f>
        <v>727.06889499999988</v>
      </c>
      <c r="G24" s="18"/>
      <c r="H24" s="30">
        <f t="shared" si="0"/>
        <v>787.4883201744999</v>
      </c>
      <c r="I24" s="1624"/>
      <c r="J24" s="1313">
        <v>0</v>
      </c>
      <c r="K24" s="1306">
        <f>Rentals!B6</f>
        <v>250</v>
      </c>
      <c r="L24" s="1306">
        <f t="shared" si="2"/>
        <v>0</v>
      </c>
      <c r="M24" s="1617" t="str">
        <f>Rentals!A6</f>
        <v>FUSION MACHINE</v>
      </c>
      <c r="N24" s="1618"/>
    </row>
    <row r="25" spans="1:24" ht="13.5" customHeight="1" x14ac:dyDescent="0.2">
      <c r="A25" s="16" t="s">
        <v>39</v>
      </c>
      <c r="B25" s="17"/>
      <c r="C25" s="99">
        <f t="shared" si="1"/>
        <v>8.3099999999999993E-2</v>
      </c>
      <c r="D25" s="33">
        <v>0</v>
      </c>
      <c r="E25" s="18"/>
      <c r="F25" s="19">
        <v>0</v>
      </c>
      <c r="G25" s="18"/>
      <c r="H25" s="30">
        <f t="shared" si="0"/>
        <v>0</v>
      </c>
      <c r="I25" s="1624"/>
      <c r="J25" s="1313">
        <v>0</v>
      </c>
      <c r="K25" s="1306">
        <f>Rentals!B7</f>
        <v>1000</v>
      </c>
      <c r="L25" s="1306">
        <f t="shared" si="2"/>
        <v>0</v>
      </c>
      <c r="M25" s="1617" t="str">
        <f>Rentals!A7</f>
        <v>SCAFFOLDING</v>
      </c>
      <c r="N25" s="1618"/>
    </row>
    <row r="26" spans="1:24" ht="13.5" customHeight="1" x14ac:dyDescent="0.2">
      <c r="A26" s="16" t="s">
        <v>40</v>
      </c>
      <c r="B26" s="17"/>
      <c r="C26" s="99">
        <f t="shared" si="1"/>
        <v>8.3099999999999993E-2</v>
      </c>
      <c r="D26" s="33">
        <v>0</v>
      </c>
      <c r="E26" s="18"/>
      <c r="F26" s="19">
        <v>0</v>
      </c>
      <c r="G26" s="18"/>
      <c r="H26" s="30">
        <f t="shared" si="0"/>
        <v>0</v>
      </c>
      <c r="I26" s="1624"/>
      <c r="J26" s="1313">
        <v>2</v>
      </c>
      <c r="K26" s="1306">
        <f>Rentals!B8</f>
        <v>2000</v>
      </c>
      <c r="L26" s="1306">
        <f t="shared" si="2"/>
        <v>4000</v>
      </c>
      <c r="M26" s="1617" t="str">
        <f>Rentals!A8</f>
        <v>SCISSOR</v>
      </c>
      <c r="N26" s="1618"/>
    </row>
    <row r="27" spans="1:24" ht="13.5" customHeight="1" thickBot="1" x14ac:dyDescent="0.25">
      <c r="A27" s="16" t="s">
        <v>41</v>
      </c>
      <c r="B27" s="17"/>
      <c r="C27" s="99">
        <f t="shared" si="1"/>
        <v>8.3099999999999993E-2</v>
      </c>
      <c r="D27" s="451">
        <v>0</v>
      </c>
      <c r="E27" s="18"/>
      <c r="F27" s="19">
        <v>0</v>
      </c>
      <c r="G27" s="18"/>
      <c r="H27" s="30">
        <f t="shared" si="0"/>
        <v>0</v>
      </c>
      <c r="I27" s="1625"/>
      <c r="J27" s="1314">
        <v>0</v>
      </c>
      <c r="K27" s="1310">
        <v>5000</v>
      </c>
      <c r="L27" s="1310">
        <f t="shared" si="2"/>
        <v>0</v>
      </c>
      <c r="M27" s="1619" t="s">
        <v>2464</v>
      </c>
      <c r="N27" s="1620"/>
    </row>
    <row r="28" spans="1:24" ht="13.5" customHeight="1" x14ac:dyDescent="0.2">
      <c r="A28" s="16" t="s">
        <v>42</v>
      </c>
      <c r="B28" s="6"/>
      <c r="C28" s="99">
        <f t="shared" si="1"/>
        <v>8.3099999999999993E-2</v>
      </c>
      <c r="D28" s="451">
        <v>40</v>
      </c>
      <c r="E28" s="18"/>
      <c r="F28" s="19">
        <v>0</v>
      </c>
      <c r="G28" s="18"/>
      <c r="H28" s="30">
        <f t="shared" si="0"/>
        <v>0</v>
      </c>
    </row>
    <row r="29" spans="1:24" ht="13.5" customHeight="1" x14ac:dyDescent="0.2">
      <c r="A29" s="16" t="s">
        <v>43</v>
      </c>
      <c r="B29" s="6"/>
      <c r="C29" s="99">
        <f t="shared" si="1"/>
        <v>8.3099999999999993E-2</v>
      </c>
      <c r="D29" s="33">
        <v>0</v>
      </c>
      <c r="E29" s="18"/>
      <c r="F29" s="19">
        <v>0</v>
      </c>
      <c r="G29" s="18"/>
      <c r="H29" s="30">
        <f t="shared" si="0"/>
        <v>0</v>
      </c>
      <c r="J29" s="91" t="s">
        <v>189</v>
      </c>
      <c r="K29" s="42">
        <f>SUM(H13:H17)+SUM(H19:H29)+H46</f>
        <v>27279.167331012341</v>
      </c>
      <c r="L29" s="92">
        <f>K29/H44</f>
        <v>0.19156784604658325</v>
      </c>
    </row>
    <row r="30" spans="1:24" ht="13.5" customHeight="1" x14ac:dyDescent="0.2">
      <c r="A30" s="11"/>
      <c r="B30" s="6"/>
      <c r="C30" s="25"/>
      <c r="D30" s="31"/>
      <c r="E30" s="6"/>
      <c r="F30" s="7"/>
      <c r="G30" s="6"/>
      <c r="H30" s="7"/>
      <c r="J30" t="s">
        <v>193</v>
      </c>
      <c r="K30" s="42">
        <f>SUM(H13:H17)+SUM(H19:H29)+H46</f>
        <v>27279.167331012341</v>
      </c>
      <c r="L30" s="92">
        <f>K30/H47</f>
        <v>4.5666889646956074E-2</v>
      </c>
    </row>
    <row r="31" spans="1:24" ht="13.5" customHeight="1" x14ac:dyDescent="0.2">
      <c r="A31" s="21" t="s">
        <v>15</v>
      </c>
      <c r="B31" s="17"/>
      <c r="C31" s="23"/>
      <c r="D31" s="35">
        <f>SUM(D9:D29)</f>
        <v>2104.9499999999998</v>
      </c>
      <c r="E31" s="27"/>
      <c r="F31" s="36">
        <f>SUM(F9:F29)</f>
        <v>415039.5873256771</v>
      </c>
      <c r="G31" s="7"/>
      <c r="H31" s="38">
        <f>SUM(H9:H29)</f>
        <v>451494.6028181552</v>
      </c>
      <c r="J31" t="s">
        <v>217</v>
      </c>
      <c r="K31" s="42">
        <f>H31-F31</f>
        <v>36455.015492478095</v>
      </c>
    </row>
    <row r="32" spans="1:24" ht="13.5" customHeight="1" x14ac:dyDescent="0.2">
      <c r="A32" s="11"/>
      <c r="B32" s="7" t="s">
        <v>201</v>
      </c>
      <c r="C32" s="101">
        <f>D31/8</f>
        <v>263.11874999999998</v>
      </c>
      <c r="D32" s="11"/>
      <c r="E32" s="27"/>
      <c r="F32" s="27"/>
      <c r="G32" s="6"/>
      <c r="H32" s="7"/>
      <c r="P32" s="1184"/>
      <c r="Q32" s="1184"/>
      <c r="R32" s="1184"/>
      <c r="S32" s="1184"/>
      <c r="T32" s="1184"/>
      <c r="U32" s="1184"/>
      <c r="V32" s="1184"/>
      <c r="W32" s="1184"/>
      <c r="X32" s="1184"/>
    </row>
    <row r="33" spans="1:24" ht="13.5" customHeight="1" x14ac:dyDescent="0.2">
      <c r="A33" s="16" t="s">
        <v>49</v>
      </c>
      <c r="B33" s="17"/>
      <c r="C33" s="25"/>
      <c r="D33" s="110">
        <f>D20+D28</f>
        <v>40</v>
      </c>
      <c r="E33" s="34" t="s">
        <v>72</v>
      </c>
      <c r="F33" s="37">
        <f>'PF CREW'!L17</f>
        <v>48.56</v>
      </c>
      <c r="G33" s="18"/>
      <c r="H33" s="30">
        <f t="shared" ref="H33:H38" si="3">D33*F33</f>
        <v>1942.4</v>
      </c>
      <c r="P33" s="1184"/>
      <c r="Q33" s="1184"/>
      <c r="R33" s="1184"/>
      <c r="S33" s="1184"/>
      <c r="T33" s="1184"/>
      <c r="U33" s="1184"/>
      <c r="V33" s="1184"/>
      <c r="W33" s="1184"/>
      <c r="X33" s="1184"/>
    </row>
    <row r="34" spans="1:24" ht="13.5" customHeight="1" x14ac:dyDescent="0.2">
      <c r="A34" s="16" t="s">
        <v>50</v>
      </c>
      <c r="B34" s="17"/>
      <c r="C34" s="25"/>
      <c r="D34" s="111">
        <f>SUM(D9:D19)+SUM(D21:D27)+D29</f>
        <v>2064.9499999999998</v>
      </c>
      <c r="E34" s="34" t="s">
        <v>72</v>
      </c>
      <c r="F34" s="37">
        <f>'PF CREW'!N46</f>
        <v>35.21</v>
      </c>
      <c r="G34" s="18"/>
      <c r="H34" s="30">
        <f t="shared" si="3"/>
        <v>72706.88949999999</v>
      </c>
      <c r="P34" s="1184"/>
      <c r="Q34" s="1184"/>
      <c r="R34" s="1184"/>
      <c r="S34" s="1184"/>
      <c r="T34" s="1184"/>
      <c r="U34" s="1184"/>
      <c r="V34" s="1184"/>
      <c r="W34" s="1184"/>
      <c r="X34" s="1184"/>
    </row>
    <row r="35" spans="1:24" ht="13.5" customHeight="1" x14ac:dyDescent="0.2">
      <c r="A35" s="16" t="s">
        <v>51</v>
      </c>
      <c r="B35" s="17" t="s">
        <v>232</v>
      </c>
      <c r="C35" s="25"/>
      <c r="D35" s="33">
        <f>Htg!K5+'QP Reports'!N51</f>
        <v>0</v>
      </c>
      <c r="E35" s="34" t="s">
        <v>72</v>
      </c>
      <c r="F35" s="29">
        <f>'PF CREW'!G46</f>
        <v>5.1689999999999969</v>
      </c>
      <c r="G35" s="18"/>
      <c r="H35" s="30">
        <f t="shared" si="3"/>
        <v>0</v>
      </c>
      <c r="J35" s="356" t="s">
        <v>2103</v>
      </c>
      <c r="L35" s="597">
        <f>H9+(H9*C48)</f>
        <v>56507.000284800008</v>
      </c>
      <c r="P35" s="1184"/>
      <c r="Q35" s="1184"/>
      <c r="R35" s="1184"/>
      <c r="S35" s="1184"/>
      <c r="T35" s="1184"/>
      <c r="U35" s="1184"/>
      <c r="V35" s="1184"/>
      <c r="W35" s="1184"/>
      <c r="X35" s="1184"/>
    </row>
    <row r="36" spans="1:24" ht="13.5" customHeight="1" x14ac:dyDescent="0.2">
      <c r="A36" s="16" t="s">
        <v>51</v>
      </c>
      <c r="B36" s="17" t="s">
        <v>100</v>
      </c>
      <c r="C36" s="25"/>
      <c r="D36" s="33">
        <f>Htg!L5+'QP Reports'!O51</f>
        <v>0</v>
      </c>
      <c r="E36" s="34" t="s">
        <v>72</v>
      </c>
      <c r="F36" s="29">
        <f>'PF CREW'!G44</f>
        <v>17.229999999999997</v>
      </c>
      <c r="G36" s="18"/>
      <c r="H36" s="30">
        <f t="shared" si="3"/>
        <v>0</v>
      </c>
      <c r="J36" s="356" t="s">
        <v>2104</v>
      </c>
      <c r="L36" s="597">
        <f>H51-L35</f>
        <v>636420.29011329997</v>
      </c>
      <c r="P36" s="1184"/>
      <c r="Q36" s="1184"/>
      <c r="R36" s="1184"/>
      <c r="S36" s="1184"/>
      <c r="T36" s="1184"/>
      <c r="U36" s="1184"/>
      <c r="V36" s="1184"/>
      <c r="W36" s="1184"/>
      <c r="X36" s="1184"/>
    </row>
    <row r="37" spans="1:24" ht="13.5" customHeight="1" x14ac:dyDescent="0.2">
      <c r="A37" s="16" t="s">
        <v>51</v>
      </c>
      <c r="B37" s="17" t="s">
        <v>233</v>
      </c>
      <c r="C37" s="25"/>
      <c r="D37" s="33">
        <f>Htg!M5+'QP Reports'!P51</f>
        <v>0</v>
      </c>
      <c r="E37" s="34" t="s">
        <v>72</v>
      </c>
      <c r="F37" s="29">
        <f>'PF CREW'!G45</f>
        <v>34.46</v>
      </c>
      <c r="G37" s="18"/>
      <c r="H37" s="30">
        <f t="shared" si="3"/>
        <v>0</v>
      </c>
      <c r="P37" s="1186"/>
      <c r="Q37" s="1186"/>
      <c r="R37" s="1186"/>
      <c r="S37" s="1186"/>
      <c r="T37" s="1186"/>
      <c r="U37" s="1186"/>
      <c r="V37" s="1186"/>
      <c r="W37" s="1184"/>
      <c r="X37" s="1184"/>
    </row>
    <row r="38" spans="1:24" ht="13.5" customHeight="1" x14ac:dyDescent="0.2">
      <c r="A38" s="16" t="s">
        <v>52</v>
      </c>
      <c r="B38" s="105"/>
      <c r="C38" s="25">
        <v>0.1</v>
      </c>
      <c r="D38" s="106">
        <f>C38*D34</f>
        <v>206.495</v>
      </c>
      <c r="E38" s="34" t="s">
        <v>72</v>
      </c>
      <c r="F38" s="37">
        <f>'PF CREW'!L12</f>
        <v>50.28</v>
      </c>
      <c r="G38" s="18"/>
      <c r="H38" s="30">
        <f t="shared" si="3"/>
        <v>10382.568600000001</v>
      </c>
      <c r="P38" s="1186"/>
      <c r="Q38" s="1186"/>
      <c r="R38" s="1186"/>
      <c r="S38" s="1186"/>
      <c r="T38" s="1186"/>
      <c r="U38" s="1186"/>
      <c r="V38" s="1186"/>
      <c r="W38" s="1184"/>
      <c r="X38" s="1184"/>
    </row>
    <row r="39" spans="1:24" ht="13.5" customHeight="1" x14ac:dyDescent="0.2">
      <c r="A39" s="16" t="s">
        <v>53</v>
      </c>
      <c r="B39" s="17"/>
      <c r="C39" s="25">
        <v>0.24</v>
      </c>
      <c r="D39" s="25"/>
      <c r="E39" s="18"/>
      <c r="F39" s="27"/>
      <c r="G39" s="18"/>
      <c r="H39" s="30">
        <f>C39*SUM(H33:H38)</f>
        <v>20407.645943999996</v>
      </c>
      <c r="P39" s="1186"/>
      <c r="Q39" s="1186"/>
      <c r="R39" s="1186"/>
      <c r="S39" s="1186"/>
      <c r="T39" s="1186"/>
      <c r="U39" s="1186"/>
      <c r="V39" s="1186"/>
      <c r="W39" s="1184"/>
      <c r="X39" s="1184"/>
    </row>
    <row r="40" spans="1:24" ht="13.5" customHeight="1" x14ac:dyDescent="0.2">
      <c r="A40" s="16" t="s">
        <v>54</v>
      </c>
      <c r="B40" s="6"/>
      <c r="C40" s="25"/>
      <c r="D40" s="32">
        <f>D31-L41</f>
        <v>2104.9499999999998</v>
      </c>
      <c r="E40" s="20" t="s">
        <v>72</v>
      </c>
      <c r="F40" s="37">
        <v>15.99</v>
      </c>
      <c r="G40" s="18"/>
      <c r="H40" s="30">
        <f>D40*F40</f>
        <v>33658.150499999996</v>
      </c>
      <c r="J40" t="s">
        <v>235</v>
      </c>
      <c r="K40" t="s">
        <v>236</v>
      </c>
      <c r="L40" s="95" t="s">
        <v>237</v>
      </c>
      <c r="P40" s="1186"/>
      <c r="Q40" s="1186"/>
      <c r="R40" s="1186"/>
      <c r="S40" s="1186"/>
      <c r="T40" s="1186"/>
      <c r="U40" s="1186"/>
      <c r="V40" s="1186"/>
      <c r="W40" s="1184"/>
      <c r="X40" s="1184"/>
    </row>
    <row r="41" spans="1:24" ht="13.5" customHeight="1" x14ac:dyDescent="0.2">
      <c r="A41" s="16" t="s">
        <v>234</v>
      </c>
      <c r="B41" s="6"/>
      <c r="C41" s="25"/>
      <c r="D41" s="32">
        <f>L41</f>
        <v>0</v>
      </c>
      <c r="E41" s="20" t="s">
        <v>72</v>
      </c>
      <c r="F41" s="37">
        <v>5.72</v>
      </c>
      <c r="G41" s="18"/>
      <c r="H41" s="30">
        <f>D41*F41</f>
        <v>0</v>
      </c>
      <c r="J41" s="108">
        <v>0</v>
      </c>
      <c r="K41" s="94">
        <f>D31</f>
        <v>2104.9499999999998</v>
      </c>
      <c r="L41" s="100">
        <f>J41*K41</f>
        <v>0</v>
      </c>
      <c r="P41" s="1186"/>
      <c r="Q41" s="1186"/>
      <c r="R41" s="1186"/>
      <c r="S41" s="1186"/>
      <c r="T41" s="1186"/>
      <c r="U41" s="1186"/>
      <c r="V41" s="1186"/>
      <c r="W41" s="1184"/>
      <c r="X41" s="1184"/>
    </row>
    <row r="42" spans="1:24" ht="13.5" customHeight="1" x14ac:dyDescent="0.2">
      <c r="A42" s="16" t="s">
        <v>55</v>
      </c>
      <c r="B42" s="6"/>
      <c r="C42" s="25">
        <f>C38</f>
        <v>0.1</v>
      </c>
      <c r="D42" s="32">
        <f>D38</f>
        <v>206.495</v>
      </c>
      <c r="E42" s="20" t="s">
        <v>72</v>
      </c>
      <c r="F42" s="37">
        <f>F40</f>
        <v>15.99</v>
      </c>
      <c r="G42" s="18"/>
      <c r="H42" s="30">
        <f>D42*F42</f>
        <v>3301.8550500000001</v>
      </c>
      <c r="J42" s="1610" t="s">
        <v>1203</v>
      </c>
      <c r="K42" s="1610"/>
      <c r="L42" s="416">
        <f>IF(ISNUMBER((H44-H42-H38)/D31),(H44-H42-H38)/D31,0)</f>
        <v>61.148761701703116</v>
      </c>
      <c r="M42" s="416"/>
      <c r="P42" s="1186"/>
      <c r="Q42" s="1186"/>
      <c r="R42" s="1186"/>
      <c r="S42" s="1186"/>
      <c r="T42" s="1186"/>
      <c r="U42" s="1186"/>
      <c r="V42" s="1186"/>
      <c r="W42" s="1184"/>
      <c r="X42" s="1184"/>
    </row>
    <row r="43" spans="1:24" ht="13.5" customHeight="1" x14ac:dyDescent="0.2">
      <c r="A43" s="11"/>
      <c r="B43" s="6"/>
      <c r="C43" s="7"/>
      <c r="D43" s="11"/>
      <c r="E43" s="6"/>
      <c r="F43" s="7"/>
      <c r="G43" s="6"/>
      <c r="H43" s="7"/>
      <c r="K43" t="s">
        <v>1589</v>
      </c>
      <c r="L43" s="100">
        <f>ROUNDUP(K41/K8/8,0)</f>
        <v>2</v>
      </c>
      <c r="P43" s="1186"/>
      <c r="Q43" s="1186"/>
      <c r="R43" s="1186"/>
      <c r="S43" s="1186"/>
      <c r="T43" s="1186"/>
      <c r="U43" s="1186"/>
      <c r="V43" s="1186"/>
      <c r="W43" s="1184"/>
      <c r="X43" s="1184"/>
    </row>
    <row r="44" spans="1:24" ht="13.5" customHeight="1" x14ac:dyDescent="0.2">
      <c r="A44" s="21" t="s">
        <v>15</v>
      </c>
      <c r="B44" s="17"/>
      <c r="C44" s="23"/>
      <c r="D44" s="35"/>
      <c r="E44" s="27"/>
      <c r="F44" s="36"/>
      <c r="G44" s="7"/>
      <c r="H44" s="38">
        <f>SUM(H33:H42)</f>
        <v>142399.50959399997</v>
      </c>
      <c r="J44" s="91" t="s">
        <v>174</v>
      </c>
      <c r="L44" s="92">
        <f>H48/H44</f>
        <v>0.67118333664522634</v>
      </c>
      <c r="P44" s="1186"/>
      <c r="Q44" s="1186"/>
      <c r="R44" s="1186"/>
      <c r="S44" s="1186"/>
      <c r="T44" s="1186"/>
      <c r="U44" s="1186"/>
      <c r="V44" s="1186"/>
      <c r="W44" s="1184"/>
      <c r="X44" s="1184"/>
    </row>
    <row r="45" spans="1:24" ht="13.5" customHeight="1" x14ac:dyDescent="0.2">
      <c r="A45" s="11"/>
      <c r="B45" s="6"/>
      <c r="C45" s="7"/>
      <c r="D45" s="11"/>
      <c r="E45" s="6"/>
      <c r="F45" s="7"/>
      <c r="G45" s="6"/>
      <c r="H45" s="7"/>
      <c r="J45" t="s">
        <v>195</v>
      </c>
      <c r="P45" s="1184"/>
      <c r="Q45" s="1184"/>
      <c r="R45" s="1184"/>
      <c r="S45" s="1184"/>
      <c r="T45" s="1184"/>
      <c r="U45" s="1184"/>
      <c r="V45" s="1184"/>
      <c r="W45" s="1184"/>
      <c r="X45" s="1184"/>
    </row>
    <row r="46" spans="1:24" ht="13.5" customHeight="1" x14ac:dyDescent="0.2">
      <c r="A46" s="16" t="s">
        <v>56</v>
      </c>
      <c r="B46" s="1607" t="s">
        <v>2322</v>
      </c>
      <c r="C46" s="1608"/>
      <c r="D46" s="1608"/>
      <c r="E46" s="1608"/>
      <c r="F46" s="1608"/>
      <c r="G46" s="1609"/>
      <c r="H46" s="452">
        <f>IF('PROJECT INFO'!H15="Yes",VLOOKUP('PROJECT INFO'!H12,'Taxes&amp;Permits'!A4:G223,7,FALSE),0)</f>
        <v>3457</v>
      </c>
      <c r="J46" s="90">
        <f>ROUNDUP('Heating Recap'!H31+'Heating Recap'!H44+1,0)</f>
        <v>593896</v>
      </c>
      <c r="K46" s="68" t="s">
        <v>130</v>
      </c>
      <c r="L46" s="59"/>
      <c r="M46" s="69" t="s">
        <v>129</v>
      </c>
      <c r="P46" s="1184"/>
      <c r="Q46" s="1184"/>
      <c r="R46" s="1184"/>
      <c r="S46" s="1185"/>
      <c r="T46" s="1185"/>
      <c r="U46" s="1184"/>
      <c r="V46" s="1184"/>
      <c r="W46" s="1184"/>
      <c r="X46" s="1184"/>
    </row>
    <row r="47" spans="1:24" ht="13.5" customHeight="1" x14ac:dyDescent="0.2">
      <c r="A47" s="16" t="s">
        <v>17</v>
      </c>
      <c r="B47" s="6"/>
      <c r="C47" s="25"/>
      <c r="D47" s="32"/>
      <c r="E47" s="20"/>
      <c r="F47" s="37"/>
      <c r="G47" s="18"/>
      <c r="H47" s="30">
        <f>SUM(H44,H31,H46)</f>
        <v>597351.11241215514</v>
      </c>
      <c r="K47" s="68"/>
      <c r="L47" s="67"/>
      <c r="M47" s="65" t="s">
        <v>128</v>
      </c>
      <c r="P47" s="1184"/>
      <c r="Q47" s="1184"/>
      <c r="R47" s="1184"/>
      <c r="S47" s="1185"/>
      <c r="T47" s="1185"/>
      <c r="U47" s="1184"/>
      <c r="V47" s="1184"/>
      <c r="W47" s="1184"/>
      <c r="X47" s="1184"/>
    </row>
    <row r="48" spans="1:24" ht="13.5" customHeight="1" x14ac:dyDescent="0.2">
      <c r="A48" s="16" t="s">
        <v>57</v>
      </c>
      <c r="B48" s="6"/>
      <c r="C48" s="39">
        <v>0.16</v>
      </c>
      <c r="D48" s="32"/>
      <c r="E48" s="18"/>
      <c r="F48" s="27"/>
      <c r="G48" s="18"/>
      <c r="H48" s="30">
        <f>C48*H47</f>
        <v>95576.177985944829</v>
      </c>
      <c r="K48" s="66"/>
      <c r="L48" s="65" t="s">
        <v>127</v>
      </c>
      <c r="M48" s="65" t="s">
        <v>126</v>
      </c>
      <c r="P48" s="1184"/>
      <c r="Q48" s="1184"/>
      <c r="R48" s="1184"/>
      <c r="S48" s="1185"/>
      <c r="T48" s="1185"/>
      <c r="U48" s="1184"/>
      <c r="V48" s="1184"/>
      <c r="W48" s="1184"/>
      <c r="X48" s="1184"/>
    </row>
    <row r="49" spans="1:24" ht="13.5" customHeight="1" x14ac:dyDescent="0.2">
      <c r="A49" s="11"/>
      <c r="B49" s="6"/>
      <c r="C49" s="7"/>
      <c r="D49" s="11"/>
      <c r="E49" s="6"/>
      <c r="F49" s="7"/>
      <c r="G49" s="6"/>
      <c r="H49" s="7"/>
      <c r="K49" s="64">
        <v>35</v>
      </c>
      <c r="L49" s="63">
        <v>2000</v>
      </c>
      <c r="M49" s="60">
        <v>8</v>
      </c>
      <c r="P49" s="1184">
        <v>0</v>
      </c>
      <c r="Q49" s="1184"/>
      <c r="R49" s="1184"/>
      <c r="S49" s="1185"/>
      <c r="T49" s="1185"/>
      <c r="U49" s="1184"/>
      <c r="V49" s="1184"/>
      <c r="W49" s="1184"/>
      <c r="X49" s="1184"/>
    </row>
    <row r="50" spans="1:24" ht="13.5" customHeight="1" x14ac:dyDescent="0.2">
      <c r="A50" s="11"/>
      <c r="B50" s="6"/>
      <c r="C50" s="7"/>
      <c r="D50" s="11"/>
      <c r="E50" s="6"/>
      <c r="F50" s="7"/>
      <c r="G50" s="6"/>
      <c r="H50" s="7"/>
      <c r="K50" s="64">
        <v>220</v>
      </c>
      <c r="L50" s="63">
        <v>25000</v>
      </c>
      <c r="M50" s="60">
        <v>8</v>
      </c>
      <c r="P50" s="1184"/>
      <c r="Q50" s="1184"/>
      <c r="R50" s="1184"/>
      <c r="S50" s="1185"/>
      <c r="T50" s="1185"/>
      <c r="U50" s="1184"/>
      <c r="V50" s="1184"/>
      <c r="W50" s="1184"/>
      <c r="X50" s="1184"/>
    </row>
    <row r="51" spans="1:24" ht="13.5" customHeight="1" x14ac:dyDescent="0.2">
      <c r="A51" s="12" t="s">
        <v>19</v>
      </c>
      <c r="B51" s="17"/>
      <c r="C51" s="23"/>
      <c r="D51" s="41"/>
      <c r="E51" s="41"/>
      <c r="F51" s="41"/>
      <c r="G51" s="22"/>
      <c r="H51" s="40">
        <f>SUM(H47,H48)</f>
        <v>692927.29039809993</v>
      </c>
      <c r="K51" s="64">
        <v>420</v>
      </c>
      <c r="L51" s="63">
        <v>50000</v>
      </c>
      <c r="M51" s="60">
        <v>7</v>
      </c>
      <c r="P51" s="1184"/>
      <c r="Q51" s="1184"/>
      <c r="R51" s="1184"/>
      <c r="S51" s="1185"/>
      <c r="T51" s="1185"/>
      <c r="U51" s="1184"/>
      <c r="V51" s="1184"/>
      <c r="W51" s="1184"/>
      <c r="X51" s="1184"/>
    </row>
    <row r="52" spans="1:24" ht="13.5" customHeight="1" x14ac:dyDescent="0.2">
      <c r="A52" s="11"/>
      <c r="B52" s="6"/>
      <c r="C52" s="7"/>
      <c r="D52" s="11"/>
      <c r="E52" s="6"/>
      <c r="F52" s="7"/>
      <c r="G52" s="6"/>
      <c r="H52" s="7"/>
      <c r="K52" s="64">
        <v>770</v>
      </c>
      <c r="L52" s="63">
        <v>100000</v>
      </c>
      <c r="M52" s="60">
        <v>5.6</v>
      </c>
      <c r="P52" s="1184"/>
      <c r="Q52" s="1184"/>
      <c r="R52" s="1184"/>
      <c r="S52" s="1185"/>
      <c r="T52" s="1185"/>
      <c r="U52" s="1184"/>
      <c r="V52" s="1184"/>
      <c r="W52" s="1184"/>
      <c r="X52" s="1184"/>
    </row>
    <row r="53" spans="1:24" ht="13.5" customHeight="1" x14ac:dyDescent="0.2">
      <c r="K53" s="64">
        <v>3010</v>
      </c>
      <c r="L53" s="63">
        <v>500000</v>
      </c>
      <c r="M53" s="60">
        <v>4.75</v>
      </c>
      <c r="P53" s="1184"/>
      <c r="Q53" s="1184"/>
      <c r="R53" s="1184"/>
      <c r="S53" s="1185"/>
      <c r="T53" s="1185"/>
      <c r="U53" s="1184"/>
      <c r="V53" s="1184"/>
      <c r="W53" s="1184"/>
      <c r="X53" s="1184"/>
    </row>
    <row r="54" spans="1:24" ht="13.5" customHeight="1" x14ac:dyDescent="0.2">
      <c r="A54" s="91"/>
      <c r="K54" s="62">
        <v>5385</v>
      </c>
      <c r="L54" s="61">
        <v>1000000</v>
      </c>
      <c r="M54" s="60">
        <v>3.65</v>
      </c>
      <c r="P54" s="1184"/>
      <c r="Q54" s="1184"/>
      <c r="R54" s="1184"/>
      <c r="S54" s="1184"/>
      <c r="T54" s="1184"/>
      <c r="U54" s="1184"/>
      <c r="V54" s="1184"/>
      <c r="W54" s="1184"/>
      <c r="X54" s="1184"/>
    </row>
    <row r="55" spans="1:24" ht="13.5" customHeight="1" x14ac:dyDescent="0.2">
      <c r="A55" s="91"/>
      <c r="F55" s="43" t="s">
        <v>240</v>
      </c>
      <c r="H55" s="96">
        <v>105</v>
      </c>
      <c r="K55" s="58"/>
      <c r="L55" s="58"/>
      <c r="M55" s="58"/>
      <c r="P55" s="1184"/>
      <c r="Q55" s="1184"/>
      <c r="R55" s="1184"/>
      <c r="S55" s="1184"/>
      <c r="T55" s="1184"/>
      <c r="U55" s="1184"/>
      <c r="V55" s="1184"/>
      <c r="W55" s="1184"/>
      <c r="X55" s="1184"/>
    </row>
    <row r="56" spans="1:24" ht="13.5" thickBot="1" x14ac:dyDescent="0.25"/>
    <row r="57" spans="1:24" ht="12.95" customHeight="1" thickTop="1" thickBot="1" x14ac:dyDescent="0.25">
      <c r="H57" s="1195" t="s">
        <v>2183</v>
      </c>
      <c r="J57" s="1616" t="s">
        <v>2168</v>
      </c>
      <c r="K57" s="1616"/>
      <c r="L57" s="1616"/>
      <c r="M57" s="1616"/>
      <c r="N57" s="1616"/>
      <c r="O57" s="1616"/>
      <c r="P57" s="1616"/>
      <c r="Q57" s="1616"/>
    </row>
    <row r="58" spans="1:24" ht="12.6" customHeight="1" thickTop="1" x14ac:dyDescent="0.2">
      <c r="H58" s="1613" t="s">
        <v>2323</v>
      </c>
      <c r="J58" s="1605" t="s">
        <v>2169</v>
      </c>
      <c r="K58" s="1605"/>
      <c r="L58" s="1188">
        <f>J46</f>
        <v>593896</v>
      </c>
      <c r="M58" s="1187"/>
      <c r="N58" s="1187"/>
      <c r="O58" s="1187"/>
      <c r="P58" s="1187"/>
      <c r="Q58" s="1187"/>
    </row>
    <row r="59" spans="1:24" ht="37.5" customHeight="1" x14ac:dyDescent="0.2">
      <c r="F59" s="1196" t="s">
        <v>2184</v>
      </c>
      <c r="H59" s="1614"/>
      <c r="J59" s="1243" t="s">
        <v>2174</v>
      </c>
      <c r="K59" s="1244" t="s">
        <v>2170</v>
      </c>
      <c r="L59" s="1244" t="s">
        <v>2171</v>
      </c>
      <c r="M59" s="1244" t="s">
        <v>2172</v>
      </c>
      <c r="N59" s="1243" t="s">
        <v>2173</v>
      </c>
      <c r="O59" s="1245" t="s">
        <v>2175</v>
      </c>
      <c r="P59" s="1243" t="s">
        <v>2343</v>
      </c>
      <c r="Q59" s="1243" t="s">
        <v>2176</v>
      </c>
    </row>
    <row r="60" spans="1:24" ht="12.6" customHeight="1" x14ac:dyDescent="0.2">
      <c r="F60" s="1198">
        <f>VLOOKUP(1,I60:Q67,9,FALSE)</f>
        <v>3457</v>
      </c>
      <c r="H60" s="1614"/>
      <c r="I60" s="1197">
        <f>IF(AND(J60&gt;=MIN(K60,L60),J60&lt;=MAX(K60,L60)),1,0)</f>
        <v>0</v>
      </c>
      <c r="J60" s="1188">
        <f>L58</f>
        <v>593896</v>
      </c>
      <c r="K60" s="1189">
        <v>1</v>
      </c>
      <c r="L60" s="1189">
        <v>500</v>
      </c>
      <c r="M60" s="1189">
        <v>20</v>
      </c>
      <c r="N60" s="1190">
        <v>0</v>
      </c>
      <c r="O60" s="1187"/>
      <c r="P60" s="1191"/>
      <c r="Q60" s="1189">
        <f>ROUNDUP(P60+M60,0)</f>
        <v>20</v>
      </c>
    </row>
    <row r="61" spans="1:24" ht="12.6" customHeight="1" x14ac:dyDescent="0.2">
      <c r="H61" s="1614"/>
      <c r="I61" s="1197">
        <f t="shared" ref="I61:I67" si="4">IF(AND(J61&gt;=MIN(K61,L61),J61&lt;=MAX(K61,L61)),1,0)</f>
        <v>0</v>
      </c>
      <c r="J61" s="1188">
        <f>J60</f>
        <v>593896</v>
      </c>
      <c r="K61" s="1189">
        <v>501</v>
      </c>
      <c r="L61" s="1189">
        <v>2000</v>
      </c>
      <c r="M61" s="1189">
        <v>35</v>
      </c>
      <c r="N61" s="1190">
        <v>0</v>
      </c>
      <c r="O61" s="1187"/>
      <c r="P61" s="1191"/>
      <c r="Q61" s="1189">
        <f t="shared" ref="Q61:Q66" si="5">ROUNDUP(P61+M61,0)</f>
        <v>35</v>
      </c>
    </row>
    <row r="62" spans="1:24" ht="12.6" customHeight="1" x14ac:dyDescent="0.2">
      <c r="H62" s="1614"/>
      <c r="I62" s="1197">
        <f t="shared" si="4"/>
        <v>0</v>
      </c>
      <c r="J62" s="1188">
        <f t="shared" ref="J62:J67" si="6">J61</f>
        <v>593896</v>
      </c>
      <c r="K62" s="1189">
        <v>2001</v>
      </c>
      <c r="L62" s="1189">
        <v>25000</v>
      </c>
      <c r="M62" s="1189">
        <v>35</v>
      </c>
      <c r="N62" s="1190">
        <v>8</v>
      </c>
      <c r="O62" s="1192">
        <f>ROUNDUP((J62-2000)/1000,0)</f>
        <v>592</v>
      </c>
      <c r="P62" s="1189">
        <f t="shared" ref="P62:P67" si="7">O62*N62</f>
        <v>4736</v>
      </c>
      <c r="Q62" s="1189">
        <f t="shared" si="5"/>
        <v>4771</v>
      </c>
    </row>
    <row r="63" spans="1:24" ht="12.6" customHeight="1" x14ac:dyDescent="0.2">
      <c r="H63" s="1614"/>
      <c r="I63" s="1197">
        <f t="shared" si="4"/>
        <v>0</v>
      </c>
      <c r="J63" s="1188">
        <f t="shared" si="6"/>
        <v>593896</v>
      </c>
      <c r="K63" s="1189">
        <v>25001</v>
      </c>
      <c r="L63" s="1189">
        <v>50000</v>
      </c>
      <c r="M63" s="1189">
        <v>220</v>
      </c>
      <c r="N63" s="1190">
        <v>8</v>
      </c>
      <c r="O63" s="1192">
        <f>ROUNDUP((J63-25000)/1000,0)</f>
        <v>569</v>
      </c>
      <c r="P63" s="1189">
        <f t="shared" si="7"/>
        <v>4552</v>
      </c>
      <c r="Q63" s="1189">
        <f t="shared" si="5"/>
        <v>4772</v>
      </c>
    </row>
    <row r="64" spans="1:24" ht="12.6" customHeight="1" x14ac:dyDescent="0.2">
      <c r="H64" s="1614"/>
      <c r="I64" s="1197">
        <f t="shared" si="4"/>
        <v>0</v>
      </c>
      <c r="J64" s="1188">
        <f t="shared" si="6"/>
        <v>593896</v>
      </c>
      <c r="K64" s="1189">
        <v>50001</v>
      </c>
      <c r="L64" s="1189">
        <v>100000</v>
      </c>
      <c r="M64" s="1189">
        <v>420</v>
      </c>
      <c r="N64" s="1190">
        <v>7</v>
      </c>
      <c r="O64" s="1192">
        <f>ROUNDUP((J64-50000)/1000,0)</f>
        <v>544</v>
      </c>
      <c r="P64" s="1189">
        <f t="shared" si="7"/>
        <v>3808</v>
      </c>
      <c r="Q64" s="1189">
        <f t="shared" si="5"/>
        <v>4228</v>
      </c>
    </row>
    <row r="65" spans="6:19" ht="12.6" customHeight="1" x14ac:dyDescent="0.2">
      <c r="H65" s="1614"/>
      <c r="I65" s="1197">
        <f t="shared" si="4"/>
        <v>0</v>
      </c>
      <c r="J65" s="1188">
        <f t="shared" si="6"/>
        <v>593896</v>
      </c>
      <c r="K65" s="1189">
        <v>100001</v>
      </c>
      <c r="L65" s="1189">
        <v>500000</v>
      </c>
      <c r="M65" s="1189">
        <v>770</v>
      </c>
      <c r="N65" s="1190">
        <v>5.6</v>
      </c>
      <c r="O65" s="1192">
        <f>ROUNDUP((J65-100000)/1000,0)</f>
        <v>494</v>
      </c>
      <c r="P65" s="1189">
        <f t="shared" si="7"/>
        <v>2766.3999999999996</v>
      </c>
      <c r="Q65" s="1189">
        <f t="shared" si="5"/>
        <v>3537</v>
      </c>
    </row>
    <row r="66" spans="6:19" ht="12.6" customHeight="1" x14ac:dyDescent="0.2">
      <c r="H66" s="1614"/>
      <c r="I66" s="1197">
        <f t="shared" si="4"/>
        <v>1</v>
      </c>
      <c r="J66" s="1188">
        <f t="shared" si="6"/>
        <v>593896</v>
      </c>
      <c r="K66" s="1189">
        <v>500001</v>
      </c>
      <c r="L66" s="1189">
        <v>1000000</v>
      </c>
      <c r="M66" s="1189">
        <v>3010</v>
      </c>
      <c r="N66" s="1190">
        <v>4.75</v>
      </c>
      <c r="O66" s="1192">
        <f>ROUNDUP((J66-500000)/1000,0)</f>
        <v>94</v>
      </c>
      <c r="P66" s="1189">
        <f t="shared" si="7"/>
        <v>446.5</v>
      </c>
      <c r="Q66" s="1189">
        <f t="shared" si="5"/>
        <v>3457</v>
      </c>
    </row>
    <row r="67" spans="6:19" ht="12.6" customHeight="1" x14ac:dyDescent="0.2">
      <c r="H67" s="1614"/>
      <c r="I67" s="1197">
        <f t="shared" si="4"/>
        <v>0</v>
      </c>
      <c r="J67" s="1188">
        <f t="shared" si="6"/>
        <v>593896</v>
      </c>
      <c r="K67" s="1189">
        <v>1000001</v>
      </c>
      <c r="L67" s="1189">
        <v>50000000</v>
      </c>
      <c r="M67" s="1189">
        <v>5385</v>
      </c>
      <c r="N67" s="1190">
        <v>3.65</v>
      </c>
      <c r="O67" s="1192">
        <f>ROUNDUP((J67-1000000)/1000,0)</f>
        <v>-407</v>
      </c>
      <c r="P67" s="1189">
        <f t="shared" si="7"/>
        <v>-1485.55</v>
      </c>
      <c r="Q67" s="1189">
        <f>ROUNDUP(P67+M67,0)</f>
        <v>3900</v>
      </c>
    </row>
    <row r="68" spans="6:19" ht="13.5" thickBot="1" x14ac:dyDescent="0.25">
      <c r="H68" s="1615"/>
    </row>
    <row r="69" spans="6:19" ht="12.95" customHeight="1" thickTop="1" thickBot="1" x14ac:dyDescent="0.25">
      <c r="H69" s="1194" t="s">
        <v>2182</v>
      </c>
      <c r="J69" s="1193" t="s">
        <v>2181</v>
      </c>
      <c r="K69" s="1193"/>
      <c r="L69" s="1193"/>
      <c r="M69" s="1193"/>
      <c r="N69" s="1193"/>
      <c r="O69" s="1193"/>
      <c r="P69" s="1193"/>
      <c r="Q69" s="1193"/>
    </row>
    <row r="70" spans="6:19" ht="12.6" customHeight="1" thickTop="1" x14ac:dyDescent="0.2">
      <c r="H70" s="1611" t="s">
        <v>2323</v>
      </c>
      <c r="J70" s="1605" t="s">
        <v>2169</v>
      </c>
      <c r="K70" s="1605"/>
      <c r="L70" s="1188">
        <f>J46</f>
        <v>593896</v>
      </c>
      <c r="M70" s="1187"/>
      <c r="N70" s="1187"/>
      <c r="O70" s="1187"/>
      <c r="P70" s="1187"/>
      <c r="Q70" s="1187"/>
    </row>
    <row r="71" spans="6:19" ht="38.25" x14ac:dyDescent="0.2">
      <c r="F71" s="1196" t="s">
        <v>2185</v>
      </c>
      <c r="H71" s="1612"/>
      <c r="J71" s="1243" t="s">
        <v>2174</v>
      </c>
      <c r="K71" s="1244" t="s">
        <v>2170</v>
      </c>
      <c r="L71" s="1244" t="s">
        <v>2171</v>
      </c>
      <c r="M71" s="1244" t="s">
        <v>2172</v>
      </c>
      <c r="N71" s="1243" t="s">
        <v>2346</v>
      </c>
      <c r="O71" s="1245" t="s">
        <v>2347</v>
      </c>
      <c r="P71" s="1243" t="s">
        <v>2324</v>
      </c>
      <c r="Q71" s="1243" t="s">
        <v>2176</v>
      </c>
    </row>
    <row r="72" spans="6:19" ht="12.95" customHeight="1" x14ac:dyDescent="0.2">
      <c r="F72" s="1199">
        <f>VLOOKUP(1,I72:Q75,9,FALSE)</f>
        <v>22262</v>
      </c>
      <c r="H72" s="1612"/>
      <c r="I72" s="1197">
        <f>IF(AND(J72&gt;=MIN(K72,L72),J72&lt;=MAX(K72,L72)),1,0)</f>
        <v>0</v>
      </c>
      <c r="J72" s="1188">
        <f>L70</f>
        <v>593896</v>
      </c>
      <c r="K72" s="1189">
        <v>1</v>
      </c>
      <c r="L72" s="1189">
        <v>100</v>
      </c>
      <c r="M72" s="1191">
        <v>13.6</v>
      </c>
      <c r="N72" s="1190">
        <v>0</v>
      </c>
      <c r="O72" s="1187"/>
      <c r="P72" s="1191"/>
      <c r="Q72" s="1189">
        <f>ROUNDUP(P72+M72,0)</f>
        <v>14</v>
      </c>
    </row>
    <row r="73" spans="6:19" ht="12.95" customHeight="1" x14ac:dyDescent="0.2">
      <c r="H73" s="1612"/>
      <c r="I73" s="1197">
        <f>IF(AND(J73&gt;=MIN(K73,L73),J73&lt;=MAX(K73,L73)),1,0)</f>
        <v>0</v>
      </c>
      <c r="J73" s="1188">
        <f>J72</f>
        <v>593896</v>
      </c>
      <c r="K73" s="1189">
        <v>101</v>
      </c>
      <c r="L73" s="1189">
        <v>400</v>
      </c>
      <c r="M73" s="1200">
        <v>16.75</v>
      </c>
      <c r="N73" s="1190">
        <v>0</v>
      </c>
      <c r="O73" s="1192">
        <v>0</v>
      </c>
      <c r="P73" s="1189">
        <f>O73*N73</f>
        <v>0</v>
      </c>
      <c r="Q73" s="1189">
        <f>ROUNDUP(P73+M73,0)</f>
        <v>17</v>
      </c>
    </row>
    <row r="74" spans="6:19" ht="12.95" customHeight="1" x14ac:dyDescent="0.2">
      <c r="H74" s="1612"/>
      <c r="I74" s="1197">
        <f>IF(AND(J74&gt;=MIN(K74,L74),J74&lt;=MAX(K74,L74)),1,0)</f>
        <v>0</v>
      </c>
      <c r="J74" s="1188">
        <f>J73</f>
        <v>593896</v>
      </c>
      <c r="K74" s="1189">
        <v>401</v>
      </c>
      <c r="L74" s="1189">
        <v>800</v>
      </c>
      <c r="M74" s="1191">
        <v>19.899999999999999</v>
      </c>
      <c r="N74" s="1190">
        <v>0</v>
      </c>
      <c r="O74" s="1192">
        <v>0</v>
      </c>
      <c r="P74" s="1189">
        <f>O74*N74</f>
        <v>0</v>
      </c>
      <c r="Q74" s="1189">
        <f>ROUNDUP(P74+M74,0)</f>
        <v>20</v>
      </c>
    </row>
    <row r="75" spans="6:19" ht="12.95" customHeight="1" thickBot="1" x14ac:dyDescent="0.25">
      <c r="H75" s="1612"/>
      <c r="I75" s="1197">
        <f>IF(AND(J75&gt;=MIN(K75,L75),J75&lt;=MAX(K75,L75)),1,0)</f>
        <v>1</v>
      </c>
      <c r="J75" s="1188">
        <f>J74</f>
        <v>593896</v>
      </c>
      <c r="K75" s="1189">
        <v>801</v>
      </c>
      <c r="L75" s="1189">
        <v>50000000</v>
      </c>
      <c r="M75" s="1191">
        <v>19.899999999999999</v>
      </c>
      <c r="N75" s="1190">
        <v>3.75</v>
      </c>
      <c r="O75" s="1192">
        <f>ROUNDUP((J75-800)/100,0)</f>
        <v>5931</v>
      </c>
      <c r="P75" s="1189">
        <f>O75*N75</f>
        <v>22241.25</v>
      </c>
      <c r="Q75" s="1189">
        <f>ROUNDUP(P75+M75,0)</f>
        <v>22262</v>
      </c>
    </row>
    <row r="76" spans="6:19" ht="14.25" thickTop="1" thickBot="1" x14ac:dyDescent="0.25">
      <c r="H76" s="1317" t="s">
        <v>2042</v>
      </c>
      <c r="J76" s="1318" t="s">
        <v>2365</v>
      </c>
      <c r="K76" s="1318"/>
      <c r="L76" s="1193"/>
      <c r="M76" s="1193"/>
      <c r="N76" s="1193"/>
      <c r="O76" s="1193"/>
      <c r="P76" s="1193"/>
      <c r="Q76" s="1193"/>
      <c r="S76" s="356" t="s">
        <v>2369</v>
      </c>
    </row>
    <row r="77" spans="6:19" ht="13.5" thickTop="1" x14ac:dyDescent="0.2">
      <c r="H77" s="1603" t="s">
        <v>2367</v>
      </c>
      <c r="J77" s="1605" t="s">
        <v>2169</v>
      </c>
      <c r="K77" s="1605"/>
      <c r="L77" s="1188">
        <f>J46</f>
        <v>593896</v>
      </c>
      <c r="M77" s="1187"/>
      <c r="N77" s="1187"/>
      <c r="O77" s="1187"/>
      <c r="P77" s="1187"/>
      <c r="Q77" s="1187"/>
    </row>
    <row r="78" spans="6:19" ht="38.25" x14ac:dyDescent="0.2">
      <c r="F78" s="1196" t="s">
        <v>2370</v>
      </c>
      <c r="H78" s="1604"/>
      <c r="J78" s="1243" t="s">
        <v>2174</v>
      </c>
      <c r="K78" s="1244" t="s">
        <v>2170</v>
      </c>
      <c r="L78" s="1244" t="s">
        <v>2171</v>
      </c>
      <c r="M78" s="1244" t="s">
        <v>2172</v>
      </c>
      <c r="N78" s="1243" t="s">
        <v>2173</v>
      </c>
      <c r="O78" s="1245" t="s">
        <v>2366</v>
      </c>
      <c r="P78" s="1243" t="s">
        <v>2343</v>
      </c>
      <c r="Q78" s="1243" t="s">
        <v>2176</v>
      </c>
    </row>
    <row r="79" spans="6:19" x14ac:dyDescent="0.2">
      <c r="F79" s="1316">
        <f>VLOOKUP(1,I79:Q79,9,FALSE)</f>
        <v>8421</v>
      </c>
      <c r="H79" s="1604"/>
      <c r="I79" s="1197">
        <f>IF(AND(J79&gt;=MIN(K79,L79),J79&lt;=MAX(K79,L79)),1,0)</f>
        <v>1</v>
      </c>
      <c r="J79" s="1188">
        <f>L77</f>
        <v>593896</v>
      </c>
      <c r="K79" s="1189">
        <v>1</v>
      </c>
      <c r="L79" s="1189">
        <v>50000000</v>
      </c>
      <c r="M79" s="1191">
        <v>105</v>
      </c>
      <c r="N79" s="1190">
        <v>14</v>
      </c>
      <c r="O79" s="1192">
        <f>ROUNDUP(J79/1000,0)</f>
        <v>594</v>
      </c>
      <c r="P79" s="1189">
        <f>O79*N79</f>
        <v>8316</v>
      </c>
      <c r="Q79" s="1189">
        <f>ROUNDUP(P79+M79,0)</f>
        <v>8421</v>
      </c>
    </row>
    <row r="81" spans="8:17" x14ac:dyDescent="0.2">
      <c r="H81" s="1606" t="s">
        <v>2369</v>
      </c>
      <c r="I81" s="1606"/>
      <c r="J81" s="1606"/>
      <c r="K81" s="1606"/>
      <c r="L81" s="1606"/>
      <c r="M81" s="1606"/>
      <c r="N81" s="1606"/>
      <c r="O81" s="1606"/>
      <c r="P81" s="1606"/>
      <c r="Q81" s="1606"/>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selection activeCell="K26" sqref="K26"/>
      <pageMargins left="0.7" right="0.7" top="0.75" bottom="0.75" header="0.3" footer="0.3"/>
      <pageSetup scale="59" orientation="portrait" verticalDpi="300" r:id="rId3"/>
      <headerFooter alignWithMargins="0"/>
    </customSheetView>
  </customSheetViews>
  <mergeCells count="22">
    <mergeCell ref="M25:N25"/>
    <mergeCell ref="M26:N26"/>
    <mergeCell ref="M27:N27"/>
    <mergeCell ref="A1:I1"/>
    <mergeCell ref="A2:I2"/>
    <mergeCell ref="I22:I27"/>
    <mergeCell ref="M13:N13"/>
    <mergeCell ref="M14:N14"/>
    <mergeCell ref="M19:N19"/>
    <mergeCell ref="M22:N22"/>
    <mergeCell ref="M23:N23"/>
    <mergeCell ref="M24:N24"/>
    <mergeCell ref="H77:H79"/>
    <mergeCell ref="J77:K77"/>
    <mergeCell ref="H81:Q81"/>
    <mergeCell ref="B46:G46"/>
    <mergeCell ref="J42:K42"/>
    <mergeCell ref="H70:H75"/>
    <mergeCell ref="H58:H68"/>
    <mergeCell ref="J58:K58"/>
    <mergeCell ref="J70:K70"/>
    <mergeCell ref="J57:Q57"/>
  </mergeCells>
  <phoneticPr fontId="0" type="noConversion"/>
  <conditionalFormatting sqref="D28">
    <cfRule type="cellIs" dxfId="141" priority="7" operator="equal">
      <formula>0</formula>
    </cfRule>
    <cfRule type="cellIs" dxfId="140" priority="8" operator="equal">
      <formula>0</formula>
    </cfRule>
  </conditionalFormatting>
  <conditionalFormatting sqref="L44">
    <cfRule type="cellIs" dxfId="139" priority="3" operator="lessThan">
      <formula>0.3</formula>
    </cfRule>
    <cfRule type="cellIs" dxfId="138" priority="4" operator="lessThan">
      <formula>0.1</formula>
    </cfRule>
    <cfRule type="cellIs" dxfId="137" priority="5" operator="lessThan">
      <formula>0.1</formula>
    </cfRule>
  </conditionalFormatting>
  <conditionalFormatting sqref="H46">
    <cfRule type="cellIs" dxfId="136" priority="1" operator="equal">
      <formula>0</formula>
    </cfRule>
  </conditionalFormatting>
  <pageMargins left="0.7" right="0.7" top="0.75" bottom="0.75" header="0.3" footer="0.3"/>
  <pageSetup scale="53" orientation="portrait" verticalDpi="300" r:id="rId4"/>
  <headerFooter alignWithMargins="0"/>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79"/>
  <sheetViews>
    <sheetView topLeftCell="A22" zoomScaleNormal="100" workbookViewId="0">
      <selection activeCell="D27" sqref="D27"/>
    </sheetView>
  </sheetViews>
  <sheetFormatPr defaultRowHeight="12.75" x14ac:dyDescent="0.2"/>
  <cols>
    <col min="1" max="2" width="13.42578125" customWidth="1"/>
    <col min="3" max="3" width="8.5703125" customWidth="1"/>
    <col min="4" max="4" width="9.5703125" customWidth="1"/>
    <col min="5" max="5" width="5.42578125" customWidth="1"/>
    <col min="6" max="6" width="15.7109375" customWidth="1"/>
    <col min="7" max="7" width="6.28515625" customWidth="1"/>
    <col min="8" max="8" width="23.140625" customWidth="1"/>
    <col min="9" max="9" width="4.85546875" bestFit="1" customWidth="1"/>
    <col min="10" max="10" width="13" customWidth="1"/>
    <col min="11" max="11" width="25.140625" bestFit="1" customWidth="1"/>
    <col min="12" max="12" width="13.85546875" bestFit="1" customWidth="1"/>
    <col min="13" max="13" width="10.140625" bestFit="1" customWidth="1"/>
    <col min="14" max="14" width="11.28515625" bestFit="1" customWidth="1"/>
    <col min="16" max="16" width="10.140625" customWidth="1"/>
    <col min="17" max="17" width="11.5703125" bestFit="1" customWidth="1"/>
    <col min="20" max="20" width="13.5703125" customWidth="1"/>
    <col min="21" max="21" width="13" customWidth="1"/>
  </cols>
  <sheetData>
    <row r="1" spans="1:14" ht="18.75" x14ac:dyDescent="0.3">
      <c r="A1" s="1621" t="s">
        <v>25</v>
      </c>
      <c r="B1" s="1621"/>
      <c r="C1" s="1621"/>
      <c r="D1" s="1621"/>
      <c r="E1" s="1621"/>
      <c r="F1" s="1621"/>
      <c r="G1" s="1621"/>
      <c r="H1" s="1621"/>
      <c r="I1" s="1621"/>
    </row>
    <row r="2" spans="1:14" ht="17.25" x14ac:dyDescent="0.25">
      <c r="A2" s="1622" t="s">
        <v>63</v>
      </c>
      <c r="B2" s="1622"/>
      <c r="C2" s="1622"/>
      <c r="D2" s="1622"/>
      <c r="E2" s="1622"/>
      <c r="F2" s="1622"/>
      <c r="G2" s="1622"/>
      <c r="H2" s="1622"/>
      <c r="I2" s="1622"/>
    </row>
    <row r="3" spans="1:14" ht="15.75" x14ac:dyDescent="0.25">
      <c r="A3" s="1" t="str">
        <f>'Project Cost Recap'!B5</f>
        <v>Project Name:</v>
      </c>
      <c r="B3" s="417" t="str">
        <f>'Project Cost Recap'!C5</f>
        <v>300 University Boulevard</v>
      </c>
      <c r="C3" s="2"/>
      <c r="D3" s="3"/>
      <c r="E3" s="3"/>
      <c r="F3" s="3"/>
      <c r="G3" s="3"/>
      <c r="H3" s="89" t="str">
        <f>'Project Cost Recap'!H5</f>
        <v>BASE BID</v>
      </c>
      <c r="I3" s="6"/>
      <c r="J3" s="91" t="s">
        <v>208</v>
      </c>
      <c r="K3" s="102">
        <f>'PROJECT INFO'!H24</f>
        <v>44757</v>
      </c>
    </row>
    <row r="4" spans="1:14" ht="15.75" x14ac:dyDescent="0.25">
      <c r="A4" s="5" t="str">
        <f>'Project Cost Recap'!B6</f>
        <v>Location:</v>
      </c>
      <c r="B4" s="417" t="str">
        <f>'Project Cost Recap'!C6</f>
        <v>Denver, CO 80206</v>
      </c>
      <c r="C4" s="6"/>
      <c r="D4" s="7"/>
      <c r="E4" s="7"/>
      <c r="F4" s="7"/>
      <c r="G4" s="8" t="s">
        <v>3</v>
      </c>
      <c r="H4" s="9">
        <f ca="1">NOW()</f>
        <v>44718.519324884262</v>
      </c>
      <c r="I4" s="13"/>
      <c r="J4" s="91" t="s">
        <v>209</v>
      </c>
      <c r="K4" s="102">
        <f>'PROJECT INFO'!H25</f>
        <v>45056</v>
      </c>
    </row>
    <row r="5" spans="1:14" x14ac:dyDescent="0.2">
      <c r="A5" s="10" t="str">
        <f>'Project Cost Recap'!B7</f>
        <v>Bid Date:</v>
      </c>
      <c r="B5" s="418">
        <f>'Project Cost Recap'!C7</f>
        <v>44624</v>
      </c>
      <c r="C5" s="6"/>
      <c r="D5" s="7"/>
      <c r="E5" s="7"/>
      <c r="F5" s="7"/>
      <c r="G5" s="8" t="s">
        <v>5</v>
      </c>
      <c r="H5" s="11">
        <f ca="1">+TODAY()</f>
        <v>44718</v>
      </c>
      <c r="I5" s="6"/>
      <c r="J5" s="91" t="s">
        <v>125</v>
      </c>
      <c r="K5" s="188">
        <f>'PROJECT INFO'!H26</f>
        <v>9.9666666666666668</v>
      </c>
    </row>
    <row r="6" spans="1:14" ht="13.5" x14ac:dyDescent="0.25">
      <c r="A6" s="11" t="s">
        <v>637</v>
      </c>
      <c r="B6" s="419" t="str">
        <f>'Project Cost Recap'!C8</f>
        <v>5888</v>
      </c>
      <c r="C6" s="97"/>
      <c r="D6" s="11"/>
      <c r="E6" s="6"/>
      <c r="F6" s="7"/>
      <c r="G6" s="6"/>
      <c r="H6" s="7"/>
      <c r="I6" s="13"/>
      <c r="J6" s="91" t="s">
        <v>210</v>
      </c>
      <c r="K6" s="188">
        <f>'PROJECT INFO'!H27</f>
        <v>42.714285714285715</v>
      </c>
    </row>
    <row r="7" spans="1:14" ht="13.5" x14ac:dyDescent="0.25">
      <c r="A7" s="12" t="s">
        <v>26</v>
      </c>
      <c r="B7" s="2"/>
      <c r="C7" s="28" t="s">
        <v>48</v>
      </c>
      <c r="D7" s="13" t="s">
        <v>45</v>
      </c>
      <c r="E7" s="13"/>
      <c r="F7" s="13" t="s">
        <v>46</v>
      </c>
      <c r="G7" s="13"/>
      <c r="H7" s="26" t="s">
        <v>47</v>
      </c>
      <c r="I7" s="6"/>
      <c r="J7" s="91" t="s">
        <v>211</v>
      </c>
      <c r="K7" s="188">
        <f>'PROJECT INFO'!H28</f>
        <v>299</v>
      </c>
    </row>
    <row r="8" spans="1:14" ht="13.5" customHeight="1" thickBot="1" x14ac:dyDescent="0.3">
      <c r="A8" s="3"/>
      <c r="B8" s="2"/>
      <c r="C8" s="98">
        <f>'PROJECT INFO'!H14</f>
        <v>8.8099999999999998E-2</v>
      </c>
      <c r="D8" s="14"/>
      <c r="E8" s="14"/>
      <c r="F8" s="15"/>
      <c r="G8" s="14"/>
      <c r="H8" s="15" t="s">
        <v>44</v>
      </c>
      <c r="I8" s="13"/>
      <c r="J8" s="91" t="s">
        <v>212</v>
      </c>
      <c r="K8" s="188">
        <f>'PROJECT INFO'!H29</f>
        <v>213.57142857142858</v>
      </c>
    </row>
    <row r="9" spans="1:14" ht="13.5" customHeight="1" x14ac:dyDescent="0.2">
      <c r="A9" s="16" t="s">
        <v>27</v>
      </c>
      <c r="B9" s="17"/>
      <c r="C9" s="99">
        <f>C8</f>
        <v>8.8099999999999998E-2</v>
      </c>
      <c r="D9" s="33">
        <f>'QP Reports'!J27</f>
        <v>3319.8</v>
      </c>
      <c r="E9" s="18"/>
      <c r="F9" s="29">
        <f>'QP Reports'!F27</f>
        <v>189040</v>
      </c>
      <c r="G9" s="18"/>
      <c r="H9" s="30">
        <f>(C9*F9)+F9</f>
        <v>205694.424</v>
      </c>
      <c r="I9" s="6"/>
      <c r="J9" s="361" t="s">
        <v>1117</v>
      </c>
      <c r="K9" s="362" t="s">
        <v>212</v>
      </c>
      <c r="L9" s="362" t="s">
        <v>1118</v>
      </c>
      <c r="M9" s="362" t="s">
        <v>1119</v>
      </c>
      <c r="N9" s="363" t="s">
        <v>69</v>
      </c>
    </row>
    <row r="10" spans="1:14" ht="13.5" customHeight="1" thickBot="1" x14ac:dyDescent="0.3">
      <c r="A10" s="16" t="s">
        <v>1117</v>
      </c>
      <c r="B10" s="17"/>
      <c r="C10" s="99">
        <f>C9</f>
        <v>8.8099999999999998E-2</v>
      </c>
      <c r="D10" s="33">
        <v>0</v>
      </c>
      <c r="E10" s="18"/>
      <c r="F10" s="19">
        <f>N10</f>
        <v>6407.1428571428578</v>
      </c>
      <c r="G10" s="18"/>
      <c r="H10" s="30">
        <f>(C10*F10)+F10</f>
        <v>6971.6121428571432</v>
      </c>
      <c r="I10" s="13"/>
      <c r="J10" s="358">
        <f>1*'PROJECT INFO'!I22</f>
        <v>1</v>
      </c>
      <c r="K10" s="359">
        <f>K8</f>
        <v>213.57142857142858</v>
      </c>
      <c r="L10" s="358">
        <v>2</v>
      </c>
      <c r="M10" s="364">
        <v>15</v>
      </c>
      <c r="N10" s="364">
        <f>M10*L10*K10*J10</f>
        <v>6407.1428571428578</v>
      </c>
    </row>
    <row r="11" spans="1:14" ht="13.5" customHeight="1" thickBot="1" x14ac:dyDescent="0.3">
      <c r="A11" s="16" t="s">
        <v>28</v>
      </c>
      <c r="B11" s="17"/>
      <c r="C11" s="99">
        <f>C9</f>
        <v>8.8099999999999998E-2</v>
      </c>
      <c r="D11" s="33">
        <v>0</v>
      </c>
      <c r="E11" s="18"/>
      <c r="F11" s="19">
        <v>0</v>
      </c>
      <c r="G11" s="18"/>
      <c r="H11" s="30">
        <f t="shared" ref="H11:H27" si="0">(C11*F11)+F11</f>
        <v>0</v>
      </c>
      <c r="I11" s="13"/>
      <c r="J11" s="360" t="s">
        <v>1120</v>
      </c>
    </row>
    <row r="12" spans="1:14" ht="13.5" customHeight="1" x14ac:dyDescent="0.2">
      <c r="A12" s="16" t="s">
        <v>23</v>
      </c>
      <c r="B12" s="17"/>
      <c r="C12" s="99">
        <f t="shared" ref="C12:C27" si="1">C11</f>
        <v>8.8099999999999998E-2</v>
      </c>
      <c r="D12" s="112">
        <f>Plbg!I5</f>
        <v>598</v>
      </c>
      <c r="E12" s="18"/>
      <c r="F12" s="42">
        <f>Plbg!G7</f>
        <v>144029</v>
      </c>
      <c r="G12" s="18"/>
      <c r="H12" s="30">
        <f t="shared" si="0"/>
        <v>156717.95490000001</v>
      </c>
      <c r="I12" s="6"/>
      <c r="J12" s="356"/>
    </row>
    <row r="13" spans="1:14" ht="13.5" customHeight="1" x14ac:dyDescent="0.25">
      <c r="A13" s="16" t="s">
        <v>22</v>
      </c>
      <c r="B13" s="17"/>
      <c r="C13" s="99">
        <v>8.3099999999999993E-2</v>
      </c>
      <c r="D13" s="33">
        <v>0</v>
      </c>
      <c r="E13" s="18"/>
      <c r="F13" s="19">
        <v>0</v>
      </c>
      <c r="G13" s="18"/>
      <c r="H13" s="30">
        <f t="shared" si="0"/>
        <v>0</v>
      </c>
      <c r="I13" s="13"/>
      <c r="J13" s="91"/>
    </row>
    <row r="14" spans="1:14" ht="13.5" customHeight="1" x14ac:dyDescent="0.2">
      <c r="A14" s="16" t="s">
        <v>29</v>
      </c>
      <c r="B14" s="17"/>
      <c r="C14" s="99">
        <f t="shared" si="1"/>
        <v>8.3099999999999993E-2</v>
      </c>
      <c r="D14" s="33">
        <v>0</v>
      </c>
      <c r="E14" s="18"/>
      <c r="F14" s="19">
        <f>L14</f>
        <v>0</v>
      </c>
      <c r="G14" s="18"/>
      <c r="H14" s="30">
        <f t="shared" si="0"/>
        <v>0</v>
      </c>
      <c r="I14" s="6"/>
      <c r="J14" s="100">
        <v>0</v>
      </c>
      <c r="K14" s="90">
        <f>Rentals!B40</f>
        <v>300</v>
      </c>
      <c r="L14" s="90">
        <f>J14*K14</f>
        <v>0</v>
      </c>
      <c r="M14" s="1610" t="s">
        <v>2363</v>
      </c>
      <c r="N14" s="1610"/>
    </row>
    <row r="15" spans="1:14" ht="13.5" customHeight="1" x14ac:dyDescent="0.25">
      <c r="A15" s="16" t="s">
        <v>30</v>
      </c>
      <c r="B15" s="17"/>
      <c r="C15" s="99">
        <f t="shared" si="1"/>
        <v>8.3099999999999993E-2</v>
      </c>
      <c r="D15" s="33">
        <v>0</v>
      </c>
      <c r="E15" s="18"/>
      <c r="F15" s="19">
        <f>L15</f>
        <v>996.66666666666663</v>
      </c>
      <c r="G15" s="18"/>
      <c r="H15" s="30">
        <f t="shared" si="0"/>
        <v>1079.4896666666666</v>
      </c>
      <c r="I15" s="13"/>
      <c r="J15" s="100">
        <f>K5</f>
        <v>9.9666666666666668</v>
      </c>
      <c r="K15" s="90">
        <f>Rentals!B41</f>
        <v>100</v>
      </c>
      <c r="L15" s="90">
        <f>J15*K15</f>
        <v>996.66666666666663</v>
      </c>
      <c r="M15" s="1610" t="s">
        <v>1714</v>
      </c>
      <c r="N15" s="1610"/>
    </row>
    <row r="16" spans="1:14" ht="13.5" customHeight="1" x14ac:dyDescent="0.2">
      <c r="A16" s="16" t="s">
        <v>31</v>
      </c>
      <c r="B16" s="17"/>
      <c r="C16" s="99">
        <f t="shared" si="1"/>
        <v>8.3099999999999993E-2</v>
      </c>
      <c r="D16" s="33">
        <v>0</v>
      </c>
      <c r="E16" s="18"/>
      <c r="F16" s="42">
        <f>H42*0.03</f>
        <v>8585.0612942370008</v>
      </c>
      <c r="G16" s="18"/>
      <c r="H16" s="30">
        <f t="shared" si="0"/>
        <v>9298.4798877880949</v>
      </c>
      <c r="I16" s="6"/>
      <c r="J16" s="100"/>
    </row>
    <row r="17" spans="1:24" ht="13.5" customHeight="1" x14ac:dyDescent="0.25">
      <c r="A17" s="16" t="s">
        <v>58</v>
      </c>
      <c r="B17" s="17"/>
      <c r="C17" s="99">
        <f t="shared" si="1"/>
        <v>8.3099999999999993E-2</v>
      </c>
      <c r="D17" s="33">
        <v>0</v>
      </c>
      <c r="E17" s="18"/>
      <c r="F17" s="19">
        <v>0</v>
      </c>
      <c r="G17" s="18"/>
      <c r="H17" s="30">
        <f t="shared" si="0"/>
        <v>0</v>
      </c>
      <c r="I17" s="13"/>
      <c r="J17" s="100"/>
    </row>
    <row r="18" spans="1:24" ht="13.5" customHeight="1" x14ac:dyDescent="0.2">
      <c r="A18" s="16" t="s">
        <v>238</v>
      </c>
      <c r="B18" s="17"/>
      <c r="C18" s="99">
        <f t="shared" si="1"/>
        <v>8.3099999999999993E-2</v>
      </c>
      <c r="D18" s="112">
        <f>D9*0.07</f>
        <v>232.38600000000002</v>
      </c>
      <c r="E18" s="18"/>
      <c r="F18" s="19">
        <v>0</v>
      </c>
      <c r="G18" s="18"/>
      <c r="H18" s="30">
        <f t="shared" si="0"/>
        <v>0</v>
      </c>
      <c r="I18" s="6"/>
      <c r="J18" s="100"/>
    </row>
    <row r="19" spans="1:24" ht="13.5" customHeight="1" x14ac:dyDescent="0.25">
      <c r="A19" s="16" t="s">
        <v>33</v>
      </c>
      <c r="B19" s="17"/>
      <c r="C19" s="99">
        <f t="shared" si="1"/>
        <v>8.3099999999999993E-2</v>
      </c>
      <c r="D19" s="33">
        <v>0</v>
      </c>
      <c r="E19" s="18"/>
      <c r="F19" s="19">
        <f>'HOISTING EQP'!J22</f>
        <v>0</v>
      </c>
      <c r="G19" s="18"/>
      <c r="H19" s="30">
        <f t="shared" si="0"/>
        <v>0</v>
      </c>
      <c r="I19" s="13"/>
      <c r="J19" s="100"/>
    </row>
    <row r="20" spans="1:24" ht="13.5" customHeight="1" thickBot="1" x14ac:dyDescent="0.25">
      <c r="A20" s="16" t="s">
        <v>34</v>
      </c>
      <c r="B20" s="17"/>
      <c r="C20" s="99">
        <f t="shared" si="1"/>
        <v>8.3099999999999993E-2</v>
      </c>
      <c r="D20" s="33">
        <v>0</v>
      </c>
      <c r="E20" s="18"/>
      <c r="F20" s="19">
        <f>L20</f>
        <v>9966.6666666666661</v>
      </c>
      <c r="G20" s="18"/>
      <c r="H20" s="30">
        <f t="shared" si="0"/>
        <v>10794.896666666666</v>
      </c>
      <c r="I20" s="6"/>
      <c r="J20" s="957">
        <f>K5</f>
        <v>9.9666666666666668</v>
      </c>
      <c r="K20" s="1302">
        <f>Rentals!B39</f>
        <v>1000</v>
      </c>
      <c r="L20" s="1302">
        <f t="shared" ref="L20:L26" si="2">J20*K20</f>
        <v>9966.6666666666661</v>
      </c>
      <c r="M20" s="1632" t="s">
        <v>2364</v>
      </c>
      <c r="N20" s="1632"/>
    </row>
    <row r="21" spans="1:24" ht="13.5" customHeight="1" x14ac:dyDescent="0.2">
      <c r="A21" s="16" t="s">
        <v>35</v>
      </c>
      <c r="B21" s="17"/>
      <c r="C21" s="99">
        <f t="shared" si="1"/>
        <v>8.3099999999999993E-2</v>
      </c>
      <c r="D21" s="109">
        <v>0</v>
      </c>
      <c r="E21" s="18"/>
      <c r="F21" s="19">
        <v>0</v>
      </c>
      <c r="G21" s="18"/>
      <c r="H21" s="30">
        <f t="shared" si="0"/>
        <v>0</v>
      </c>
      <c r="I21" s="1629" t="s">
        <v>1709</v>
      </c>
      <c r="J21" s="1303">
        <v>0</v>
      </c>
      <c r="K21" s="1304">
        <f>Rentals!B4</f>
        <v>1000</v>
      </c>
      <c r="L21" s="1304">
        <f t="shared" si="2"/>
        <v>0</v>
      </c>
      <c r="M21" s="1633" t="str">
        <f>Rentals!A4</f>
        <v>DUMPSTERS monthly</v>
      </c>
      <c r="N21" s="1634"/>
    </row>
    <row r="22" spans="1:24" ht="13.5" customHeight="1" x14ac:dyDescent="0.2">
      <c r="A22" s="16" t="s">
        <v>36</v>
      </c>
      <c r="B22" s="17"/>
      <c r="C22" s="99">
        <f t="shared" si="1"/>
        <v>8.3099999999999993E-2</v>
      </c>
      <c r="D22" s="33">
        <v>0</v>
      </c>
      <c r="E22" s="18"/>
      <c r="F22" s="42">
        <f>F9*0.02</f>
        <v>3780.8</v>
      </c>
      <c r="G22" s="18"/>
      <c r="H22" s="30">
        <f t="shared" si="0"/>
        <v>4094.9844800000001</v>
      </c>
      <c r="I22" s="1630"/>
      <c r="J22" s="1305">
        <v>0</v>
      </c>
      <c r="K22" s="1306">
        <v>5500</v>
      </c>
      <c r="L22" s="1306">
        <f t="shared" si="2"/>
        <v>0</v>
      </c>
      <c r="M22" s="1635" t="str">
        <f>Rentals!A5</f>
        <v>FORKLIFT</v>
      </c>
      <c r="N22" s="1636"/>
    </row>
    <row r="23" spans="1:24" ht="13.5" customHeight="1" x14ac:dyDescent="0.2">
      <c r="A23" s="16" t="s">
        <v>654</v>
      </c>
      <c r="B23" s="17"/>
      <c r="C23" s="99">
        <f t="shared" si="1"/>
        <v>8.3099999999999993E-2</v>
      </c>
      <c r="D23" s="33">
        <f>Subs!L16</f>
        <v>0</v>
      </c>
      <c r="E23" s="18"/>
      <c r="F23" s="19">
        <f>Subs!J16</f>
        <v>0</v>
      </c>
      <c r="G23" s="18"/>
      <c r="H23" s="30">
        <f t="shared" si="0"/>
        <v>0</v>
      </c>
      <c r="I23" s="1630"/>
      <c r="J23" s="1307">
        <v>0</v>
      </c>
      <c r="K23" s="1306">
        <f>Rentals!B6</f>
        <v>250</v>
      </c>
      <c r="L23" s="1306">
        <f t="shared" si="2"/>
        <v>0</v>
      </c>
      <c r="M23" s="1635" t="str">
        <f>Rentals!A6</f>
        <v>FUSION MACHINE</v>
      </c>
      <c r="N23" s="1636"/>
    </row>
    <row r="24" spans="1:24" ht="13.5" customHeight="1" x14ac:dyDescent="0.2">
      <c r="A24" s="16" t="s">
        <v>37</v>
      </c>
      <c r="B24" s="17"/>
      <c r="C24" s="99">
        <f t="shared" si="1"/>
        <v>8.3099999999999993E-2</v>
      </c>
      <c r="D24" s="33">
        <v>0</v>
      </c>
      <c r="E24" s="18"/>
      <c r="F24" s="19">
        <f>SUM(L21:L26)</f>
        <v>10000</v>
      </c>
      <c r="G24" s="18"/>
      <c r="H24" s="30">
        <f t="shared" si="0"/>
        <v>10831</v>
      </c>
      <c r="I24" s="1630"/>
      <c r="J24" s="1307">
        <v>0</v>
      </c>
      <c r="K24" s="1306">
        <f>Rentals!B7</f>
        <v>1000</v>
      </c>
      <c r="L24" s="1306">
        <f t="shared" si="2"/>
        <v>0</v>
      </c>
      <c r="M24" s="1635" t="str">
        <f>Rentals!A7</f>
        <v>SCAFFOLDING</v>
      </c>
      <c r="N24" s="1636"/>
    </row>
    <row r="25" spans="1:24" ht="13.5" customHeight="1" x14ac:dyDescent="0.2">
      <c r="A25" s="16" t="s">
        <v>41</v>
      </c>
      <c r="B25" s="17"/>
      <c r="C25" s="99">
        <f t="shared" si="1"/>
        <v>8.3099999999999993E-2</v>
      </c>
      <c r="D25" s="33">
        <v>0</v>
      </c>
      <c r="E25" s="18"/>
      <c r="F25" s="19">
        <v>0</v>
      </c>
      <c r="G25" s="18"/>
      <c r="H25" s="30">
        <f t="shared" si="0"/>
        <v>0</v>
      </c>
      <c r="I25" s="1630"/>
      <c r="J25" s="1308">
        <v>5</v>
      </c>
      <c r="K25" s="1306">
        <f>Rentals!B8</f>
        <v>2000</v>
      </c>
      <c r="L25" s="1306">
        <f t="shared" si="2"/>
        <v>10000</v>
      </c>
      <c r="M25" s="1635" t="str">
        <f>Rentals!A8</f>
        <v>SCISSOR</v>
      </c>
      <c r="N25" s="1636"/>
    </row>
    <row r="26" spans="1:24" ht="13.5" customHeight="1" thickBot="1" x14ac:dyDescent="0.25">
      <c r="A26" s="16" t="s">
        <v>42</v>
      </c>
      <c r="B26" s="17"/>
      <c r="C26" s="99">
        <f t="shared" si="1"/>
        <v>8.3099999999999993E-2</v>
      </c>
      <c r="D26" s="451">
        <v>80</v>
      </c>
      <c r="E26" s="18"/>
      <c r="F26" s="19">
        <v>0</v>
      </c>
      <c r="G26" s="18"/>
      <c r="H26" s="30">
        <f t="shared" si="0"/>
        <v>0</v>
      </c>
      <c r="I26" s="1631"/>
      <c r="J26" s="1309">
        <v>0</v>
      </c>
      <c r="K26" s="1310">
        <f>Rentals!B9</f>
        <v>800</v>
      </c>
      <c r="L26" s="1310">
        <f t="shared" si="2"/>
        <v>0</v>
      </c>
      <c r="M26" s="1637" t="str">
        <f>Rentals!A9</f>
        <v>TAMPER</v>
      </c>
      <c r="N26" s="1638"/>
    </row>
    <row r="27" spans="1:24" ht="13.5" customHeight="1" x14ac:dyDescent="0.2">
      <c r="A27" s="16" t="s">
        <v>59</v>
      </c>
      <c r="B27" s="17"/>
      <c r="C27" s="99">
        <f t="shared" si="1"/>
        <v>8.3099999999999993E-2</v>
      </c>
      <c r="D27" s="33">
        <v>0</v>
      </c>
      <c r="E27" s="18"/>
      <c r="F27" s="19">
        <f>0.01*H32</f>
        <v>1474.6129631250003</v>
      </c>
      <c r="G27" s="18"/>
      <c r="H27" s="30">
        <f t="shared" si="0"/>
        <v>1597.1533003606878</v>
      </c>
      <c r="I27" s="6"/>
      <c r="J27" s="91" t="s">
        <v>189</v>
      </c>
      <c r="K27" s="42">
        <f>SUM(H13:H18)+SUM(H20:H27)+H44</f>
        <v>41628.004001482113</v>
      </c>
      <c r="L27" s="92">
        <f>K27/H42</f>
        <v>0.14546665157566058</v>
      </c>
    </row>
    <row r="28" spans="1:24" ht="13.5" customHeight="1" x14ac:dyDescent="0.25">
      <c r="A28" s="11"/>
      <c r="B28" s="6"/>
      <c r="C28" s="25"/>
      <c r="D28" s="31"/>
      <c r="E28" s="6"/>
      <c r="F28" s="7"/>
      <c r="G28" s="6"/>
      <c r="H28" s="7"/>
      <c r="I28" s="13"/>
      <c r="J28" t="s">
        <v>193</v>
      </c>
      <c r="K28" s="42">
        <f>SUM(H13:H18)+SUM(H20:H27)+H44</f>
        <v>41628.004001482113</v>
      </c>
      <c r="L28" s="92">
        <f>K28/H45</f>
        <v>5.9709059232074944E-2</v>
      </c>
    </row>
    <row r="29" spans="1:24" ht="13.5" customHeight="1" x14ac:dyDescent="0.2">
      <c r="A29" s="21" t="s">
        <v>15</v>
      </c>
      <c r="B29" s="17"/>
      <c r="C29" s="23"/>
      <c r="D29" s="35">
        <f>SUM(D9:D27)</f>
        <v>4230.1860000000006</v>
      </c>
      <c r="E29" s="27"/>
      <c r="F29" s="36">
        <f>SUM(F9:F27)</f>
        <v>374279.95044783817</v>
      </c>
      <c r="G29" s="7"/>
      <c r="H29" s="38">
        <f>SUM(H9:H27)</f>
        <v>407079.99504433922</v>
      </c>
      <c r="I29" s="6"/>
      <c r="J29" t="s">
        <v>217</v>
      </c>
      <c r="K29" s="42">
        <f>H29-F29</f>
        <v>32800.044596501044</v>
      </c>
    </row>
    <row r="30" spans="1:24" ht="13.5" customHeight="1" x14ac:dyDescent="0.25">
      <c r="A30" s="11"/>
      <c r="B30" s="7" t="s">
        <v>201</v>
      </c>
      <c r="C30" s="101">
        <f>D29/8</f>
        <v>528.77325000000008</v>
      </c>
      <c r="D30" s="11"/>
      <c r="E30" s="27"/>
      <c r="F30" s="27"/>
      <c r="G30" s="6"/>
      <c r="H30" s="7"/>
      <c r="I30" s="13"/>
    </row>
    <row r="31" spans="1:24" ht="13.5" customHeight="1" x14ac:dyDescent="0.2">
      <c r="A31" s="16" t="s">
        <v>60</v>
      </c>
      <c r="B31" s="17"/>
      <c r="C31" s="25"/>
      <c r="D31" s="110">
        <f>(D21+D26)</f>
        <v>80</v>
      </c>
      <c r="E31" s="34" t="s">
        <v>72</v>
      </c>
      <c r="F31" s="37">
        <f>'PLBR CREW'!L17</f>
        <v>49.08</v>
      </c>
      <c r="G31" s="18"/>
      <c r="H31" s="30">
        <f t="shared" ref="H31:H36" si="3">D31*F31</f>
        <v>3926.3999999999996</v>
      </c>
      <c r="I31" s="6"/>
    </row>
    <row r="32" spans="1:24" ht="13.5" customHeight="1" thickBot="1" x14ac:dyDescent="0.3">
      <c r="A32" s="16" t="s">
        <v>61</v>
      </c>
      <c r="B32" s="17"/>
      <c r="C32" s="25"/>
      <c r="D32" s="111">
        <f>SUM(D9:D20)+SUM(D22:D25)+D27</f>
        <v>4150.1860000000006</v>
      </c>
      <c r="E32" s="34" t="s">
        <v>72</v>
      </c>
      <c r="F32" s="37">
        <f>'PLBR CREW'!N46</f>
        <v>35.53125</v>
      </c>
      <c r="G32" s="18"/>
      <c r="H32" s="30">
        <f t="shared" si="3"/>
        <v>147461.29631250002</v>
      </c>
      <c r="I32" s="13"/>
      <c r="P32" s="1184"/>
      <c r="Q32" s="1184"/>
      <c r="R32" s="1184"/>
      <c r="S32" s="1184"/>
      <c r="T32" s="1184"/>
      <c r="U32" s="1184"/>
      <c r="V32" s="1184"/>
      <c r="W32" s="1184"/>
      <c r="X32" s="1184"/>
    </row>
    <row r="33" spans="1:24" ht="13.5" customHeight="1" thickBot="1" x14ac:dyDescent="0.25">
      <c r="A33" s="16" t="s">
        <v>51</v>
      </c>
      <c r="B33" s="17" t="s">
        <v>232</v>
      </c>
      <c r="C33" s="25"/>
      <c r="D33" s="33">
        <f>'QP Reports'!N27+Plbg!K5</f>
        <v>0</v>
      </c>
      <c r="E33" s="34" t="s">
        <v>72</v>
      </c>
      <c r="F33" s="29">
        <f>'PLBR CREW'!G46</f>
        <v>5.1689999999999969</v>
      </c>
      <c r="G33" s="18"/>
      <c r="H33" s="30">
        <f t="shared" si="3"/>
        <v>0</v>
      </c>
      <c r="I33" s="6"/>
      <c r="K33" s="356" t="s">
        <v>2103</v>
      </c>
      <c r="N33" s="1311">
        <f>H9+(H9*C46)</f>
        <v>238605.53184000001</v>
      </c>
      <c r="P33" s="1184"/>
      <c r="Q33" s="1184"/>
      <c r="R33" s="1184"/>
      <c r="S33" s="1184"/>
      <c r="T33" s="1184"/>
      <c r="U33" s="1184"/>
      <c r="V33" s="1184"/>
      <c r="W33" s="1184"/>
      <c r="X33" s="1184"/>
    </row>
    <row r="34" spans="1:24" ht="13.5" customHeight="1" x14ac:dyDescent="0.2">
      <c r="A34" s="16" t="s">
        <v>51</v>
      </c>
      <c r="B34" s="17" t="s">
        <v>100</v>
      </c>
      <c r="C34" s="25"/>
      <c r="D34" s="33">
        <f>Plbg!L5+'QP Reports'!O27</f>
        <v>0</v>
      </c>
      <c r="E34" s="34" t="s">
        <v>72</v>
      </c>
      <c r="F34" s="29">
        <f>'PLBR CREW'!G44</f>
        <v>17.229999999999997</v>
      </c>
      <c r="G34" s="18"/>
      <c r="H34" s="30">
        <f t="shared" si="3"/>
        <v>0</v>
      </c>
      <c r="I34" s="6"/>
      <c r="K34" s="356" t="s">
        <v>2104</v>
      </c>
      <c r="N34" s="597">
        <f>H49-N33</f>
        <v>570124.08578859759</v>
      </c>
      <c r="P34" s="1184"/>
      <c r="Q34" s="1184"/>
      <c r="R34" s="1184"/>
      <c r="S34" s="1184"/>
      <c r="T34" s="1184"/>
      <c r="U34" s="1184"/>
      <c r="V34" s="1184"/>
      <c r="W34" s="1184"/>
      <c r="X34" s="1184"/>
    </row>
    <row r="35" spans="1:24" ht="13.5" customHeight="1" x14ac:dyDescent="0.2">
      <c r="A35" s="16" t="s">
        <v>51</v>
      </c>
      <c r="B35" s="17" t="s">
        <v>233</v>
      </c>
      <c r="C35" s="25"/>
      <c r="D35" s="33">
        <f>Plbg!M5+'QP Reports'!P27</f>
        <v>0</v>
      </c>
      <c r="E35" s="34" t="s">
        <v>72</v>
      </c>
      <c r="F35" s="29">
        <f>'PLBR CREW'!G45</f>
        <v>34.46</v>
      </c>
      <c r="G35" s="18"/>
      <c r="H35" s="30">
        <f t="shared" si="3"/>
        <v>0</v>
      </c>
      <c r="I35" s="6"/>
      <c r="N35" s="597">
        <f>SUM(N33:N34)</f>
        <v>808729.61762859765</v>
      </c>
      <c r="P35" s="1184"/>
      <c r="Q35" s="1184"/>
      <c r="R35" s="1184"/>
      <c r="S35" s="1184"/>
      <c r="T35" s="1184"/>
      <c r="U35" s="1184"/>
      <c r="V35" s="1184"/>
      <c r="W35" s="1184"/>
      <c r="X35" s="1184"/>
    </row>
    <row r="36" spans="1:24" ht="13.5" customHeight="1" x14ac:dyDescent="0.25">
      <c r="A36" s="16" t="s">
        <v>52</v>
      </c>
      <c r="B36" s="17"/>
      <c r="C36" s="25">
        <v>0.1</v>
      </c>
      <c r="D36" s="107">
        <f>D32*C36</f>
        <v>415.01860000000011</v>
      </c>
      <c r="E36" s="34" t="s">
        <v>72</v>
      </c>
      <c r="F36" s="37">
        <f>'PLBR CREW'!L12</f>
        <v>50.85</v>
      </c>
      <c r="G36" s="18"/>
      <c r="H36" s="30">
        <f t="shared" si="3"/>
        <v>21103.695810000005</v>
      </c>
      <c r="I36" s="13"/>
      <c r="P36" s="1184"/>
      <c r="Q36" s="1184"/>
      <c r="R36" s="1184"/>
      <c r="S36" s="1184"/>
      <c r="T36" s="1184"/>
      <c r="U36" s="1184"/>
      <c r="V36" s="1184"/>
      <c r="W36" s="1184"/>
      <c r="X36" s="1184"/>
    </row>
    <row r="37" spans="1:24" ht="13.5" customHeight="1" x14ac:dyDescent="0.2">
      <c r="A37" s="16" t="s">
        <v>53</v>
      </c>
      <c r="B37" s="17"/>
      <c r="C37" s="25">
        <v>0.24</v>
      </c>
      <c r="D37" s="25"/>
      <c r="E37" s="18"/>
      <c r="F37" s="27"/>
      <c r="G37" s="18"/>
      <c r="H37" s="30">
        <f>C37*SUM(H31:H36)</f>
        <v>41397.934109400005</v>
      </c>
      <c r="I37" s="6"/>
      <c r="P37" s="1184"/>
      <c r="Q37" s="1186"/>
      <c r="R37" s="1186"/>
      <c r="S37" s="1186"/>
      <c r="T37" s="1186"/>
      <c r="U37" s="1186"/>
      <c r="V37" s="1186"/>
      <c r="W37" s="1186"/>
      <c r="X37" s="1184"/>
    </row>
    <row r="38" spans="1:24" ht="13.5" customHeight="1" x14ac:dyDescent="0.25">
      <c r="A38" s="16" t="s">
        <v>62</v>
      </c>
      <c r="B38" s="6"/>
      <c r="C38" s="25"/>
      <c r="D38" s="32">
        <f>D29-L39</f>
        <v>4230.1860000000006</v>
      </c>
      <c r="E38" s="20" t="s">
        <v>72</v>
      </c>
      <c r="F38" s="37">
        <v>15.56</v>
      </c>
      <c r="G38" s="18"/>
      <c r="H38" s="30">
        <f>D38*F38</f>
        <v>65821.694160000014</v>
      </c>
      <c r="I38" s="13"/>
      <c r="J38" t="s">
        <v>235</v>
      </c>
      <c r="K38" t="s">
        <v>236</v>
      </c>
      <c r="L38" s="95" t="s">
        <v>237</v>
      </c>
      <c r="P38" s="1184"/>
      <c r="Q38" s="1186"/>
      <c r="R38" s="1186"/>
      <c r="S38" s="1186"/>
      <c r="T38" s="1186"/>
      <c r="U38" s="1186"/>
      <c r="V38" s="1186"/>
      <c r="W38" s="1186"/>
      <c r="X38" s="1184"/>
    </row>
    <row r="39" spans="1:24" ht="13.5" customHeight="1" x14ac:dyDescent="0.2">
      <c r="A39" s="16" t="s">
        <v>234</v>
      </c>
      <c r="B39" s="6"/>
      <c r="C39" s="25"/>
      <c r="D39" s="32">
        <f>L39</f>
        <v>0</v>
      </c>
      <c r="E39" s="20" t="s">
        <v>72</v>
      </c>
      <c r="F39" s="37">
        <v>5.79</v>
      </c>
      <c r="G39" s="18"/>
      <c r="H39" s="30">
        <f>D39*F39</f>
        <v>0</v>
      </c>
      <c r="J39" s="108">
        <v>0</v>
      </c>
      <c r="K39" s="94">
        <f>D29</f>
        <v>4230.1860000000006</v>
      </c>
      <c r="L39" s="100">
        <f>J39*K39</f>
        <v>0</v>
      </c>
      <c r="P39" s="1184"/>
      <c r="Q39" s="1186"/>
      <c r="R39" s="1186"/>
      <c r="S39" s="1186"/>
      <c r="T39" s="1186"/>
      <c r="U39" s="1186"/>
      <c r="V39" s="1186"/>
      <c r="W39" s="1186"/>
      <c r="X39" s="1184"/>
    </row>
    <row r="40" spans="1:24" ht="13.5" customHeight="1" x14ac:dyDescent="0.2">
      <c r="A40" s="16" t="s">
        <v>55</v>
      </c>
      <c r="B40" s="6"/>
      <c r="C40" s="25">
        <f>C36</f>
        <v>0.1</v>
      </c>
      <c r="D40" s="32">
        <f>D36</f>
        <v>415.01860000000011</v>
      </c>
      <c r="E40" s="20" t="s">
        <v>72</v>
      </c>
      <c r="F40" s="37">
        <f>F38</f>
        <v>15.56</v>
      </c>
      <c r="G40" s="18"/>
      <c r="H40" s="30">
        <f>D40*F40</f>
        <v>6457.689416000002</v>
      </c>
      <c r="I40" s="6"/>
      <c r="J40" s="1610" t="s">
        <v>1203</v>
      </c>
      <c r="K40" s="1610"/>
      <c r="L40" s="416">
        <f>IF(ISNUMBER((H42-H40-H36)/D29),(H42-H40-H36)/D29,0)</f>
        <v>61.133795199998296</v>
      </c>
      <c r="P40" s="1184"/>
      <c r="Q40" s="1186"/>
      <c r="R40" s="1186"/>
      <c r="S40" s="1186"/>
      <c r="T40" s="1186"/>
      <c r="U40" s="1186"/>
      <c r="V40" s="1186"/>
      <c r="W40" s="1186"/>
      <c r="X40" s="1184"/>
    </row>
    <row r="41" spans="1:24" ht="13.5" customHeight="1" x14ac:dyDescent="0.25">
      <c r="A41" s="11"/>
      <c r="B41" s="6"/>
      <c r="C41" s="7"/>
      <c r="D41" s="11"/>
      <c r="E41" s="6"/>
      <c r="F41" s="7"/>
      <c r="G41" s="6"/>
      <c r="H41" s="7"/>
      <c r="I41" s="13"/>
      <c r="K41" t="s">
        <v>1589</v>
      </c>
      <c r="L41" s="100">
        <f>ROUNDUP(K39/K8/8,0)</f>
        <v>3</v>
      </c>
      <c r="P41" s="1184"/>
      <c r="Q41" s="1186"/>
      <c r="R41" s="1186"/>
      <c r="S41" s="1186"/>
      <c r="T41" s="1186"/>
      <c r="U41" s="1186"/>
      <c r="V41" s="1186"/>
      <c r="W41" s="1186"/>
      <c r="X41" s="1184"/>
    </row>
    <row r="42" spans="1:24" ht="13.5" customHeight="1" x14ac:dyDescent="0.2">
      <c r="A42" s="21" t="s">
        <v>15</v>
      </c>
      <c r="B42" s="17"/>
      <c r="C42" s="23"/>
      <c r="D42" s="35"/>
      <c r="E42" s="27"/>
      <c r="F42" s="36"/>
      <c r="G42" s="7"/>
      <c r="H42" s="38">
        <f>SUM(H31:H40)</f>
        <v>286168.70980790001</v>
      </c>
      <c r="I42" s="6"/>
      <c r="J42" s="91" t="s">
        <v>174</v>
      </c>
      <c r="L42" s="92">
        <f>H46/H42</f>
        <v>0.38980122198279149</v>
      </c>
      <c r="P42" s="1184"/>
      <c r="Q42" s="1186"/>
      <c r="R42" s="1186"/>
      <c r="S42" s="1186"/>
      <c r="T42" s="1186"/>
      <c r="U42" s="1186"/>
      <c r="V42" s="1186"/>
      <c r="W42" s="1186"/>
      <c r="X42" s="1184"/>
    </row>
    <row r="43" spans="1:24" ht="13.5" customHeight="1" x14ac:dyDescent="0.25">
      <c r="A43" s="11"/>
      <c r="B43" s="6"/>
      <c r="C43" s="7"/>
      <c r="D43" s="11"/>
      <c r="E43" s="6"/>
      <c r="F43" s="7"/>
      <c r="G43" s="6"/>
      <c r="H43" s="7"/>
      <c r="I43" s="13"/>
      <c r="J43" t="s">
        <v>194</v>
      </c>
      <c r="P43" s="1184"/>
      <c r="Q43" s="1186"/>
      <c r="R43" s="1186"/>
      <c r="S43" s="1186"/>
      <c r="T43" s="1186"/>
      <c r="U43" s="1186"/>
      <c r="V43" s="1186"/>
      <c r="W43" s="1186"/>
      <c r="X43" s="1184"/>
    </row>
    <row r="44" spans="1:24" ht="13.5" customHeight="1" x14ac:dyDescent="0.2">
      <c r="A44" s="16" t="s">
        <v>56</v>
      </c>
      <c r="B44" s="1607" t="s">
        <v>2322</v>
      </c>
      <c r="C44" s="1608"/>
      <c r="D44" s="1608"/>
      <c r="E44" s="1608"/>
      <c r="F44" s="1608"/>
      <c r="G44" s="1609"/>
      <c r="H44" s="452">
        <f>IF('PROJECT INFO'!H15="Yes",VLOOKUP('PROJECT INFO'!H12,'Taxes&amp;Permits'!A4:H223,8,FALSE),0)</f>
        <v>3932</v>
      </c>
      <c r="I44" s="6"/>
      <c r="J44" s="93">
        <f>ROUNDUP('Plumbing Recap'!H29+'Plumbing Recap'!H42+1,0)</f>
        <v>693250</v>
      </c>
      <c r="K44" s="68" t="s">
        <v>130</v>
      </c>
      <c r="L44" s="59"/>
      <c r="M44" s="69" t="s">
        <v>129</v>
      </c>
      <c r="P44" s="1184"/>
      <c r="Q44" s="1186"/>
      <c r="R44" s="1186"/>
      <c r="S44" s="1186"/>
      <c r="T44" s="1186"/>
      <c r="U44" s="1186"/>
      <c r="V44" s="1186"/>
      <c r="W44" s="1186"/>
      <c r="X44" s="1184"/>
    </row>
    <row r="45" spans="1:24" ht="13.5" customHeight="1" x14ac:dyDescent="0.25">
      <c r="A45" s="16" t="s">
        <v>17</v>
      </c>
      <c r="B45" s="6"/>
      <c r="C45" s="25"/>
      <c r="D45" s="32"/>
      <c r="E45" s="20"/>
      <c r="F45" s="37"/>
      <c r="G45" s="18"/>
      <c r="H45" s="30">
        <f>SUM(H42,H29,H44)</f>
        <v>697180.70485223923</v>
      </c>
      <c r="I45" s="13"/>
      <c r="K45" s="68"/>
      <c r="L45" s="67"/>
      <c r="M45" s="65" t="s">
        <v>128</v>
      </c>
      <c r="P45" s="1184"/>
      <c r="Q45" s="1184"/>
      <c r="R45" s="1184"/>
      <c r="S45" s="1184"/>
      <c r="T45" s="1184"/>
      <c r="U45" s="1184"/>
      <c r="V45" s="1184"/>
      <c r="W45" s="1184"/>
      <c r="X45" s="1184"/>
    </row>
    <row r="46" spans="1:24" ht="13.5" customHeight="1" x14ac:dyDescent="0.2">
      <c r="A46" s="16" t="s">
        <v>57</v>
      </c>
      <c r="B46" s="6"/>
      <c r="C46" s="39">
        <v>0.16</v>
      </c>
      <c r="D46" s="32"/>
      <c r="E46" s="18"/>
      <c r="F46" s="27"/>
      <c r="G46" s="18"/>
      <c r="H46" s="30">
        <f>H45*C46</f>
        <v>111548.91277635828</v>
      </c>
      <c r="I46" s="6"/>
      <c r="K46" s="66"/>
      <c r="L46" s="65" t="s">
        <v>127</v>
      </c>
      <c r="M46" s="65" t="s">
        <v>126</v>
      </c>
      <c r="P46" s="1184"/>
      <c r="Q46" s="1184"/>
      <c r="R46" s="1184"/>
      <c r="S46" s="1184"/>
      <c r="T46" s="1185"/>
      <c r="U46" s="1185"/>
      <c r="V46" s="1184"/>
      <c r="W46" s="1184"/>
      <c r="X46" s="1184"/>
    </row>
    <row r="47" spans="1:24" ht="13.5" customHeight="1" x14ac:dyDescent="0.25">
      <c r="A47" s="11"/>
      <c r="B47" s="6"/>
      <c r="C47" s="7"/>
      <c r="D47" s="11"/>
      <c r="E47" s="6"/>
      <c r="F47" s="7"/>
      <c r="G47" s="6"/>
      <c r="H47" s="7"/>
      <c r="I47" s="13"/>
      <c r="K47" s="64">
        <v>35</v>
      </c>
      <c r="L47" s="63">
        <v>2000</v>
      </c>
      <c r="M47" s="60">
        <v>8</v>
      </c>
      <c r="P47" s="1184"/>
      <c r="Q47" s="1184"/>
      <c r="R47" s="1184"/>
      <c r="S47" s="1184"/>
      <c r="T47" s="1185"/>
      <c r="U47" s="1185"/>
      <c r="V47" s="1184"/>
      <c r="W47" s="1184"/>
      <c r="X47" s="1184"/>
    </row>
    <row r="48" spans="1:24" ht="13.5" customHeight="1" x14ac:dyDescent="0.2">
      <c r="A48" s="11"/>
      <c r="B48" s="6"/>
      <c r="C48" s="7"/>
      <c r="D48" s="11"/>
      <c r="E48" s="6"/>
      <c r="F48" s="7"/>
      <c r="G48" s="6"/>
      <c r="H48" s="7"/>
      <c r="I48" s="6"/>
      <c r="K48" s="64">
        <v>220</v>
      </c>
      <c r="L48" s="63">
        <v>25000</v>
      </c>
      <c r="M48" s="60">
        <v>8</v>
      </c>
      <c r="P48" s="1184"/>
      <c r="Q48" s="1184"/>
      <c r="R48" s="1184"/>
      <c r="S48" s="1184"/>
      <c r="T48" s="1185"/>
      <c r="U48" s="1185"/>
      <c r="V48" s="1184"/>
      <c r="W48" s="1184"/>
      <c r="X48" s="1184"/>
    </row>
    <row r="49" spans="1:24" ht="13.5" customHeight="1" x14ac:dyDescent="0.25">
      <c r="A49" s="12" t="s">
        <v>19</v>
      </c>
      <c r="B49" s="17"/>
      <c r="C49" s="23"/>
      <c r="D49" s="41"/>
      <c r="E49" s="41"/>
      <c r="F49" s="41"/>
      <c r="G49" s="22"/>
      <c r="H49" s="40">
        <f>SUM(H45,H46)</f>
        <v>808729.61762859754</v>
      </c>
      <c r="I49" s="13"/>
      <c r="K49" s="64">
        <v>420</v>
      </c>
      <c r="L49" s="63">
        <v>50000</v>
      </c>
      <c r="M49" s="60">
        <v>7</v>
      </c>
      <c r="P49" s="1184"/>
      <c r="Q49" s="1184"/>
      <c r="R49" s="1184"/>
      <c r="S49" s="1184"/>
      <c r="T49" s="1185"/>
      <c r="U49" s="1185"/>
      <c r="V49" s="1184"/>
      <c r="W49" s="1184"/>
      <c r="X49" s="1184"/>
    </row>
    <row r="50" spans="1:24" ht="13.5" customHeight="1" x14ac:dyDescent="0.2">
      <c r="A50" s="11"/>
      <c r="B50" s="6"/>
      <c r="C50" s="7"/>
      <c r="D50" s="11"/>
      <c r="E50" s="6"/>
      <c r="F50" s="7"/>
      <c r="G50" s="6"/>
      <c r="H50" s="7"/>
      <c r="I50" s="6"/>
      <c r="K50" s="64">
        <v>770</v>
      </c>
      <c r="L50" s="63">
        <v>100000</v>
      </c>
      <c r="M50" s="60">
        <v>5.6</v>
      </c>
      <c r="P50" s="1184"/>
      <c r="Q50" s="1184"/>
      <c r="R50" s="1184"/>
      <c r="S50" s="1184"/>
      <c r="T50" s="1185"/>
      <c r="U50" s="1185"/>
      <c r="V50" s="1184"/>
      <c r="W50" s="1184"/>
      <c r="X50" s="1184"/>
    </row>
    <row r="51" spans="1:24" ht="13.5" customHeight="1" x14ac:dyDescent="0.25">
      <c r="I51" s="13"/>
      <c r="K51" s="64">
        <v>3010</v>
      </c>
      <c r="L51" s="63">
        <v>500000</v>
      </c>
      <c r="M51" s="60">
        <v>4.75</v>
      </c>
      <c r="P51" s="1184"/>
      <c r="Q51" s="1184"/>
      <c r="R51" s="1184"/>
      <c r="S51" s="1184"/>
      <c r="T51" s="1185"/>
      <c r="U51" s="1185"/>
      <c r="V51" s="1184"/>
      <c r="W51" s="1184"/>
      <c r="X51" s="1184"/>
    </row>
    <row r="52" spans="1:24" ht="13.5" customHeight="1" x14ac:dyDescent="0.2">
      <c r="I52" s="6"/>
      <c r="K52" s="62">
        <v>5385</v>
      </c>
      <c r="L52" s="61">
        <v>1000000</v>
      </c>
      <c r="M52" s="60">
        <v>3.65</v>
      </c>
      <c r="P52" s="1184"/>
      <c r="Q52" s="1184"/>
      <c r="R52" s="1184"/>
      <c r="S52" s="1184"/>
      <c r="T52" s="1185"/>
      <c r="U52" s="1185"/>
      <c r="V52" s="1184"/>
      <c r="W52" s="1184"/>
      <c r="X52" s="1184"/>
    </row>
    <row r="53" spans="1:24" ht="13.5" customHeight="1" thickBot="1" x14ac:dyDescent="0.3">
      <c r="E53" s="43" t="s">
        <v>216</v>
      </c>
      <c r="H53" s="93">
        <f>(ROUNDUP(J44,-3)/1000)*14+105</f>
        <v>9821</v>
      </c>
      <c r="I53" s="13"/>
      <c r="K53" s="58"/>
      <c r="L53" s="58"/>
      <c r="M53" s="58"/>
      <c r="P53" s="1184"/>
      <c r="Q53" s="1184"/>
      <c r="R53" s="1184"/>
      <c r="S53" s="1184"/>
      <c r="T53" s="1185"/>
      <c r="U53" s="1185"/>
      <c r="V53" s="1184"/>
      <c r="W53" s="1184"/>
      <c r="X53" s="1184"/>
    </row>
    <row r="54" spans="1:24" ht="12.95" customHeight="1" thickTop="1" thickBot="1" x14ac:dyDescent="0.25">
      <c r="H54" s="1195" t="s">
        <v>2183</v>
      </c>
      <c r="J54" s="1315" t="s">
        <v>2168</v>
      </c>
      <c r="K54" s="1315"/>
      <c r="L54" s="1315"/>
      <c r="M54" s="1315"/>
      <c r="N54" s="1315"/>
      <c r="O54" s="1315"/>
      <c r="P54" s="1315"/>
      <c r="Q54" s="1315"/>
    </row>
    <row r="55" spans="1:24" ht="14.25" customHeight="1" thickTop="1" x14ac:dyDescent="0.2">
      <c r="H55" s="1613" t="s">
        <v>2323</v>
      </c>
      <c r="J55" s="1605" t="s">
        <v>2169</v>
      </c>
      <c r="K55" s="1605"/>
      <c r="L55" s="1188">
        <f>$J$44</f>
        <v>693250</v>
      </c>
      <c r="M55" s="1187"/>
      <c r="N55" s="1187"/>
      <c r="O55" s="1187"/>
      <c r="P55" s="1187"/>
      <c r="Q55" s="1187"/>
    </row>
    <row r="56" spans="1:24" ht="37.5" customHeight="1" x14ac:dyDescent="0.2">
      <c r="F56" s="1196" t="s">
        <v>2184</v>
      </c>
      <c r="H56" s="1614"/>
      <c r="J56" s="1243" t="s">
        <v>2345</v>
      </c>
      <c r="K56" s="1244" t="s">
        <v>2170</v>
      </c>
      <c r="L56" s="1244" t="s">
        <v>2171</v>
      </c>
      <c r="M56" s="1244" t="s">
        <v>2172</v>
      </c>
      <c r="N56" s="1243" t="s">
        <v>2173</v>
      </c>
      <c r="O56" s="1245" t="s">
        <v>2175</v>
      </c>
      <c r="P56" s="1243" t="s">
        <v>2343</v>
      </c>
      <c r="Q56" s="1243" t="s">
        <v>2176</v>
      </c>
    </row>
    <row r="57" spans="1:24" ht="12.6" customHeight="1" x14ac:dyDescent="0.2">
      <c r="F57" s="1198">
        <f>VLOOKUP(1,I57:Q64,9,FALSE)</f>
        <v>3932</v>
      </c>
      <c r="H57" s="1614"/>
      <c r="I57" s="1197">
        <f>IF(AND(J57&gt;=MIN(K57,L57),J57&lt;=MAX(K57,L57)),1,0)</f>
        <v>0</v>
      </c>
      <c r="J57" s="1188">
        <f>L55</f>
        <v>693250</v>
      </c>
      <c r="K57" s="1189">
        <v>1</v>
      </c>
      <c r="L57" s="1189">
        <v>500</v>
      </c>
      <c r="M57" s="1189">
        <v>20</v>
      </c>
      <c r="N57" s="1190">
        <v>0</v>
      </c>
      <c r="O57" s="1187"/>
      <c r="P57" s="1191"/>
      <c r="Q57" s="1189">
        <f>ROUNDUP(P57+M57,0)</f>
        <v>20</v>
      </c>
    </row>
    <row r="58" spans="1:24" ht="12.6" customHeight="1" x14ac:dyDescent="0.2">
      <c r="H58" s="1614"/>
      <c r="I58" s="1197">
        <f t="shared" ref="I58:I64" si="4">IF(AND(J58&gt;=MIN(K58,L58),J58&lt;=MAX(K58,L58)),1,0)</f>
        <v>0</v>
      </c>
      <c r="J58" s="1188">
        <f>J57</f>
        <v>693250</v>
      </c>
      <c r="K58" s="1189">
        <v>501</v>
      </c>
      <c r="L58" s="1189">
        <v>2000</v>
      </c>
      <c r="M58" s="1189">
        <v>35</v>
      </c>
      <c r="N58" s="1190">
        <v>0</v>
      </c>
      <c r="O58" s="1187"/>
      <c r="P58" s="1191"/>
      <c r="Q58" s="1189">
        <f t="shared" ref="Q58:Q63" si="5">ROUNDUP(P58+M58,0)</f>
        <v>35</v>
      </c>
    </row>
    <row r="59" spans="1:24" ht="12.6" customHeight="1" x14ac:dyDescent="0.2">
      <c r="H59" s="1614"/>
      <c r="I59" s="1197">
        <f t="shared" si="4"/>
        <v>0</v>
      </c>
      <c r="J59" s="1188">
        <f t="shared" ref="J59:J64" si="6">J58</f>
        <v>693250</v>
      </c>
      <c r="K59" s="1189">
        <v>2001</v>
      </c>
      <c r="L59" s="1189">
        <v>25000</v>
      </c>
      <c r="M59" s="1189">
        <v>35</v>
      </c>
      <c r="N59" s="1190">
        <v>8</v>
      </c>
      <c r="O59" s="1192">
        <f>ROUNDUP((J59-2000)/1000,0)</f>
        <v>692</v>
      </c>
      <c r="P59" s="1189">
        <f t="shared" ref="P59:P64" si="7">O59*N59</f>
        <v>5536</v>
      </c>
      <c r="Q59" s="1189">
        <f t="shared" si="5"/>
        <v>5571</v>
      </c>
    </row>
    <row r="60" spans="1:24" ht="12.6" customHeight="1" x14ac:dyDescent="0.2">
      <c r="H60" s="1614"/>
      <c r="I60" s="1197">
        <f t="shared" si="4"/>
        <v>0</v>
      </c>
      <c r="J60" s="1188">
        <f t="shared" si="6"/>
        <v>693250</v>
      </c>
      <c r="K60" s="1189">
        <v>25001</v>
      </c>
      <c r="L60" s="1189">
        <v>50000</v>
      </c>
      <c r="M60" s="1189">
        <v>220</v>
      </c>
      <c r="N60" s="1190">
        <v>8</v>
      </c>
      <c r="O60" s="1192">
        <f>ROUNDUP((J60-25000)/1000,0)</f>
        <v>669</v>
      </c>
      <c r="P60" s="1189">
        <f t="shared" si="7"/>
        <v>5352</v>
      </c>
      <c r="Q60" s="1189">
        <f t="shared" si="5"/>
        <v>5572</v>
      </c>
    </row>
    <row r="61" spans="1:24" ht="12.6" customHeight="1" x14ac:dyDescent="0.2">
      <c r="H61" s="1614"/>
      <c r="I61" s="1197">
        <f t="shared" si="4"/>
        <v>0</v>
      </c>
      <c r="J61" s="1188">
        <f t="shared" si="6"/>
        <v>693250</v>
      </c>
      <c r="K61" s="1189">
        <v>50001</v>
      </c>
      <c r="L61" s="1189">
        <v>100000</v>
      </c>
      <c r="M61" s="1189">
        <v>420</v>
      </c>
      <c r="N61" s="1190">
        <v>7</v>
      </c>
      <c r="O61" s="1192">
        <f>ROUNDUP((J61-50000)/1000,0)</f>
        <v>644</v>
      </c>
      <c r="P61" s="1189">
        <f t="shared" si="7"/>
        <v>4508</v>
      </c>
      <c r="Q61" s="1189">
        <f t="shared" si="5"/>
        <v>4928</v>
      </c>
    </row>
    <row r="62" spans="1:24" ht="12.6" customHeight="1" x14ac:dyDescent="0.2">
      <c r="H62" s="1614"/>
      <c r="I62" s="1197">
        <f t="shared" si="4"/>
        <v>0</v>
      </c>
      <c r="J62" s="1188">
        <f t="shared" si="6"/>
        <v>693250</v>
      </c>
      <c r="K62" s="1189">
        <v>100001</v>
      </c>
      <c r="L62" s="1189">
        <v>500000</v>
      </c>
      <c r="M62" s="1189">
        <v>770</v>
      </c>
      <c r="N62" s="1190">
        <v>5.6</v>
      </c>
      <c r="O62" s="1192">
        <f>ROUNDUP((J62-100000)/1000,0)</f>
        <v>594</v>
      </c>
      <c r="P62" s="1189">
        <f t="shared" si="7"/>
        <v>3326.3999999999996</v>
      </c>
      <c r="Q62" s="1189">
        <f t="shared" si="5"/>
        <v>4097</v>
      </c>
    </row>
    <row r="63" spans="1:24" ht="12.6" customHeight="1" x14ac:dyDescent="0.2">
      <c r="H63" s="1614"/>
      <c r="I63" s="1197">
        <f t="shared" si="4"/>
        <v>1</v>
      </c>
      <c r="J63" s="1188">
        <f t="shared" si="6"/>
        <v>693250</v>
      </c>
      <c r="K63" s="1189">
        <v>500001</v>
      </c>
      <c r="L63" s="1189">
        <v>1000000</v>
      </c>
      <c r="M63" s="1189">
        <v>3010</v>
      </c>
      <c r="N63" s="1190">
        <v>4.75</v>
      </c>
      <c r="O63" s="1192">
        <f>ROUNDUP((J63-500000)/1000,0)</f>
        <v>194</v>
      </c>
      <c r="P63" s="1189">
        <f t="shared" si="7"/>
        <v>921.5</v>
      </c>
      <c r="Q63" s="1189">
        <f t="shared" si="5"/>
        <v>3932</v>
      </c>
    </row>
    <row r="64" spans="1:24" ht="12.6" customHeight="1" x14ac:dyDescent="0.2">
      <c r="H64" s="1614"/>
      <c r="I64" s="1197">
        <f t="shared" si="4"/>
        <v>0</v>
      </c>
      <c r="J64" s="1188">
        <f t="shared" si="6"/>
        <v>693250</v>
      </c>
      <c r="K64" s="1189">
        <v>1000001</v>
      </c>
      <c r="L64" s="1189">
        <v>50000000</v>
      </c>
      <c r="M64" s="1189">
        <v>5385</v>
      </c>
      <c r="N64" s="1190">
        <v>3.65</v>
      </c>
      <c r="O64" s="1192">
        <f>ROUNDUP((J64-1000000)/1000,0)</f>
        <v>-307</v>
      </c>
      <c r="P64" s="1189">
        <f t="shared" si="7"/>
        <v>-1120.55</v>
      </c>
      <c r="Q64" s="1189">
        <f>ROUNDUP(P64+M64,0)</f>
        <v>4265</v>
      </c>
    </row>
    <row r="65" spans="6:17" ht="13.5" thickBot="1" x14ac:dyDescent="0.25">
      <c r="H65" s="1615"/>
    </row>
    <row r="66" spans="6:17" ht="14.25" thickTop="1" thickBot="1" x14ac:dyDescent="0.25">
      <c r="H66" s="1194" t="s">
        <v>2182</v>
      </c>
      <c r="J66" s="1193" t="s">
        <v>2181</v>
      </c>
      <c r="K66" s="1193"/>
      <c r="L66" s="1193"/>
      <c r="M66" s="1193"/>
      <c r="N66" s="1193"/>
      <c r="O66" s="1193"/>
      <c r="P66" s="1193"/>
      <c r="Q66" s="1193"/>
    </row>
    <row r="67" spans="6:17" ht="14.25" customHeight="1" thickTop="1" x14ac:dyDescent="0.2">
      <c r="H67" s="1611" t="s">
        <v>2323</v>
      </c>
      <c r="J67" s="1605" t="s">
        <v>2169</v>
      </c>
      <c r="K67" s="1605"/>
      <c r="L67" s="1188">
        <f>$J$44</f>
        <v>693250</v>
      </c>
      <c r="M67" s="1187"/>
      <c r="N67" s="1187"/>
      <c r="O67" s="1187"/>
      <c r="P67" s="1187"/>
      <c r="Q67" s="1187"/>
    </row>
    <row r="68" spans="6:17" ht="39" customHeight="1" x14ac:dyDescent="0.2">
      <c r="F68" s="1196" t="s">
        <v>2185</v>
      </c>
      <c r="H68" s="1612"/>
      <c r="J68" s="1243" t="s">
        <v>2345</v>
      </c>
      <c r="K68" s="1244" t="s">
        <v>2170</v>
      </c>
      <c r="L68" s="1244" t="s">
        <v>2171</v>
      </c>
      <c r="M68" s="1244" t="s">
        <v>2172</v>
      </c>
      <c r="N68" s="1243" t="s">
        <v>2346</v>
      </c>
      <c r="O68" s="1245" t="s">
        <v>2347</v>
      </c>
      <c r="P68" s="1243" t="s">
        <v>2324</v>
      </c>
      <c r="Q68" s="1243" t="s">
        <v>2176</v>
      </c>
    </row>
    <row r="69" spans="6:17" ht="12.95" customHeight="1" x14ac:dyDescent="0.2">
      <c r="F69" s="1199">
        <f>VLOOKUP(1,I69:Q72,9,FALSE)</f>
        <v>25989</v>
      </c>
      <c r="H69" s="1612"/>
      <c r="I69" s="1197">
        <f>IF(AND(J69&gt;=MIN(K69,L69),J69&lt;=MAX(K69,L69)),1,0)</f>
        <v>0</v>
      </c>
      <c r="J69" s="1188">
        <f>L67</f>
        <v>693250</v>
      </c>
      <c r="K69" s="1189">
        <v>1</v>
      </c>
      <c r="L69" s="1189">
        <v>100</v>
      </c>
      <c r="M69" s="1191">
        <v>13.6</v>
      </c>
      <c r="N69" s="1190">
        <v>0</v>
      </c>
      <c r="O69" s="1187"/>
      <c r="P69" s="1191"/>
      <c r="Q69" s="1189">
        <f>ROUNDUP(P69+M69,0)</f>
        <v>14</v>
      </c>
    </row>
    <row r="70" spans="6:17" ht="12.95" customHeight="1" x14ac:dyDescent="0.2">
      <c r="H70" s="1612"/>
      <c r="I70" s="1197">
        <f>IF(AND(J70&gt;=MIN(K70,L70),J70&lt;=MAX(K70,L70)),1,0)</f>
        <v>0</v>
      </c>
      <c r="J70" s="1188">
        <f>J69</f>
        <v>693250</v>
      </c>
      <c r="K70" s="1189">
        <v>101</v>
      </c>
      <c r="L70" s="1189">
        <v>400</v>
      </c>
      <c r="M70" s="1200">
        <v>16.75</v>
      </c>
      <c r="N70" s="1190">
        <v>0</v>
      </c>
      <c r="O70" s="1192">
        <v>0</v>
      </c>
      <c r="P70" s="1189">
        <f>O70*N70</f>
        <v>0</v>
      </c>
      <c r="Q70" s="1189">
        <f>ROUNDUP(P70+M70,0)</f>
        <v>17</v>
      </c>
    </row>
    <row r="71" spans="6:17" ht="12.95" customHeight="1" x14ac:dyDescent="0.2">
      <c r="H71" s="1612"/>
      <c r="I71" s="1197">
        <f>IF(AND(J71&gt;=MIN(K71,L71),J71&lt;=MAX(K71,L71)),1,0)</f>
        <v>0</v>
      </c>
      <c r="J71" s="1188">
        <f>J70</f>
        <v>693250</v>
      </c>
      <c r="K71" s="1189">
        <v>401</v>
      </c>
      <c r="L71" s="1189">
        <v>800</v>
      </c>
      <c r="M71" s="1191">
        <v>19.899999999999999</v>
      </c>
      <c r="N71" s="1190">
        <v>0</v>
      </c>
      <c r="O71" s="1192">
        <v>0</v>
      </c>
      <c r="P71" s="1189">
        <f>O71*N71</f>
        <v>0</v>
      </c>
      <c r="Q71" s="1189">
        <f>ROUNDUP(P71+M71,0)</f>
        <v>20</v>
      </c>
    </row>
    <row r="72" spans="6:17" ht="12.95" customHeight="1" x14ac:dyDescent="0.2">
      <c r="H72" s="1612"/>
      <c r="I72" s="1197">
        <f>IF(AND(J72&gt;=MIN(K72,L72),J72&lt;=MAX(K72,L72)),1,0)</f>
        <v>1</v>
      </c>
      <c r="J72" s="1188">
        <f>J71</f>
        <v>693250</v>
      </c>
      <c r="K72" s="1189">
        <v>801</v>
      </c>
      <c r="L72" s="1189">
        <v>50000000</v>
      </c>
      <c r="M72" s="1191">
        <v>19.899999999999999</v>
      </c>
      <c r="N72" s="1190">
        <v>3.75</v>
      </c>
      <c r="O72" s="1192">
        <f>ROUNDUP((J72-800)/100,0)</f>
        <v>6925</v>
      </c>
      <c r="P72" s="1189">
        <f>O72*N72</f>
        <v>25968.75</v>
      </c>
      <c r="Q72" s="1189">
        <f>ROUNDUP(P72+M72,0)</f>
        <v>25989</v>
      </c>
    </row>
    <row r="73" spans="6:17" ht="13.5" thickBot="1" x14ac:dyDescent="0.25"/>
    <row r="74" spans="6:17" ht="14.25" thickTop="1" thickBot="1" x14ac:dyDescent="0.25">
      <c r="H74" s="1317" t="s">
        <v>2042</v>
      </c>
      <c r="J74" s="1318" t="s">
        <v>2365</v>
      </c>
      <c r="K74" s="1318"/>
      <c r="L74" s="1318"/>
      <c r="M74" s="1318"/>
      <c r="N74" s="1318"/>
      <c r="O74" s="1318"/>
      <c r="P74" s="1318"/>
      <c r="Q74" s="1318"/>
    </row>
    <row r="75" spans="6:17" ht="13.5" thickTop="1" x14ac:dyDescent="0.2">
      <c r="H75" s="1603" t="s">
        <v>2367</v>
      </c>
      <c r="J75" s="1605" t="s">
        <v>2169</v>
      </c>
      <c r="K75" s="1605"/>
      <c r="L75" s="1188">
        <f>$J$44</f>
        <v>693250</v>
      </c>
      <c r="M75" s="1187"/>
      <c r="N75" s="1187"/>
      <c r="O75" s="1187"/>
      <c r="P75" s="1187"/>
      <c r="Q75" s="1187"/>
    </row>
    <row r="76" spans="6:17" ht="38.25" x14ac:dyDescent="0.2">
      <c r="F76" s="1196" t="s">
        <v>2370</v>
      </c>
      <c r="H76" s="1604"/>
      <c r="J76" s="1243" t="s">
        <v>2345</v>
      </c>
      <c r="K76" s="1244" t="s">
        <v>2170</v>
      </c>
      <c r="L76" s="1244" t="s">
        <v>2171</v>
      </c>
      <c r="M76" s="1244" t="s">
        <v>2172</v>
      </c>
      <c r="N76" s="1243" t="s">
        <v>2173</v>
      </c>
      <c r="O76" s="1245" t="s">
        <v>2366</v>
      </c>
      <c r="P76" s="1243" t="s">
        <v>2343</v>
      </c>
      <c r="Q76" s="1243" t="s">
        <v>2176</v>
      </c>
    </row>
    <row r="77" spans="6:17" x14ac:dyDescent="0.2">
      <c r="F77" s="1316">
        <f>VLOOKUP(1,I77:Q77,9,FALSE)</f>
        <v>9821</v>
      </c>
      <c r="H77" s="1604"/>
      <c r="I77" s="1197">
        <f>IF(AND(J77&gt;=MIN(K77,L77),J77&lt;=MAX(K77,L77)),1,0)</f>
        <v>1</v>
      </c>
      <c r="J77" s="1188">
        <f>L75</f>
        <v>693250</v>
      </c>
      <c r="K77" s="1189">
        <v>1</v>
      </c>
      <c r="L77" s="1189">
        <v>50000000</v>
      </c>
      <c r="M77" s="1191">
        <v>105</v>
      </c>
      <c r="N77" s="1190">
        <v>14</v>
      </c>
      <c r="O77" s="1192">
        <f>ROUNDUP(J77/1000,0)</f>
        <v>694</v>
      </c>
      <c r="P77" s="1189">
        <f>O77*N77</f>
        <v>9716</v>
      </c>
      <c r="Q77" s="1189">
        <f>ROUNDUP(P77+M77,0)</f>
        <v>9821</v>
      </c>
    </row>
    <row r="79" spans="6:17" x14ac:dyDescent="0.2">
      <c r="H79" s="1606" t="s">
        <v>2369</v>
      </c>
      <c r="I79" s="1606"/>
      <c r="J79" s="1606"/>
      <c r="K79" s="1606"/>
      <c r="L79" s="1606"/>
      <c r="M79" s="1606"/>
      <c r="N79" s="1606"/>
      <c r="O79" s="1606"/>
      <c r="P79" s="1606"/>
      <c r="Q79" s="1606"/>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topLeftCell="A7">
      <selection activeCell="S23" sqref="S23"/>
      <pageMargins left="0.7" right="0.7" top="0.75" bottom="0.75" header="0.3" footer="0.3"/>
      <pageSetup scale="59" orientation="portrait" verticalDpi="300" r:id="rId3"/>
      <headerFooter alignWithMargins="0"/>
    </customSheetView>
  </customSheetViews>
  <mergeCells count="21">
    <mergeCell ref="M22:N22"/>
    <mergeCell ref="M23:N23"/>
    <mergeCell ref="M24:N24"/>
    <mergeCell ref="M25:N25"/>
    <mergeCell ref="M26:N26"/>
    <mergeCell ref="H75:H77"/>
    <mergeCell ref="J75:K75"/>
    <mergeCell ref="H79:Q79"/>
    <mergeCell ref="A1:I1"/>
    <mergeCell ref="A2:I2"/>
    <mergeCell ref="J55:K55"/>
    <mergeCell ref="B44:G44"/>
    <mergeCell ref="J40:K40"/>
    <mergeCell ref="I21:I26"/>
    <mergeCell ref="M20:N20"/>
    <mergeCell ref="M14:N14"/>
    <mergeCell ref="M15:N15"/>
    <mergeCell ref="J67:K67"/>
    <mergeCell ref="H55:H65"/>
    <mergeCell ref="H67:H72"/>
    <mergeCell ref="M21:N21"/>
  </mergeCells>
  <phoneticPr fontId="0" type="noConversion"/>
  <conditionalFormatting sqref="D26">
    <cfRule type="cellIs" dxfId="135" priority="8" operator="equal">
      <formula>0</formula>
    </cfRule>
  </conditionalFormatting>
  <conditionalFormatting sqref="L42">
    <cfRule type="cellIs" dxfId="134" priority="4" operator="lessThan">
      <formula>0.3</formula>
    </cfRule>
    <cfRule type="cellIs" dxfId="133" priority="5" operator="lessThan">
      <formula>0.1</formula>
    </cfRule>
    <cfRule type="cellIs" dxfId="132" priority="6" operator="lessThan">
      <formula>0.1</formula>
    </cfRule>
  </conditionalFormatting>
  <conditionalFormatting sqref="H44">
    <cfRule type="cellIs" dxfId="131" priority="1" operator="equal">
      <formula>0</formula>
    </cfRule>
  </conditionalFormatting>
  <pageMargins left="0.7" right="0.7" top="0.75" bottom="0.75" header="0.3" footer="0.3"/>
  <pageSetup scale="53" orientation="portrait" verticalDpi="300" r:id="rId4"/>
  <headerFooter alignWithMargins="0"/>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B383"/>
  <sheetViews>
    <sheetView zoomScale="80" zoomScaleNormal="80" zoomScaleSheetLayoutView="100" workbookViewId="0">
      <selection activeCell="L39" sqref="L39"/>
    </sheetView>
  </sheetViews>
  <sheetFormatPr defaultColWidth="9.140625" defaultRowHeight="12.75" x14ac:dyDescent="0.2"/>
  <cols>
    <col min="1" max="1" width="1.5703125" style="115" customWidth="1"/>
    <col min="2" max="2" width="10.140625" style="115" customWidth="1"/>
    <col min="3" max="3" width="16.28515625" style="115" customWidth="1"/>
    <col min="4" max="4" width="15" style="166" customWidth="1"/>
    <col min="5" max="5" width="15" style="115" customWidth="1"/>
    <col min="6" max="6" width="48.140625" style="115" customWidth="1"/>
    <col min="7" max="7" width="10.85546875" style="151" customWidth="1"/>
    <col min="8" max="8" width="9.140625" style="152" customWidth="1"/>
    <col min="9" max="9" width="10.28515625" style="153" customWidth="1"/>
    <col min="10" max="10" width="2.28515625" style="154" customWidth="1"/>
    <col min="11" max="13" width="9.140625" style="115"/>
    <col min="14" max="14" width="12.7109375" style="155" customWidth="1"/>
    <col min="15" max="15" width="18" style="115" customWidth="1"/>
    <col min="16" max="16" width="12.85546875" style="300" customWidth="1"/>
    <col min="17" max="17" width="12.7109375" style="115" customWidth="1"/>
    <col min="18" max="18" width="18" style="115" customWidth="1"/>
    <col min="19" max="19" width="12.85546875" style="115" customWidth="1"/>
    <col min="20" max="20" width="12.7109375" style="115" customWidth="1"/>
    <col min="21" max="21" width="18" style="115" customWidth="1"/>
    <col min="22" max="22" width="13.5703125" style="115" customWidth="1"/>
    <col min="23" max="23" width="12.7109375" style="115" customWidth="1"/>
    <col min="24" max="24" width="18" style="115" customWidth="1"/>
    <col min="25" max="25" width="13.5703125" style="115" customWidth="1"/>
    <col min="26" max="26" width="11.7109375" style="115" customWidth="1"/>
    <col min="27" max="16384" width="9.140625" style="115"/>
  </cols>
  <sheetData>
    <row r="1" spans="2:28" ht="33.75" customHeight="1" thickBot="1" x14ac:dyDescent="0.25">
      <c r="B1" s="1647" t="s">
        <v>631</v>
      </c>
      <c r="C1" s="1648"/>
      <c r="D1" s="1648"/>
      <c r="E1" s="1648"/>
      <c r="F1" s="1648"/>
      <c r="G1" s="1648"/>
      <c r="H1" s="1648"/>
      <c r="I1" s="1648"/>
      <c r="J1" s="1649"/>
      <c r="K1" s="1648"/>
      <c r="L1" s="1648"/>
      <c r="M1" s="1648"/>
      <c r="N1" s="1648"/>
      <c r="O1" s="1648"/>
      <c r="P1" s="1648"/>
      <c r="Q1" s="1648"/>
      <c r="R1" s="1648"/>
      <c r="S1" s="1648"/>
      <c r="T1" s="1648"/>
      <c r="U1" s="1648"/>
      <c r="V1" s="1648"/>
      <c r="W1" s="1648"/>
      <c r="X1" s="1648"/>
      <c r="Y1" s="1648"/>
      <c r="Z1" s="1650"/>
    </row>
    <row r="2" spans="2:28" ht="13.5" thickBot="1" x14ac:dyDescent="0.25">
      <c r="B2" s="638" t="s">
        <v>181</v>
      </c>
      <c r="C2" s="639" t="str">
        <f>'PROJECT INFO'!E3</f>
        <v>300 University Boulevard</v>
      </c>
      <c r="D2" s="1157"/>
      <c r="E2" s="890"/>
      <c r="F2" s="640"/>
      <c r="I2" s="659"/>
      <c r="J2" s="665"/>
      <c r="K2" s="1651" t="s">
        <v>1706</v>
      </c>
      <c r="L2" s="1651"/>
      <c r="M2" s="1652"/>
      <c r="N2" s="641"/>
      <c r="O2" s="642"/>
      <c r="P2" s="643"/>
      <c r="Q2" s="641"/>
      <c r="R2" s="642"/>
      <c r="S2" s="642"/>
      <c r="T2" s="641"/>
      <c r="U2" s="642"/>
      <c r="V2" s="642"/>
      <c r="W2" s="641"/>
      <c r="X2" s="642"/>
      <c r="Y2" s="642"/>
      <c r="Z2" s="644"/>
      <c r="AB2" s="116"/>
    </row>
    <row r="3" spans="2:28" ht="13.5" thickBot="1" x14ac:dyDescent="0.25">
      <c r="B3" s="645" t="s">
        <v>510</v>
      </c>
      <c r="C3" s="639" t="str">
        <f>'PROJECT INFO'!E4</f>
        <v>5888</v>
      </c>
      <c r="D3" s="1157"/>
      <c r="E3" s="890"/>
      <c r="F3" s="646" t="s">
        <v>1209</v>
      </c>
      <c r="G3" s="156"/>
      <c r="H3" s="157" t="s">
        <v>68</v>
      </c>
      <c r="I3" s="660"/>
      <c r="J3" s="666"/>
      <c r="K3" s="664">
        <v>0</v>
      </c>
      <c r="L3" s="637">
        <v>0</v>
      </c>
      <c r="M3" s="637">
        <v>0</v>
      </c>
      <c r="N3" s="1653" t="s">
        <v>452</v>
      </c>
      <c r="O3" s="1654"/>
      <c r="P3" s="1654"/>
      <c r="Q3" s="1654" t="s">
        <v>452</v>
      </c>
      <c r="R3" s="1654"/>
      <c r="S3" s="1654"/>
      <c r="T3" s="1654" t="s">
        <v>452</v>
      </c>
      <c r="U3" s="1654"/>
      <c r="V3" s="1654"/>
      <c r="W3" s="1654" t="s">
        <v>452</v>
      </c>
      <c r="X3" s="1654"/>
      <c r="Y3" s="1654"/>
      <c r="Z3" s="644"/>
      <c r="AB3" s="116" t="s">
        <v>467</v>
      </c>
    </row>
    <row r="4" spans="2:28" s="150" customFormat="1" x14ac:dyDescent="0.2">
      <c r="B4" s="647"/>
      <c r="C4" s="648"/>
      <c r="D4" s="1052"/>
      <c r="E4" s="648"/>
      <c r="F4" s="648" t="s">
        <v>65</v>
      </c>
      <c r="G4" s="158" t="s">
        <v>196</v>
      </c>
      <c r="H4" s="157" t="s">
        <v>66</v>
      </c>
      <c r="I4" s="660" t="s">
        <v>67</v>
      </c>
      <c r="J4" s="667"/>
      <c r="K4" s="159" t="s">
        <v>232</v>
      </c>
      <c r="L4" s="159" t="s">
        <v>100</v>
      </c>
      <c r="M4" s="160" t="s">
        <v>233</v>
      </c>
      <c r="N4" s="161"/>
      <c r="O4" s="649"/>
      <c r="P4" s="669">
        <f>SUM(P9:P183)</f>
        <v>9240</v>
      </c>
      <c r="Q4" s="649"/>
      <c r="R4" s="649"/>
      <c r="S4" s="669">
        <f>SUM(S9:S183)</f>
        <v>334231</v>
      </c>
      <c r="T4" s="649"/>
      <c r="U4" s="649"/>
      <c r="V4" s="669">
        <f>SUM(V9:V183)</f>
        <v>0</v>
      </c>
      <c r="W4" s="649"/>
      <c r="X4" s="649"/>
      <c r="Y4" s="669">
        <f>SUM(Y9:Y183)</f>
        <v>0</v>
      </c>
      <c r="Z4" s="650"/>
    </row>
    <row r="5" spans="2:28" s="150" customFormat="1" x14ac:dyDescent="0.2">
      <c r="B5" s="638"/>
      <c r="C5" s="640"/>
      <c r="D5" s="1053"/>
      <c r="E5" s="640"/>
      <c r="F5" s="640"/>
      <c r="G5" s="302">
        <f>SUM(G9:G183)</f>
        <v>343471</v>
      </c>
      <c r="H5" s="157" t="s">
        <v>69</v>
      </c>
      <c r="I5" s="661">
        <f>SUM(I9:I183)</f>
        <v>302</v>
      </c>
      <c r="J5" s="667"/>
      <c r="K5" s="658">
        <f>K3*I5+SUM(K9:K183)</f>
        <v>0</v>
      </c>
      <c r="L5" s="658">
        <f>L3*I5+SUM(L9:L183)</f>
        <v>0</v>
      </c>
      <c r="M5" s="658">
        <f>M3*I5+SUM(M9:M183)</f>
        <v>0</v>
      </c>
      <c r="N5" s="1655" t="s">
        <v>751</v>
      </c>
      <c r="O5" s="1655"/>
      <c r="P5" s="1655"/>
      <c r="Q5" s="1655" t="s">
        <v>751</v>
      </c>
      <c r="R5" s="1655"/>
      <c r="S5" s="1655"/>
      <c r="T5" s="1655" t="s">
        <v>751</v>
      </c>
      <c r="U5" s="1655"/>
      <c r="V5" s="1655"/>
      <c r="W5" s="1655" t="s">
        <v>751</v>
      </c>
      <c r="X5" s="1655"/>
      <c r="Y5" s="1655"/>
      <c r="Z5" s="650"/>
    </row>
    <row r="6" spans="2:28" s="150" customFormat="1" x14ac:dyDescent="0.2">
      <c r="B6" s="1656" t="s">
        <v>1595</v>
      </c>
      <c r="C6" s="1657"/>
      <c r="D6" s="1657"/>
      <c r="E6" s="1657"/>
      <c r="F6" s="651">
        <v>0</v>
      </c>
      <c r="G6" s="1153">
        <f>G5*F6</f>
        <v>0</v>
      </c>
      <c r="H6" s="162"/>
      <c r="I6" s="662"/>
      <c r="J6" s="667"/>
      <c r="K6" s="163"/>
      <c r="L6" s="163"/>
      <c r="M6" s="164"/>
      <c r="N6" s="1645" t="s">
        <v>448</v>
      </c>
      <c r="O6" s="1646"/>
      <c r="P6" s="1646"/>
      <c r="Q6" s="1645" t="s">
        <v>463</v>
      </c>
      <c r="R6" s="1646"/>
      <c r="S6" s="1646"/>
      <c r="T6" s="1645" t="s">
        <v>1183</v>
      </c>
      <c r="U6" s="1646"/>
      <c r="V6" s="1646"/>
      <c r="W6" s="1645"/>
      <c r="X6" s="1646"/>
      <c r="Y6" s="1646"/>
      <c r="Z6" s="677" t="s">
        <v>453</v>
      </c>
    </row>
    <row r="7" spans="2:28" s="150" customFormat="1" ht="13.5" thickBot="1" x14ac:dyDescent="0.25">
      <c r="B7" s="652"/>
      <c r="C7" s="653"/>
      <c r="D7" s="1054"/>
      <c r="E7" s="653"/>
      <c r="F7" s="654" t="s">
        <v>1694</v>
      </c>
      <c r="G7" s="1154">
        <f>G6+G5</f>
        <v>343471</v>
      </c>
      <c r="H7" s="655"/>
      <c r="I7" s="663"/>
      <c r="J7" s="668"/>
      <c r="K7" s="656"/>
      <c r="L7" s="656"/>
      <c r="M7" s="657"/>
      <c r="N7" s="673" t="s">
        <v>451</v>
      </c>
      <c r="O7" s="674" t="s">
        <v>450</v>
      </c>
      <c r="P7" s="675" t="s">
        <v>69</v>
      </c>
      <c r="Q7" s="673" t="s">
        <v>451</v>
      </c>
      <c r="R7" s="674" t="s">
        <v>450</v>
      </c>
      <c r="S7" s="674" t="s">
        <v>69</v>
      </c>
      <c r="T7" s="673" t="s">
        <v>451</v>
      </c>
      <c r="U7" s="674" t="s">
        <v>450</v>
      </c>
      <c r="V7" s="674" t="s">
        <v>69</v>
      </c>
      <c r="W7" s="673" t="s">
        <v>451</v>
      </c>
      <c r="X7" s="674" t="s">
        <v>450</v>
      </c>
      <c r="Y7" s="674" t="s">
        <v>69</v>
      </c>
      <c r="Z7" s="676" t="s">
        <v>69</v>
      </c>
    </row>
    <row r="8" spans="2:28" ht="13.5" thickBot="1" x14ac:dyDescent="0.25">
      <c r="B8" s="1064" t="s">
        <v>64</v>
      </c>
      <c r="C8" s="1065" t="s">
        <v>470</v>
      </c>
      <c r="D8" s="1065" t="s">
        <v>2029</v>
      </c>
      <c r="E8" s="1065" t="s">
        <v>117</v>
      </c>
      <c r="F8" s="1643" t="s">
        <v>2068</v>
      </c>
      <c r="G8" s="1639"/>
      <c r="H8" s="1639"/>
      <c r="I8" s="1639"/>
      <c r="J8" s="1066"/>
      <c r="K8" s="1639" t="s">
        <v>2110</v>
      </c>
      <c r="L8" s="1639"/>
      <c r="M8" s="1639"/>
      <c r="N8" s="1639"/>
      <c r="O8" s="1639"/>
      <c r="P8" s="1639"/>
      <c r="Q8" s="1639"/>
      <c r="R8" s="1639"/>
      <c r="S8" s="1639"/>
      <c r="T8" s="1639"/>
      <c r="U8" s="1639"/>
      <c r="V8" s="1639"/>
      <c r="W8" s="1639"/>
      <c r="X8" s="1639"/>
      <c r="Y8" s="1639"/>
      <c r="Z8" s="1640"/>
    </row>
    <row r="9" spans="2:28" x14ac:dyDescent="0.2">
      <c r="B9" s="267">
        <v>1</v>
      </c>
      <c r="C9" s="200" t="s">
        <v>2520</v>
      </c>
      <c r="D9" s="1055" t="s">
        <v>2521</v>
      </c>
      <c r="E9" s="868"/>
      <c r="F9" s="862" t="s">
        <v>2522</v>
      </c>
      <c r="G9" s="1158">
        <f>Z9</f>
        <v>334221</v>
      </c>
      <c r="H9" s="861">
        <v>8</v>
      </c>
      <c r="I9" s="1159">
        <f t="shared" ref="I9:I19" si="0">H9*B9</f>
        <v>8</v>
      </c>
      <c r="J9" s="270"/>
      <c r="K9" s="268"/>
      <c r="L9" s="268"/>
      <c r="M9" s="268"/>
      <c r="N9" s="297">
        <v>0</v>
      </c>
      <c r="O9" s="856"/>
      <c r="P9" s="1160">
        <f t="shared" ref="P9:P19" si="1">N9*B9</f>
        <v>0</v>
      </c>
      <c r="Q9" s="296">
        <f>678348-165000-135815-31096-12216</f>
        <v>334221</v>
      </c>
      <c r="R9" s="856" t="s">
        <v>450</v>
      </c>
      <c r="S9" s="1161">
        <f t="shared" ref="S9:S19" si="2">Q9*B9</f>
        <v>334221</v>
      </c>
      <c r="T9" s="296">
        <v>0</v>
      </c>
      <c r="U9" s="856"/>
      <c r="V9" s="1162">
        <f>T9*B9</f>
        <v>0</v>
      </c>
      <c r="W9" s="296">
        <v>0</v>
      </c>
      <c r="X9" s="856"/>
      <c r="Y9" s="1162">
        <f>W9*B9</f>
        <v>0</v>
      </c>
      <c r="Z9" s="1155">
        <f>IF(O9="SELECTED",((P9)),0)+IF(R9="SELECTED",((S9)),0)+IF(U9="SELECTED",((V9)),0)+IF(X9="SELECTED",((Y9)))</f>
        <v>334221</v>
      </c>
    </row>
    <row r="10" spans="2:28" x14ac:dyDescent="0.2">
      <c r="B10" s="198">
        <v>1</v>
      </c>
      <c r="C10" s="200" t="s">
        <v>2551</v>
      </c>
      <c r="D10" s="340" t="s">
        <v>2521</v>
      </c>
      <c r="E10" s="200" t="s">
        <v>2558</v>
      </c>
      <c r="F10" s="862" t="s">
        <v>2552</v>
      </c>
      <c r="G10" s="1163">
        <f t="shared" ref="G10:G28" si="3">Z10</f>
        <v>1</v>
      </c>
      <c r="H10" s="862">
        <v>24</v>
      </c>
      <c r="I10" s="1164">
        <f t="shared" si="0"/>
        <v>24</v>
      </c>
      <c r="J10" s="201"/>
      <c r="K10" s="199"/>
      <c r="L10" s="199"/>
      <c r="M10" s="199"/>
      <c r="N10" s="297">
        <v>0</v>
      </c>
      <c r="O10" s="294"/>
      <c r="P10" s="509">
        <f t="shared" si="1"/>
        <v>0</v>
      </c>
      <c r="Q10" s="297">
        <v>1</v>
      </c>
      <c r="R10" s="294" t="s">
        <v>450</v>
      </c>
      <c r="S10" s="1165">
        <f t="shared" si="2"/>
        <v>1</v>
      </c>
      <c r="T10" s="297">
        <v>0</v>
      </c>
      <c r="U10" s="294"/>
      <c r="V10" s="1162">
        <f t="shared" ref="V10:V28" si="4">T10*B10</f>
        <v>0</v>
      </c>
      <c r="W10" s="297">
        <v>0</v>
      </c>
      <c r="X10" s="294"/>
      <c r="Y10" s="1166">
        <f t="shared" ref="Y10:Y19" si="5">W10*B10</f>
        <v>0</v>
      </c>
      <c r="Z10" s="1155">
        <f t="shared" ref="Z10:Z28" si="6">IF(O10="SELECTED",((P10)),0)+IF(R10="SELECTED",((S10)),0)+IF(U10="SELECTED",((V10)),0)+IF(X10="SELECTED",((Y10)))</f>
        <v>1</v>
      </c>
    </row>
    <row r="11" spans="2:28" x14ac:dyDescent="0.2">
      <c r="B11" s="267">
        <v>9</v>
      </c>
      <c r="C11" s="200" t="s">
        <v>1845</v>
      </c>
      <c r="D11" s="340" t="s">
        <v>2521</v>
      </c>
      <c r="E11" s="200"/>
      <c r="F11" s="862" t="s">
        <v>2595</v>
      </c>
      <c r="G11" s="1163">
        <f t="shared" si="3"/>
        <v>0</v>
      </c>
      <c r="H11" s="862">
        <v>8</v>
      </c>
      <c r="I11" s="1164">
        <f t="shared" si="0"/>
        <v>72</v>
      </c>
      <c r="J11" s="201"/>
      <c r="K11" s="199"/>
      <c r="L11" s="199"/>
      <c r="M11" s="199"/>
      <c r="N11" s="297">
        <v>0</v>
      </c>
      <c r="O11" s="294"/>
      <c r="P11" s="509">
        <f t="shared" si="1"/>
        <v>0</v>
      </c>
      <c r="Q11" s="297">
        <v>0</v>
      </c>
      <c r="R11" s="294"/>
      <c r="S11" s="1165">
        <f t="shared" si="2"/>
        <v>0</v>
      </c>
      <c r="T11" s="297">
        <v>0</v>
      </c>
      <c r="U11" s="294"/>
      <c r="V11" s="1162">
        <f t="shared" si="4"/>
        <v>0</v>
      </c>
      <c r="W11" s="297">
        <v>0</v>
      </c>
      <c r="X11" s="294"/>
      <c r="Y11" s="1166">
        <f t="shared" si="5"/>
        <v>0</v>
      </c>
      <c r="Z11" s="1155">
        <f t="shared" si="6"/>
        <v>0</v>
      </c>
    </row>
    <row r="12" spans="2:28" x14ac:dyDescent="0.2">
      <c r="B12" s="198">
        <v>0</v>
      </c>
      <c r="C12" s="200" t="s">
        <v>1845</v>
      </c>
      <c r="D12" s="340"/>
      <c r="E12" s="200"/>
      <c r="F12" s="862"/>
      <c r="G12" s="1163">
        <f t="shared" si="3"/>
        <v>0</v>
      </c>
      <c r="H12" s="862">
        <v>0</v>
      </c>
      <c r="I12" s="1164">
        <f t="shared" si="0"/>
        <v>0</v>
      </c>
      <c r="J12" s="201"/>
      <c r="K12" s="199"/>
      <c r="L12" s="199"/>
      <c r="M12" s="199"/>
      <c r="N12" s="297">
        <v>0</v>
      </c>
      <c r="O12" s="294"/>
      <c r="P12" s="509">
        <f t="shared" si="1"/>
        <v>0</v>
      </c>
      <c r="Q12" s="297">
        <v>0</v>
      </c>
      <c r="R12" s="294"/>
      <c r="S12" s="1165">
        <f t="shared" si="2"/>
        <v>0</v>
      </c>
      <c r="T12" s="297">
        <v>0</v>
      </c>
      <c r="U12" s="294"/>
      <c r="V12" s="1162">
        <f t="shared" si="4"/>
        <v>0</v>
      </c>
      <c r="W12" s="297">
        <v>0</v>
      </c>
      <c r="X12" s="294"/>
      <c r="Y12" s="1166">
        <f t="shared" si="5"/>
        <v>0</v>
      </c>
      <c r="Z12" s="1155">
        <f t="shared" si="6"/>
        <v>0</v>
      </c>
    </row>
    <row r="13" spans="2:28" x14ac:dyDescent="0.2">
      <c r="B13" s="267">
        <v>0</v>
      </c>
      <c r="C13" s="200" t="s">
        <v>1845</v>
      </c>
      <c r="D13" s="340"/>
      <c r="E13" s="200"/>
      <c r="F13" s="862"/>
      <c r="G13" s="1163">
        <f t="shared" si="3"/>
        <v>0</v>
      </c>
      <c r="H13" s="862">
        <v>0</v>
      </c>
      <c r="I13" s="1164">
        <f t="shared" si="0"/>
        <v>0</v>
      </c>
      <c r="J13" s="201"/>
      <c r="K13" s="199"/>
      <c r="L13" s="199"/>
      <c r="M13" s="199"/>
      <c r="N13" s="297">
        <v>0</v>
      </c>
      <c r="O13" s="294"/>
      <c r="P13" s="509">
        <f t="shared" si="1"/>
        <v>0</v>
      </c>
      <c r="Q13" s="297">
        <v>0</v>
      </c>
      <c r="R13" s="294"/>
      <c r="S13" s="1165">
        <f t="shared" si="2"/>
        <v>0</v>
      </c>
      <c r="T13" s="297">
        <v>0</v>
      </c>
      <c r="U13" s="294"/>
      <c r="V13" s="1162">
        <f t="shared" si="4"/>
        <v>0</v>
      </c>
      <c r="W13" s="297">
        <v>0</v>
      </c>
      <c r="X13" s="294"/>
      <c r="Y13" s="1166">
        <f t="shared" si="5"/>
        <v>0</v>
      </c>
      <c r="Z13" s="1155">
        <f t="shared" si="6"/>
        <v>0</v>
      </c>
    </row>
    <row r="14" spans="2:28" x14ac:dyDescent="0.2">
      <c r="B14" s="198">
        <v>0</v>
      </c>
      <c r="C14" s="200" t="s">
        <v>1845</v>
      </c>
      <c r="D14" s="340"/>
      <c r="E14" s="200"/>
      <c r="F14" s="862"/>
      <c r="G14" s="1163">
        <f t="shared" si="3"/>
        <v>0</v>
      </c>
      <c r="H14" s="862">
        <v>0</v>
      </c>
      <c r="I14" s="1164">
        <f t="shared" si="0"/>
        <v>0</v>
      </c>
      <c r="J14" s="201"/>
      <c r="K14" s="199"/>
      <c r="L14" s="199"/>
      <c r="M14" s="199"/>
      <c r="N14" s="297">
        <v>0</v>
      </c>
      <c r="O14" s="294"/>
      <c r="P14" s="509">
        <f t="shared" si="1"/>
        <v>0</v>
      </c>
      <c r="Q14" s="297">
        <v>0</v>
      </c>
      <c r="R14" s="294"/>
      <c r="S14" s="1165">
        <f t="shared" si="2"/>
        <v>0</v>
      </c>
      <c r="T14" s="297">
        <v>0</v>
      </c>
      <c r="U14" s="294"/>
      <c r="V14" s="1162">
        <f t="shared" si="4"/>
        <v>0</v>
      </c>
      <c r="W14" s="297">
        <v>0</v>
      </c>
      <c r="X14" s="294"/>
      <c r="Y14" s="1166">
        <f t="shared" si="5"/>
        <v>0</v>
      </c>
      <c r="Z14" s="1155">
        <f t="shared" si="6"/>
        <v>0</v>
      </c>
    </row>
    <row r="15" spans="2:28" x14ac:dyDescent="0.2">
      <c r="B15" s="267">
        <v>0</v>
      </c>
      <c r="C15" s="200" t="s">
        <v>1845</v>
      </c>
      <c r="D15" s="340"/>
      <c r="E15" s="200"/>
      <c r="F15" s="862"/>
      <c r="G15" s="1163">
        <f t="shared" si="3"/>
        <v>0</v>
      </c>
      <c r="H15" s="862">
        <v>0</v>
      </c>
      <c r="I15" s="1164">
        <f t="shared" si="0"/>
        <v>0</v>
      </c>
      <c r="J15" s="201"/>
      <c r="K15" s="199"/>
      <c r="L15" s="199"/>
      <c r="M15" s="199"/>
      <c r="N15" s="297">
        <v>0</v>
      </c>
      <c r="O15" s="294"/>
      <c r="P15" s="509">
        <f t="shared" si="1"/>
        <v>0</v>
      </c>
      <c r="Q15" s="297">
        <v>0</v>
      </c>
      <c r="R15" s="294"/>
      <c r="S15" s="1165">
        <f t="shared" si="2"/>
        <v>0</v>
      </c>
      <c r="T15" s="297">
        <v>0</v>
      </c>
      <c r="U15" s="294"/>
      <c r="V15" s="1162">
        <f t="shared" si="4"/>
        <v>0</v>
      </c>
      <c r="W15" s="297">
        <v>0</v>
      </c>
      <c r="X15" s="294"/>
      <c r="Y15" s="1166">
        <f t="shared" si="5"/>
        <v>0</v>
      </c>
      <c r="Z15" s="1155">
        <f t="shared" si="6"/>
        <v>0</v>
      </c>
    </row>
    <row r="16" spans="2:28" x14ac:dyDescent="0.2">
      <c r="B16" s="198">
        <v>0</v>
      </c>
      <c r="C16" s="200" t="s">
        <v>1845</v>
      </c>
      <c r="D16" s="340"/>
      <c r="E16" s="200"/>
      <c r="F16" s="862"/>
      <c r="G16" s="1163">
        <f t="shared" si="3"/>
        <v>0</v>
      </c>
      <c r="H16" s="862">
        <v>0</v>
      </c>
      <c r="I16" s="1164">
        <f t="shared" si="0"/>
        <v>0</v>
      </c>
      <c r="J16" s="201"/>
      <c r="K16" s="199"/>
      <c r="L16" s="199"/>
      <c r="M16" s="199"/>
      <c r="N16" s="297">
        <v>0</v>
      </c>
      <c r="O16" s="294"/>
      <c r="P16" s="509">
        <f t="shared" si="1"/>
        <v>0</v>
      </c>
      <c r="Q16" s="297">
        <v>0</v>
      </c>
      <c r="R16" s="294"/>
      <c r="S16" s="1165">
        <f t="shared" si="2"/>
        <v>0</v>
      </c>
      <c r="T16" s="297">
        <v>0</v>
      </c>
      <c r="U16" s="294"/>
      <c r="V16" s="1162">
        <f t="shared" si="4"/>
        <v>0</v>
      </c>
      <c r="W16" s="297">
        <v>0</v>
      </c>
      <c r="X16" s="294"/>
      <c r="Y16" s="1166">
        <f t="shared" si="5"/>
        <v>0</v>
      </c>
      <c r="Z16" s="1155">
        <f t="shared" si="6"/>
        <v>0</v>
      </c>
    </row>
    <row r="17" spans="2:26" x14ac:dyDescent="0.2">
      <c r="B17" s="267">
        <v>0</v>
      </c>
      <c r="C17" s="200" t="s">
        <v>1845</v>
      </c>
      <c r="D17" s="340"/>
      <c r="E17" s="200"/>
      <c r="F17" s="862"/>
      <c r="G17" s="1163">
        <f t="shared" si="3"/>
        <v>0</v>
      </c>
      <c r="H17" s="862">
        <v>0</v>
      </c>
      <c r="I17" s="1164">
        <f t="shared" si="0"/>
        <v>0</v>
      </c>
      <c r="J17" s="201"/>
      <c r="K17" s="199"/>
      <c r="L17" s="199"/>
      <c r="M17" s="199"/>
      <c r="N17" s="297">
        <v>0</v>
      </c>
      <c r="O17" s="294"/>
      <c r="P17" s="509">
        <f t="shared" si="1"/>
        <v>0</v>
      </c>
      <c r="Q17" s="297">
        <v>0</v>
      </c>
      <c r="R17" s="294"/>
      <c r="S17" s="1165">
        <f t="shared" si="2"/>
        <v>0</v>
      </c>
      <c r="T17" s="297">
        <v>0</v>
      </c>
      <c r="U17" s="294"/>
      <c r="V17" s="1162">
        <f t="shared" si="4"/>
        <v>0</v>
      </c>
      <c r="W17" s="297">
        <v>0</v>
      </c>
      <c r="X17" s="294"/>
      <c r="Y17" s="1166">
        <f t="shared" si="5"/>
        <v>0</v>
      </c>
      <c r="Z17" s="1155">
        <f t="shared" si="6"/>
        <v>0</v>
      </c>
    </row>
    <row r="18" spans="2:26" x14ac:dyDescent="0.2">
      <c r="B18" s="198">
        <v>0</v>
      </c>
      <c r="C18" s="200" t="s">
        <v>1845</v>
      </c>
      <c r="D18" s="340"/>
      <c r="E18" s="200"/>
      <c r="F18" s="862"/>
      <c r="G18" s="1163">
        <f t="shared" si="3"/>
        <v>0</v>
      </c>
      <c r="H18" s="862">
        <v>0</v>
      </c>
      <c r="I18" s="1164">
        <f t="shared" si="0"/>
        <v>0</v>
      </c>
      <c r="J18" s="201"/>
      <c r="K18" s="199"/>
      <c r="L18" s="199"/>
      <c r="M18" s="199"/>
      <c r="N18" s="297">
        <v>0</v>
      </c>
      <c r="O18" s="294"/>
      <c r="P18" s="509">
        <f t="shared" si="1"/>
        <v>0</v>
      </c>
      <c r="Q18" s="297">
        <v>0</v>
      </c>
      <c r="R18" s="294"/>
      <c r="S18" s="1165">
        <f t="shared" si="2"/>
        <v>0</v>
      </c>
      <c r="T18" s="297">
        <v>0</v>
      </c>
      <c r="U18" s="294"/>
      <c r="V18" s="1162">
        <f t="shared" si="4"/>
        <v>0</v>
      </c>
      <c r="W18" s="297">
        <v>0</v>
      </c>
      <c r="X18" s="294"/>
      <c r="Y18" s="1166">
        <f t="shared" si="5"/>
        <v>0</v>
      </c>
      <c r="Z18" s="1155">
        <f t="shared" si="6"/>
        <v>0</v>
      </c>
    </row>
    <row r="19" spans="2:26" x14ac:dyDescent="0.2">
      <c r="B19" s="267">
        <v>0</v>
      </c>
      <c r="C19" s="200" t="s">
        <v>1845</v>
      </c>
      <c r="D19" s="340"/>
      <c r="E19" s="200"/>
      <c r="F19" s="862"/>
      <c r="G19" s="1163">
        <f t="shared" si="3"/>
        <v>0</v>
      </c>
      <c r="H19" s="862">
        <v>0</v>
      </c>
      <c r="I19" s="1164">
        <f t="shared" si="0"/>
        <v>0</v>
      </c>
      <c r="J19" s="201"/>
      <c r="K19" s="199"/>
      <c r="L19" s="199"/>
      <c r="M19" s="199"/>
      <c r="N19" s="297">
        <v>0</v>
      </c>
      <c r="O19" s="294"/>
      <c r="P19" s="509">
        <f t="shared" si="1"/>
        <v>0</v>
      </c>
      <c r="Q19" s="297">
        <v>0</v>
      </c>
      <c r="R19" s="294"/>
      <c r="S19" s="1165">
        <f t="shared" si="2"/>
        <v>0</v>
      </c>
      <c r="T19" s="297">
        <v>0</v>
      </c>
      <c r="U19" s="294"/>
      <c r="V19" s="1162">
        <f t="shared" si="4"/>
        <v>0</v>
      </c>
      <c r="W19" s="297">
        <v>0</v>
      </c>
      <c r="X19" s="294"/>
      <c r="Y19" s="1166">
        <f t="shared" si="5"/>
        <v>0</v>
      </c>
      <c r="Z19" s="1155">
        <f t="shared" si="6"/>
        <v>0</v>
      </c>
    </row>
    <row r="20" spans="2:26" x14ac:dyDescent="0.2">
      <c r="B20" s="198">
        <v>0</v>
      </c>
      <c r="C20" s="200" t="s">
        <v>1845</v>
      </c>
      <c r="D20" s="340"/>
      <c r="E20" s="200"/>
      <c r="F20" s="862"/>
      <c r="G20" s="1163">
        <f t="shared" si="3"/>
        <v>0</v>
      </c>
      <c r="H20" s="862">
        <v>0</v>
      </c>
      <c r="I20" s="1164">
        <f t="shared" ref="I20:I28" si="7">H20*B20</f>
        <v>0</v>
      </c>
      <c r="J20" s="201"/>
      <c r="K20" s="199"/>
      <c r="L20" s="199"/>
      <c r="M20" s="199"/>
      <c r="N20" s="297">
        <v>0</v>
      </c>
      <c r="O20" s="294"/>
      <c r="P20" s="509">
        <f t="shared" ref="P20:P28" si="8">N20*B20</f>
        <v>0</v>
      </c>
      <c r="Q20" s="297">
        <v>0</v>
      </c>
      <c r="R20" s="294"/>
      <c r="S20" s="1165">
        <f t="shared" ref="S20:S28" si="9">Q20*B20</f>
        <v>0</v>
      </c>
      <c r="T20" s="297">
        <v>0</v>
      </c>
      <c r="U20" s="294"/>
      <c r="V20" s="1162">
        <f t="shared" si="4"/>
        <v>0</v>
      </c>
      <c r="W20" s="297">
        <v>0</v>
      </c>
      <c r="X20" s="294"/>
      <c r="Y20" s="1166">
        <f t="shared" ref="Y20:Y28" si="10">W20*B20</f>
        <v>0</v>
      </c>
      <c r="Z20" s="1155">
        <f t="shared" si="6"/>
        <v>0</v>
      </c>
    </row>
    <row r="21" spans="2:26" x14ac:dyDescent="0.2">
      <c r="B21" s="267">
        <v>0</v>
      </c>
      <c r="C21" s="200" t="s">
        <v>1845</v>
      </c>
      <c r="D21" s="340"/>
      <c r="E21" s="200"/>
      <c r="F21" s="862"/>
      <c r="G21" s="1163">
        <f t="shared" si="3"/>
        <v>0</v>
      </c>
      <c r="H21" s="862">
        <v>0</v>
      </c>
      <c r="I21" s="1164">
        <f t="shared" si="7"/>
        <v>0</v>
      </c>
      <c r="J21" s="201"/>
      <c r="K21" s="199"/>
      <c r="L21" s="199"/>
      <c r="M21" s="199"/>
      <c r="N21" s="297">
        <v>0</v>
      </c>
      <c r="O21" s="294"/>
      <c r="P21" s="509">
        <f t="shared" si="8"/>
        <v>0</v>
      </c>
      <c r="Q21" s="297">
        <v>0</v>
      </c>
      <c r="R21" s="294"/>
      <c r="S21" s="1165">
        <f t="shared" si="9"/>
        <v>0</v>
      </c>
      <c r="T21" s="297">
        <v>0</v>
      </c>
      <c r="U21" s="294"/>
      <c r="V21" s="1162">
        <f t="shared" si="4"/>
        <v>0</v>
      </c>
      <c r="W21" s="297">
        <v>0</v>
      </c>
      <c r="X21" s="294"/>
      <c r="Y21" s="1166">
        <f t="shared" si="10"/>
        <v>0</v>
      </c>
      <c r="Z21" s="1155">
        <f t="shared" si="6"/>
        <v>0</v>
      </c>
    </row>
    <row r="22" spans="2:26" x14ac:dyDescent="0.2">
      <c r="B22" s="198">
        <v>0</v>
      </c>
      <c r="C22" s="200" t="s">
        <v>1845</v>
      </c>
      <c r="D22" s="340"/>
      <c r="E22" s="200"/>
      <c r="F22" s="862"/>
      <c r="G22" s="1163">
        <f t="shared" si="3"/>
        <v>0</v>
      </c>
      <c r="H22" s="862">
        <v>0</v>
      </c>
      <c r="I22" s="1164">
        <f t="shared" si="7"/>
        <v>0</v>
      </c>
      <c r="J22" s="201"/>
      <c r="K22" s="199"/>
      <c r="L22" s="199"/>
      <c r="M22" s="199"/>
      <c r="N22" s="297">
        <v>0</v>
      </c>
      <c r="O22" s="294"/>
      <c r="P22" s="509">
        <f t="shared" si="8"/>
        <v>0</v>
      </c>
      <c r="Q22" s="297">
        <v>0</v>
      </c>
      <c r="R22" s="294"/>
      <c r="S22" s="1165">
        <f t="shared" si="9"/>
        <v>0</v>
      </c>
      <c r="T22" s="297">
        <v>0</v>
      </c>
      <c r="U22" s="294"/>
      <c r="V22" s="1162">
        <f t="shared" si="4"/>
        <v>0</v>
      </c>
      <c r="W22" s="297">
        <v>0</v>
      </c>
      <c r="X22" s="294"/>
      <c r="Y22" s="1166">
        <f t="shared" si="10"/>
        <v>0</v>
      </c>
      <c r="Z22" s="1155">
        <f t="shared" si="6"/>
        <v>0</v>
      </c>
    </row>
    <row r="23" spans="2:26" x14ac:dyDescent="0.2">
      <c r="B23" s="267">
        <v>0</v>
      </c>
      <c r="C23" s="200" t="s">
        <v>1845</v>
      </c>
      <c r="D23" s="340"/>
      <c r="E23" s="200"/>
      <c r="F23" s="862"/>
      <c r="G23" s="1163">
        <f t="shared" si="3"/>
        <v>0</v>
      </c>
      <c r="H23" s="862">
        <v>0</v>
      </c>
      <c r="I23" s="1164">
        <f t="shared" si="7"/>
        <v>0</v>
      </c>
      <c r="J23" s="201"/>
      <c r="K23" s="199"/>
      <c r="L23" s="199"/>
      <c r="M23" s="199"/>
      <c r="N23" s="297">
        <v>0</v>
      </c>
      <c r="O23" s="294"/>
      <c r="P23" s="509">
        <f t="shared" si="8"/>
        <v>0</v>
      </c>
      <c r="Q23" s="297">
        <v>0</v>
      </c>
      <c r="R23" s="294"/>
      <c r="S23" s="1165">
        <f t="shared" si="9"/>
        <v>0</v>
      </c>
      <c r="T23" s="297">
        <v>0</v>
      </c>
      <c r="U23" s="294"/>
      <c r="V23" s="1162">
        <f t="shared" si="4"/>
        <v>0</v>
      </c>
      <c r="W23" s="297">
        <v>0</v>
      </c>
      <c r="X23" s="294"/>
      <c r="Y23" s="1166">
        <f t="shared" si="10"/>
        <v>0</v>
      </c>
      <c r="Z23" s="1155">
        <f t="shared" si="6"/>
        <v>0</v>
      </c>
    </row>
    <row r="24" spans="2:26" x14ac:dyDescent="0.2">
      <c r="B24" s="198">
        <v>0</v>
      </c>
      <c r="C24" s="200" t="s">
        <v>1845</v>
      </c>
      <c r="D24" s="340"/>
      <c r="E24" s="200"/>
      <c r="F24" s="862"/>
      <c r="G24" s="1163">
        <f t="shared" si="3"/>
        <v>0</v>
      </c>
      <c r="H24" s="862">
        <v>0</v>
      </c>
      <c r="I24" s="1164">
        <f t="shared" si="7"/>
        <v>0</v>
      </c>
      <c r="J24" s="201"/>
      <c r="K24" s="199"/>
      <c r="L24" s="199"/>
      <c r="M24" s="199"/>
      <c r="N24" s="297">
        <v>0</v>
      </c>
      <c r="O24" s="294"/>
      <c r="P24" s="509">
        <f t="shared" si="8"/>
        <v>0</v>
      </c>
      <c r="Q24" s="297">
        <v>0</v>
      </c>
      <c r="R24" s="294"/>
      <c r="S24" s="1165">
        <f t="shared" si="9"/>
        <v>0</v>
      </c>
      <c r="T24" s="297">
        <v>0</v>
      </c>
      <c r="U24" s="294"/>
      <c r="V24" s="1162">
        <f t="shared" si="4"/>
        <v>0</v>
      </c>
      <c r="W24" s="297">
        <v>0</v>
      </c>
      <c r="X24" s="294"/>
      <c r="Y24" s="1166">
        <f t="shared" si="10"/>
        <v>0</v>
      </c>
      <c r="Z24" s="1155">
        <f t="shared" si="6"/>
        <v>0</v>
      </c>
    </row>
    <row r="25" spans="2:26" x14ac:dyDescent="0.2">
      <c r="B25" s="267">
        <v>0</v>
      </c>
      <c r="C25" s="200" t="s">
        <v>1845</v>
      </c>
      <c r="D25" s="340"/>
      <c r="E25" s="200"/>
      <c r="F25" s="862"/>
      <c r="G25" s="1163">
        <f t="shared" si="3"/>
        <v>0</v>
      </c>
      <c r="H25" s="862">
        <v>0</v>
      </c>
      <c r="I25" s="1164">
        <f t="shared" si="7"/>
        <v>0</v>
      </c>
      <c r="J25" s="201"/>
      <c r="K25" s="199"/>
      <c r="L25" s="199"/>
      <c r="M25" s="199"/>
      <c r="N25" s="297">
        <v>0</v>
      </c>
      <c r="O25" s="294"/>
      <c r="P25" s="509">
        <f t="shared" si="8"/>
        <v>0</v>
      </c>
      <c r="Q25" s="297">
        <v>0</v>
      </c>
      <c r="R25" s="294"/>
      <c r="S25" s="1165">
        <f t="shared" si="9"/>
        <v>0</v>
      </c>
      <c r="T25" s="297">
        <v>0</v>
      </c>
      <c r="U25" s="294"/>
      <c r="V25" s="1162">
        <f t="shared" si="4"/>
        <v>0</v>
      </c>
      <c r="W25" s="297">
        <v>0</v>
      </c>
      <c r="X25" s="294"/>
      <c r="Y25" s="1166">
        <f t="shared" si="10"/>
        <v>0</v>
      </c>
      <c r="Z25" s="1155">
        <f t="shared" si="6"/>
        <v>0</v>
      </c>
    </row>
    <row r="26" spans="2:26" x14ac:dyDescent="0.2">
      <c r="B26" s="198">
        <v>0</v>
      </c>
      <c r="C26" s="200" t="s">
        <v>1845</v>
      </c>
      <c r="D26" s="340"/>
      <c r="E26" s="200"/>
      <c r="F26" s="862"/>
      <c r="G26" s="1163">
        <f t="shared" si="3"/>
        <v>0</v>
      </c>
      <c r="H26" s="862">
        <v>0</v>
      </c>
      <c r="I26" s="1164">
        <f t="shared" si="7"/>
        <v>0</v>
      </c>
      <c r="J26" s="201"/>
      <c r="K26" s="199"/>
      <c r="L26" s="199"/>
      <c r="M26" s="199"/>
      <c r="N26" s="297">
        <v>0</v>
      </c>
      <c r="O26" s="294"/>
      <c r="P26" s="509">
        <f t="shared" si="8"/>
        <v>0</v>
      </c>
      <c r="Q26" s="297">
        <v>0</v>
      </c>
      <c r="R26" s="294"/>
      <c r="S26" s="1165">
        <f t="shared" si="9"/>
        <v>0</v>
      </c>
      <c r="T26" s="297">
        <v>0</v>
      </c>
      <c r="U26" s="294"/>
      <c r="V26" s="1162">
        <f t="shared" si="4"/>
        <v>0</v>
      </c>
      <c r="W26" s="297">
        <v>0</v>
      </c>
      <c r="X26" s="294"/>
      <c r="Y26" s="1166">
        <f t="shared" si="10"/>
        <v>0</v>
      </c>
      <c r="Z26" s="1155">
        <f t="shared" si="6"/>
        <v>0</v>
      </c>
    </row>
    <row r="27" spans="2:26" x14ac:dyDescent="0.2">
      <c r="B27" s="267">
        <v>0</v>
      </c>
      <c r="C27" s="200" t="s">
        <v>1845</v>
      </c>
      <c r="D27" s="340"/>
      <c r="E27" s="200"/>
      <c r="F27" s="862"/>
      <c r="G27" s="1163">
        <f t="shared" si="3"/>
        <v>0</v>
      </c>
      <c r="H27" s="862">
        <v>0</v>
      </c>
      <c r="I27" s="1164">
        <f t="shared" si="7"/>
        <v>0</v>
      </c>
      <c r="J27" s="201"/>
      <c r="K27" s="199"/>
      <c r="L27" s="199"/>
      <c r="M27" s="199"/>
      <c r="N27" s="297">
        <v>0</v>
      </c>
      <c r="O27" s="294"/>
      <c r="P27" s="509">
        <f t="shared" si="8"/>
        <v>0</v>
      </c>
      <c r="Q27" s="297">
        <v>0</v>
      </c>
      <c r="R27" s="294"/>
      <c r="S27" s="1165">
        <f t="shared" si="9"/>
        <v>0</v>
      </c>
      <c r="T27" s="297">
        <v>0</v>
      </c>
      <c r="U27" s="294"/>
      <c r="V27" s="1162">
        <f t="shared" si="4"/>
        <v>0</v>
      </c>
      <c r="W27" s="297">
        <v>0</v>
      </c>
      <c r="X27" s="294"/>
      <c r="Y27" s="1166">
        <f t="shared" si="10"/>
        <v>0</v>
      </c>
      <c r="Z27" s="1155">
        <f t="shared" si="6"/>
        <v>0</v>
      </c>
    </row>
    <row r="28" spans="2:26" ht="13.5" thickBot="1" x14ac:dyDescent="0.25">
      <c r="B28" s="198">
        <v>0</v>
      </c>
      <c r="C28" s="200" t="s">
        <v>1845</v>
      </c>
      <c r="D28" s="340"/>
      <c r="E28" s="200"/>
      <c r="F28" s="862"/>
      <c r="G28" s="1163">
        <f t="shared" si="3"/>
        <v>0</v>
      </c>
      <c r="H28" s="862">
        <v>0</v>
      </c>
      <c r="I28" s="1164">
        <f t="shared" si="7"/>
        <v>0</v>
      </c>
      <c r="J28" s="201"/>
      <c r="K28" s="199"/>
      <c r="L28" s="199"/>
      <c r="M28" s="199"/>
      <c r="N28" s="297">
        <v>0</v>
      </c>
      <c r="O28" s="294"/>
      <c r="P28" s="509">
        <f t="shared" si="8"/>
        <v>0</v>
      </c>
      <c r="Q28" s="297">
        <v>0</v>
      </c>
      <c r="R28" s="294"/>
      <c r="S28" s="1165">
        <f t="shared" si="9"/>
        <v>0</v>
      </c>
      <c r="T28" s="297">
        <v>0</v>
      </c>
      <c r="U28" s="294"/>
      <c r="V28" s="1162">
        <f t="shared" si="4"/>
        <v>0</v>
      </c>
      <c r="W28" s="297">
        <v>0</v>
      </c>
      <c r="X28" s="294"/>
      <c r="Y28" s="1166">
        <f t="shared" si="10"/>
        <v>0</v>
      </c>
      <c r="Z28" s="1155">
        <f t="shared" si="6"/>
        <v>0</v>
      </c>
    </row>
    <row r="29" spans="2:26" ht="13.5" thickBot="1" x14ac:dyDescent="0.25">
      <c r="B29" s="1067" t="s">
        <v>64</v>
      </c>
      <c r="C29" s="1068" t="s">
        <v>470</v>
      </c>
      <c r="D29" s="1068" t="s">
        <v>2029</v>
      </c>
      <c r="E29" s="1068" t="s">
        <v>117</v>
      </c>
      <c r="F29" s="1644" t="s">
        <v>2069</v>
      </c>
      <c r="G29" s="1641"/>
      <c r="H29" s="1641"/>
      <c r="I29" s="1641"/>
      <c r="J29" s="1069"/>
      <c r="K29" s="1641" t="s">
        <v>2109</v>
      </c>
      <c r="L29" s="1641"/>
      <c r="M29" s="1641"/>
      <c r="N29" s="1641"/>
      <c r="O29" s="1641"/>
      <c r="P29" s="1641"/>
      <c r="Q29" s="1641"/>
      <c r="R29" s="1641"/>
      <c r="S29" s="1641"/>
      <c r="T29" s="1641"/>
      <c r="U29" s="1641"/>
      <c r="V29" s="1641"/>
      <c r="W29" s="1641"/>
      <c r="X29" s="1641"/>
      <c r="Y29" s="1641"/>
      <c r="Z29" s="1642"/>
    </row>
    <row r="30" spans="2:26" x14ac:dyDescent="0.2">
      <c r="B30" s="198">
        <v>1</v>
      </c>
      <c r="C30" s="200" t="s">
        <v>2523</v>
      </c>
      <c r="D30" s="1055" t="s">
        <v>2521</v>
      </c>
      <c r="E30" s="271" t="s">
        <v>2525</v>
      </c>
      <c r="F30" s="861" t="s">
        <v>2549</v>
      </c>
      <c r="G30" s="1158">
        <f t="shared" ref="G30:G83" si="11">Z30</f>
        <v>1</v>
      </c>
      <c r="H30" s="862">
        <v>4</v>
      </c>
      <c r="I30" s="1164">
        <f t="shared" ref="I30:I61" si="12">H30*B30</f>
        <v>4</v>
      </c>
      <c r="J30" s="201"/>
      <c r="K30" s="199"/>
      <c r="L30" s="199"/>
      <c r="M30" s="199"/>
      <c r="N30" s="297">
        <v>0</v>
      </c>
      <c r="O30" s="294"/>
      <c r="P30" s="509">
        <f t="shared" ref="P30:P61" si="13">N30*B30</f>
        <v>0</v>
      </c>
      <c r="Q30" s="297">
        <v>1</v>
      </c>
      <c r="R30" s="294" t="s">
        <v>450</v>
      </c>
      <c r="S30" s="1165">
        <f t="shared" ref="S30:S61" si="14">Q30*B30</f>
        <v>1</v>
      </c>
      <c r="T30" s="297">
        <v>0</v>
      </c>
      <c r="U30" s="294"/>
      <c r="V30" s="1166">
        <f>T30*B30</f>
        <v>0</v>
      </c>
      <c r="W30" s="297">
        <v>0</v>
      </c>
      <c r="X30" s="294"/>
      <c r="Y30" s="1166">
        <f t="shared" ref="Y30:Y61" si="15">W30*B30</f>
        <v>0</v>
      </c>
      <c r="Z30" s="1155">
        <f t="shared" ref="Z30:Z93" si="16">IF(O30="SELECTED",((P30)),0)+IF(R30="SELECTED",((S30)),0)+IF(U30="SELECTED",((V30)),0)+IF(X30="SELECTED",((Y30)))</f>
        <v>1</v>
      </c>
    </row>
    <row r="31" spans="2:26" x14ac:dyDescent="0.2">
      <c r="B31" s="198">
        <v>1</v>
      </c>
      <c r="C31" s="200" t="s">
        <v>2529</v>
      </c>
      <c r="D31" s="340" t="s">
        <v>2521</v>
      </c>
      <c r="E31" s="271" t="s">
        <v>2525</v>
      </c>
      <c r="F31" s="862" t="s">
        <v>2550</v>
      </c>
      <c r="G31" s="1163">
        <f t="shared" si="11"/>
        <v>1</v>
      </c>
      <c r="H31" s="862">
        <v>4</v>
      </c>
      <c r="I31" s="1164">
        <f t="shared" si="12"/>
        <v>4</v>
      </c>
      <c r="J31" s="201"/>
      <c r="K31" s="199"/>
      <c r="L31" s="199"/>
      <c r="M31" s="199"/>
      <c r="N31" s="297">
        <v>0</v>
      </c>
      <c r="O31" s="294"/>
      <c r="P31" s="509">
        <f t="shared" si="13"/>
        <v>0</v>
      </c>
      <c r="Q31" s="297">
        <v>1</v>
      </c>
      <c r="R31" s="294" t="s">
        <v>450</v>
      </c>
      <c r="S31" s="1165">
        <f t="shared" si="14"/>
        <v>1</v>
      </c>
      <c r="T31" s="297">
        <v>0</v>
      </c>
      <c r="U31" s="294"/>
      <c r="V31" s="1166">
        <f t="shared" ref="V31:V94" si="17">T31*B31</f>
        <v>0</v>
      </c>
      <c r="W31" s="297">
        <v>0</v>
      </c>
      <c r="X31" s="294"/>
      <c r="Y31" s="1166">
        <f t="shared" si="15"/>
        <v>0</v>
      </c>
      <c r="Z31" s="1155">
        <f t="shared" si="16"/>
        <v>1</v>
      </c>
    </row>
    <row r="32" spans="2:26" x14ac:dyDescent="0.2">
      <c r="B32" s="198">
        <v>1</v>
      </c>
      <c r="C32" s="200" t="s">
        <v>2524</v>
      </c>
      <c r="D32" s="340" t="s">
        <v>2521</v>
      </c>
      <c r="E32" s="271" t="s">
        <v>2525</v>
      </c>
      <c r="F32" s="862" t="s">
        <v>2547</v>
      </c>
      <c r="G32" s="1163">
        <f t="shared" si="11"/>
        <v>1</v>
      </c>
      <c r="H32" s="862">
        <v>4</v>
      </c>
      <c r="I32" s="1164">
        <f t="shared" si="12"/>
        <v>4</v>
      </c>
      <c r="J32" s="201"/>
      <c r="K32" s="199"/>
      <c r="L32" s="199"/>
      <c r="M32" s="199"/>
      <c r="N32" s="297">
        <v>0</v>
      </c>
      <c r="O32" s="294"/>
      <c r="P32" s="509">
        <f t="shared" si="13"/>
        <v>0</v>
      </c>
      <c r="Q32" s="297">
        <v>1</v>
      </c>
      <c r="R32" s="294" t="s">
        <v>450</v>
      </c>
      <c r="S32" s="1165">
        <f t="shared" si="14"/>
        <v>1</v>
      </c>
      <c r="T32" s="297">
        <v>0</v>
      </c>
      <c r="U32" s="294"/>
      <c r="V32" s="1166">
        <f t="shared" si="17"/>
        <v>0</v>
      </c>
      <c r="W32" s="297">
        <v>0</v>
      </c>
      <c r="X32" s="294"/>
      <c r="Y32" s="1166">
        <f t="shared" si="15"/>
        <v>0</v>
      </c>
      <c r="Z32" s="1155">
        <f t="shared" si="16"/>
        <v>1</v>
      </c>
    </row>
    <row r="33" spans="2:26" x14ac:dyDescent="0.2">
      <c r="B33" s="198">
        <v>1</v>
      </c>
      <c r="C33" s="200" t="s">
        <v>2528</v>
      </c>
      <c r="D33" s="340" t="s">
        <v>2521</v>
      </c>
      <c r="E33" s="271" t="s">
        <v>2525</v>
      </c>
      <c r="F33" s="862" t="s">
        <v>2548</v>
      </c>
      <c r="G33" s="1163">
        <f t="shared" si="11"/>
        <v>1</v>
      </c>
      <c r="H33" s="862">
        <v>4</v>
      </c>
      <c r="I33" s="1164">
        <f t="shared" si="12"/>
        <v>4</v>
      </c>
      <c r="J33" s="201"/>
      <c r="K33" s="199"/>
      <c r="L33" s="199"/>
      <c r="M33" s="199"/>
      <c r="N33" s="297">
        <v>0</v>
      </c>
      <c r="O33" s="294"/>
      <c r="P33" s="509">
        <f t="shared" si="13"/>
        <v>0</v>
      </c>
      <c r="Q33" s="297">
        <v>1</v>
      </c>
      <c r="R33" s="294" t="s">
        <v>450</v>
      </c>
      <c r="S33" s="1165">
        <f t="shared" si="14"/>
        <v>1</v>
      </c>
      <c r="T33" s="297">
        <v>0</v>
      </c>
      <c r="U33" s="294"/>
      <c r="V33" s="1166">
        <f t="shared" si="17"/>
        <v>0</v>
      </c>
      <c r="W33" s="297">
        <v>0</v>
      </c>
      <c r="X33" s="294"/>
      <c r="Y33" s="1166">
        <f t="shared" si="15"/>
        <v>0</v>
      </c>
      <c r="Z33" s="1155">
        <f t="shared" si="16"/>
        <v>1</v>
      </c>
    </row>
    <row r="34" spans="2:26" x14ac:dyDescent="0.2">
      <c r="B34" s="198">
        <v>2</v>
      </c>
      <c r="C34" s="200" t="s">
        <v>1845</v>
      </c>
      <c r="D34" s="340"/>
      <c r="E34" s="271"/>
      <c r="F34" s="862" t="s">
        <v>2546</v>
      </c>
      <c r="G34" s="1163">
        <f t="shared" si="11"/>
        <v>600</v>
      </c>
      <c r="H34" s="862">
        <v>12</v>
      </c>
      <c r="I34" s="1164">
        <f t="shared" si="12"/>
        <v>24</v>
      </c>
      <c r="J34" s="201"/>
      <c r="K34" s="199"/>
      <c r="L34" s="199"/>
      <c r="M34" s="199"/>
      <c r="N34" s="1430">
        <v>300</v>
      </c>
      <c r="O34" s="294" t="s">
        <v>450</v>
      </c>
      <c r="P34" s="509">
        <f t="shared" si="13"/>
        <v>600</v>
      </c>
      <c r="Q34" s="297">
        <v>0</v>
      </c>
      <c r="R34" s="294"/>
      <c r="S34" s="1165">
        <f t="shared" si="14"/>
        <v>0</v>
      </c>
      <c r="T34" s="297">
        <v>0</v>
      </c>
      <c r="U34" s="294"/>
      <c r="V34" s="1166">
        <f t="shared" si="17"/>
        <v>0</v>
      </c>
      <c r="W34" s="297">
        <v>0</v>
      </c>
      <c r="X34" s="294"/>
      <c r="Y34" s="1166">
        <f t="shared" si="15"/>
        <v>0</v>
      </c>
      <c r="Z34" s="1155">
        <f t="shared" si="16"/>
        <v>600</v>
      </c>
    </row>
    <row r="35" spans="2:26" x14ac:dyDescent="0.2">
      <c r="B35" s="198">
        <v>1</v>
      </c>
      <c r="C35" s="200" t="s">
        <v>2526</v>
      </c>
      <c r="D35" s="340" t="s">
        <v>2521</v>
      </c>
      <c r="E35" s="271"/>
      <c r="F35" s="862" t="s">
        <v>2527</v>
      </c>
      <c r="G35" s="1163">
        <f t="shared" si="11"/>
        <v>1</v>
      </c>
      <c r="H35" s="862">
        <v>6</v>
      </c>
      <c r="I35" s="1164">
        <f t="shared" si="12"/>
        <v>6</v>
      </c>
      <c r="J35" s="201"/>
      <c r="K35" s="199"/>
      <c r="L35" s="199"/>
      <c r="M35" s="199"/>
      <c r="N35" s="297">
        <v>0</v>
      </c>
      <c r="O35" s="294"/>
      <c r="P35" s="509">
        <f t="shared" si="13"/>
        <v>0</v>
      </c>
      <c r="Q35" s="297">
        <v>1</v>
      </c>
      <c r="R35" s="294" t="s">
        <v>450</v>
      </c>
      <c r="S35" s="1165">
        <f t="shared" si="14"/>
        <v>1</v>
      </c>
      <c r="T35" s="297">
        <v>0</v>
      </c>
      <c r="U35" s="294"/>
      <c r="V35" s="1166">
        <f t="shared" si="17"/>
        <v>0</v>
      </c>
      <c r="W35" s="297">
        <v>0</v>
      </c>
      <c r="X35" s="294"/>
      <c r="Y35" s="1166">
        <f t="shared" si="15"/>
        <v>0</v>
      </c>
      <c r="Z35" s="1155">
        <f t="shared" si="16"/>
        <v>1</v>
      </c>
    </row>
    <row r="36" spans="2:26" x14ac:dyDescent="0.2">
      <c r="B36" s="198">
        <v>0</v>
      </c>
      <c r="C36" s="200" t="s">
        <v>1845</v>
      </c>
      <c r="D36" s="340"/>
      <c r="E36" s="271"/>
      <c r="F36" s="862"/>
      <c r="G36" s="1163">
        <f t="shared" si="11"/>
        <v>0</v>
      </c>
      <c r="H36" s="862">
        <v>0</v>
      </c>
      <c r="I36" s="1164">
        <f t="shared" si="12"/>
        <v>0</v>
      </c>
      <c r="J36" s="201"/>
      <c r="K36" s="199"/>
      <c r="L36" s="199"/>
      <c r="M36" s="199"/>
      <c r="N36" s="297">
        <v>0</v>
      </c>
      <c r="O36" s="294"/>
      <c r="P36" s="509">
        <f t="shared" si="13"/>
        <v>0</v>
      </c>
      <c r="Q36" s="297">
        <v>0</v>
      </c>
      <c r="R36" s="294"/>
      <c r="S36" s="1165">
        <f t="shared" si="14"/>
        <v>0</v>
      </c>
      <c r="T36" s="297">
        <v>0</v>
      </c>
      <c r="U36" s="294"/>
      <c r="V36" s="1166">
        <f t="shared" si="17"/>
        <v>0</v>
      </c>
      <c r="W36" s="297">
        <v>0</v>
      </c>
      <c r="X36" s="294"/>
      <c r="Y36" s="1166">
        <f t="shared" si="15"/>
        <v>0</v>
      </c>
      <c r="Z36" s="1155">
        <f t="shared" si="16"/>
        <v>0</v>
      </c>
    </row>
    <row r="37" spans="2:26" x14ac:dyDescent="0.2">
      <c r="B37" s="198">
        <v>1</v>
      </c>
      <c r="C37" s="200" t="s">
        <v>2540</v>
      </c>
      <c r="D37" s="340" t="s">
        <v>2521</v>
      </c>
      <c r="E37" s="340" t="s">
        <v>2554</v>
      </c>
      <c r="F37" s="862" t="s">
        <v>2544</v>
      </c>
      <c r="G37" s="1163">
        <f t="shared" si="11"/>
        <v>1</v>
      </c>
      <c r="H37" s="862">
        <v>4</v>
      </c>
      <c r="I37" s="1164">
        <f t="shared" si="12"/>
        <v>4</v>
      </c>
      <c r="J37" s="201"/>
      <c r="K37" s="199"/>
      <c r="L37" s="199"/>
      <c r="M37" s="199"/>
      <c r="N37" s="297">
        <v>0</v>
      </c>
      <c r="O37" s="294"/>
      <c r="P37" s="509">
        <f t="shared" si="13"/>
        <v>0</v>
      </c>
      <c r="Q37" s="297">
        <v>1</v>
      </c>
      <c r="R37" s="294" t="s">
        <v>450</v>
      </c>
      <c r="S37" s="1165">
        <f t="shared" si="14"/>
        <v>1</v>
      </c>
      <c r="T37" s="297">
        <v>0</v>
      </c>
      <c r="U37" s="294"/>
      <c r="V37" s="1166">
        <f t="shared" si="17"/>
        <v>0</v>
      </c>
      <c r="W37" s="297">
        <v>0</v>
      </c>
      <c r="X37" s="294"/>
      <c r="Y37" s="1166">
        <f t="shared" si="15"/>
        <v>0</v>
      </c>
      <c r="Z37" s="1155">
        <f t="shared" si="16"/>
        <v>1</v>
      </c>
    </row>
    <row r="38" spans="2:26" x14ac:dyDescent="0.2">
      <c r="B38" s="198">
        <v>1</v>
      </c>
      <c r="C38" s="200" t="s">
        <v>2541</v>
      </c>
      <c r="D38" s="340" t="s">
        <v>2521</v>
      </c>
      <c r="E38" s="340" t="s">
        <v>2555</v>
      </c>
      <c r="F38" s="862" t="s">
        <v>2544</v>
      </c>
      <c r="G38" s="1163">
        <f t="shared" si="11"/>
        <v>1</v>
      </c>
      <c r="H38" s="862">
        <v>4</v>
      </c>
      <c r="I38" s="1164">
        <f t="shared" si="12"/>
        <v>4</v>
      </c>
      <c r="J38" s="201"/>
      <c r="K38" s="199"/>
      <c r="L38" s="199"/>
      <c r="M38" s="199"/>
      <c r="N38" s="297">
        <v>0</v>
      </c>
      <c r="O38" s="294"/>
      <c r="P38" s="509">
        <f t="shared" si="13"/>
        <v>0</v>
      </c>
      <c r="Q38" s="297">
        <v>1</v>
      </c>
      <c r="R38" s="294" t="s">
        <v>450</v>
      </c>
      <c r="S38" s="1165">
        <f t="shared" si="14"/>
        <v>1</v>
      </c>
      <c r="T38" s="297">
        <v>0</v>
      </c>
      <c r="U38" s="294"/>
      <c r="V38" s="1166">
        <f t="shared" si="17"/>
        <v>0</v>
      </c>
      <c r="W38" s="297">
        <v>0</v>
      </c>
      <c r="X38" s="294"/>
      <c r="Y38" s="1166">
        <f t="shared" si="15"/>
        <v>0</v>
      </c>
      <c r="Z38" s="1155">
        <f t="shared" si="16"/>
        <v>1</v>
      </c>
    </row>
    <row r="39" spans="2:26" x14ac:dyDescent="0.2">
      <c r="B39" s="198">
        <v>1</v>
      </c>
      <c r="C39" s="200" t="s">
        <v>2542</v>
      </c>
      <c r="D39" s="340" t="s">
        <v>2521</v>
      </c>
      <c r="E39" s="340" t="s">
        <v>2556</v>
      </c>
      <c r="F39" s="862" t="s">
        <v>2544</v>
      </c>
      <c r="G39" s="1163">
        <f t="shared" si="11"/>
        <v>1</v>
      </c>
      <c r="H39" s="862">
        <v>4</v>
      </c>
      <c r="I39" s="1164">
        <f t="shared" si="12"/>
        <v>4</v>
      </c>
      <c r="J39" s="201"/>
      <c r="K39" s="199"/>
      <c r="L39" s="199"/>
      <c r="M39" s="199"/>
      <c r="N39" s="297">
        <v>0</v>
      </c>
      <c r="O39" s="294"/>
      <c r="P39" s="509">
        <f t="shared" si="13"/>
        <v>0</v>
      </c>
      <c r="Q39" s="297">
        <v>1</v>
      </c>
      <c r="R39" s="294" t="s">
        <v>450</v>
      </c>
      <c r="S39" s="1165">
        <f t="shared" si="14"/>
        <v>1</v>
      </c>
      <c r="T39" s="297">
        <v>0</v>
      </c>
      <c r="U39" s="294"/>
      <c r="V39" s="1166">
        <f t="shared" si="17"/>
        <v>0</v>
      </c>
      <c r="W39" s="297">
        <v>0</v>
      </c>
      <c r="X39" s="294"/>
      <c r="Y39" s="1166">
        <f t="shared" si="15"/>
        <v>0</v>
      </c>
      <c r="Z39" s="1155">
        <f t="shared" si="16"/>
        <v>1</v>
      </c>
    </row>
    <row r="40" spans="2:26" x14ac:dyDescent="0.2">
      <c r="B40" s="198">
        <v>1</v>
      </c>
      <c r="C40" s="200" t="s">
        <v>2543</v>
      </c>
      <c r="D40" s="340" t="s">
        <v>2521</v>
      </c>
      <c r="E40" s="340" t="s">
        <v>2557</v>
      </c>
      <c r="F40" s="862" t="s">
        <v>2545</v>
      </c>
      <c r="G40" s="1163">
        <f t="shared" si="11"/>
        <v>1</v>
      </c>
      <c r="H40" s="862">
        <v>4</v>
      </c>
      <c r="I40" s="1164">
        <f t="shared" si="12"/>
        <v>4</v>
      </c>
      <c r="J40" s="201"/>
      <c r="K40" s="199"/>
      <c r="L40" s="199"/>
      <c r="M40" s="199"/>
      <c r="N40" s="297">
        <v>0</v>
      </c>
      <c r="O40" s="294"/>
      <c r="P40" s="509">
        <f t="shared" si="13"/>
        <v>0</v>
      </c>
      <c r="Q40" s="297">
        <v>1</v>
      </c>
      <c r="R40" s="294" t="s">
        <v>450</v>
      </c>
      <c r="S40" s="1165">
        <f t="shared" si="14"/>
        <v>1</v>
      </c>
      <c r="T40" s="297">
        <v>0</v>
      </c>
      <c r="U40" s="294"/>
      <c r="V40" s="1166">
        <f t="shared" si="17"/>
        <v>0</v>
      </c>
      <c r="W40" s="297">
        <v>0</v>
      </c>
      <c r="X40" s="294"/>
      <c r="Y40" s="1166">
        <f t="shared" si="15"/>
        <v>0</v>
      </c>
      <c r="Z40" s="1155">
        <f t="shared" si="16"/>
        <v>1</v>
      </c>
    </row>
    <row r="41" spans="2:26" x14ac:dyDescent="0.2">
      <c r="B41" s="198">
        <v>4</v>
      </c>
      <c r="C41" s="200" t="s">
        <v>1845</v>
      </c>
      <c r="D41" s="340"/>
      <c r="E41" s="271"/>
      <c r="F41" s="862" t="s">
        <v>2546</v>
      </c>
      <c r="G41" s="1163">
        <f t="shared" si="11"/>
        <v>1000</v>
      </c>
      <c r="H41" s="862">
        <v>8</v>
      </c>
      <c r="I41" s="1164">
        <f t="shared" si="12"/>
        <v>32</v>
      </c>
      <c r="J41" s="201"/>
      <c r="K41" s="199"/>
      <c r="L41" s="199"/>
      <c r="M41" s="199"/>
      <c r="N41" s="1430">
        <v>250</v>
      </c>
      <c r="O41" s="294" t="s">
        <v>450</v>
      </c>
      <c r="P41" s="509">
        <f t="shared" si="13"/>
        <v>1000</v>
      </c>
      <c r="Q41" s="297">
        <v>0</v>
      </c>
      <c r="R41" s="294"/>
      <c r="S41" s="1165">
        <f t="shared" si="14"/>
        <v>0</v>
      </c>
      <c r="T41" s="297">
        <v>0</v>
      </c>
      <c r="U41" s="294"/>
      <c r="V41" s="1166">
        <f t="shared" si="17"/>
        <v>0</v>
      </c>
      <c r="W41" s="297">
        <v>0</v>
      </c>
      <c r="X41" s="294"/>
      <c r="Y41" s="1166">
        <f t="shared" si="15"/>
        <v>0</v>
      </c>
      <c r="Z41" s="1155">
        <f t="shared" si="16"/>
        <v>1000</v>
      </c>
    </row>
    <row r="42" spans="2:26" x14ac:dyDescent="0.2">
      <c r="B42" s="198">
        <v>0</v>
      </c>
      <c r="C42" s="200" t="s">
        <v>1845</v>
      </c>
      <c r="D42" s="340"/>
      <c r="E42" s="271"/>
      <c r="F42" s="862"/>
      <c r="G42" s="1163">
        <f t="shared" si="11"/>
        <v>0</v>
      </c>
      <c r="H42" s="862">
        <v>0</v>
      </c>
      <c r="I42" s="1164">
        <f t="shared" si="12"/>
        <v>0</v>
      </c>
      <c r="J42" s="201"/>
      <c r="K42" s="199"/>
      <c r="L42" s="199"/>
      <c r="M42" s="199"/>
      <c r="N42" s="297">
        <v>0</v>
      </c>
      <c r="O42" s="294"/>
      <c r="P42" s="509">
        <f t="shared" si="13"/>
        <v>0</v>
      </c>
      <c r="Q42" s="297">
        <v>0</v>
      </c>
      <c r="R42" s="294"/>
      <c r="S42" s="1165">
        <f t="shared" si="14"/>
        <v>0</v>
      </c>
      <c r="T42" s="297">
        <v>0</v>
      </c>
      <c r="U42" s="294"/>
      <c r="V42" s="1166">
        <f t="shared" si="17"/>
        <v>0</v>
      </c>
      <c r="W42" s="297">
        <v>0</v>
      </c>
      <c r="X42" s="294"/>
      <c r="Y42" s="1166">
        <f t="shared" si="15"/>
        <v>0</v>
      </c>
      <c r="Z42" s="1155">
        <f t="shared" si="16"/>
        <v>0</v>
      </c>
    </row>
    <row r="43" spans="2:26" x14ac:dyDescent="0.2">
      <c r="B43" s="198">
        <v>4</v>
      </c>
      <c r="C43" s="200" t="s">
        <v>1845</v>
      </c>
      <c r="D43" s="340"/>
      <c r="E43" s="271"/>
      <c r="F43" s="862" t="s">
        <v>2564</v>
      </c>
      <c r="G43" s="1163">
        <f t="shared" si="11"/>
        <v>140</v>
      </c>
      <c r="H43" s="862">
        <v>1</v>
      </c>
      <c r="I43" s="1164">
        <f t="shared" si="12"/>
        <v>4</v>
      </c>
      <c r="J43" s="201"/>
      <c r="K43" s="199"/>
      <c r="L43" s="199"/>
      <c r="M43" s="199"/>
      <c r="N43" s="1430">
        <v>35</v>
      </c>
      <c r="O43" s="294" t="s">
        <v>450</v>
      </c>
      <c r="P43" s="509">
        <f t="shared" si="13"/>
        <v>140</v>
      </c>
      <c r="Q43" s="297">
        <v>0</v>
      </c>
      <c r="R43" s="294"/>
      <c r="S43" s="1165">
        <f t="shared" si="14"/>
        <v>0</v>
      </c>
      <c r="T43" s="297">
        <v>0</v>
      </c>
      <c r="U43" s="294"/>
      <c r="V43" s="1166">
        <f t="shared" si="17"/>
        <v>0</v>
      </c>
      <c r="W43" s="297">
        <v>0</v>
      </c>
      <c r="X43" s="294"/>
      <c r="Y43" s="1166">
        <f t="shared" si="15"/>
        <v>0</v>
      </c>
      <c r="Z43" s="1155">
        <f t="shared" si="16"/>
        <v>140</v>
      </c>
    </row>
    <row r="44" spans="2:26" x14ac:dyDescent="0.2">
      <c r="B44" s="198">
        <v>1</v>
      </c>
      <c r="C44" s="200" t="s">
        <v>1845</v>
      </c>
      <c r="D44" s="340"/>
      <c r="E44" s="271"/>
      <c r="F44" s="862" t="s">
        <v>2597</v>
      </c>
      <c r="G44" s="1163">
        <f t="shared" si="11"/>
        <v>5000</v>
      </c>
      <c r="H44" s="862">
        <v>80</v>
      </c>
      <c r="I44" s="1164">
        <f t="shared" si="12"/>
        <v>80</v>
      </c>
      <c r="J44" s="201"/>
      <c r="K44" s="199"/>
      <c r="L44" s="199"/>
      <c r="M44" s="199"/>
      <c r="N44" s="297">
        <v>5000</v>
      </c>
      <c r="O44" s="294" t="s">
        <v>450</v>
      </c>
      <c r="P44" s="509">
        <f t="shared" si="13"/>
        <v>5000</v>
      </c>
      <c r="Q44" s="297">
        <v>0</v>
      </c>
      <c r="R44" s="294"/>
      <c r="S44" s="1165">
        <f t="shared" si="14"/>
        <v>0</v>
      </c>
      <c r="T44" s="297">
        <v>0</v>
      </c>
      <c r="U44" s="294"/>
      <c r="V44" s="1166">
        <f t="shared" si="17"/>
        <v>0</v>
      </c>
      <c r="W44" s="297">
        <v>0</v>
      </c>
      <c r="X44" s="294"/>
      <c r="Y44" s="1166">
        <f t="shared" si="15"/>
        <v>0</v>
      </c>
      <c r="Z44" s="1155">
        <f t="shared" si="16"/>
        <v>5000</v>
      </c>
    </row>
    <row r="45" spans="2:26" x14ac:dyDescent="0.2">
      <c r="B45" s="198">
        <v>10</v>
      </c>
      <c r="C45" s="200" t="s">
        <v>1845</v>
      </c>
      <c r="D45" s="340"/>
      <c r="E45" s="271"/>
      <c r="F45" s="862" t="s">
        <v>2594</v>
      </c>
      <c r="G45" s="1163">
        <f t="shared" si="11"/>
        <v>2500</v>
      </c>
      <c r="H45" s="862">
        <v>2</v>
      </c>
      <c r="I45" s="1164">
        <f t="shared" si="12"/>
        <v>20</v>
      </c>
      <c r="J45" s="201"/>
      <c r="K45" s="199"/>
      <c r="L45" s="199"/>
      <c r="M45" s="199"/>
      <c r="N45" s="297">
        <v>250</v>
      </c>
      <c r="O45" s="294" t="s">
        <v>450</v>
      </c>
      <c r="P45" s="509">
        <f t="shared" si="13"/>
        <v>2500</v>
      </c>
      <c r="Q45" s="297">
        <v>0</v>
      </c>
      <c r="R45" s="294"/>
      <c r="S45" s="1165">
        <f t="shared" si="14"/>
        <v>0</v>
      </c>
      <c r="T45" s="297">
        <v>0</v>
      </c>
      <c r="U45" s="294"/>
      <c r="V45" s="1166">
        <f t="shared" si="17"/>
        <v>0</v>
      </c>
      <c r="W45" s="297">
        <v>0</v>
      </c>
      <c r="X45" s="294"/>
      <c r="Y45" s="1166">
        <f t="shared" si="15"/>
        <v>0</v>
      </c>
      <c r="Z45" s="1155">
        <f t="shared" si="16"/>
        <v>2500</v>
      </c>
    </row>
    <row r="46" spans="2:26" x14ac:dyDescent="0.2">
      <c r="B46" s="198">
        <v>0</v>
      </c>
      <c r="C46" s="200" t="s">
        <v>1845</v>
      </c>
      <c r="D46" s="340"/>
      <c r="E46" s="271"/>
      <c r="F46" s="862"/>
      <c r="G46" s="1163">
        <f t="shared" si="11"/>
        <v>0</v>
      </c>
      <c r="H46" s="862">
        <v>0</v>
      </c>
      <c r="I46" s="1164">
        <f t="shared" si="12"/>
        <v>0</v>
      </c>
      <c r="J46" s="201"/>
      <c r="K46" s="199"/>
      <c r="L46" s="199"/>
      <c r="M46" s="199"/>
      <c r="N46" s="297">
        <v>0</v>
      </c>
      <c r="O46" s="294"/>
      <c r="P46" s="509">
        <f t="shared" si="13"/>
        <v>0</v>
      </c>
      <c r="Q46" s="297">
        <v>0</v>
      </c>
      <c r="R46" s="294"/>
      <c r="S46" s="1165">
        <f t="shared" si="14"/>
        <v>0</v>
      </c>
      <c r="T46" s="297">
        <v>0</v>
      </c>
      <c r="U46" s="294"/>
      <c r="V46" s="1166">
        <f t="shared" si="17"/>
        <v>0</v>
      </c>
      <c r="W46" s="297">
        <v>0</v>
      </c>
      <c r="X46" s="294"/>
      <c r="Y46" s="1166">
        <f t="shared" si="15"/>
        <v>0</v>
      </c>
      <c r="Z46" s="1155">
        <f t="shared" si="16"/>
        <v>0</v>
      </c>
    </row>
    <row r="47" spans="2:26" x14ac:dyDescent="0.2">
      <c r="B47" s="198">
        <v>0</v>
      </c>
      <c r="C47" s="200" t="s">
        <v>1845</v>
      </c>
      <c r="D47" s="340"/>
      <c r="E47" s="271"/>
      <c r="F47" s="862"/>
      <c r="G47" s="1163">
        <f t="shared" si="11"/>
        <v>0</v>
      </c>
      <c r="H47" s="862">
        <v>0</v>
      </c>
      <c r="I47" s="1164">
        <f t="shared" si="12"/>
        <v>0</v>
      </c>
      <c r="J47" s="201"/>
      <c r="K47" s="199"/>
      <c r="L47" s="199"/>
      <c r="M47" s="199"/>
      <c r="N47" s="297">
        <v>0</v>
      </c>
      <c r="O47" s="294"/>
      <c r="P47" s="509">
        <f t="shared" si="13"/>
        <v>0</v>
      </c>
      <c r="Q47" s="297">
        <v>0</v>
      </c>
      <c r="R47" s="294"/>
      <c r="S47" s="1165">
        <f t="shared" si="14"/>
        <v>0</v>
      </c>
      <c r="T47" s="297">
        <v>0</v>
      </c>
      <c r="U47" s="294"/>
      <c r="V47" s="1166">
        <f t="shared" si="17"/>
        <v>0</v>
      </c>
      <c r="W47" s="297">
        <v>0</v>
      </c>
      <c r="X47" s="294"/>
      <c r="Y47" s="1166">
        <f t="shared" si="15"/>
        <v>0</v>
      </c>
      <c r="Z47" s="1155">
        <f t="shared" si="16"/>
        <v>0</v>
      </c>
    </row>
    <row r="48" spans="2:26" x14ac:dyDescent="0.2">
      <c r="B48" s="198">
        <v>0</v>
      </c>
      <c r="C48" s="200" t="s">
        <v>1845</v>
      </c>
      <c r="D48" s="340"/>
      <c r="E48" s="271"/>
      <c r="F48" s="862"/>
      <c r="G48" s="1163">
        <f t="shared" si="11"/>
        <v>0</v>
      </c>
      <c r="H48" s="862">
        <v>0</v>
      </c>
      <c r="I48" s="1164">
        <f t="shared" si="12"/>
        <v>0</v>
      </c>
      <c r="J48" s="201"/>
      <c r="K48" s="199"/>
      <c r="L48" s="199"/>
      <c r="M48" s="199"/>
      <c r="N48" s="297">
        <v>0</v>
      </c>
      <c r="O48" s="294"/>
      <c r="P48" s="509">
        <f t="shared" si="13"/>
        <v>0</v>
      </c>
      <c r="Q48" s="297">
        <v>0</v>
      </c>
      <c r="R48" s="294"/>
      <c r="S48" s="1165">
        <f t="shared" si="14"/>
        <v>0</v>
      </c>
      <c r="T48" s="297">
        <v>0</v>
      </c>
      <c r="U48" s="294"/>
      <c r="V48" s="1166">
        <f t="shared" si="17"/>
        <v>0</v>
      </c>
      <c r="W48" s="297">
        <v>0</v>
      </c>
      <c r="X48" s="294"/>
      <c r="Y48" s="1166">
        <f t="shared" si="15"/>
        <v>0</v>
      </c>
      <c r="Z48" s="1155">
        <f t="shared" si="16"/>
        <v>0</v>
      </c>
    </row>
    <row r="49" spans="2:26" x14ac:dyDescent="0.2">
      <c r="B49" s="198">
        <v>0</v>
      </c>
      <c r="C49" s="200" t="s">
        <v>1845</v>
      </c>
      <c r="D49" s="340"/>
      <c r="E49" s="271"/>
      <c r="F49" s="862"/>
      <c r="G49" s="1163">
        <f t="shared" si="11"/>
        <v>0</v>
      </c>
      <c r="H49" s="862">
        <v>0</v>
      </c>
      <c r="I49" s="1164">
        <f t="shared" si="12"/>
        <v>0</v>
      </c>
      <c r="J49" s="201"/>
      <c r="K49" s="199"/>
      <c r="L49" s="199"/>
      <c r="M49" s="199"/>
      <c r="N49" s="297">
        <v>0</v>
      </c>
      <c r="O49" s="294"/>
      <c r="P49" s="509">
        <f t="shared" si="13"/>
        <v>0</v>
      </c>
      <c r="Q49" s="297">
        <v>0</v>
      </c>
      <c r="R49" s="294"/>
      <c r="S49" s="1165">
        <f t="shared" si="14"/>
        <v>0</v>
      </c>
      <c r="T49" s="297">
        <v>0</v>
      </c>
      <c r="U49" s="294"/>
      <c r="V49" s="1166">
        <f t="shared" si="17"/>
        <v>0</v>
      </c>
      <c r="W49" s="297">
        <v>0</v>
      </c>
      <c r="X49" s="294"/>
      <c r="Y49" s="1166">
        <f t="shared" si="15"/>
        <v>0</v>
      </c>
      <c r="Z49" s="1155">
        <f t="shared" si="16"/>
        <v>0</v>
      </c>
    </row>
    <row r="50" spans="2:26" x14ac:dyDescent="0.2">
      <c r="B50" s="198">
        <v>0</v>
      </c>
      <c r="C50" s="200" t="s">
        <v>1845</v>
      </c>
      <c r="D50" s="340"/>
      <c r="E50" s="271"/>
      <c r="F50" s="862"/>
      <c r="G50" s="1163">
        <f t="shared" si="11"/>
        <v>0</v>
      </c>
      <c r="H50" s="862">
        <v>0</v>
      </c>
      <c r="I50" s="1164">
        <f t="shared" si="12"/>
        <v>0</v>
      </c>
      <c r="J50" s="201"/>
      <c r="K50" s="199"/>
      <c r="L50" s="199"/>
      <c r="M50" s="199"/>
      <c r="N50" s="297">
        <v>0</v>
      </c>
      <c r="O50" s="294"/>
      <c r="P50" s="509">
        <f t="shared" si="13"/>
        <v>0</v>
      </c>
      <c r="Q50" s="297">
        <v>0</v>
      </c>
      <c r="R50" s="294"/>
      <c r="S50" s="1165">
        <f t="shared" si="14"/>
        <v>0</v>
      </c>
      <c r="T50" s="297">
        <v>0</v>
      </c>
      <c r="U50" s="294"/>
      <c r="V50" s="1166">
        <f t="shared" si="17"/>
        <v>0</v>
      </c>
      <c r="W50" s="297">
        <v>0</v>
      </c>
      <c r="X50" s="294"/>
      <c r="Y50" s="1166">
        <f t="shared" si="15"/>
        <v>0</v>
      </c>
      <c r="Z50" s="1155">
        <f t="shared" si="16"/>
        <v>0</v>
      </c>
    </row>
    <row r="51" spans="2:26" x14ac:dyDescent="0.2">
      <c r="B51" s="198">
        <v>0</v>
      </c>
      <c r="C51" s="200" t="s">
        <v>1845</v>
      </c>
      <c r="D51" s="340"/>
      <c r="E51" s="271"/>
      <c r="F51" s="862"/>
      <c r="G51" s="1163">
        <f t="shared" si="11"/>
        <v>0</v>
      </c>
      <c r="H51" s="862">
        <v>0</v>
      </c>
      <c r="I51" s="1164">
        <f t="shared" si="12"/>
        <v>0</v>
      </c>
      <c r="J51" s="201"/>
      <c r="K51" s="199"/>
      <c r="L51" s="199"/>
      <c r="M51" s="199"/>
      <c r="N51" s="297">
        <v>0</v>
      </c>
      <c r="O51" s="294"/>
      <c r="P51" s="509">
        <f t="shared" si="13"/>
        <v>0</v>
      </c>
      <c r="Q51" s="297">
        <v>0</v>
      </c>
      <c r="R51" s="294"/>
      <c r="S51" s="1165">
        <f t="shared" si="14"/>
        <v>0</v>
      </c>
      <c r="T51" s="297">
        <v>0</v>
      </c>
      <c r="U51" s="294"/>
      <c r="V51" s="1166">
        <f t="shared" si="17"/>
        <v>0</v>
      </c>
      <c r="W51" s="297">
        <v>0</v>
      </c>
      <c r="X51" s="294"/>
      <c r="Y51" s="1166">
        <f t="shared" si="15"/>
        <v>0</v>
      </c>
      <c r="Z51" s="1155">
        <f t="shared" si="16"/>
        <v>0</v>
      </c>
    </row>
    <row r="52" spans="2:26" x14ac:dyDescent="0.2">
      <c r="B52" s="198">
        <v>0</v>
      </c>
      <c r="C52" s="200" t="s">
        <v>1845</v>
      </c>
      <c r="D52" s="340"/>
      <c r="E52" s="271"/>
      <c r="F52" s="862"/>
      <c r="G52" s="1163">
        <f t="shared" si="11"/>
        <v>0</v>
      </c>
      <c r="H52" s="862">
        <v>0</v>
      </c>
      <c r="I52" s="1164">
        <f t="shared" si="12"/>
        <v>0</v>
      </c>
      <c r="J52" s="201"/>
      <c r="K52" s="199"/>
      <c r="L52" s="199"/>
      <c r="M52" s="199"/>
      <c r="N52" s="297">
        <v>0</v>
      </c>
      <c r="O52" s="294"/>
      <c r="P52" s="509">
        <f t="shared" si="13"/>
        <v>0</v>
      </c>
      <c r="Q52" s="297">
        <v>0</v>
      </c>
      <c r="R52" s="294"/>
      <c r="S52" s="1165">
        <f t="shared" si="14"/>
        <v>0</v>
      </c>
      <c r="T52" s="297">
        <v>0</v>
      </c>
      <c r="U52" s="294"/>
      <c r="V52" s="1166">
        <f t="shared" si="17"/>
        <v>0</v>
      </c>
      <c r="W52" s="297">
        <v>0</v>
      </c>
      <c r="X52" s="294"/>
      <c r="Y52" s="1166">
        <f t="shared" si="15"/>
        <v>0</v>
      </c>
      <c r="Z52" s="1155">
        <f t="shared" si="16"/>
        <v>0</v>
      </c>
    </row>
    <row r="53" spans="2:26" x14ac:dyDescent="0.2">
      <c r="B53" s="198">
        <v>0</v>
      </c>
      <c r="C53" s="200" t="s">
        <v>1845</v>
      </c>
      <c r="D53" s="340"/>
      <c r="E53" s="271"/>
      <c r="F53" s="862"/>
      <c r="G53" s="1163">
        <f t="shared" si="11"/>
        <v>0</v>
      </c>
      <c r="H53" s="862">
        <v>0</v>
      </c>
      <c r="I53" s="1164">
        <f t="shared" si="12"/>
        <v>0</v>
      </c>
      <c r="J53" s="201"/>
      <c r="K53" s="199"/>
      <c r="L53" s="199"/>
      <c r="M53" s="199"/>
      <c r="N53" s="297">
        <v>0</v>
      </c>
      <c r="O53" s="294"/>
      <c r="P53" s="509">
        <f t="shared" si="13"/>
        <v>0</v>
      </c>
      <c r="Q53" s="297">
        <v>0</v>
      </c>
      <c r="R53" s="294"/>
      <c r="S53" s="1165">
        <f t="shared" si="14"/>
        <v>0</v>
      </c>
      <c r="T53" s="297">
        <v>0</v>
      </c>
      <c r="U53" s="294"/>
      <c r="V53" s="1166">
        <f t="shared" si="17"/>
        <v>0</v>
      </c>
      <c r="W53" s="297">
        <v>0</v>
      </c>
      <c r="X53" s="294"/>
      <c r="Y53" s="1166">
        <f t="shared" si="15"/>
        <v>0</v>
      </c>
      <c r="Z53" s="1155">
        <f t="shared" si="16"/>
        <v>0</v>
      </c>
    </row>
    <row r="54" spans="2:26" s="117" customFormat="1" x14ac:dyDescent="0.2">
      <c r="B54" s="198">
        <v>0</v>
      </c>
      <c r="C54" s="200" t="s">
        <v>1845</v>
      </c>
      <c r="D54" s="340"/>
      <c r="E54" s="271"/>
      <c r="F54" s="862"/>
      <c r="G54" s="1163">
        <f t="shared" si="11"/>
        <v>0</v>
      </c>
      <c r="H54" s="862">
        <v>0</v>
      </c>
      <c r="I54" s="1164">
        <f t="shared" si="12"/>
        <v>0</v>
      </c>
      <c r="J54" s="201"/>
      <c r="K54" s="199"/>
      <c r="L54" s="199"/>
      <c r="M54" s="199"/>
      <c r="N54" s="297">
        <v>0</v>
      </c>
      <c r="O54" s="294"/>
      <c r="P54" s="509">
        <f t="shared" si="13"/>
        <v>0</v>
      </c>
      <c r="Q54" s="297">
        <v>0</v>
      </c>
      <c r="R54" s="294"/>
      <c r="S54" s="1165">
        <f t="shared" si="14"/>
        <v>0</v>
      </c>
      <c r="T54" s="297">
        <v>0</v>
      </c>
      <c r="U54" s="294"/>
      <c r="V54" s="1166">
        <f t="shared" si="17"/>
        <v>0</v>
      </c>
      <c r="W54" s="297">
        <v>0</v>
      </c>
      <c r="X54" s="294"/>
      <c r="Y54" s="1166">
        <f t="shared" si="15"/>
        <v>0</v>
      </c>
      <c r="Z54" s="1155">
        <f t="shared" si="16"/>
        <v>0</v>
      </c>
    </row>
    <row r="55" spans="2:26" x14ac:dyDescent="0.2">
      <c r="B55" s="198">
        <v>0</v>
      </c>
      <c r="C55" s="200" t="s">
        <v>1845</v>
      </c>
      <c r="D55" s="340"/>
      <c r="E55" s="271"/>
      <c r="F55" s="862"/>
      <c r="G55" s="1163">
        <f t="shared" si="11"/>
        <v>0</v>
      </c>
      <c r="H55" s="862">
        <v>0</v>
      </c>
      <c r="I55" s="1164">
        <f t="shared" si="12"/>
        <v>0</v>
      </c>
      <c r="J55" s="201"/>
      <c r="K55" s="199"/>
      <c r="L55" s="199"/>
      <c r="M55" s="199"/>
      <c r="N55" s="297">
        <v>0</v>
      </c>
      <c r="O55" s="294"/>
      <c r="P55" s="509">
        <f t="shared" si="13"/>
        <v>0</v>
      </c>
      <c r="Q55" s="297">
        <v>0</v>
      </c>
      <c r="R55" s="294"/>
      <c r="S55" s="1165">
        <f t="shared" si="14"/>
        <v>0</v>
      </c>
      <c r="T55" s="297">
        <v>0</v>
      </c>
      <c r="U55" s="294"/>
      <c r="V55" s="1166">
        <f t="shared" si="17"/>
        <v>0</v>
      </c>
      <c r="W55" s="297">
        <v>0</v>
      </c>
      <c r="X55" s="294"/>
      <c r="Y55" s="1166">
        <f t="shared" si="15"/>
        <v>0</v>
      </c>
      <c r="Z55" s="1155">
        <f t="shared" si="16"/>
        <v>0</v>
      </c>
    </row>
    <row r="56" spans="2:26" x14ac:dyDescent="0.2">
      <c r="B56" s="198">
        <v>0</v>
      </c>
      <c r="C56" s="200" t="s">
        <v>1845</v>
      </c>
      <c r="D56" s="340"/>
      <c r="E56" s="271"/>
      <c r="F56" s="862"/>
      <c r="G56" s="1163">
        <f t="shared" si="11"/>
        <v>0</v>
      </c>
      <c r="H56" s="862">
        <v>0</v>
      </c>
      <c r="I56" s="1164">
        <f t="shared" si="12"/>
        <v>0</v>
      </c>
      <c r="J56" s="201"/>
      <c r="K56" s="199"/>
      <c r="L56" s="199"/>
      <c r="M56" s="199"/>
      <c r="N56" s="297">
        <v>0</v>
      </c>
      <c r="O56" s="294"/>
      <c r="P56" s="509">
        <f t="shared" si="13"/>
        <v>0</v>
      </c>
      <c r="Q56" s="297">
        <v>0</v>
      </c>
      <c r="R56" s="294"/>
      <c r="S56" s="1165">
        <f t="shared" si="14"/>
        <v>0</v>
      </c>
      <c r="T56" s="297">
        <v>0</v>
      </c>
      <c r="U56" s="294"/>
      <c r="V56" s="1166">
        <f t="shared" si="17"/>
        <v>0</v>
      </c>
      <c r="W56" s="297">
        <v>0</v>
      </c>
      <c r="X56" s="294"/>
      <c r="Y56" s="1166">
        <f t="shared" si="15"/>
        <v>0</v>
      </c>
      <c r="Z56" s="1155">
        <f t="shared" si="16"/>
        <v>0</v>
      </c>
    </row>
    <row r="57" spans="2:26" x14ac:dyDescent="0.2">
      <c r="B57" s="198">
        <v>0</v>
      </c>
      <c r="C57" s="200" t="s">
        <v>1845</v>
      </c>
      <c r="D57" s="340"/>
      <c r="E57" s="271"/>
      <c r="F57" s="862"/>
      <c r="G57" s="1163">
        <f t="shared" si="11"/>
        <v>0</v>
      </c>
      <c r="H57" s="862">
        <v>0</v>
      </c>
      <c r="I57" s="1164">
        <f t="shared" si="12"/>
        <v>0</v>
      </c>
      <c r="J57" s="201"/>
      <c r="K57" s="199"/>
      <c r="L57" s="199"/>
      <c r="M57" s="199"/>
      <c r="N57" s="297">
        <v>0</v>
      </c>
      <c r="O57" s="294"/>
      <c r="P57" s="509">
        <f t="shared" si="13"/>
        <v>0</v>
      </c>
      <c r="Q57" s="297">
        <v>0</v>
      </c>
      <c r="R57" s="294"/>
      <c r="S57" s="1165">
        <f t="shared" si="14"/>
        <v>0</v>
      </c>
      <c r="T57" s="297">
        <v>0</v>
      </c>
      <c r="U57" s="294"/>
      <c r="V57" s="1166">
        <f t="shared" si="17"/>
        <v>0</v>
      </c>
      <c r="W57" s="297">
        <v>0</v>
      </c>
      <c r="X57" s="294"/>
      <c r="Y57" s="1166">
        <f t="shared" si="15"/>
        <v>0</v>
      </c>
      <c r="Z57" s="1155">
        <f t="shared" si="16"/>
        <v>0</v>
      </c>
    </row>
    <row r="58" spans="2:26" x14ac:dyDescent="0.2">
      <c r="B58" s="198">
        <v>0</v>
      </c>
      <c r="C58" s="200" t="s">
        <v>1845</v>
      </c>
      <c r="D58" s="340"/>
      <c r="E58" s="271"/>
      <c r="F58" s="862"/>
      <c r="G58" s="1163">
        <f t="shared" si="11"/>
        <v>0</v>
      </c>
      <c r="H58" s="862">
        <v>0</v>
      </c>
      <c r="I58" s="1164">
        <f t="shared" si="12"/>
        <v>0</v>
      </c>
      <c r="J58" s="201"/>
      <c r="K58" s="199"/>
      <c r="L58" s="199"/>
      <c r="M58" s="199"/>
      <c r="N58" s="297">
        <v>0</v>
      </c>
      <c r="O58" s="294"/>
      <c r="P58" s="509">
        <f t="shared" si="13"/>
        <v>0</v>
      </c>
      <c r="Q58" s="297">
        <v>0</v>
      </c>
      <c r="R58" s="294"/>
      <c r="S58" s="1165">
        <f t="shared" si="14"/>
        <v>0</v>
      </c>
      <c r="T58" s="297">
        <v>0</v>
      </c>
      <c r="U58" s="294"/>
      <c r="V58" s="1166">
        <f t="shared" si="17"/>
        <v>0</v>
      </c>
      <c r="W58" s="297">
        <v>0</v>
      </c>
      <c r="X58" s="294"/>
      <c r="Y58" s="1166">
        <f t="shared" si="15"/>
        <v>0</v>
      </c>
      <c r="Z58" s="1155">
        <f t="shared" si="16"/>
        <v>0</v>
      </c>
    </row>
    <row r="59" spans="2:26" x14ac:dyDescent="0.2">
      <c r="B59" s="198">
        <v>0</v>
      </c>
      <c r="C59" s="200" t="s">
        <v>1845</v>
      </c>
      <c r="D59" s="340"/>
      <c r="E59" s="271"/>
      <c r="F59" s="862"/>
      <c r="G59" s="1163">
        <f t="shared" si="11"/>
        <v>0</v>
      </c>
      <c r="H59" s="862">
        <v>0</v>
      </c>
      <c r="I59" s="1164">
        <f t="shared" si="12"/>
        <v>0</v>
      </c>
      <c r="J59" s="201"/>
      <c r="K59" s="199"/>
      <c r="L59" s="199"/>
      <c r="M59" s="199"/>
      <c r="N59" s="297">
        <v>0</v>
      </c>
      <c r="O59" s="294"/>
      <c r="P59" s="509">
        <f t="shared" si="13"/>
        <v>0</v>
      </c>
      <c r="Q59" s="297">
        <v>0</v>
      </c>
      <c r="R59" s="294"/>
      <c r="S59" s="1165">
        <f t="shared" si="14"/>
        <v>0</v>
      </c>
      <c r="T59" s="297">
        <v>0</v>
      </c>
      <c r="U59" s="294"/>
      <c r="V59" s="1166">
        <f t="shared" si="17"/>
        <v>0</v>
      </c>
      <c r="W59" s="297">
        <v>0</v>
      </c>
      <c r="X59" s="294"/>
      <c r="Y59" s="1166">
        <f t="shared" si="15"/>
        <v>0</v>
      </c>
      <c r="Z59" s="1155">
        <f t="shared" si="16"/>
        <v>0</v>
      </c>
    </row>
    <row r="60" spans="2:26" x14ac:dyDescent="0.2">
      <c r="B60" s="198">
        <v>0</v>
      </c>
      <c r="C60" s="200" t="s">
        <v>1845</v>
      </c>
      <c r="D60" s="340"/>
      <c r="E60" s="271"/>
      <c r="F60" s="862"/>
      <c r="G60" s="1163">
        <f t="shared" si="11"/>
        <v>0</v>
      </c>
      <c r="H60" s="862">
        <v>0</v>
      </c>
      <c r="I60" s="1164">
        <f t="shared" si="12"/>
        <v>0</v>
      </c>
      <c r="J60" s="201"/>
      <c r="K60" s="199"/>
      <c r="L60" s="199"/>
      <c r="M60" s="199"/>
      <c r="N60" s="297">
        <v>0</v>
      </c>
      <c r="O60" s="294"/>
      <c r="P60" s="509">
        <f t="shared" si="13"/>
        <v>0</v>
      </c>
      <c r="Q60" s="297">
        <v>0</v>
      </c>
      <c r="R60" s="294"/>
      <c r="S60" s="1165">
        <f t="shared" si="14"/>
        <v>0</v>
      </c>
      <c r="T60" s="297">
        <v>0</v>
      </c>
      <c r="U60" s="294"/>
      <c r="V60" s="1166">
        <f t="shared" si="17"/>
        <v>0</v>
      </c>
      <c r="W60" s="297">
        <v>0</v>
      </c>
      <c r="X60" s="294"/>
      <c r="Y60" s="1166">
        <f t="shared" si="15"/>
        <v>0</v>
      </c>
      <c r="Z60" s="1155">
        <f t="shared" si="16"/>
        <v>0</v>
      </c>
    </row>
    <row r="61" spans="2:26" x14ac:dyDescent="0.2">
      <c r="B61" s="198">
        <v>0</v>
      </c>
      <c r="C61" s="200" t="s">
        <v>1845</v>
      </c>
      <c r="D61" s="340"/>
      <c r="E61" s="271"/>
      <c r="F61" s="862"/>
      <c r="G61" s="1163">
        <f t="shared" si="11"/>
        <v>0</v>
      </c>
      <c r="H61" s="862">
        <v>0</v>
      </c>
      <c r="I61" s="1164">
        <f t="shared" si="12"/>
        <v>0</v>
      </c>
      <c r="J61" s="201"/>
      <c r="K61" s="199"/>
      <c r="L61" s="199"/>
      <c r="M61" s="199"/>
      <c r="N61" s="297">
        <v>0</v>
      </c>
      <c r="O61" s="294"/>
      <c r="P61" s="509">
        <f t="shared" si="13"/>
        <v>0</v>
      </c>
      <c r="Q61" s="297">
        <v>0</v>
      </c>
      <c r="R61" s="294"/>
      <c r="S61" s="1165">
        <f t="shared" si="14"/>
        <v>0</v>
      </c>
      <c r="T61" s="297">
        <v>0</v>
      </c>
      <c r="U61" s="294"/>
      <c r="V61" s="1166">
        <f t="shared" si="17"/>
        <v>0</v>
      </c>
      <c r="W61" s="297">
        <v>0</v>
      </c>
      <c r="X61" s="294"/>
      <c r="Y61" s="1166">
        <f t="shared" si="15"/>
        <v>0</v>
      </c>
      <c r="Z61" s="1155">
        <f t="shared" si="16"/>
        <v>0</v>
      </c>
    </row>
    <row r="62" spans="2:26" x14ac:dyDescent="0.2">
      <c r="B62" s="198">
        <v>0</v>
      </c>
      <c r="C62" s="200" t="s">
        <v>1845</v>
      </c>
      <c r="D62" s="340"/>
      <c r="E62" s="271"/>
      <c r="F62" s="862"/>
      <c r="G62" s="1163">
        <f t="shared" si="11"/>
        <v>0</v>
      </c>
      <c r="H62" s="862">
        <v>0</v>
      </c>
      <c r="I62" s="1164">
        <f t="shared" ref="I62:I83" si="18">H62*B62</f>
        <v>0</v>
      </c>
      <c r="J62" s="201"/>
      <c r="K62" s="199"/>
      <c r="L62" s="199"/>
      <c r="M62" s="199"/>
      <c r="N62" s="297">
        <v>0</v>
      </c>
      <c r="O62" s="294"/>
      <c r="P62" s="509">
        <f t="shared" ref="P62:P83" si="19">N62*B62</f>
        <v>0</v>
      </c>
      <c r="Q62" s="297">
        <v>0</v>
      </c>
      <c r="R62" s="294"/>
      <c r="S62" s="1165">
        <f t="shared" ref="S62:S83" si="20">Q62*B62</f>
        <v>0</v>
      </c>
      <c r="T62" s="297">
        <v>0</v>
      </c>
      <c r="U62" s="294"/>
      <c r="V62" s="1166">
        <f t="shared" si="17"/>
        <v>0</v>
      </c>
      <c r="W62" s="297">
        <v>0</v>
      </c>
      <c r="X62" s="294"/>
      <c r="Y62" s="1166">
        <f t="shared" ref="Y62:Y83" si="21">W62*B62</f>
        <v>0</v>
      </c>
      <c r="Z62" s="1155">
        <f t="shared" si="16"/>
        <v>0</v>
      </c>
    </row>
    <row r="63" spans="2:26" x14ac:dyDescent="0.2">
      <c r="B63" s="198">
        <v>0</v>
      </c>
      <c r="C63" s="200" t="s">
        <v>1845</v>
      </c>
      <c r="D63" s="340"/>
      <c r="E63" s="271"/>
      <c r="F63" s="862"/>
      <c r="G63" s="1163">
        <f t="shared" si="11"/>
        <v>0</v>
      </c>
      <c r="H63" s="862">
        <v>0</v>
      </c>
      <c r="I63" s="1164">
        <f t="shared" si="18"/>
        <v>0</v>
      </c>
      <c r="J63" s="201"/>
      <c r="K63" s="199"/>
      <c r="L63" s="199"/>
      <c r="M63" s="199"/>
      <c r="N63" s="297">
        <v>0</v>
      </c>
      <c r="O63" s="294"/>
      <c r="P63" s="509">
        <f t="shared" si="19"/>
        <v>0</v>
      </c>
      <c r="Q63" s="297">
        <v>0</v>
      </c>
      <c r="R63" s="294"/>
      <c r="S63" s="1165">
        <f t="shared" si="20"/>
        <v>0</v>
      </c>
      <c r="T63" s="297">
        <v>0</v>
      </c>
      <c r="U63" s="294"/>
      <c r="V63" s="1166">
        <f t="shared" si="17"/>
        <v>0</v>
      </c>
      <c r="W63" s="297">
        <v>0</v>
      </c>
      <c r="X63" s="294"/>
      <c r="Y63" s="1166">
        <f t="shared" si="21"/>
        <v>0</v>
      </c>
      <c r="Z63" s="1155">
        <f t="shared" si="16"/>
        <v>0</v>
      </c>
    </row>
    <row r="64" spans="2:26" x14ac:dyDescent="0.2">
      <c r="B64" s="198">
        <v>0</v>
      </c>
      <c r="C64" s="200" t="s">
        <v>1845</v>
      </c>
      <c r="D64" s="340"/>
      <c r="E64" s="271"/>
      <c r="F64" s="862"/>
      <c r="G64" s="1163">
        <f t="shared" si="11"/>
        <v>0</v>
      </c>
      <c r="H64" s="862">
        <v>0</v>
      </c>
      <c r="I64" s="1164">
        <f t="shared" si="18"/>
        <v>0</v>
      </c>
      <c r="J64" s="201"/>
      <c r="K64" s="199"/>
      <c r="L64" s="199"/>
      <c r="M64" s="199"/>
      <c r="N64" s="297">
        <v>0</v>
      </c>
      <c r="O64" s="294"/>
      <c r="P64" s="509">
        <f t="shared" si="19"/>
        <v>0</v>
      </c>
      <c r="Q64" s="297">
        <v>0</v>
      </c>
      <c r="R64" s="294"/>
      <c r="S64" s="1165">
        <f t="shared" si="20"/>
        <v>0</v>
      </c>
      <c r="T64" s="297">
        <v>0</v>
      </c>
      <c r="U64" s="294"/>
      <c r="V64" s="1166">
        <f t="shared" si="17"/>
        <v>0</v>
      </c>
      <c r="W64" s="297">
        <v>0</v>
      </c>
      <c r="X64" s="294"/>
      <c r="Y64" s="1166">
        <f t="shared" si="21"/>
        <v>0</v>
      </c>
      <c r="Z64" s="1155">
        <f t="shared" si="16"/>
        <v>0</v>
      </c>
    </row>
    <row r="65" spans="2:26" x14ac:dyDescent="0.2">
      <c r="B65" s="198">
        <v>0</v>
      </c>
      <c r="C65" s="200" t="s">
        <v>1845</v>
      </c>
      <c r="D65" s="340"/>
      <c r="E65" s="271"/>
      <c r="F65" s="862"/>
      <c r="G65" s="1163">
        <f t="shared" si="11"/>
        <v>0</v>
      </c>
      <c r="H65" s="862">
        <v>0</v>
      </c>
      <c r="I65" s="1164">
        <f t="shared" si="18"/>
        <v>0</v>
      </c>
      <c r="J65" s="201"/>
      <c r="K65" s="199"/>
      <c r="L65" s="199"/>
      <c r="M65" s="199"/>
      <c r="N65" s="297">
        <v>0</v>
      </c>
      <c r="O65" s="294"/>
      <c r="P65" s="509">
        <f t="shared" si="19"/>
        <v>0</v>
      </c>
      <c r="Q65" s="297">
        <v>0</v>
      </c>
      <c r="R65" s="294"/>
      <c r="S65" s="1165">
        <f t="shared" si="20"/>
        <v>0</v>
      </c>
      <c r="T65" s="297">
        <v>0</v>
      </c>
      <c r="U65" s="294"/>
      <c r="V65" s="1166">
        <f t="shared" si="17"/>
        <v>0</v>
      </c>
      <c r="W65" s="297">
        <v>0</v>
      </c>
      <c r="X65" s="294"/>
      <c r="Y65" s="1166">
        <f t="shared" si="21"/>
        <v>0</v>
      </c>
      <c r="Z65" s="1155">
        <f t="shared" si="16"/>
        <v>0</v>
      </c>
    </row>
    <row r="66" spans="2:26" x14ac:dyDescent="0.2">
      <c r="B66" s="198">
        <v>0</v>
      </c>
      <c r="C66" s="200" t="s">
        <v>1845</v>
      </c>
      <c r="D66" s="340"/>
      <c r="E66" s="271"/>
      <c r="F66" s="862"/>
      <c r="G66" s="1163">
        <f t="shared" si="11"/>
        <v>0</v>
      </c>
      <c r="H66" s="862">
        <v>0</v>
      </c>
      <c r="I66" s="1164">
        <f t="shared" si="18"/>
        <v>0</v>
      </c>
      <c r="J66" s="201"/>
      <c r="K66" s="199"/>
      <c r="L66" s="199"/>
      <c r="M66" s="199"/>
      <c r="N66" s="297">
        <v>0</v>
      </c>
      <c r="O66" s="294"/>
      <c r="P66" s="509">
        <f t="shared" si="19"/>
        <v>0</v>
      </c>
      <c r="Q66" s="297">
        <v>0</v>
      </c>
      <c r="R66" s="294"/>
      <c r="S66" s="1165">
        <f t="shared" si="20"/>
        <v>0</v>
      </c>
      <c r="T66" s="297">
        <v>0</v>
      </c>
      <c r="U66" s="294"/>
      <c r="V66" s="1166">
        <f t="shared" si="17"/>
        <v>0</v>
      </c>
      <c r="W66" s="297">
        <v>0</v>
      </c>
      <c r="X66" s="294"/>
      <c r="Y66" s="1166">
        <f t="shared" si="21"/>
        <v>0</v>
      </c>
      <c r="Z66" s="1155">
        <f t="shared" si="16"/>
        <v>0</v>
      </c>
    </row>
    <row r="67" spans="2:26" x14ac:dyDescent="0.2">
      <c r="B67" s="198">
        <v>0</v>
      </c>
      <c r="C67" s="200" t="s">
        <v>1845</v>
      </c>
      <c r="D67" s="340"/>
      <c r="E67" s="271"/>
      <c r="F67" s="862"/>
      <c r="G67" s="1163">
        <f t="shared" si="11"/>
        <v>0</v>
      </c>
      <c r="H67" s="862">
        <v>0</v>
      </c>
      <c r="I67" s="1164">
        <f t="shared" si="18"/>
        <v>0</v>
      </c>
      <c r="J67" s="201"/>
      <c r="K67" s="199"/>
      <c r="L67" s="199"/>
      <c r="M67" s="199"/>
      <c r="N67" s="297">
        <v>0</v>
      </c>
      <c r="O67" s="294"/>
      <c r="P67" s="509">
        <f t="shared" si="19"/>
        <v>0</v>
      </c>
      <c r="Q67" s="297">
        <v>0</v>
      </c>
      <c r="R67" s="294"/>
      <c r="S67" s="1165">
        <f t="shared" si="20"/>
        <v>0</v>
      </c>
      <c r="T67" s="297">
        <v>0</v>
      </c>
      <c r="U67" s="294"/>
      <c r="V67" s="1166">
        <f t="shared" si="17"/>
        <v>0</v>
      </c>
      <c r="W67" s="297">
        <v>0</v>
      </c>
      <c r="X67" s="294"/>
      <c r="Y67" s="1166">
        <f t="shared" si="21"/>
        <v>0</v>
      </c>
      <c r="Z67" s="1155">
        <f t="shared" si="16"/>
        <v>0</v>
      </c>
    </row>
    <row r="68" spans="2:26" x14ac:dyDescent="0.2">
      <c r="B68" s="198">
        <v>0</v>
      </c>
      <c r="C68" s="200" t="s">
        <v>1845</v>
      </c>
      <c r="D68" s="340"/>
      <c r="E68" s="271"/>
      <c r="F68" s="862"/>
      <c r="G68" s="1163">
        <f t="shared" si="11"/>
        <v>0</v>
      </c>
      <c r="H68" s="862">
        <v>0</v>
      </c>
      <c r="I68" s="1164">
        <f t="shared" si="18"/>
        <v>0</v>
      </c>
      <c r="J68" s="201"/>
      <c r="K68" s="199"/>
      <c r="L68" s="199"/>
      <c r="M68" s="199"/>
      <c r="N68" s="297">
        <v>0</v>
      </c>
      <c r="O68" s="294"/>
      <c r="P68" s="509">
        <f t="shared" si="19"/>
        <v>0</v>
      </c>
      <c r="Q68" s="297">
        <v>0</v>
      </c>
      <c r="R68" s="294"/>
      <c r="S68" s="1165">
        <f t="shared" si="20"/>
        <v>0</v>
      </c>
      <c r="T68" s="297">
        <v>0</v>
      </c>
      <c r="U68" s="294"/>
      <c r="V68" s="1166">
        <f t="shared" si="17"/>
        <v>0</v>
      </c>
      <c r="W68" s="297">
        <v>0</v>
      </c>
      <c r="X68" s="294"/>
      <c r="Y68" s="1166">
        <f t="shared" si="21"/>
        <v>0</v>
      </c>
      <c r="Z68" s="1155">
        <f t="shared" si="16"/>
        <v>0</v>
      </c>
    </row>
    <row r="69" spans="2:26" x14ac:dyDescent="0.2">
      <c r="B69" s="198">
        <v>0</v>
      </c>
      <c r="C69" s="200" t="s">
        <v>1845</v>
      </c>
      <c r="D69" s="340"/>
      <c r="E69" s="271"/>
      <c r="F69" s="862"/>
      <c r="G69" s="1163">
        <f t="shared" si="11"/>
        <v>0</v>
      </c>
      <c r="H69" s="862">
        <v>0</v>
      </c>
      <c r="I69" s="1164">
        <f t="shared" si="18"/>
        <v>0</v>
      </c>
      <c r="J69" s="201"/>
      <c r="K69" s="199"/>
      <c r="L69" s="199"/>
      <c r="M69" s="199"/>
      <c r="N69" s="297">
        <v>0</v>
      </c>
      <c r="O69" s="294"/>
      <c r="P69" s="509">
        <f t="shared" si="19"/>
        <v>0</v>
      </c>
      <c r="Q69" s="297">
        <v>0</v>
      </c>
      <c r="R69" s="294"/>
      <c r="S69" s="1165">
        <f t="shared" si="20"/>
        <v>0</v>
      </c>
      <c r="T69" s="297">
        <v>0</v>
      </c>
      <c r="U69" s="294"/>
      <c r="V69" s="1166">
        <f t="shared" si="17"/>
        <v>0</v>
      </c>
      <c r="W69" s="297">
        <v>0</v>
      </c>
      <c r="X69" s="294"/>
      <c r="Y69" s="1166">
        <f t="shared" si="21"/>
        <v>0</v>
      </c>
      <c r="Z69" s="1155">
        <f t="shared" si="16"/>
        <v>0</v>
      </c>
    </row>
    <row r="70" spans="2:26" x14ac:dyDescent="0.2">
      <c r="B70" s="198">
        <v>0</v>
      </c>
      <c r="C70" s="200" t="s">
        <v>1845</v>
      </c>
      <c r="D70" s="340"/>
      <c r="E70" s="271"/>
      <c r="F70" s="862"/>
      <c r="G70" s="1163">
        <f t="shared" si="11"/>
        <v>0</v>
      </c>
      <c r="H70" s="862">
        <v>0</v>
      </c>
      <c r="I70" s="1164">
        <f t="shared" si="18"/>
        <v>0</v>
      </c>
      <c r="J70" s="201"/>
      <c r="K70" s="199"/>
      <c r="L70" s="199"/>
      <c r="M70" s="199"/>
      <c r="N70" s="297">
        <v>0</v>
      </c>
      <c r="O70" s="294"/>
      <c r="P70" s="509">
        <f t="shared" si="19"/>
        <v>0</v>
      </c>
      <c r="Q70" s="297">
        <v>0</v>
      </c>
      <c r="R70" s="294"/>
      <c r="S70" s="1165">
        <f t="shared" si="20"/>
        <v>0</v>
      </c>
      <c r="T70" s="297">
        <v>0</v>
      </c>
      <c r="U70" s="294"/>
      <c r="V70" s="1166">
        <f t="shared" si="17"/>
        <v>0</v>
      </c>
      <c r="W70" s="297">
        <v>0</v>
      </c>
      <c r="X70" s="294"/>
      <c r="Y70" s="1166">
        <f t="shared" si="21"/>
        <v>0</v>
      </c>
      <c r="Z70" s="1155">
        <f t="shared" si="16"/>
        <v>0</v>
      </c>
    </row>
    <row r="71" spans="2:26" x14ac:dyDescent="0.2">
      <c r="B71" s="198">
        <v>0</v>
      </c>
      <c r="C71" s="200" t="s">
        <v>1845</v>
      </c>
      <c r="D71" s="340"/>
      <c r="E71" s="271"/>
      <c r="F71" s="862"/>
      <c r="G71" s="1163">
        <f t="shared" si="11"/>
        <v>0</v>
      </c>
      <c r="H71" s="862">
        <v>0</v>
      </c>
      <c r="I71" s="1164">
        <f t="shared" si="18"/>
        <v>0</v>
      </c>
      <c r="J71" s="201"/>
      <c r="K71" s="199"/>
      <c r="L71" s="199"/>
      <c r="M71" s="199"/>
      <c r="N71" s="297">
        <v>0</v>
      </c>
      <c r="O71" s="294"/>
      <c r="P71" s="509">
        <f t="shared" si="19"/>
        <v>0</v>
      </c>
      <c r="Q71" s="297">
        <v>0</v>
      </c>
      <c r="R71" s="294"/>
      <c r="S71" s="1165">
        <f t="shared" si="20"/>
        <v>0</v>
      </c>
      <c r="T71" s="297">
        <v>0</v>
      </c>
      <c r="U71" s="294"/>
      <c r="V71" s="1166">
        <f t="shared" si="17"/>
        <v>0</v>
      </c>
      <c r="W71" s="297">
        <v>0</v>
      </c>
      <c r="X71" s="294"/>
      <c r="Y71" s="1166">
        <f t="shared" si="21"/>
        <v>0</v>
      </c>
      <c r="Z71" s="1155">
        <f t="shared" si="16"/>
        <v>0</v>
      </c>
    </row>
    <row r="72" spans="2:26" x14ac:dyDescent="0.2">
      <c r="B72" s="198">
        <v>0</v>
      </c>
      <c r="C72" s="200" t="s">
        <v>1845</v>
      </c>
      <c r="D72" s="340"/>
      <c r="E72" s="271"/>
      <c r="F72" s="862"/>
      <c r="G72" s="1163">
        <f t="shared" si="11"/>
        <v>0</v>
      </c>
      <c r="H72" s="862">
        <v>0</v>
      </c>
      <c r="I72" s="1164">
        <f t="shared" si="18"/>
        <v>0</v>
      </c>
      <c r="J72" s="201"/>
      <c r="K72" s="199"/>
      <c r="L72" s="199"/>
      <c r="M72" s="199"/>
      <c r="N72" s="297">
        <v>0</v>
      </c>
      <c r="O72" s="294"/>
      <c r="P72" s="509">
        <f t="shared" si="19"/>
        <v>0</v>
      </c>
      <c r="Q72" s="297">
        <v>0</v>
      </c>
      <c r="R72" s="294"/>
      <c r="S72" s="1165">
        <f t="shared" si="20"/>
        <v>0</v>
      </c>
      <c r="T72" s="297">
        <v>0</v>
      </c>
      <c r="U72" s="294"/>
      <c r="V72" s="1166">
        <f t="shared" si="17"/>
        <v>0</v>
      </c>
      <c r="W72" s="297">
        <v>0</v>
      </c>
      <c r="X72" s="294"/>
      <c r="Y72" s="1166">
        <f t="shared" si="21"/>
        <v>0</v>
      </c>
      <c r="Z72" s="1155">
        <f t="shared" si="16"/>
        <v>0</v>
      </c>
    </row>
    <row r="73" spans="2:26" x14ac:dyDescent="0.2">
      <c r="B73" s="198">
        <v>0</v>
      </c>
      <c r="C73" s="200" t="s">
        <v>1845</v>
      </c>
      <c r="D73" s="340"/>
      <c r="E73" s="271"/>
      <c r="F73" s="862"/>
      <c r="G73" s="1163">
        <f t="shared" si="11"/>
        <v>0</v>
      </c>
      <c r="H73" s="862">
        <v>0</v>
      </c>
      <c r="I73" s="1164">
        <f t="shared" si="18"/>
        <v>0</v>
      </c>
      <c r="J73" s="201"/>
      <c r="K73" s="199"/>
      <c r="L73" s="199"/>
      <c r="M73" s="199"/>
      <c r="N73" s="297">
        <v>0</v>
      </c>
      <c r="O73" s="294"/>
      <c r="P73" s="509">
        <f t="shared" si="19"/>
        <v>0</v>
      </c>
      <c r="Q73" s="297">
        <v>0</v>
      </c>
      <c r="R73" s="294"/>
      <c r="S73" s="1165">
        <f t="shared" si="20"/>
        <v>0</v>
      </c>
      <c r="T73" s="297">
        <v>0</v>
      </c>
      <c r="U73" s="294"/>
      <c r="V73" s="1166">
        <f t="shared" si="17"/>
        <v>0</v>
      </c>
      <c r="W73" s="297">
        <v>0</v>
      </c>
      <c r="X73" s="294"/>
      <c r="Y73" s="1166">
        <f t="shared" si="21"/>
        <v>0</v>
      </c>
      <c r="Z73" s="1155">
        <f t="shared" si="16"/>
        <v>0</v>
      </c>
    </row>
    <row r="74" spans="2:26" x14ac:dyDescent="0.2">
      <c r="B74" s="198">
        <v>0</v>
      </c>
      <c r="C74" s="200" t="s">
        <v>1845</v>
      </c>
      <c r="D74" s="340"/>
      <c r="E74" s="271"/>
      <c r="F74" s="862"/>
      <c r="G74" s="1163">
        <f t="shared" si="11"/>
        <v>0</v>
      </c>
      <c r="H74" s="862">
        <v>0</v>
      </c>
      <c r="I74" s="1164">
        <f t="shared" si="18"/>
        <v>0</v>
      </c>
      <c r="J74" s="201"/>
      <c r="K74" s="199"/>
      <c r="L74" s="199"/>
      <c r="M74" s="199"/>
      <c r="N74" s="297">
        <v>0</v>
      </c>
      <c r="O74" s="294"/>
      <c r="P74" s="509">
        <f t="shared" si="19"/>
        <v>0</v>
      </c>
      <c r="Q74" s="297">
        <v>0</v>
      </c>
      <c r="R74" s="294"/>
      <c r="S74" s="1165">
        <f t="shared" si="20"/>
        <v>0</v>
      </c>
      <c r="T74" s="297">
        <v>0</v>
      </c>
      <c r="U74" s="294"/>
      <c r="V74" s="1166">
        <f t="shared" si="17"/>
        <v>0</v>
      </c>
      <c r="W74" s="297">
        <v>0</v>
      </c>
      <c r="X74" s="294"/>
      <c r="Y74" s="1166">
        <f t="shared" si="21"/>
        <v>0</v>
      </c>
      <c r="Z74" s="1155">
        <f t="shared" si="16"/>
        <v>0</v>
      </c>
    </row>
    <row r="75" spans="2:26" x14ac:dyDescent="0.2">
      <c r="B75" s="198">
        <v>0</v>
      </c>
      <c r="C75" s="200" t="s">
        <v>1845</v>
      </c>
      <c r="D75" s="340"/>
      <c r="E75" s="271"/>
      <c r="F75" s="862"/>
      <c r="G75" s="1163">
        <f t="shared" si="11"/>
        <v>0</v>
      </c>
      <c r="H75" s="862">
        <v>0</v>
      </c>
      <c r="I75" s="1164">
        <f t="shared" si="18"/>
        <v>0</v>
      </c>
      <c r="J75" s="201"/>
      <c r="K75" s="199"/>
      <c r="L75" s="199"/>
      <c r="M75" s="199"/>
      <c r="N75" s="297">
        <v>0</v>
      </c>
      <c r="O75" s="294"/>
      <c r="P75" s="509">
        <f t="shared" si="19"/>
        <v>0</v>
      </c>
      <c r="Q75" s="297">
        <v>0</v>
      </c>
      <c r="R75" s="294"/>
      <c r="S75" s="1165">
        <f t="shared" si="20"/>
        <v>0</v>
      </c>
      <c r="T75" s="297">
        <v>0</v>
      </c>
      <c r="U75" s="294"/>
      <c r="V75" s="1166">
        <f t="shared" si="17"/>
        <v>0</v>
      </c>
      <c r="W75" s="297">
        <v>0</v>
      </c>
      <c r="X75" s="294"/>
      <c r="Y75" s="1166">
        <f t="shared" si="21"/>
        <v>0</v>
      </c>
      <c r="Z75" s="1155">
        <f t="shared" si="16"/>
        <v>0</v>
      </c>
    </row>
    <row r="76" spans="2:26" x14ac:dyDescent="0.2">
      <c r="B76" s="198">
        <v>0</v>
      </c>
      <c r="C76" s="200" t="s">
        <v>1845</v>
      </c>
      <c r="D76" s="340"/>
      <c r="E76" s="271"/>
      <c r="F76" s="862"/>
      <c r="G76" s="1163">
        <f t="shared" si="11"/>
        <v>0</v>
      </c>
      <c r="H76" s="862">
        <v>0</v>
      </c>
      <c r="I76" s="1164">
        <f t="shared" si="18"/>
        <v>0</v>
      </c>
      <c r="J76" s="201"/>
      <c r="K76" s="199"/>
      <c r="L76" s="199"/>
      <c r="M76" s="199"/>
      <c r="N76" s="297">
        <v>0</v>
      </c>
      <c r="O76" s="294"/>
      <c r="P76" s="509">
        <f t="shared" si="19"/>
        <v>0</v>
      </c>
      <c r="Q76" s="297">
        <v>0</v>
      </c>
      <c r="R76" s="294"/>
      <c r="S76" s="1165">
        <f t="shared" si="20"/>
        <v>0</v>
      </c>
      <c r="T76" s="297">
        <v>0</v>
      </c>
      <c r="U76" s="294"/>
      <c r="V76" s="1166">
        <f t="shared" si="17"/>
        <v>0</v>
      </c>
      <c r="W76" s="297">
        <v>0</v>
      </c>
      <c r="X76" s="294"/>
      <c r="Y76" s="1166">
        <f t="shared" si="21"/>
        <v>0</v>
      </c>
      <c r="Z76" s="1155">
        <f t="shared" si="16"/>
        <v>0</v>
      </c>
    </row>
    <row r="77" spans="2:26" x14ac:dyDescent="0.2">
      <c r="B77" s="198">
        <v>0</v>
      </c>
      <c r="C77" s="200" t="s">
        <v>1845</v>
      </c>
      <c r="D77" s="340"/>
      <c r="E77" s="271"/>
      <c r="F77" s="862"/>
      <c r="G77" s="1163">
        <f t="shared" si="11"/>
        <v>0</v>
      </c>
      <c r="H77" s="862">
        <v>0</v>
      </c>
      <c r="I77" s="1164">
        <f t="shared" si="18"/>
        <v>0</v>
      </c>
      <c r="J77" s="201"/>
      <c r="K77" s="199"/>
      <c r="L77" s="199"/>
      <c r="M77" s="199"/>
      <c r="N77" s="297">
        <v>0</v>
      </c>
      <c r="O77" s="294"/>
      <c r="P77" s="509">
        <f t="shared" si="19"/>
        <v>0</v>
      </c>
      <c r="Q77" s="297">
        <v>0</v>
      </c>
      <c r="R77" s="294"/>
      <c r="S77" s="1165">
        <f t="shared" si="20"/>
        <v>0</v>
      </c>
      <c r="T77" s="297">
        <v>0</v>
      </c>
      <c r="U77" s="294"/>
      <c r="V77" s="1166">
        <f t="shared" si="17"/>
        <v>0</v>
      </c>
      <c r="W77" s="297">
        <v>0</v>
      </c>
      <c r="X77" s="294"/>
      <c r="Y77" s="1166">
        <f t="shared" si="21"/>
        <v>0</v>
      </c>
      <c r="Z77" s="1155">
        <f t="shared" si="16"/>
        <v>0</v>
      </c>
    </row>
    <row r="78" spans="2:26" x14ac:dyDescent="0.2">
      <c r="B78" s="198">
        <v>0</v>
      </c>
      <c r="C78" s="200" t="s">
        <v>1845</v>
      </c>
      <c r="D78" s="340"/>
      <c r="E78" s="271"/>
      <c r="F78" s="862"/>
      <c r="G78" s="1163">
        <f t="shared" si="11"/>
        <v>0</v>
      </c>
      <c r="H78" s="862">
        <v>0</v>
      </c>
      <c r="I78" s="1164">
        <f t="shared" si="18"/>
        <v>0</v>
      </c>
      <c r="J78" s="201"/>
      <c r="K78" s="199"/>
      <c r="L78" s="199"/>
      <c r="M78" s="199"/>
      <c r="N78" s="297">
        <v>0</v>
      </c>
      <c r="O78" s="294"/>
      <c r="P78" s="509">
        <f t="shared" si="19"/>
        <v>0</v>
      </c>
      <c r="Q78" s="297">
        <v>0</v>
      </c>
      <c r="R78" s="294"/>
      <c r="S78" s="1165">
        <f t="shared" si="20"/>
        <v>0</v>
      </c>
      <c r="T78" s="297">
        <v>0</v>
      </c>
      <c r="U78" s="294"/>
      <c r="V78" s="1166">
        <f t="shared" si="17"/>
        <v>0</v>
      </c>
      <c r="W78" s="297">
        <v>0</v>
      </c>
      <c r="X78" s="294"/>
      <c r="Y78" s="1166">
        <f t="shared" si="21"/>
        <v>0</v>
      </c>
      <c r="Z78" s="1155">
        <f t="shared" si="16"/>
        <v>0</v>
      </c>
    </row>
    <row r="79" spans="2:26" x14ac:dyDescent="0.2">
      <c r="B79" s="198">
        <v>0</v>
      </c>
      <c r="C79" s="200" t="s">
        <v>1845</v>
      </c>
      <c r="D79" s="340"/>
      <c r="E79" s="271"/>
      <c r="F79" s="862"/>
      <c r="G79" s="1163">
        <f t="shared" si="11"/>
        <v>0</v>
      </c>
      <c r="H79" s="862">
        <v>0</v>
      </c>
      <c r="I79" s="1164">
        <f t="shared" si="18"/>
        <v>0</v>
      </c>
      <c r="J79" s="201"/>
      <c r="K79" s="199"/>
      <c r="L79" s="199"/>
      <c r="M79" s="199"/>
      <c r="N79" s="297">
        <v>0</v>
      </c>
      <c r="O79" s="294"/>
      <c r="P79" s="509">
        <f t="shared" si="19"/>
        <v>0</v>
      </c>
      <c r="Q79" s="297">
        <v>0</v>
      </c>
      <c r="R79" s="294"/>
      <c r="S79" s="1165">
        <f t="shared" si="20"/>
        <v>0</v>
      </c>
      <c r="T79" s="297">
        <v>0</v>
      </c>
      <c r="U79" s="294"/>
      <c r="V79" s="1166">
        <f t="shared" si="17"/>
        <v>0</v>
      </c>
      <c r="W79" s="297">
        <v>0</v>
      </c>
      <c r="X79" s="294"/>
      <c r="Y79" s="1166">
        <f t="shared" si="21"/>
        <v>0</v>
      </c>
      <c r="Z79" s="1155">
        <f t="shared" si="16"/>
        <v>0</v>
      </c>
    </row>
    <row r="80" spans="2:26" x14ac:dyDescent="0.2">
      <c r="B80" s="198">
        <v>0</v>
      </c>
      <c r="C80" s="200" t="s">
        <v>1845</v>
      </c>
      <c r="D80" s="340"/>
      <c r="E80" s="271"/>
      <c r="F80" s="862"/>
      <c r="G80" s="1163">
        <f t="shared" si="11"/>
        <v>0</v>
      </c>
      <c r="H80" s="862">
        <v>0</v>
      </c>
      <c r="I80" s="1164">
        <f t="shared" si="18"/>
        <v>0</v>
      </c>
      <c r="J80" s="201"/>
      <c r="K80" s="199"/>
      <c r="L80" s="199"/>
      <c r="M80" s="199"/>
      <c r="N80" s="297">
        <v>0</v>
      </c>
      <c r="O80" s="294"/>
      <c r="P80" s="509">
        <f t="shared" si="19"/>
        <v>0</v>
      </c>
      <c r="Q80" s="297">
        <v>0</v>
      </c>
      <c r="R80" s="294"/>
      <c r="S80" s="1165">
        <f t="shared" si="20"/>
        <v>0</v>
      </c>
      <c r="T80" s="297">
        <v>0</v>
      </c>
      <c r="U80" s="294"/>
      <c r="V80" s="1166">
        <f t="shared" si="17"/>
        <v>0</v>
      </c>
      <c r="W80" s="297">
        <v>0</v>
      </c>
      <c r="X80" s="294"/>
      <c r="Y80" s="1166">
        <f t="shared" si="21"/>
        <v>0</v>
      </c>
      <c r="Z80" s="1155">
        <f t="shared" si="16"/>
        <v>0</v>
      </c>
    </row>
    <row r="81" spans="2:26" x14ac:dyDescent="0.2">
      <c r="B81" s="198">
        <v>0</v>
      </c>
      <c r="C81" s="200" t="s">
        <v>1845</v>
      </c>
      <c r="D81" s="340"/>
      <c r="E81" s="271"/>
      <c r="F81" s="862"/>
      <c r="G81" s="1163">
        <f t="shared" si="11"/>
        <v>0</v>
      </c>
      <c r="H81" s="862">
        <v>0</v>
      </c>
      <c r="I81" s="1164">
        <f t="shared" si="18"/>
        <v>0</v>
      </c>
      <c r="J81" s="201"/>
      <c r="K81" s="199"/>
      <c r="L81" s="199"/>
      <c r="M81" s="199"/>
      <c r="N81" s="297">
        <v>0</v>
      </c>
      <c r="O81" s="294"/>
      <c r="P81" s="509">
        <f t="shared" si="19"/>
        <v>0</v>
      </c>
      <c r="Q81" s="297">
        <v>0</v>
      </c>
      <c r="R81" s="294"/>
      <c r="S81" s="1165">
        <f t="shared" si="20"/>
        <v>0</v>
      </c>
      <c r="T81" s="297">
        <v>0</v>
      </c>
      <c r="U81" s="294"/>
      <c r="V81" s="1166">
        <f t="shared" si="17"/>
        <v>0</v>
      </c>
      <c r="W81" s="297">
        <v>0</v>
      </c>
      <c r="X81" s="294"/>
      <c r="Y81" s="1166">
        <f t="shared" si="21"/>
        <v>0</v>
      </c>
      <c r="Z81" s="1155">
        <f t="shared" si="16"/>
        <v>0</v>
      </c>
    </row>
    <row r="82" spans="2:26" x14ac:dyDescent="0.2">
      <c r="B82" s="198">
        <v>0</v>
      </c>
      <c r="C82" s="200" t="s">
        <v>1845</v>
      </c>
      <c r="D82" s="340"/>
      <c r="E82" s="271"/>
      <c r="F82" s="862"/>
      <c r="G82" s="1163">
        <f t="shared" si="11"/>
        <v>0</v>
      </c>
      <c r="H82" s="862">
        <v>0</v>
      </c>
      <c r="I82" s="1164">
        <f t="shared" si="18"/>
        <v>0</v>
      </c>
      <c r="J82" s="201"/>
      <c r="K82" s="199"/>
      <c r="L82" s="199"/>
      <c r="M82" s="199"/>
      <c r="N82" s="297">
        <v>0</v>
      </c>
      <c r="O82" s="294"/>
      <c r="P82" s="509">
        <f t="shared" si="19"/>
        <v>0</v>
      </c>
      <c r="Q82" s="297">
        <v>0</v>
      </c>
      <c r="R82" s="294"/>
      <c r="S82" s="1165">
        <f t="shared" si="20"/>
        <v>0</v>
      </c>
      <c r="T82" s="297">
        <v>0</v>
      </c>
      <c r="U82" s="294"/>
      <c r="V82" s="1166">
        <f t="shared" si="17"/>
        <v>0</v>
      </c>
      <c r="W82" s="297">
        <v>0</v>
      </c>
      <c r="X82" s="294"/>
      <c r="Y82" s="1166">
        <f t="shared" si="21"/>
        <v>0</v>
      </c>
      <c r="Z82" s="1155">
        <f t="shared" si="16"/>
        <v>0</v>
      </c>
    </row>
    <row r="83" spans="2:26" x14ac:dyDescent="0.2">
      <c r="B83" s="198">
        <v>0</v>
      </c>
      <c r="C83" s="200" t="s">
        <v>1845</v>
      </c>
      <c r="D83" s="340"/>
      <c r="E83" s="271"/>
      <c r="F83" s="862"/>
      <c r="G83" s="1163">
        <f t="shared" si="11"/>
        <v>0</v>
      </c>
      <c r="H83" s="862">
        <v>0</v>
      </c>
      <c r="I83" s="1164">
        <f t="shared" si="18"/>
        <v>0</v>
      </c>
      <c r="J83" s="201"/>
      <c r="K83" s="199"/>
      <c r="L83" s="199"/>
      <c r="M83" s="199"/>
      <c r="N83" s="297">
        <v>0</v>
      </c>
      <c r="O83" s="294"/>
      <c r="P83" s="509">
        <f t="shared" si="19"/>
        <v>0</v>
      </c>
      <c r="Q83" s="297">
        <v>0</v>
      </c>
      <c r="R83" s="294"/>
      <c r="S83" s="1165">
        <f t="shared" si="20"/>
        <v>0</v>
      </c>
      <c r="T83" s="297">
        <v>0</v>
      </c>
      <c r="U83" s="294"/>
      <c r="V83" s="1166">
        <f t="shared" si="17"/>
        <v>0</v>
      </c>
      <c r="W83" s="297">
        <v>0</v>
      </c>
      <c r="X83" s="294"/>
      <c r="Y83" s="1166">
        <f t="shared" si="21"/>
        <v>0</v>
      </c>
      <c r="Z83" s="1155">
        <f t="shared" si="16"/>
        <v>0</v>
      </c>
    </row>
    <row r="84" spans="2:26" x14ac:dyDescent="0.2">
      <c r="B84" s="198">
        <v>0</v>
      </c>
      <c r="C84" s="200" t="s">
        <v>1845</v>
      </c>
      <c r="D84" s="340"/>
      <c r="E84" s="271"/>
      <c r="F84" s="862"/>
      <c r="G84" s="1163">
        <f t="shared" ref="G84:G147" si="22">Z84</f>
        <v>0</v>
      </c>
      <c r="H84" s="862">
        <v>0</v>
      </c>
      <c r="I84" s="1164">
        <f t="shared" ref="I84:I147" si="23">H84*B84</f>
        <v>0</v>
      </c>
      <c r="J84" s="201"/>
      <c r="K84" s="199"/>
      <c r="L84" s="199"/>
      <c r="M84" s="199"/>
      <c r="N84" s="297">
        <v>0</v>
      </c>
      <c r="O84" s="294"/>
      <c r="P84" s="509">
        <f t="shared" ref="P84:P147" si="24">N84*B84</f>
        <v>0</v>
      </c>
      <c r="Q84" s="297">
        <v>0</v>
      </c>
      <c r="R84" s="294"/>
      <c r="S84" s="1165">
        <f t="shared" ref="S84:S147" si="25">Q84*B84</f>
        <v>0</v>
      </c>
      <c r="T84" s="297">
        <v>0</v>
      </c>
      <c r="U84" s="294"/>
      <c r="V84" s="1166">
        <f t="shared" si="17"/>
        <v>0</v>
      </c>
      <c r="W84" s="297">
        <v>0</v>
      </c>
      <c r="X84" s="294"/>
      <c r="Y84" s="1166">
        <f t="shared" ref="Y84:Y147" si="26">W84*B84</f>
        <v>0</v>
      </c>
      <c r="Z84" s="1155">
        <f t="shared" si="16"/>
        <v>0</v>
      </c>
    </row>
    <row r="85" spans="2:26" x14ac:dyDescent="0.2">
      <c r="B85" s="198">
        <v>0</v>
      </c>
      <c r="C85" s="200" t="s">
        <v>1845</v>
      </c>
      <c r="D85" s="340"/>
      <c r="E85" s="271"/>
      <c r="F85" s="862"/>
      <c r="G85" s="1163">
        <f t="shared" si="22"/>
        <v>0</v>
      </c>
      <c r="H85" s="862">
        <v>0</v>
      </c>
      <c r="I85" s="1164">
        <f t="shared" si="23"/>
        <v>0</v>
      </c>
      <c r="J85" s="201"/>
      <c r="K85" s="199"/>
      <c r="L85" s="199"/>
      <c r="M85" s="199"/>
      <c r="N85" s="297">
        <v>0</v>
      </c>
      <c r="O85" s="294"/>
      <c r="P85" s="509">
        <f t="shared" si="24"/>
        <v>0</v>
      </c>
      <c r="Q85" s="297">
        <v>0</v>
      </c>
      <c r="R85" s="294"/>
      <c r="S85" s="1165">
        <f t="shared" si="25"/>
        <v>0</v>
      </c>
      <c r="T85" s="297">
        <v>0</v>
      </c>
      <c r="U85" s="294"/>
      <c r="V85" s="1166">
        <f t="shared" si="17"/>
        <v>0</v>
      </c>
      <c r="W85" s="297">
        <v>0</v>
      </c>
      <c r="X85" s="294"/>
      <c r="Y85" s="1166">
        <f t="shared" si="26"/>
        <v>0</v>
      </c>
      <c r="Z85" s="1155">
        <f t="shared" si="16"/>
        <v>0</v>
      </c>
    </row>
    <row r="86" spans="2:26" x14ac:dyDescent="0.2">
      <c r="B86" s="198">
        <v>0</v>
      </c>
      <c r="C86" s="200" t="s">
        <v>1845</v>
      </c>
      <c r="D86" s="340"/>
      <c r="E86" s="271"/>
      <c r="F86" s="862"/>
      <c r="G86" s="1163">
        <f t="shared" si="22"/>
        <v>0</v>
      </c>
      <c r="H86" s="862">
        <v>0</v>
      </c>
      <c r="I86" s="1164">
        <f t="shared" si="23"/>
        <v>0</v>
      </c>
      <c r="J86" s="201"/>
      <c r="K86" s="199"/>
      <c r="L86" s="199"/>
      <c r="M86" s="199"/>
      <c r="N86" s="297">
        <v>0</v>
      </c>
      <c r="O86" s="294"/>
      <c r="P86" s="509">
        <f t="shared" si="24"/>
        <v>0</v>
      </c>
      <c r="Q86" s="297">
        <v>0</v>
      </c>
      <c r="R86" s="294"/>
      <c r="S86" s="1165">
        <f t="shared" si="25"/>
        <v>0</v>
      </c>
      <c r="T86" s="297">
        <v>0</v>
      </c>
      <c r="U86" s="294"/>
      <c r="V86" s="1166">
        <f t="shared" si="17"/>
        <v>0</v>
      </c>
      <c r="W86" s="297">
        <v>0</v>
      </c>
      <c r="X86" s="294"/>
      <c r="Y86" s="1166">
        <f t="shared" si="26"/>
        <v>0</v>
      </c>
      <c r="Z86" s="1155">
        <f t="shared" si="16"/>
        <v>0</v>
      </c>
    </row>
    <row r="87" spans="2:26" x14ac:dyDescent="0.2">
      <c r="B87" s="198">
        <v>0</v>
      </c>
      <c r="C87" s="200" t="s">
        <v>1845</v>
      </c>
      <c r="D87" s="340"/>
      <c r="E87" s="271"/>
      <c r="F87" s="862"/>
      <c r="G87" s="1163">
        <f t="shared" si="22"/>
        <v>0</v>
      </c>
      <c r="H87" s="862">
        <v>0</v>
      </c>
      <c r="I87" s="1164">
        <f t="shared" si="23"/>
        <v>0</v>
      </c>
      <c r="J87" s="201"/>
      <c r="K87" s="199"/>
      <c r="L87" s="199"/>
      <c r="M87" s="199"/>
      <c r="N87" s="297">
        <v>0</v>
      </c>
      <c r="O87" s="294"/>
      <c r="P87" s="509">
        <f t="shared" si="24"/>
        <v>0</v>
      </c>
      <c r="Q87" s="297">
        <v>0</v>
      </c>
      <c r="R87" s="294"/>
      <c r="S87" s="1165">
        <f t="shared" si="25"/>
        <v>0</v>
      </c>
      <c r="T87" s="297">
        <v>0</v>
      </c>
      <c r="U87" s="294"/>
      <c r="V87" s="1166">
        <f t="shared" si="17"/>
        <v>0</v>
      </c>
      <c r="W87" s="297">
        <v>0</v>
      </c>
      <c r="X87" s="294"/>
      <c r="Y87" s="1166">
        <f t="shared" si="26"/>
        <v>0</v>
      </c>
      <c r="Z87" s="1155">
        <f t="shared" si="16"/>
        <v>0</v>
      </c>
    </row>
    <row r="88" spans="2:26" x14ac:dyDescent="0.2">
      <c r="B88" s="198">
        <v>0</v>
      </c>
      <c r="C88" s="200" t="s">
        <v>1845</v>
      </c>
      <c r="D88" s="340"/>
      <c r="E88" s="271"/>
      <c r="F88" s="862"/>
      <c r="G88" s="1163">
        <f t="shared" si="22"/>
        <v>0</v>
      </c>
      <c r="H88" s="862">
        <v>0</v>
      </c>
      <c r="I88" s="1164">
        <f t="shared" si="23"/>
        <v>0</v>
      </c>
      <c r="J88" s="201"/>
      <c r="K88" s="199"/>
      <c r="L88" s="199"/>
      <c r="M88" s="199"/>
      <c r="N88" s="297">
        <v>0</v>
      </c>
      <c r="O88" s="294"/>
      <c r="P88" s="509">
        <f t="shared" si="24"/>
        <v>0</v>
      </c>
      <c r="Q88" s="297">
        <v>0</v>
      </c>
      <c r="R88" s="294"/>
      <c r="S88" s="1165">
        <f t="shared" si="25"/>
        <v>0</v>
      </c>
      <c r="T88" s="297">
        <v>0</v>
      </c>
      <c r="U88" s="294"/>
      <c r="V88" s="1166">
        <f t="shared" si="17"/>
        <v>0</v>
      </c>
      <c r="W88" s="297">
        <v>0</v>
      </c>
      <c r="X88" s="294"/>
      <c r="Y88" s="1166">
        <f t="shared" si="26"/>
        <v>0</v>
      </c>
      <c r="Z88" s="1155">
        <f t="shared" si="16"/>
        <v>0</v>
      </c>
    </row>
    <row r="89" spans="2:26" x14ac:dyDescent="0.2">
      <c r="B89" s="198">
        <v>0</v>
      </c>
      <c r="C89" s="200" t="s">
        <v>1845</v>
      </c>
      <c r="D89" s="340"/>
      <c r="E89" s="271"/>
      <c r="F89" s="862"/>
      <c r="G89" s="1163">
        <f t="shared" si="22"/>
        <v>0</v>
      </c>
      <c r="H89" s="862">
        <v>0</v>
      </c>
      <c r="I89" s="1164">
        <f t="shared" si="23"/>
        <v>0</v>
      </c>
      <c r="J89" s="201"/>
      <c r="K89" s="199"/>
      <c r="L89" s="199"/>
      <c r="M89" s="199"/>
      <c r="N89" s="297">
        <v>0</v>
      </c>
      <c r="O89" s="294"/>
      <c r="P89" s="509">
        <f t="shared" si="24"/>
        <v>0</v>
      </c>
      <c r="Q89" s="297">
        <v>0</v>
      </c>
      <c r="R89" s="294"/>
      <c r="S89" s="1165">
        <f t="shared" si="25"/>
        <v>0</v>
      </c>
      <c r="T89" s="297">
        <v>0</v>
      </c>
      <c r="U89" s="294"/>
      <c r="V89" s="1166">
        <f t="shared" si="17"/>
        <v>0</v>
      </c>
      <c r="W89" s="297">
        <v>0</v>
      </c>
      <c r="X89" s="294"/>
      <c r="Y89" s="1166">
        <f t="shared" si="26"/>
        <v>0</v>
      </c>
      <c r="Z89" s="1155">
        <f t="shared" si="16"/>
        <v>0</v>
      </c>
    </row>
    <row r="90" spans="2:26" x14ac:dyDescent="0.2">
      <c r="B90" s="198">
        <v>0</v>
      </c>
      <c r="C90" s="200" t="s">
        <v>1845</v>
      </c>
      <c r="D90" s="340"/>
      <c r="E90" s="271"/>
      <c r="F90" s="862"/>
      <c r="G90" s="1163">
        <f t="shared" si="22"/>
        <v>0</v>
      </c>
      <c r="H90" s="862">
        <v>0</v>
      </c>
      <c r="I90" s="1164">
        <f t="shared" si="23"/>
        <v>0</v>
      </c>
      <c r="J90" s="201"/>
      <c r="K90" s="199"/>
      <c r="L90" s="199"/>
      <c r="M90" s="199"/>
      <c r="N90" s="297">
        <v>0</v>
      </c>
      <c r="O90" s="294"/>
      <c r="P90" s="509">
        <f t="shared" si="24"/>
        <v>0</v>
      </c>
      <c r="Q90" s="297">
        <v>0</v>
      </c>
      <c r="R90" s="294"/>
      <c r="S90" s="1165">
        <f t="shared" si="25"/>
        <v>0</v>
      </c>
      <c r="T90" s="297">
        <v>0</v>
      </c>
      <c r="U90" s="294"/>
      <c r="V90" s="1166">
        <f t="shared" si="17"/>
        <v>0</v>
      </c>
      <c r="W90" s="297">
        <v>0</v>
      </c>
      <c r="X90" s="294"/>
      <c r="Y90" s="1166">
        <f t="shared" si="26"/>
        <v>0</v>
      </c>
      <c r="Z90" s="1155">
        <f t="shared" si="16"/>
        <v>0</v>
      </c>
    </row>
    <row r="91" spans="2:26" x14ac:dyDescent="0.2">
      <c r="B91" s="198">
        <v>0</v>
      </c>
      <c r="C91" s="200" t="s">
        <v>1845</v>
      </c>
      <c r="D91" s="340"/>
      <c r="E91" s="271"/>
      <c r="F91" s="862"/>
      <c r="G91" s="1163">
        <f t="shared" si="22"/>
        <v>0</v>
      </c>
      <c r="H91" s="862">
        <v>0</v>
      </c>
      <c r="I91" s="1164">
        <f t="shared" si="23"/>
        <v>0</v>
      </c>
      <c r="J91" s="201"/>
      <c r="K91" s="199"/>
      <c r="L91" s="199"/>
      <c r="M91" s="199"/>
      <c r="N91" s="297">
        <v>0</v>
      </c>
      <c r="O91" s="294"/>
      <c r="P91" s="509">
        <f t="shared" si="24"/>
        <v>0</v>
      </c>
      <c r="Q91" s="297">
        <v>0</v>
      </c>
      <c r="R91" s="294"/>
      <c r="S91" s="1165">
        <f t="shared" si="25"/>
        <v>0</v>
      </c>
      <c r="T91" s="297">
        <v>0</v>
      </c>
      <c r="U91" s="294"/>
      <c r="V91" s="1166">
        <f t="shared" si="17"/>
        <v>0</v>
      </c>
      <c r="W91" s="297">
        <v>0</v>
      </c>
      <c r="X91" s="294"/>
      <c r="Y91" s="1166">
        <f t="shared" si="26"/>
        <v>0</v>
      </c>
      <c r="Z91" s="1155">
        <f t="shared" si="16"/>
        <v>0</v>
      </c>
    </row>
    <row r="92" spans="2:26" x14ac:dyDescent="0.2">
      <c r="B92" s="198">
        <v>0</v>
      </c>
      <c r="C92" s="200" t="s">
        <v>1845</v>
      </c>
      <c r="D92" s="340"/>
      <c r="E92" s="271"/>
      <c r="F92" s="862"/>
      <c r="G92" s="1163">
        <f t="shared" si="22"/>
        <v>0</v>
      </c>
      <c r="H92" s="862">
        <v>0</v>
      </c>
      <c r="I92" s="1164">
        <f t="shared" si="23"/>
        <v>0</v>
      </c>
      <c r="J92" s="201"/>
      <c r="K92" s="199"/>
      <c r="L92" s="199"/>
      <c r="M92" s="199"/>
      <c r="N92" s="297">
        <v>0</v>
      </c>
      <c r="O92" s="294"/>
      <c r="P92" s="509">
        <f t="shared" si="24"/>
        <v>0</v>
      </c>
      <c r="Q92" s="297">
        <v>0</v>
      </c>
      <c r="R92" s="294"/>
      <c r="S92" s="1165">
        <f t="shared" si="25"/>
        <v>0</v>
      </c>
      <c r="T92" s="297">
        <v>0</v>
      </c>
      <c r="U92" s="294"/>
      <c r="V92" s="1166">
        <f t="shared" si="17"/>
        <v>0</v>
      </c>
      <c r="W92" s="297">
        <v>0</v>
      </c>
      <c r="X92" s="294"/>
      <c r="Y92" s="1166">
        <f t="shared" si="26"/>
        <v>0</v>
      </c>
      <c r="Z92" s="1155">
        <f t="shared" si="16"/>
        <v>0</v>
      </c>
    </row>
    <row r="93" spans="2:26" x14ac:dyDescent="0.2">
      <c r="B93" s="198">
        <v>0</v>
      </c>
      <c r="C93" s="200" t="s">
        <v>1845</v>
      </c>
      <c r="D93" s="340"/>
      <c r="E93" s="271"/>
      <c r="F93" s="862"/>
      <c r="G93" s="1163">
        <f t="shared" si="22"/>
        <v>0</v>
      </c>
      <c r="H93" s="862">
        <v>0</v>
      </c>
      <c r="I93" s="1164">
        <f t="shared" si="23"/>
        <v>0</v>
      </c>
      <c r="J93" s="201"/>
      <c r="K93" s="199"/>
      <c r="L93" s="199"/>
      <c r="M93" s="199"/>
      <c r="N93" s="297">
        <v>0</v>
      </c>
      <c r="O93" s="294"/>
      <c r="P93" s="509">
        <f t="shared" si="24"/>
        <v>0</v>
      </c>
      <c r="Q93" s="297">
        <v>0</v>
      </c>
      <c r="R93" s="294"/>
      <c r="S93" s="1165">
        <f t="shared" si="25"/>
        <v>0</v>
      </c>
      <c r="T93" s="297">
        <v>0</v>
      </c>
      <c r="U93" s="294"/>
      <c r="V93" s="1166">
        <f t="shared" si="17"/>
        <v>0</v>
      </c>
      <c r="W93" s="297">
        <v>0</v>
      </c>
      <c r="X93" s="294"/>
      <c r="Y93" s="1166">
        <f t="shared" si="26"/>
        <v>0</v>
      </c>
      <c r="Z93" s="1155">
        <f t="shared" si="16"/>
        <v>0</v>
      </c>
    </row>
    <row r="94" spans="2:26" x14ac:dyDescent="0.2">
      <c r="B94" s="198">
        <v>0</v>
      </c>
      <c r="C94" s="200" t="s">
        <v>1845</v>
      </c>
      <c r="D94" s="340"/>
      <c r="E94" s="271"/>
      <c r="F94" s="862"/>
      <c r="G94" s="1163">
        <f t="shared" si="22"/>
        <v>0</v>
      </c>
      <c r="H94" s="862">
        <v>0</v>
      </c>
      <c r="I94" s="1164">
        <f t="shared" si="23"/>
        <v>0</v>
      </c>
      <c r="J94" s="201"/>
      <c r="K94" s="199"/>
      <c r="L94" s="199"/>
      <c r="M94" s="199"/>
      <c r="N94" s="297">
        <v>0</v>
      </c>
      <c r="O94" s="294"/>
      <c r="P94" s="509">
        <f t="shared" si="24"/>
        <v>0</v>
      </c>
      <c r="Q94" s="297">
        <v>0</v>
      </c>
      <c r="R94" s="294"/>
      <c r="S94" s="1165">
        <f t="shared" si="25"/>
        <v>0</v>
      </c>
      <c r="T94" s="297">
        <v>0</v>
      </c>
      <c r="U94" s="294"/>
      <c r="V94" s="1166">
        <f t="shared" si="17"/>
        <v>0</v>
      </c>
      <c r="W94" s="297">
        <v>0</v>
      </c>
      <c r="X94" s="294"/>
      <c r="Y94" s="1166">
        <f t="shared" si="26"/>
        <v>0</v>
      </c>
      <c r="Z94" s="1155">
        <f t="shared" ref="Z94:Z157" si="27">IF(O94="SELECTED",((P94)),0)+IF(R94="SELECTED",((S94)),0)+IF(U94="SELECTED",((V94)),0)+IF(X94="SELECTED",((Y94)))</f>
        <v>0</v>
      </c>
    </row>
    <row r="95" spans="2:26" x14ac:dyDescent="0.2">
      <c r="B95" s="198">
        <v>0</v>
      </c>
      <c r="C95" s="200" t="s">
        <v>1845</v>
      </c>
      <c r="D95" s="340"/>
      <c r="E95" s="271"/>
      <c r="F95" s="862"/>
      <c r="G95" s="1163">
        <f t="shared" si="22"/>
        <v>0</v>
      </c>
      <c r="H95" s="862">
        <v>0</v>
      </c>
      <c r="I95" s="1164">
        <f t="shared" si="23"/>
        <v>0</v>
      </c>
      <c r="J95" s="201"/>
      <c r="K95" s="199"/>
      <c r="L95" s="199"/>
      <c r="M95" s="199"/>
      <c r="N95" s="297">
        <v>0</v>
      </c>
      <c r="O95" s="294"/>
      <c r="P95" s="509">
        <f t="shared" si="24"/>
        <v>0</v>
      </c>
      <c r="Q95" s="297">
        <v>0</v>
      </c>
      <c r="R95" s="294"/>
      <c r="S95" s="1165">
        <f t="shared" si="25"/>
        <v>0</v>
      </c>
      <c r="T95" s="297">
        <v>0</v>
      </c>
      <c r="U95" s="294"/>
      <c r="V95" s="1166">
        <f t="shared" ref="V95:V158" si="28">T95*B95</f>
        <v>0</v>
      </c>
      <c r="W95" s="297">
        <v>0</v>
      </c>
      <c r="X95" s="294"/>
      <c r="Y95" s="1166">
        <f t="shared" si="26"/>
        <v>0</v>
      </c>
      <c r="Z95" s="1155">
        <f t="shared" si="27"/>
        <v>0</v>
      </c>
    </row>
    <row r="96" spans="2:26" x14ac:dyDescent="0.2">
      <c r="B96" s="198">
        <v>0</v>
      </c>
      <c r="C96" s="200" t="s">
        <v>1845</v>
      </c>
      <c r="D96" s="340"/>
      <c r="E96" s="271"/>
      <c r="F96" s="862"/>
      <c r="G96" s="1163">
        <f t="shared" si="22"/>
        <v>0</v>
      </c>
      <c r="H96" s="862">
        <v>0</v>
      </c>
      <c r="I96" s="1164">
        <f t="shared" si="23"/>
        <v>0</v>
      </c>
      <c r="J96" s="201"/>
      <c r="K96" s="199"/>
      <c r="L96" s="199"/>
      <c r="M96" s="199"/>
      <c r="N96" s="297">
        <v>0</v>
      </c>
      <c r="O96" s="294"/>
      <c r="P96" s="509">
        <f t="shared" si="24"/>
        <v>0</v>
      </c>
      <c r="Q96" s="297">
        <v>0</v>
      </c>
      <c r="R96" s="294"/>
      <c r="S96" s="1165">
        <f t="shared" si="25"/>
        <v>0</v>
      </c>
      <c r="T96" s="297">
        <v>0</v>
      </c>
      <c r="U96" s="294"/>
      <c r="V96" s="1166">
        <f t="shared" si="28"/>
        <v>0</v>
      </c>
      <c r="W96" s="297">
        <v>0</v>
      </c>
      <c r="X96" s="294"/>
      <c r="Y96" s="1166">
        <f t="shared" si="26"/>
        <v>0</v>
      </c>
      <c r="Z96" s="1155">
        <f t="shared" si="27"/>
        <v>0</v>
      </c>
    </row>
    <row r="97" spans="2:26" x14ac:dyDescent="0.2">
      <c r="B97" s="198">
        <v>0</v>
      </c>
      <c r="C97" s="200" t="s">
        <v>1845</v>
      </c>
      <c r="D97" s="340"/>
      <c r="E97" s="271"/>
      <c r="F97" s="862"/>
      <c r="G97" s="1163">
        <f t="shared" si="22"/>
        <v>0</v>
      </c>
      <c r="H97" s="862">
        <v>0</v>
      </c>
      <c r="I97" s="1164">
        <f t="shared" si="23"/>
        <v>0</v>
      </c>
      <c r="J97" s="201"/>
      <c r="K97" s="199"/>
      <c r="L97" s="199"/>
      <c r="M97" s="199"/>
      <c r="N97" s="297">
        <v>0</v>
      </c>
      <c r="O97" s="294"/>
      <c r="P97" s="509">
        <f t="shared" si="24"/>
        <v>0</v>
      </c>
      <c r="Q97" s="297">
        <v>0</v>
      </c>
      <c r="R97" s="294"/>
      <c r="S97" s="1165">
        <f t="shared" si="25"/>
        <v>0</v>
      </c>
      <c r="T97" s="297">
        <v>0</v>
      </c>
      <c r="U97" s="294"/>
      <c r="V97" s="1166">
        <f t="shared" si="28"/>
        <v>0</v>
      </c>
      <c r="W97" s="297">
        <v>0</v>
      </c>
      <c r="X97" s="294"/>
      <c r="Y97" s="1166">
        <f t="shared" si="26"/>
        <v>0</v>
      </c>
      <c r="Z97" s="1155">
        <f t="shared" si="27"/>
        <v>0</v>
      </c>
    </row>
    <row r="98" spans="2:26" x14ac:dyDescent="0.2">
      <c r="B98" s="198">
        <v>0</v>
      </c>
      <c r="C98" s="200" t="s">
        <v>1845</v>
      </c>
      <c r="D98" s="340"/>
      <c r="E98" s="271"/>
      <c r="F98" s="862"/>
      <c r="G98" s="1163">
        <f t="shared" si="22"/>
        <v>0</v>
      </c>
      <c r="H98" s="862">
        <v>0</v>
      </c>
      <c r="I98" s="1164">
        <f t="shared" si="23"/>
        <v>0</v>
      </c>
      <c r="J98" s="201"/>
      <c r="K98" s="199"/>
      <c r="L98" s="199"/>
      <c r="M98" s="199"/>
      <c r="N98" s="297">
        <v>0</v>
      </c>
      <c r="O98" s="294"/>
      <c r="P98" s="509">
        <f t="shared" si="24"/>
        <v>0</v>
      </c>
      <c r="Q98" s="297">
        <v>0</v>
      </c>
      <c r="R98" s="294"/>
      <c r="S98" s="1165">
        <f t="shared" si="25"/>
        <v>0</v>
      </c>
      <c r="T98" s="297">
        <v>0</v>
      </c>
      <c r="U98" s="294"/>
      <c r="V98" s="1166">
        <f t="shared" si="28"/>
        <v>0</v>
      </c>
      <c r="W98" s="297">
        <v>0</v>
      </c>
      <c r="X98" s="294"/>
      <c r="Y98" s="1166">
        <f t="shared" si="26"/>
        <v>0</v>
      </c>
      <c r="Z98" s="1155">
        <f t="shared" si="27"/>
        <v>0</v>
      </c>
    </row>
    <row r="99" spans="2:26" x14ac:dyDescent="0.2">
      <c r="B99" s="198">
        <v>0</v>
      </c>
      <c r="C99" s="200" t="s">
        <v>1845</v>
      </c>
      <c r="D99" s="340"/>
      <c r="E99" s="271"/>
      <c r="F99" s="862"/>
      <c r="G99" s="1163">
        <f t="shared" si="22"/>
        <v>0</v>
      </c>
      <c r="H99" s="862">
        <v>0</v>
      </c>
      <c r="I99" s="1164">
        <f t="shared" si="23"/>
        <v>0</v>
      </c>
      <c r="J99" s="201"/>
      <c r="K99" s="199"/>
      <c r="L99" s="199"/>
      <c r="M99" s="199"/>
      <c r="N99" s="297">
        <v>0</v>
      </c>
      <c r="O99" s="294"/>
      <c r="P99" s="509">
        <f t="shared" si="24"/>
        <v>0</v>
      </c>
      <c r="Q99" s="297">
        <v>0</v>
      </c>
      <c r="R99" s="294"/>
      <c r="S99" s="1165">
        <f t="shared" si="25"/>
        <v>0</v>
      </c>
      <c r="T99" s="297">
        <v>0</v>
      </c>
      <c r="U99" s="294"/>
      <c r="V99" s="1166">
        <f t="shared" si="28"/>
        <v>0</v>
      </c>
      <c r="W99" s="297">
        <v>0</v>
      </c>
      <c r="X99" s="294"/>
      <c r="Y99" s="1166">
        <f t="shared" si="26"/>
        <v>0</v>
      </c>
      <c r="Z99" s="1155">
        <f t="shared" si="27"/>
        <v>0</v>
      </c>
    </row>
    <row r="100" spans="2:26" x14ac:dyDescent="0.2">
      <c r="B100" s="198">
        <v>0</v>
      </c>
      <c r="C100" s="200" t="s">
        <v>1845</v>
      </c>
      <c r="D100" s="340"/>
      <c r="E100" s="271"/>
      <c r="F100" s="862"/>
      <c r="G100" s="1163">
        <f t="shared" si="22"/>
        <v>0</v>
      </c>
      <c r="H100" s="862">
        <v>0</v>
      </c>
      <c r="I100" s="1164">
        <f t="shared" si="23"/>
        <v>0</v>
      </c>
      <c r="J100" s="201"/>
      <c r="K100" s="199"/>
      <c r="L100" s="199"/>
      <c r="M100" s="199"/>
      <c r="N100" s="297">
        <v>0</v>
      </c>
      <c r="O100" s="294"/>
      <c r="P100" s="509">
        <f t="shared" si="24"/>
        <v>0</v>
      </c>
      <c r="Q100" s="297">
        <v>0</v>
      </c>
      <c r="R100" s="294"/>
      <c r="S100" s="1165">
        <f t="shared" si="25"/>
        <v>0</v>
      </c>
      <c r="T100" s="297">
        <v>0</v>
      </c>
      <c r="U100" s="294"/>
      <c r="V100" s="1166">
        <f t="shared" si="28"/>
        <v>0</v>
      </c>
      <c r="W100" s="297">
        <v>0</v>
      </c>
      <c r="X100" s="294"/>
      <c r="Y100" s="1166">
        <f t="shared" si="26"/>
        <v>0</v>
      </c>
      <c r="Z100" s="1155">
        <f t="shared" si="27"/>
        <v>0</v>
      </c>
    </row>
    <row r="101" spans="2:26" x14ac:dyDescent="0.2">
      <c r="B101" s="198">
        <v>0</v>
      </c>
      <c r="C101" s="200" t="s">
        <v>1845</v>
      </c>
      <c r="D101" s="340"/>
      <c r="E101" s="271"/>
      <c r="F101" s="862"/>
      <c r="G101" s="1163">
        <f t="shared" si="22"/>
        <v>0</v>
      </c>
      <c r="H101" s="862">
        <v>0</v>
      </c>
      <c r="I101" s="1164">
        <f t="shared" si="23"/>
        <v>0</v>
      </c>
      <c r="J101" s="201"/>
      <c r="K101" s="199"/>
      <c r="L101" s="199"/>
      <c r="M101" s="199"/>
      <c r="N101" s="297">
        <v>0</v>
      </c>
      <c r="O101" s="294"/>
      <c r="P101" s="509">
        <f t="shared" si="24"/>
        <v>0</v>
      </c>
      <c r="Q101" s="297">
        <v>0</v>
      </c>
      <c r="R101" s="294"/>
      <c r="S101" s="1165">
        <f t="shared" si="25"/>
        <v>0</v>
      </c>
      <c r="T101" s="297">
        <v>0</v>
      </c>
      <c r="U101" s="294"/>
      <c r="V101" s="1166">
        <f t="shared" si="28"/>
        <v>0</v>
      </c>
      <c r="W101" s="297">
        <v>0</v>
      </c>
      <c r="X101" s="294"/>
      <c r="Y101" s="1166">
        <f t="shared" si="26"/>
        <v>0</v>
      </c>
      <c r="Z101" s="1155">
        <f t="shared" si="27"/>
        <v>0</v>
      </c>
    </row>
    <row r="102" spans="2:26" x14ac:dyDescent="0.2">
      <c r="B102" s="198">
        <v>0</v>
      </c>
      <c r="C102" s="200" t="s">
        <v>1845</v>
      </c>
      <c r="D102" s="340"/>
      <c r="E102" s="271"/>
      <c r="F102" s="862"/>
      <c r="G102" s="1163">
        <f t="shared" si="22"/>
        <v>0</v>
      </c>
      <c r="H102" s="862">
        <v>0</v>
      </c>
      <c r="I102" s="1164">
        <f t="shared" si="23"/>
        <v>0</v>
      </c>
      <c r="J102" s="201"/>
      <c r="K102" s="199"/>
      <c r="L102" s="199"/>
      <c r="M102" s="199"/>
      <c r="N102" s="297">
        <v>0</v>
      </c>
      <c r="O102" s="294"/>
      <c r="P102" s="509">
        <f t="shared" si="24"/>
        <v>0</v>
      </c>
      <c r="Q102" s="297">
        <v>0</v>
      </c>
      <c r="R102" s="294"/>
      <c r="S102" s="1165">
        <f t="shared" si="25"/>
        <v>0</v>
      </c>
      <c r="T102" s="297">
        <v>0</v>
      </c>
      <c r="U102" s="294"/>
      <c r="V102" s="1166">
        <f t="shared" si="28"/>
        <v>0</v>
      </c>
      <c r="W102" s="297">
        <v>0</v>
      </c>
      <c r="X102" s="294"/>
      <c r="Y102" s="1166">
        <f t="shared" si="26"/>
        <v>0</v>
      </c>
      <c r="Z102" s="1155">
        <f t="shared" si="27"/>
        <v>0</v>
      </c>
    </row>
    <row r="103" spans="2:26" x14ac:dyDescent="0.2">
      <c r="B103" s="198">
        <v>0</v>
      </c>
      <c r="C103" s="200" t="s">
        <v>1845</v>
      </c>
      <c r="D103" s="340"/>
      <c r="E103" s="271"/>
      <c r="F103" s="862"/>
      <c r="G103" s="1163">
        <f t="shared" si="22"/>
        <v>0</v>
      </c>
      <c r="H103" s="862">
        <v>0</v>
      </c>
      <c r="I103" s="1164">
        <f t="shared" si="23"/>
        <v>0</v>
      </c>
      <c r="J103" s="201"/>
      <c r="K103" s="199"/>
      <c r="L103" s="199"/>
      <c r="M103" s="199"/>
      <c r="N103" s="297">
        <v>0</v>
      </c>
      <c r="O103" s="294"/>
      <c r="P103" s="509">
        <f t="shared" si="24"/>
        <v>0</v>
      </c>
      <c r="Q103" s="297">
        <v>0</v>
      </c>
      <c r="R103" s="294"/>
      <c r="S103" s="1165">
        <f t="shared" si="25"/>
        <v>0</v>
      </c>
      <c r="T103" s="297">
        <v>0</v>
      </c>
      <c r="U103" s="294"/>
      <c r="V103" s="1166">
        <f t="shared" si="28"/>
        <v>0</v>
      </c>
      <c r="W103" s="297">
        <v>0</v>
      </c>
      <c r="X103" s="294"/>
      <c r="Y103" s="1166">
        <f t="shared" si="26"/>
        <v>0</v>
      </c>
      <c r="Z103" s="1155">
        <f t="shared" si="27"/>
        <v>0</v>
      </c>
    </row>
    <row r="104" spans="2:26" x14ac:dyDescent="0.2">
      <c r="B104" s="198">
        <v>0</v>
      </c>
      <c r="C104" s="200" t="s">
        <v>1845</v>
      </c>
      <c r="D104" s="340"/>
      <c r="E104" s="271"/>
      <c r="F104" s="862"/>
      <c r="G104" s="1163">
        <f t="shared" si="22"/>
        <v>0</v>
      </c>
      <c r="H104" s="862">
        <v>0</v>
      </c>
      <c r="I104" s="1164">
        <f t="shared" si="23"/>
        <v>0</v>
      </c>
      <c r="J104" s="201"/>
      <c r="K104" s="199"/>
      <c r="L104" s="199"/>
      <c r="M104" s="199"/>
      <c r="N104" s="297">
        <v>0</v>
      </c>
      <c r="O104" s="294"/>
      <c r="P104" s="509">
        <f t="shared" si="24"/>
        <v>0</v>
      </c>
      <c r="Q104" s="297">
        <v>0</v>
      </c>
      <c r="R104" s="294"/>
      <c r="S104" s="1165">
        <f t="shared" si="25"/>
        <v>0</v>
      </c>
      <c r="T104" s="297">
        <v>0</v>
      </c>
      <c r="U104" s="294"/>
      <c r="V104" s="1166">
        <f t="shared" si="28"/>
        <v>0</v>
      </c>
      <c r="W104" s="297">
        <v>0</v>
      </c>
      <c r="X104" s="294"/>
      <c r="Y104" s="1166">
        <f t="shared" si="26"/>
        <v>0</v>
      </c>
      <c r="Z104" s="1155">
        <f t="shared" si="27"/>
        <v>0</v>
      </c>
    </row>
    <row r="105" spans="2:26" x14ac:dyDescent="0.2">
      <c r="B105" s="198">
        <v>0</v>
      </c>
      <c r="C105" s="200" t="s">
        <v>1845</v>
      </c>
      <c r="D105" s="340"/>
      <c r="E105" s="271"/>
      <c r="F105" s="862"/>
      <c r="G105" s="1163">
        <f t="shared" si="22"/>
        <v>0</v>
      </c>
      <c r="H105" s="862">
        <v>0</v>
      </c>
      <c r="I105" s="1164">
        <f t="shared" si="23"/>
        <v>0</v>
      </c>
      <c r="J105" s="201"/>
      <c r="K105" s="199"/>
      <c r="L105" s="199"/>
      <c r="M105" s="199"/>
      <c r="N105" s="297">
        <v>0</v>
      </c>
      <c r="O105" s="294"/>
      <c r="P105" s="509">
        <f t="shared" si="24"/>
        <v>0</v>
      </c>
      <c r="Q105" s="297">
        <v>0</v>
      </c>
      <c r="R105" s="294"/>
      <c r="S105" s="1165">
        <f t="shared" si="25"/>
        <v>0</v>
      </c>
      <c r="T105" s="297">
        <v>0</v>
      </c>
      <c r="U105" s="294"/>
      <c r="V105" s="1166">
        <f t="shared" si="28"/>
        <v>0</v>
      </c>
      <c r="W105" s="297">
        <v>0</v>
      </c>
      <c r="X105" s="294"/>
      <c r="Y105" s="1166">
        <f t="shared" si="26"/>
        <v>0</v>
      </c>
      <c r="Z105" s="1155">
        <f t="shared" si="27"/>
        <v>0</v>
      </c>
    </row>
    <row r="106" spans="2:26" x14ac:dyDescent="0.2">
      <c r="B106" s="198">
        <v>0</v>
      </c>
      <c r="C106" s="200" t="s">
        <v>1845</v>
      </c>
      <c r="D106" s="340"/>
      <c r="E106" s="271"/>
      <c r="F106" s="862"/>
      <c r="G106" s="1163">
        <f t="shared" si="22"/>
        <v>0</v>
      </c>
      <c r="H106" s="862">
        <v>0</v>
      </c>
      <c r="I106" s="1164">
        <f t="shared" si="23"/>
        <v>0</v>
      </c>
      <c r="J106" s="201"/>
      <c r="K106" s="199"/>
      <c r="L106" s="199"/>
      <c r="M106" s="199"/>
      <c r="N106" s="297">
        <v>0</v>
      </c>
      <c r="O106" s="294"/>
      <c r="P106" s="509">
        <f t="shared" si="24"/>
        <v>0</v>
      </c>
      <c r="Q106" s="297">
        <v>0</v>
      </c>
      <c r="R106" s="294"/>
      <c r="S106" s="1165">
        <f t="shared" si="25"/>
        <v>0</v>
      </c>
      <c r="T106" s="297">
        <v>0</v>
      </c>
      <c r="U106" s="294"/>
      <c r="V106" s="1166">
        <f t="shared" si="28"/>
        <v>0</v>
      </c>
      <c r="W106" s="297">
        <v>0</v>
      </c>
      <c r="X106" s="294"/>
      <c r="Y106" s="1166">
        <f t="shared" si="26"/>
        <v>0</v>
      </c>
      <c r="Z106" s="1155">
        <f t="shared" si="27"/>
        <v>0</v>
      </c>
    </row>
    <row r="107" spans="2:26" x14ac:dyDescent="0.2">
      <c r="B107" s="198">
        <v>0</v>
      </c>
      <c r="C107" s="200" t="s">
        <v>1845</v>
      </c>
      <c r="D107" s="340"/>
      <c r="E107" s="271"/>
      <c r="F107" s="862"/>
      <c r="G107" s="1163">
        <f t="shared" si="22"/>
        <v>0</v>
      </c>
      <c r="H107" s="862">
        <v>0</v>
      </c>
      <c r="I107" s="1164">
        <f t="shared" si="23"/>
        <v>0</v>
      </c>
      <c r="J107" s="201"/>
      <c r="K107" s="199"/>
      <c r="L107" s="199"/>
      <c r="M107" s="199"/>
      <c r="N107" s="297">
        <v>0</v>
      </c>
      <c r="O107" s="294"/>
      <c r="P107" s="509">
        <f t="shared" si="24"/>
        <v>0</v>
      </c>
      <c r="Q107" s="297">
        <v>0</v>
      </c>
      <c r="R107" s="294"/>
      <c r="S107" s="1165">
        <f t="shared" si="25"/>
        <v>0</v>
      </c>
      <c r="T107" s="297">
        <v>0</v>
      </c>
      <c r="U107" s="294"/>
      <c r="V107" s="1166">
        <f t="shared" si="28"/>
        <v>0</v>
      </c>
      <c r="W107" s="297">
        <v>0</v>
      </c>
      <c r="X107" s="294"/>
      <c r="Y107" s="1166">
        <f t="shared" si="26"/>
        <v>0</v>
      </c>
      <c r="Z107" s="1155">
        <f t="shared" si="27"/>
        <v>0</v>
      </c>
    </row>
    <row r="108" spans="2:26" x14ac:dyDescent="0.2">
      <c r="B108" s="198">
        <v>0</v>
      </c>
      <c r="C108" s="200" t="s">
        <v>1845</v>
      </c>
      <c r="D108" s="340"/>
      <c r="E108" s="271"/>
      <c r="F108" s="862"/>
      <c r="G108" s="1163">
        <f t="shared" si="22"/>
        <v>0</v>
      </c>
      <c r="H108" s="862">
        <v>0</v>
      </c>
      <c r="I108" s="1164">
        <f t="shared" si="23"/>
        <v>0</v>
      </c>
      <c r="J108" s="201"/>
      <c r="K108" s="199"/>
      <c r="L108" s="199"/>
      <c r="M108" s="199"/>
      <c r="N108" s="297">
        <v>0</v>
      </c>
      <c r="O108" s="294"/>
      <c r="P108" s="509">
        <f t="shared" si="24"/>
        <v>0</v>
      </c>
      <c r="Q108" s="297">
        <v>0</v>
      </c>
      <c r="R108" s="294"/>
      <c r="S108" s="1165">
        <f t="shared" si="25"/>
        <v>0</v>
      </c>
      <c r="T108" s="297">
        <v>0</v>
      </c>
      <c r="U108" s="294"/>
      <c r="V108" s="1166">
        <f t="shared" si="28"/>
        <v>0</v>
      </c>
      <c r="W108" s="297">
        <v>0</v>
      </c>
      <c r="X108" s="294"/>
      <c r="Y108" s="1166">
        <f t="shared" si="26"/>
        <v>0</v>
      </c>
      <c r="Z108" s="1155">
        <f t="shared" si="27"/>
        <v>0</v>
      </c>
    </row>
    <row r="109" spans="2:26" x14ac:dyDescent="0.2">
      <c r="B109" s="198">
        <v>0</v>
      </c>
      <c r="C109" s="200" t="s">
        <v>1845</v>
      </c>
      <c r="D109" s="340"/>
      <c r="E109" s="271"/>
      <c r="F109" s="862"/>
      <c r="G109" s="1163">
        <f t="shared" si="22"/>
        <v>0</v>
      </c>
      <c r="H109" s="862">
        <v>0</v>
      </c>
      <c r="I109" s="1164">
        <f t="shared" si="23"/>
        <v>0</v>
      </c>
      <c r="J109" s="201"/>
      <c r="K109" s="199"/>
      <c r="L109" s="199"/>
      <c r="M109" s="199"/>
      <c r="N109" s="297">
        <v>0</v>
      </c>
      <c r="O109" s="294"/>
      <c r="P109" s="509">
        <f t="shared" si="24"/>
        <v>0</v>
      </c>
      <c r="Q109" s="297">
        <v>0</v>
      </c>
      <c r="R109" s="294"/>
      <c r="S109" s="1165">
        <f t="shared" si="25"/>
        <v>0</v>
      </c>
      <c r="T109" s="297">
        <v>0</v>
      </c>
      <c r="U109" s="294"/>
      <c r="V109" s="1166">
        <f t="shared" si="28"/>
        <v>0</v>
      </c>
      <c r="W109" s="297">
        <v>0</v>
      </c>
      <c r="X109" s="294"/>
      <c r="Y109" s="1166">
        <f t="shared" si="26"/>
        <v>0</v>
      </c>
      <c r="Z109" s="1155">
        <f t="shared" si="27"/>
        <v>0</v>
      </c>
    </row>
    <row r="110" spans="2:26" x14ac:dyDescent="0.2">
      <c r="B110" s="198">
        <v>0</v>
      </c>
      <c r="C110" s="200" t="s">
        <v>1845</v>
      </c>
      <c r="D110" s="340"/>
      <c r="E110" s="271"/>
      <c r="F110" s="862"/>
      <c r="G110" s="1163">
        <f t="shared" si="22"/>
        <v>0</v>
      </c>
      <c r="H110" s="862">
        <v>0</v>
      </c>
      <c r="I110" s="1164">
        <f t="shared" si="23"/>
        <v>0</v>
      </c>
      <c r="J110" s="201"/>
      <c r="K110" s="199"/>
      <c r="L110" s="199"/>
      <c r="M110" s="199"/>
      <c r="N110" s="297">
        <v>0</v>
      </c>
      <c r="O110" s="294"/>
      <c r="P110" s="509">
        <f t="shared" si="24"/>
        <v>0</v>
      </c>
      <c r="Q110" s="297">
        <v>0</v>
      </c>
      <c r="R110" s="294"/>
      <c r="S110" s="1165">
        <f t="shared" si="25"/>
        <v>0</v>
      </c>
      <c r="T110" s="297">
        <v>0</v>
      </c>
      <c r="U110" s="294"/>
      <c r="V110" s="1166">
        <f t="shared" si="28"/>
        <v>0</v>
      </c>
      <c r="W110" s="297">
        <v>0</v>
      </c>
      <c r="X110" s="294"/>
      <c r="Y110" s="1166">
        <f t="shared" si="26"/>
        <v>0</v>
      </c>
      <c r="Z110" s="1155">
        <f t="shared" si="27"/>
        <v>0</v>
      </c>
    </row>
    <row r="111" spans="2:26" x14ac:dyDescent="0.2">
      <c r="B111" s="198">
        <v>0</v>
      </c>
      <c r="C111" s="200" t="s">
        <v>1845</v>
      </c>
      <c r="D111" s="340"/>
      <c r="E111" s="271"/>
      <c r="F111" s="862"/>
      <c r="G111" s="1163">
        <f t="shared" si="22"/>
        <v>0</v>
      </c>
      <c r="H111" s="862">
        <v>0</v>
      </c>
      <c r="I111" s="1164">
        <f t="shared" si="23"/>
        <v>0</v>
      </c>
      <c r="J111" s="201"/>
      <c r="K111" s="199"/>
      <c r="L111" s="199"/>
      <c r="M111" s="199"/>
      <c r="N111" s="297">
        <v>0</v>
      </c>
      <c r="O111" s="294"/>
      <c r="P111" s="509">
        <f t="shared" si="24"/>
        <v>0</v>
      </c>
      <c r="Q111" s="297">
        <v>0</v>
      </c>
      <c r="R111" s="294"/>
      <c r="S111" s="1165">
        <f t="shared" si="25"/>
        <v>0</v>
      </c>
      <c r="T111" s="297">
        <v>0</v>
      </c>
      <c r="U111" s="294"/>
      <c r="V111" s="1166">
        <f t="shared" si="28"/>
        <v>0</v>
      </c>
      <c r="W111" s="297">
        <v>0</v>
      </c>
      <c r="X111" s="294"/>
      <c r="Y111" s="1166">
        <f t="shared" si="26"/>
        <v>0</v>
      </c>
      <c r="Z111" s="1155">
        <f t="shared" si="27"/>
        <v>0</v>
      </c>
    </row>
    <row r="112" spans="2:26" x14ac:dyDescent="0.2">
      <c r="B112" s="198">
        <v>0</v>
      </c>
      <c r="C112" s="200" t="s">
        <v>1845</v>
      </c>
      <c r="D112" s="340"/>
      <c r="E112" s="271"/>
      <c r="F112" s="862"/>
      <c r="G112" s="1163">
        <f t="shared" si="22"/>
        <v>0</v>
      </c>
      <c r="H112" s="862">
        <v>0</v>
      </c>
      <c r="I112" s="1164">
        <f t="shared" si="23"/>
        <v>0</v>
      </c>
      <c r="J112" s="201"/>
      <c r="K112" s="199"/>
      <c r="L112" s="199"/>
      <c r="M112" s="199"/>
      <c r="N112" s="297">
        <v>0</v>
      </c>
      <c r="O112" s="294"/>
      <c r="P112" s="509">
        <f t="shared" si="24"/>
        <v>0</v>
      </c>
      <c r="Q112" s="297">
        <v>0</v>
      </c>
      <c r="R112" s="294"/>
      <c r="S112" s="1165">
        <f t="shared" si="25"/>
        <v>0</v>
      </c>
      <c r="T112" s="297">
        <v>0</v>
      </c>
      <c r="U112" s="294"/>
      <c r="V112" s="1166">
        <f t="shared" si="28"/>
        <v>0</v>
      </c>
      <c r="W112" s="297">
        <v>0</v>
      </c>
      <c r="X112" s="294"/>
      <c r="Y112" s="1166">
        <f t="shared" si="26"/>
        <v>0</v>
      </c>
      <c r="Z112" s="1155">
        <f t="shared" si="27"/>
        <v>0</v>
      </c>
    </row>
    <row r="113" spans="2:26" x14ac:dyDescent="0.2">
      <c r="B113" s="198">
        <v>0</v>
      </c>
      <c r="C113" s="200" t="s">
        <v>1845</v>
      </c>
      <c r="D113" s="340"/>
      <c r="E113" s="271"/>
      <c r="F113" s="862"/>
      <c r="G113" s="1163">
        <f t="shared" si="22"/>
        <v>0</v>
      </c>
      <c r="H113" s="862">
        <v>0</v>
      </c>
      <c r="I113" s="1164">
        <f t="shared" si="23"/>
        <v>0</v>
      </c>
      <c r="J113" s="201"/>
      <c r="K113" s="199"/>
      <c r="L113" s="199"/>
      <c r="M113" s="199"/>
      <c r="N113" s="297">
        <v>0</v>
      </c>
      <c r="O113" s="294"/>
      <c r="P113" s="509">
        <f t="shared" si="24"/>
        <v>0</v>
      </c>
      <c r="Q113" s="297">
        <v>0</v>
      </c>
      <c r="R113" s="294"/>
      <c r="S113" s="1165">
        <f t="shared" si="25"/>
        <v>0</v>
      </c>
      <c r="T113" s="297">
        <v>0</v>
      </c>
      <c r="U113" s="294"/>
      <c r="V113" s="1166">
        <f t="shared" si="28"/>
        <v>0</v>
      </c>
      <c r="W113" s="297">
        <v>0</v>
      </c>
      <c r="X113" s="294"/>
      <c r="Y113" s="1166">
        <f t="shared" si="26"/>
        <v>0</v>
      </c>
      <c r="Z113" s="1155">
        <f t="shared" si="27"/>
        <v>0</v>
      </c>
    </row>
    <row r="114" spans="2:26" x14ac:dyDescent="0.2">
      <c r="B114" s="198">
        <v>0</v>
      </c>
      <c r="C114" s="200" t="s">
        <v>1845</v>
      </c>
      <c r="D114" s="340"/>
      <c r="E114" s="271"/>
      <c r="F114" s="862"/>
      <c r="G114" s="1163">
        <f t="shared" si="22"/>
        <v>0</v>
      </c>
      <c r="H114" s="862">
        <v>0</v>
      </c>
      <c r="I114" s="1164">
        <f t="shared" si="23"/>
        <v>0</v>
      </c>
      <c r="J114" s="201"/>
      <c r="K114" s="199"/>
      <c r="L114" s="199"/>
      <c r="M114" s="199"/>
      <c r="N114" s="297">
        <v>0</v>
      </c>
      <c r="O114" s="294"/>
      <c r="P114" s="509">
        <f t="shared" si="24"/>
        <v>0</v>
      </c>
      <c r="Q114" s="297">
        <v>0</v>
      </c>
      <c r="R114" s="294"/>
      <c r="S114" s="1165">
        <f t="shared" si="25"/>
        <v>0</v>
      </c>
      <c r="T114" s="297">
        <v>0</v>
      </c>
      <c r="U114" s="294"/>
      <c r="V114" s="1166">
        <f t="shared" si="28"/>
        <v>0</v>
      </c>
      <c r="W114" s="297">
        <v>0</v>
      </c>
      <c r="X114" s="294"/>
      <c r="Y114" s="1166">
        <f t="shared" si="26"/>
        <v>0</v>
      </c>
      <c r="Z114" s="1155">
        <f t="shared" si="27"/>
        <v>0</v>
      </c>
    </row>
    <row r="115" spans="2:26" x14ac:dyDescent="0.2">
      <c r="B115" s="198">
        <v>0</v>
      </c>
      <c r="C115" s="200" t="s">
        <v>1845</v>
      </c>
      <c r="D115" s="340"/>
      <c r="E115" s="271"/>
      <c r="F115" s="862"/>
      <c r="G115" s="1163">
        <f t="shared" si="22"/>
        <v>0</v>
      </c>
      <c r="H115" s="862">
        <v>0</v>
      </c>
      <c r="I115" s="1164">
        <f t="shared" si="23"/>
        <v>0</v>
      </c>
      <c r="J115" s="201"/>
      <c r="K115" s="199"/>
      <c r="L115" s="199"/>
      <c r="M115" s="199"/>
      <c r="N115" s="297">
        <v>0</v>
      </c>
      <c r="O115" s="294"/>
      <c r="P115" s="509">
        <f t="shared" si="24"/>
        <v>0</v>
      </c>
      <c r="Q115" s="297">
        <v>0</v>
      </c>
      <c r="R115" s="294"/>
      <c r="S115" s="1165">
        <f t="shared" si="25"/>
        <v>0</v>
      </c>
      <c r="T115" s="297">
        <v>0</v>
      </c>
      <c r="U115" s="294"/>
      <c r="V115" s="1166">
        <f t="shared" si="28"/>
        <v>0</v>
      </c>
      <c r="W115" s="297">
        <v>0</v>
      </c>
      <c r="X115" s="294"/>
      <c r="Y115" s="1166">
        <f t="shared" si="26"/>
        <v>0</v>
      </c>
      <c r="Z115" s="1155">
        <f t="shared" si="27"/>
        <v>0</v>
      </c>
    </row>
    <row r="116" spans="2:26" x14ac:dyDescent="0.2">
      <c r="B116" s="198">
        <v>0</v>
      </c>
      <c r="C116" s="200" t="s">
        <v>1845</v>
      </c>
      <c r="D116" s="340"/>
      <c r="E116" s="271"/>
      <c r="F116" s="862"/>
      <c r="G116" s="1163">
        <f t="shared" si="22"/>
        <v>0</v>
      </c>
      <c r="H116" s="862">
        <v>0</v>
      </c>
      <c r="I116" s="1164">
        <f t="shared" si="23"/>
        <v>0</v>
      </c>
      <c r="J116" s="201"/>
      <c r="K116" s="199"/>
      <c r="L116" s="199"/>
      <c r="M116" s="199"/>
      <c r="N116" s="297">
        <v>0</v>
      </c>
      <c r="O116" s="294"/>
      <c r="P116" s="509">
        <f t="shared" si="24"/>
        <v>0</v>
      </c>
      <c r="Q116" s="297">
        <v>0</v>
      </c>
      <c r="R116" s="294"/>
      <c r="S116" s="1165">
        <f t="shared" si="25"/>
        <v>0</v>
      </c>
      <c r="T116" s="297">
        <v>0</v>
      </c>
      <c r="U116" s="294"/>
      <c r="V116" s="1166">
        <f t="shared" si="28"/>
        <v>0</v>
      </c>
      <c r="W116" s="297">
        <v>0</v>
      </c>
      <c r="X116" s="294"/>
      <c r="Y116" s="1166">
        <f t="shared" si="26"/>
        <v>0</v>
      </c>
      <c r="Z116" s="1155">
        <f t="shared" si="27"/>
        <v>0</v>
      </c>
    </row>
    <row r="117" spans="2:26" x14ac:dyDescent="0.2">
      <c r="B117" s="198">
        <v>0</v>
      </c>
      <c r="C117" s="200" t="s">
        <v>1845</v>
      </c>
      <c r="D117" s="340"/>
      <c r="E117" s="271"/>
      <c r="F117" s="862"/>
      <c r="G117" s="1163">
        <f t="shared" si="22"/>
        <v>0</v>
      </c>
      <c r="H117" s="862">
        <v>0</v>
      </c>
      <c r="I117" s="1164">
        <f t="shared" si="23"/>
        <v>0</v>
      </c>
      <c r="J117" s="201"/>
      <c r="K117" s="199"/>
      <c r="L117" s="199"/>
      <c r="M117" s="199"/>
      <c r="N117" s="297">
        <v>0</v>
      </c>
      <c r="O117" s="294"/>
      <c r="P117" s="509">
        <f t="shared" si="24"/>
        <v>0</v>
      </c>
      <c r="Q117" s="297">
        <v>0</v>
      </c>
      <c r="R117" s="294"/>
      <c r="S117" s="1165">
        <f t="shared" si="25"/>
        <v>0</v>
      </c>
      <c r="T117" s="297">
        <v>0</v>
      </c>
      <c r="U117" s="294"/>
      <c r="V117" s="1166">
        <f t="shared" si="28"/>
        <v>0</v>
      </c>
      <c r="W117" s="297">
        <v>0</v>
      </c>
      <c r="X117" s="294"/>
      <c r="Y117" s="1166">
        <f t="shared" si="26"/>
        <v>0</v>
      </c>
      <c r="Z117" s="1155">
        <f t="shared" si="27"/>
        <v>0</v>
      </c>
    </row>
    <row r="118" spans="2:26" x14ac:dyDescent="0.2">
      <c r="B118" s="198">
        <v>0</v>
      </c>
      <c r="C118" s="200" t="s">
        <v>1845</v>
      </c>
      <c r="D118" s="340"/>
      <c r="E118" s="271"/>
      <c r="F118" s="862"/>
      <c r="G118" s="1163">
        <f t="shared" si="22"/>
        <v>0</v>
      </c>
      <c r="H118" s="862">
        <v>0</v>
      </c>
      <c r="I118" s="1164">
        <f t="shared" si="23"/>
        <v>0</v>
      </c>
      <c r="J118" s="201"/>
      <c r="K118" s="199"/>
      <c r="L118" s="199"/>
      <c r="M118" s="199"/>
      <c r="N118" s="297">
        <v>0</v>
      </c>
      <c r="O118" s="294"/>
      <c r="P118" s="509">
        <f t="shared" si="24"/>
        <v>0</v>
      </c>
      <c r="Q118" s="297">
        <v>0</v>
      </c>
      <c r="R118" s="294"/>
      <c r="S118" s="1165">
        <f t="shared" si="25"/>
        <v>0</v>
      </c>
      <c r="T118" s="297">
        <v>0</v>
      </c>
      <c r="U118" s="294"/>
      <c r="V118" s="1166">
        <f t="shared" si="28"/>
        <v>0</v>
      </c>
      <c r="W118" s="297">
        <v>0</v>
      </c>
      <c r="X118" s="294"/>
      <c r="Y118" s="1166">
        <f t="shared" si="26"/>
        <v>0</v>
      </c>
      <c r="Z118" s="1155">
        <f t="shared" si="27"/>
        <v>0</v>
      </c>
    </row>
    <row r="119" spans="2:26" x14ac:dyDescent="0.2">
      <c r="B119" s="198">
        <v>0</v>
      </c>
      <c r="C119" s="200" t="s">
        <v>1845</v>
      </c>
      <c r="D119" s="340"/>
      <c r="E119" s="271"/>
      <c r="F119" s="862"/>
      <c r="G119" s="1163">
        <f t="shared" si="22"/>
        <v>0</v>
      </c>
      <c r="H119" s="862">
        <v>0</v>
      </c>
      <c r="I119" s="1164">
        <f t="shared" si="23"/>
        <v>0</v>
      </c>
      <c r="J119" s="201"/>
      <c r="K119" s="199"/>
      <c r="L119" s="199"/>
      <c r="M119" s="199"/>
      <c r="N119" s="297">
        <v>0</v>
      </c>
      <c r="O119" s="294"/>
      <c r="P119" s="509">
        <f t="shared" si="24"/>
        <v>0</v>
      </c>
      <c r="Q119" s="297">
        <v>0</v>
      </c>
      <c r="R119" s="294"/>
      <c r="S119" s="1165">
        <f t="shared" si="25"/>
        <v>0</v>
      </c>
      <c r="T119" s="297">
        <v>0</v>
      </c>
      <c r="U119" s="294"/>
      <c r="V119" s="1166">
        <f t="shared" si="28"/>
        <v>0</v>
      </c>
      <c r="W119" s="297">
        <v>0</v>
      </c>
      <c r="X119" s="294"/>
      <c r="Y119" s="1166">
        <f t="shared" si="26"/>
        <v>0</v>
      </c>
      <c r="Z119" s="1155">
        <f t="shared" si="27"/>
        <v>0</v>
      </c>
    </row>
    <row r="120" spans="2:26" x14ac:dyDescent="0.2">
      <c r="B120" s="198">
        <v>0</v>
      </c>
      <c r="C120" s="200" t="s">
        <v>1845</v>
      </c>
      <c r="D120" s="340"/>
      <c r="E120" s="271"/>
      <c r="F120" s="862"/>
      <c r="G120" s="1163">
        <f t="shared" si="22"/>
        <v>0</v>
      </c>
      <c r="H120" s="862">
        <v>0</v>
      </c>
      <c r="I120" s="1164">
        <f t="shared" si="23"/>
        <v>0</v>
      </c>
      <c r="J120" s="201"/>
      <c r="K120" s="199"/>
      <c r="L120" s="199"/>
      <c r="M120" s="199"/>
      <c r="N120" s="297">
        <v>0</v>
      </c>
      <c r="O120" s="294"/>
      <c r="P120" s="509">
        <f t="shared" si="24"/>
        <v>0</v>
      </c>
      <c r="Q120" s="297">
        <v>0</v>
      </c>
      <c r="R120" s="294"/>
      <c r="S120" s="1165">
        <f t="shared" si="25"/>
        <v>0</v>
      </c>
      <c r="T120" s="297">
        <v>0</v>
      </c>
      <c r="U120" s="294"/>
      <c r="V120" s="1166">
        <f t="shared" si="28"/>
        <v>0</v>
      </c>
      <c r="W120" s="297">
        <v>0</v>
      </c>
      <c r="X120" s="294"/>
      <c r="Y120" s="1166">
        <f t="shared" si="26"/>
        <v>0</v>
      </c>
      <c r="Z120" s="1155">
        <f t="shared" si="27"/>
        <v>0</v>
      </c>
    </row>
    <row r="121" spans="2:26" x14ac:dyDescent="0.2">
      <c r="B121" s="198">
        <v>0</v>
      </c>
      <c r="C121" s="200" t="s">
        <v>1845</v>
      </c>
      <c r="D121" s="340"/>
      <c r="E121" s="271"/>
      <c r="F121" s="862"/>
      <c r="G121" s="1163">
        <f t="shared" si="22"/>
        <v>0</v>
      </c>
      <c r="H121" s="862">
        <v>0</v>
      </c>
      <c r="I121" s="1164">
        <f t="shared" si="23"/>
        <v>0</v>
      </c>
      <c r="J121" s="201"/>
      <c r="K121" s="199"/>
      <c r="L121" s="199"/>
      <c r="M121" s="199"/>
      <c r="N121" s="297">
        <v>0</v>
      </c>
      <c r="O121" s="294"/>
      <c r="P121" s="509">
        <f t="shared" si="24"/>
        <v>0</v>
      </c>
      <c r="Q121" s="297">
        <v>0</v>
      </c>
      <c r="R121" s="294"/>
      <c r="S121" s="1165">
        <f t="shared" si="25"/>
        <v>0</v>
      </c>
      <c r="T121" s="297">
        <v>0</v>
      </c>
      <c r="U121" s="294"/>
      <c r="V121" s="1166">
        <f t="shared" si="28"/>
        <v>0</v>
      </c>
      <c r="W121" s="297">
        <v>0</v>
      </c>
      <c r="X121" s="294"/>
      <c r="Y121" s="1166">
        <f t="shared" si="26"/>
        <v>0</v>
      </c>
      <c r="Z121" s="1155">
        <f t="shared" si="27"/>
        <v>0</v>
      </c>
    </row>
    <row r="122" spans="2:26" x14ac:dyDescent="0.2">
      <c r="B122" s="198">
        <v>0</v>
      </c>
      <c r="C122" s="200" t="s">
        <v>1845</v>
      </c>
      <c r="D122" s="340"/>
      <c r="E122" s="271"/>
      <c r="F122" s="862"/>
      <c r="G122" s="1163">
        <f t="shared" si="22"/>
        <v>0</v>
      </c>
      <c r="H122" s="862">
        <v>0</v>
      </c>
      <c r="I122" s="1164">
        <f t="shared" si="23"/>
        <v>0</v>
      </c>
      <c r="J122" s="201"/>
      <c r="K122" s="199"/>
      <c r="L122" s="199"/>
      <c r="M122" s="199"/>
      <c r="N122" s="297">
        <v>0</v>
      </c>
      <c r="O122" s="294"/>
      <c r="P122" s="509">
        <f t="shared" si="24"/>
        <v>0</v>
      </c>
      <c r="Q122" s="297">
        <v>0</v>
      </c>
      <c r="R122" s="294"/>
      <c r="S122" s="1165">
        <f t="shared" si="25"/>
        <v>0</v>
      </c>
      <c r="T122" s="297">
        <v>0</v>
      </c>
      <c r="U122" s="294"/>
      <c r="V122" s="1166">
        <f t="shared" si="28"/>
        <v>0</v>
      </c>
      <c r="W122" s="297">
        <v>0</v>
      </c>
      <c r="X122" s="294"/>
      <c r="Y122" s="1166">
        <f t="shared" si="26"/>
        <v>0</v>
      </c>
      <c r="Z122" s="1155">
        <f t="shared" si="27"/>
        <v>0</v>
      </c>
    </row>
    <row r="123" spans="2:26" x14ac:dyDescent="0.2">
      <c r="B123" s="198">
        <v>0</v>
      </c>
      <c r="C123" s="200" t="s">
        <v>1845</v>
      </c>
      <c r="D123" s="340"/>
      <c r="E123" s="271"/>
      <c r="F123" s="862"/>
      <c r="G123" s="1163">
        <f t="shared" si="22"/>
        <v>0</v>
      </c>
      <c r="H123" s="862">
        <v>0</v>
      </c>
      <c r="I123" s="1164">
        <f t="shared" si="23"/>
        <v>0</v>
      </c>
      <c r="J123" s="201"/>
      <c r="K123" s="199"/>
      <c r="L123" s="199"/>
      <c r="M123" s="199"/>
      <c r="N123" s="297">
        <v>0</v>
      </c>
      <c r="O123" s="294"/>
      <c r="P123" s="509">
        <f t="shared" si="24"/>
        <v>0</v>
      </c>
      <c r="Q123" s="297">
        <v>0</v>
      </c>
      <c r="R123" s="294"/>
      <c r="S123" s="1165">
        <f t="shared" si="25"/>
        <v>0</v>
      </c>
      <c r="T123" s="297">
        <v>0</v>
      </c>
      <c r="U123" s="294"/>
      <c r="V123" s="1166">
        <f t="shared" si="28"/>
        <v>0</v>
      </c>
      <c r="W123" s="297">
        <v>0</v>
      </c>
      <c r="X123" s="294"/>
      <c r="Y123" s="1166">
        <f t="shared" si="26"/>
        <v>0</v>
      </c>
      <c r="Z123" s="1155">
        <f t="shared" si="27"/>
        <v>0</v>
      </c>
    </row>
    <row r="124" spans="2:26" x14ac:dyDescent="0.2">
      <c r="B124" s="198">
        <v>0</v>
      </c>
      <c r="C124" s="200" t="s">
        <v>1845</v>
      </c>
      <c r="D124" s="340"/>
      <c r="E124" s="271"/>
      <c r="F124" s="862"/>
      <c r="G124" s="1163">
        <f t="shared" si="22"/>
        <v>0</v>
      </c>
      <c r="H124" s="862">
        <v>0</v>
      </c>
      <c r="I124" s="1164">
        <f t="shared" si="23"/>
        <v>0</v>
      </c>
      <c r="J124" s="201"/>
      <c r="K124" s="199"/>
      <c r="L124" s="199"/>
      <c r="M124" s="199"/>
      <c r="N124" s="297">
        <v>0</v>
      </c>
      <c r="O124" s="294"/>
      <c r="P124" s="509">
        <f t="shared" si="24"/>
        <v>0</v>
      </c>
      <c r="Q124" s="297">
        <v>0</v>
      </c>
      <c r="R124" s="294"/>
      <c r="S124" s="1165">
        <f t="shared" si="25"/>
        <v>0</v>
      </c>
      <c r="T124" s="297">
        <v>0</v>
      </c>
      <c r="U124" s="294"/>
      <c r="V124" s="1166">
        <f t="shared" si="28"/>
        <v>0</v>
      </c>
      <c r="W124" s="297">
        <v>0</v>
      </c>
      <c r="X124" s="294"/>
      <c r="Y124" s="1166">
        <f t="shared" si="26"/>
        <v>0</v>
      </c>
      <c r="Z124" s="1155">
        <f t="shared" si="27"/>
        <v>0</v>
      </c>
    </row>
    <row r="125" spans="2:26" x14ac:dyDescent="0.2">
      <c r="B125" s="198">
        <v>0</v>
      </c>
      <c r="C125" s="200" t="s">
        <v>1845</v>
      </c>
      <c r="D125" s="340"/>
      <c r="E125" s="271"/>
      <c r="F125" s="862"/>
      <c r="G125" s="1163">
        <f t="shared" si="22"/>
        <v>0</v>
      </c>
      <c r="H125" s="862">
        <v>0</v>
      </c>
      <c r="I125" s="1164">
        <f t="shared" si="23"/>
        <v>0</v>
      </c>
      <c r="J125" s="201"/>
      <c r="K125" s="199"/>
      <c r="L125" s="199"/>
      <c r="M125" s="199"/>
      <c r="N125" s="297">
        <v>0</v>
      </c>
      <c r="O125" s="294"/>
      <c r="P125" s="509">
        <f t="shared" si="24"/>
        <v>0</v>
      </c>
      <c r="Q125" s="297">
        <v>0</v>
      </c>
      <c r="R125" s="294"/>
      <c r="S125" s="1165">
        <f t="shared" si="25"/>
        <v>0</v>
      </c>
      <c r="T125" s="297">
        <v>0</v>
      </c>
      <c r="U125" s="294"/>
      <c r="V125" s="1166">
        <f t="shared" si="28"/>
        <v>0</v>
      </c>
      <c r="W125" s="297">
        <v>0</v>
      </c>
      <c r="X125" s="294"/>
      <c r="Y125" s="1166">
        <f t="shared" si="26"/>
        <v>0</v>
      </c>
      <c r="Z125" s="1155">
        <f t="shared" si="27"/>
        <v>0</v>
      </c>
    </row>
    <row r="126" spans="2:26" x14ac:dyDescent="0.2">
      <c r="B126" s="198">
        <v>0</v>
      </c>
      <c r="C126" s="200" t="s">
        <v>1845</v>
      </c>
      <c r="D126" s="340"/>
      <c r="E126" s="271"/>
      <c r="F126" s="862"/>
      <c r="G126" s="1163">
        <f t="shared" si="22"/>
        <v>0</v>
      </c>
      <c r="H126" s="862">
        <v>0</v>
      </c>
      <c r="I126" s="1164">
        <f t="shared" si="23"/>
        <v>0</v>
      </c>
      <c r="J126" s="201"/>
      <c r="K126" s="199"/>
      <c r="L126" s="199"/>
      <c r="M126" s="199"/>
      <c r="N126" s="297">
        <v>0</v>
      </c>
      <c r="O126" s="294"/>
      <c r="P126" s="509">
        <f t="shared" si="24"/>
        <v>0</v>
      </c>
      <c r="Q126" s="297">
        <v>0</v>
      </c>
      <c r="R126" s="294"/>
      <c r="S126" s="1165">
        <f t="shared" si="25"/>
        <v>0</v>
      </c>
      <c r="T126" s="297">
        <v>0</v>
      </c>
      <c r="U126" s="294"/>
      <c r="V126" s="1166">
        <f t="shared" si="28"/>
        <v>0</v>
      </c>
      <c r="W126" s="297">
        <v>0</v>
      </c>
      <c r="X126" s="294"/>
      <c r="Y126" s="1166">
        <f t="shared" si="26"/>
        <v>0</v>
      </c>
      <c r="Z126" s="1155">
        <f t="shared" si="27"/>
        <v>0</v>
      </c>
    </row>
    <row r="127" spans="2:26" x14ac:dyDescent="0.2">
      <c r="B127" s="198">
        <v>0</v>
      </c>
      <c r="C127" s="200" t="s">
        <v>1845</v>
      </c>
      <c r="D127" s="340"/>
      <c r="E127" s="271"/>
      <c r="F127" s="862"/>
      <c r="G127" s="1163">
        <f t="shared" si="22"/>
        <v>0</v>
      </c>
      <c r="H127" s="862">
        <v>0</v>
      </c>
      <c r="I127" s="1164">
        <f t="shared" si="23"/>
        <v>0</v>
      </c>
      <c r="J127" s="201"/>
      <c r="K127" s="199"/>
      <c r="L127" s="199"/>
      <c r="M127" s="199"/>
      <c r="N127" s="297">
        <v>0</v>
      </c>
      <c r="O127" s="294"/>
      <c r="P127" s="509">
        <f t="shared" si="24"/>
        <v>0</v>
      </c>
      <c r="Q127" s="297">
        <v>0</v>
      </c>
      <c r="R127" s="294"/>
      <c r="S127" s="1165">
        <f t="shared" si="25"/>
        <v>0</v>
      </c>
      <c r="T127" s="297">
        <v>0</v>
      </c>
      <c r="U127" s="294"/>
      <c r="V127" s="1166">
        <f t="shared" si="28"/>
        <v>0</v>
      </c>
      <c r="W127" s="297">
        <v>0</v>
      </c>
      <c r="X127" s="294"/>
      <c r="Y127" s="1166">
        <f t="shared" si="26"/>
        <v>0</v>
      </c>
      <c r="Z127" s="1155">
        <f t="shared" si="27"/>
        <v>0</v>
      </c>
    </row>
    <row r="128" spans="2:26" x14ac:dyDescent="0.2">
      <c r="B128" s="198">
        <v>0</v>
      </c>
      <c r="C128" s="200" t="s">
        <v>1845</v>
      </c>
      <c r="D128" s="340"/>
      <c r="E128" s="271"/>
      <c r="F128" s="862"/>
      <c r="G128" s="1163">
        <f t="shared" si="22"/>
        <v>0</v>
      </c>
      <c r="H128" s="862">
        <v>0</v>
      </c>
      <c r="I128" s="1164">
        <f t="shared" si="23"/>
        <v>0</v>
      </c>
      <c r="J128" s="201"/>
      <c r="K128" s="199"/>
      <c r="L128" s="199"/>
      <c r="M128" s="199"/>
      <c r="N128" s="297">
        <v>0</v>
      </c>
      <c r="O128" s="294"/>
      <c r="P128" s="509">
        <f t="shared" si="24"/>
        <v>0</v>
      </c>
      <c r="Q128" s="297">
        <v>0</v>
      </c>
      <c r="R128" s="294"/>
      <c r="S128" s="1165">
        <f t="shared" si="25"/>
        <v>0</v>
      </c>
      <c r="T128" s="297">
        <v>0</v>
      </c>
      <c r="U128" s="294"/>
      <c r="V128" s="1166">
        <f t="shared" si="28"/>
        <v>0</v>
      </c>
      <c r="W128" s="297">
        <v>0</v>
      </c>
      <c r="X128" s="294"/>
      <c r="Y128" s="1166">
        <f t="shared" si="26"/>
        <v>0</v>
      </c>
      <c r="Z128" s="1155">
        <f t="shared" si="27"/>
        <v>0</v>
      </c>
    </row>
    <row r="129" spans="2:26" x14ac:dyDescent="0.2">
      <c r="B129" s="198">
        <v>0</v>
      </c>
      <c r="C129" s="200" t="s">
        <v>1845</v>
      </c>
      <c r="D129" s="340"/>
      <c r="E129" s="271"/>
      <c r="F129" s="862"/>
      <c r="G129" s="1163">
        <f t="shared" si="22"/>
        <v>0</v>
      </c>
      <c r="H129" s="862">
        <v>0</v>
      </c>
      <c r="I129" s="1164">
        <f t="shared" si="23"/>
        <v>0</v>
      </c>
      <c r="J129" s="201"/>
      <c r="K129" s="199"/>
      <c r="L129" s="199"/>
      <c r="M129" s="199"/>
      <c r="N129" s="297">
        <v>0</v>
      </c>
      <c r="O129" s="294"/>
      <c r="P129" s="509">
        <f t="shared" si="24"/>
        <v>0</v>
      </c>
      <c r="Q129" s="297">
        <v>0</v>
      </c>
      <c r="R129" s="294"/>
      <c r="S129" s="1165">
        <f t="shared" si="25"/>
        <v>0</v>
      </c>
      <c r="T129" s="297">
        <v>0</v>
      </c>
      <c r="U129" s="294"/>
      <c r="V129" s="1166">
        <f t="shared" si="28"/>
        <v>0</v>
      </c>
      <c r="W129" s="297">
        <v>0</v>
      </c>
      <c r="X129" s="294"/>
      <c r="Y129" s="1166">
        <f t="shared" si="26"/>
        <v>0</v>
      </c>
      <c r="Z129" s="1155">
        <f t="shared" si="27"/>
        <v>0</v>
      </c>
    </row>
    <row r="130" spans="2:26" x14ac:dyDescent="0.2">
      <c r="B130" s="198">
        <v>0</v>
      </c>
      <c r="C130" s="200" t="s">
        <v>1845</v>
      </c>
      <c r="D130" s="340"/>
      <c r="E130" s="271"/>
      <c r="F130" s="862"/>
      <c r="G130" s="1163">
        <f t="shared" si="22"/>
        <v>0</v>
      </c>
      <c r="H130" s="862">
        <v>0</v>
      </c>
      <c r="I130" s="1164">
        <f t="shared" si="23"/>
        <v>0</v>
      </c>
      <c r="J130" s="201"/>
      <c r="K130" s="199"/>
      <c r="L130" s="199"/>
      <c r="M130" s="199"/>
      <c r="N130" s="297">
        <v>0</v>
      </c>
      <c r="O130" s="294"/>
      <c r="P130" s="509">
        <f t="shared" si="24"/>
        <v>0</v>
      </c>
      <c r="Q130" s="297">
        <v>0</v>
      </c>
      <c r="R130" s="294"/>
      <c r="S130" s="1165">
        <f t="shared" si="25"/>
        <v>0</v>
      </c>
      <c r="T130" s="297">
        <v>0</v>
      </c>
      <c r="U130" s="294"/>
      <c r="V130" s="1166">
        <f t="shared" si="28"/>
        <v>0</v>
      </c>
      <c r="W130" s="297">
        <v>0</v>
      </c>
      <c r="X130" s="294"/>
      <c r="Y130" s="1166">
        <f t="shared" si="26"/>
        <v>0</v>
      </c>
      <c r="Z130" s="1155">
        <f t="shared" si="27"/>
        <v>0</v>
      </c>
    </row>
    <row r="131" spans="2:26" x14ac:dyDescent="0.2">
      <c r="B131" s="198">
        <v>0</v>
      </c>
      <c r="C131" s="200" t="s">
        <v>1845</v>
      </c>
      <c r="D131" s="340"/>
      <c r="E131" s="271"/>
      <c r="F131" s="862"/>
      <c r="G131" s="1163">
        <f t="shared" si="22"/>
        <v>0</v>
      </c>
      <c r="H131" s="862">
        <v>0</v>
      </c>
      <c r="I131" s="1164">
        <f t="shared" si="23"/>
        <v>0</v>
      </c>
      <c r="J131" s="201"/>
      <c r="K131" s="199"/>
      <c r="L131" s="199"/>
      <c r="M131" s="199"/>
      <c r="N131" s="297">
        <v>0</v>
      </c>
      <c r="O131" s="294"/>
      <c r="P131" s="509">
        <f t="shared" si="24"/>
        <v>0</v>
      </c>
      <c r="Q131" s="297">
        <v>0</v>
      </c>
      <c r="R131" s="294"/>
      <c r="S131" s="1165">
        <f t="shared" si="25"/>
        <v>0</v>
      </c>
      <c r="T131" s="297">
        <v>0</v>
      </c>
      <c r="U131" s="294"/>
      <c r="V131" s="1166">
        <f t="shared" si="28"/>
        <v>0</v>
      </c>
      <c r="W131" s="297">
        <v>0</v>
      </c>
      <c r="X131" s="294"/>
      <c r="Y131" s="1166">
        <f t="shared" si="26"/>
        <v>0</v>
      </c>
      <c r="Z131" s="1155">
        <f t="shared" si="27"/>
        <v>0</v>
      </c>
    </row>
    <row r="132" spans="2:26" x14ac:dyDescent="0.2">
      <c r="B132" s="198">
        <v>0</v>
      </c>
      <c r="C132" s="200" t="s">
        <v>1845</v>
      </c>
      <c r="D132" s="340"/>
      <c r="E132" s="271"/>
      <c r="F132" s="862"/>
      <c r="G132" s="1163">
        <f t="shared" si="22"/>
        <v>0</v>
      </c>
      <c r="H132" s="862">
        <v>0</v>
      </c>
      <c r="I132" s="1164">
        <f t="shared" si="23"/>
        <v>0</v>
      </c>
      <c r="J132" s="201"/>
      <c r="K132" s="199"/>
      <c r="L132" s="199"/>
      <c r="M132" s="199"/>
      <c r="N132" s="297">
        <v>0</v>
      </c>
      <c r="O132" s="294"/>
      <c r="P132" s="509">
        <f t="shared" si="24"/>
        <v>0</v>
      </c>
      <c r="Q132" s="297">
        <v>0</v>
      </c>
      <c r="R132" s="294"/>
      <c r="S132" s="1165">
        <f t="shared" si="25"/>
        <v>0</v>
      </c>
      <c r="T132" s="297">
        <v>0</v>
      </c>
      <c r="U132" s="294"/>
      <c r="V132" s="1166">
        <f t="shared" si="28"/>
        <v>0</v>
      </c>
      <c r="W132" s="297">
        <v>0</v>
      </c>
      <c r="X132" s="294"/>
      <c r="Y132" s="1166">
        <f t="shared" si="26"/>
        <v>0</v>
      </c>
      <c r="Z132" s="1155">
        <f t="shared" si="27"/>
        <v>0</v>
      </c>
    </row>
    <row r="133" spans="2:26" x14ac:dyDescent="0.2">
      <c r="B133" s="198">
        <v>0</v>
      </c>
      <c r="C133" s="200" t="s">
        <v>1845</v>
      </c>
      <c r="D133" s="340"/>
      <c r="E133" s="271"/>
      <c r="F133" s="862"/>
      <c r="G133" s="1163">
        <f t="shared" si="22"/>
        <v>0</v>
      </c>
      <c r="H133" s="862">
        <v>0</v>
      </c>
      <c r="I133" s="1164">
        <f t="shared" si="23"/>
        <v>0</v>
      </c>
      <c r="J133" s="201"/>
      <c r="K133" s="199"/>
      <c r="L133" s="199"/>
      <c r="M133" s="199"/>
      <c r="N133" s="297">
        <v>0</v>
      </c>
      <c r="O133" s="294"/>
      <c r="P133" s="509">
        <f t="shared" si="24"/>
        <v>0</v>
      </c>
      <c r="Q133" s="297">
        <v>0</v>
      </c>
      <c r="R133" s="294"/>
      <c r="S133" s="1165">
        <f t="shared" si="25"/>
        <v>0</v>
      </c>
      <c r="T133" s="297">
        <v>0</v>
      </c>
      <c r="U133" s="294"/>
      <c r="V133" s="1166">
        <f t="shared" si="28"/>
        <v>0</v>
      </c>
      <c r="W133" s="297">
        <v>0</v>
      </c>
      <c r="X133" s="294"/>
      <c r="Y133" s="1166">
        <f t="shared" si="26"/>
        <v>0</v>
      </c>
      <c r="Z133" s="1155">
        <f t="shared" si="27"/>
        <v>0</v>
      </c>
    </row>
    <row r="134" spans="2:26" x14ac:dyDescent="0.2">
      <c r="B134" s="198">
        <v>0</v>
      </c>
      <c r="C134" s="200" t="s">
        <v>1845</v>
      </c>
      <c r="D134" s="340"/>
      <c r="E134" s="271"/>
      <c r="F134" s="862"/>
      <c r="G134" s="1163">
        <f t="shared" si="22"/>
        <v>0</v>
      </c>
      <c r="H134" s="862">
        <v>0</v>
      </c>
      <c r="I134" s="1164">
        <f t="shared" si="23"/>
        <v>0</v>
      </c>
      <c r="J134" s="201"/>
      <c r="K134" s="199"/>
      <c r="L134" s="199"/>
      <c r="M134" s="199"/>
      <c r="N134" s="297">
        <v>0</v>
      </c>
      <c r="O134" s="294"/>
      <c r="P134" s="509">
        <f t="shared" si="24"/>
        <v>0</v>
      </c>
      <c r="Q134" s="297">
        <v>0</v>
      </c>
      <c r="R134" s="294"/>
      <c r="S134" s="1165">
        <f t="shared" si="25"/>
        <v>0</v>
      </c>
      <c r="T134" s="297">
        <v>0</v>
      </c>
      <c r="U134" s="294"/>
      <c r="V134" s="1166">
        <f t="shared" si="28"/>
        <v>0</v>
      </c>
      <c r="W134" s="297">
        <v>0</v>
      </c>
      <c r="X134" s="294"/>
      <c r="Y134" s="1166">
        <f t="shared" si="26"/>
        <v>0</v>
      </c>
      <c r="Z134" s="1155">
        <f t="shared" si="27"/>
        <v>0</v>
      </c>
    </row>
    <row r="135" spans="2:26" x14ac:dyDescent="0.2">
      <c r="B135" s="198">
        <v>0</v>
      </c>
      <c r="C135" s="200" t="s">
        <v>1845</v>
      </c>
      <c r="D135" s="340"/>
      <c r="E135" s="271"/>
      <c r="F135" s="862"/>
      <c r="G135" s="1163">
        <f t="shared" si="22"/>
        <v>0</v>
      </c>
      <c r="H135" s="862">
        <v>0</v>
      </c>
      <c r="I135" s="1164">
        <f t="shared" si="23"/>
        <v>0</v>
      </c>
      <c r="J135" s="201"/>
      <c r="K135" s="199"/>
      <c r="L135" s="199"/>
      <c r="M135" s="199"/>
      <c r="N135" s="297">
        <v>0</v>
      </c>
      <c r="O135" s="294"/>
      <c r="P135" s="509">
        <f t="shared" si="24"/>
        <v>0</v>
      </c>
      <c r="Q135" s="297">
        <v>0</v>
      </c>
      <c r="R135" s="294"/>
      <c r="S135" s="1165">
        <f t="shared" si="25"/>
        <v>0</v>
      </c>
      <c r="T135" s="297">
        <v>0</v>
      </c>
      <c r="U135" s="294"/>
      <c r="V135" s="1166">
        <f t="shared" si="28"/>
        <v>0</v>
      </c>
      <c r="W135" s="297">
        <v>0</v>
      </c>
      <c r="X135" s="294"/>
      <c r="Y135" s="1166">
        <f t="shared" si="26"/>
        <v>0</v>
      </c>
      <c r="Z135" s="1155">
        <f t="shared" si="27"/>
        <v>0</v>
      </c>
    </row>
    <row r="136" spans="2:26" x14ac:dyDescent="0.2">
      <c r="B136" s="198">
        <v>0</v>
      </c>
      <c r="C136" s="200" t="s">
        <v>1845</v>
      </c>
      <c r="D136" s="340"/>
      <c r="E136" s="271"/>
      <c r="F136" s="862"/>
      <c r="G136" s="1163">
        <f t="shared" si="22"/>
        <v>0</v>
      </c>
      <c r="H136" s="862">
        <v>0</v>
      </c>
      <c r="I136" s="1164">
        <f t="shared" si="23"/>
        <v>0</v>
      </c>
      <c r="J136" s="201"/>
      <c r="K136" s="199"/>
      <c r="L136" s="199"/>
      <c r="M136" s="199"/>
      <c r="N136" s="297">
        <v>0</v>
      </c>
      <c r="O136" s="294"/>
      <c r="P136" s="509">
        <f t="shared" si="24"/>
        <v>0</v>
      </c>
      <c r="Q136" s="297">
        <v>0</v>
      </c>
      <c r="R136" s="294"/>
      <c r="S136" s="1165">
        <f t="shared" si="25"/>
        <v>0</v>
      </c>
      <c r="T136" s="297">
        <v>0</v>
      </c>
      <c r="U136" s="294"/>
      <c r="V136" s="1166">
        <f t="shared" si="28"/>
        <v>0</v>
      </c>
      <c r="W136" s="297">
        <v>0</v>
      </c>
      <c r="X136" s="294"/>
      <c r="Y136" s="1166">
        <f t="shared" si="26"/>
        <v>0</v>
      </c>
      <c r="Z136" s="1155">
        <f t="shared" si="27"/>
        <v>0</v>
      </c>
    </row>
    <row r="137" spans="2:26" x14ac:dyDescent="0.2">
      <c r="B137" s="198">
        <v>0</v>
      </c>
      <c r="C137" s="200" t="s">
        <v>1845</v>
      </c>
      <c r="D137" s="340"/>
      <c r="E137" s="271"/>
      <c r="F137" s="862"/>
      <c r="G137" s="1163">
        <f t="shared" si="22"/>
        <v>0</v>
      </c>
      <c r="H137" s="862">
        <v>0</v>
      </c>
      <c r="I137" s="1164">
        <f t="shared" si="23"/>
        <v>0</v>
      </c>
      <c r="J137" s="201"/>
      <c r="K137" s="199"/>
      <c r="L137" s="199"/>
      <c r="M137" s="199"/>
      <c r="N137" s="297">
        <v>0</v>
      </c>
      <c r="O137" s="294"/>
      <c r="P137" s="509">
        <f t="shared" si="24"/>
        <v>0</v>
      </c>
      <c r="Q137" s="297">
        <v>0</v>
      </c>
      <c r="R137" s="294"/>
      <c r="S137" s="1165">
        <f t="shared" si="25"/>
        <v>0</v>
      </c>
      <c r="T137" s="297">
        <v>0</v>
      </c>
      <c r="U137" s="294"/>
      <c r="V137" s="1166">
        <f t="shared" si="28"/>
        <v>0</v>
      </c>
      <c r="W137" s="297">
        <v>0</v>
      </c>
      <c r="X137" s="294"/>
      <c r="Y137" s="1166">
        <f t="shared" si="26"/>
        <v>0</v>
      </c>
      <c r="Z137" s="1155">
        <f t="shared" si="27"/>
        <v>0</v>
      </c>
    </row>
    <row r="138" spans="2:26" x14ac:dyDescent="0.2">
      <c r="B138" s="198">
        <v>0</v>
      </c>
      <c r="C138" s="200" t="s">
        <v>1845</v>
      </c>
      <c r="D138" s="340"/>
      <c r="E138" s="271"/>
      <c r="F138" s="862"/>
      <c r="G138" s="1163">
        <f t="shared" si="22"/>
        <v>0</v>
      </c>
      <c r="H138" s="862">
        <v>0</v>
      </c>
      <c r="I138" s="1164">
        <f t="shared" si="23"/>
        <v>0</v>
      </c>
      <c r="J138" s="201"/>
      <c r="K138" s="199"/>
      <c r="L138" s="199"/>
      <c r="M138" s="199"/>
      <c r="N138" s="297">
        <v>0</v>
      </c>
      <c r="O138" s="294"/>
      <c r="P138" s="509">
        <f t="shared" si="24"/>
        <v>0</v>
      </c>
      <c r="Q138" s="297">
        <v>0</v>
      </c>
      <c r="R138" s="294"/>
      <c r="S138" s="1165">
        <f t="shared" si="25"/>
        <v>0</v>
      </c>
      <c r="T138" s="297">
        <v>0</v>
      </c>
      <c r="U138" s="294"/>
      <c r="V138" s="1166">
        <f t="shared" si="28"/>
        <v>0</v>
      </c>
      <c r="W138" s="297">
        <v>0</v>
      </c>
      <c r="X138" s="294"/>
      <c r="Y138" s="1166">
        <f t="shared" si="26"/>
        <v>0</v>
      </c>
      <c r="Z138" s="1155">
        <f t="shared" si="27"/>
        <v>0</v>
      </c>
    </row>
    <row r="139" spans="2:26" x14ac:dyDescent="0.2">
      <c r="B139" s="198">
        <v>0</v>
      </c>
      <c r="C139" s="200" t="s">
        <v>1845</v>
      </c>
      <c r="D139" s="340"/>
      <c r="E139" s="271"/>
      <c r="F139" s="862"/>
      <c r="G139" s="1163">
        <f t="shared" si="22"/>
        <v>0</v>
      </c>
      <c r="H139" s="862">
        <v>0</v>
      </c>
      <c r="I139" s="1164">
        <f t="shared" si="23"/>
        <v>0</v>
      </c>
      <c r="J139" s="201"/>
      <c r="K139" s="199"/>
      <c r="L139" s="199"/>
      <c r="M139" s="199"/>
      <c r="N139" s="297">
        <v>0</v>
      </c>
      <c r="O139" s="294"/>
      <c r="P139" s="509">
        <f t="shared" si="24"/>
        <v>0</v>
      </c>
      <c r="Q139" s="297">
        <v>0</v>
      </c>
      <c r="R139" s="294"/>
      <c r="S139" s="1165">
        <f t="shared" si="25"/>
        <v>0</v>
      </c>
      <c r="T139" s="297">
        <v>0</v>
      </c>
      <c r="U139" s="294"/>
      <c r="V139" s="1166">
        <f t="shared" si="28"/>
        <v>0</v>
      </c>
      <c r="W139" s="297">
        <v>0</v>
      </c>
      <c r="X139" s="294"/>
      <c r="Y139" s="1166">
        <f t="shared" si="26"/>
        <v>0</v>
      </c>
      <c r="Z139" s="1155">
        <f t="shared" si="27"/>
        <v>0</v>
      </c>
    </row>
    <row r="140" spans="2:26" x14ac:dyDescent="0.2">
      <c r="B140" s="198">
        <v>0</v>
      </c>
      <c r="C140" s="200" t="s">
        <v>1845</v>
      </c>
      <c r="D140" s="340"/>
      <c r="E140" s="271"/>
      <c r="F140" s="862"/>
      <c r="G140" s="1163">
        <f t="shared" si="22"/>
        <v>0</v>
      </c>
      <c r="H140" s="862">
        <v>0</v>
      </c>
      <c r="I140" s="1164">
        <f t="shared" si="23"/>
        <v>0</v>
      </c>
      <c r="J140" s="201"/>
      <c r="K140" s="199"/>
      <c r="L140" s="199"/>
      <c r="M140" s="199"/>
      <c r="N140" s="297">
        <v>0</v>
      </c>
      <c r="O140" s="294"/>
      <c r="P140" s="509">
        <f t="shared" si="24"/>
        <v>0</v>
      </c>
      <c r="Q140" s="297">
        <v>0</v>
      </c>
      <c r="R140" s="294"/>
      <c r="S140" s="1165">
        <f t="shared" si="25"/>
        <v>0</v>
      </c>
      <c r="T140" s="297">
        <v>0</v>
      </c>
      <c r="U140" s="294"/>
      <c r="V140" s="1166">
        <f t="shared" si="28"/>
        <v>0</v>
      </c>
      <c r="W140" s="297">
        <v>0</v>
      </c>
      <c r="X140" s="294"/>
      <c r="Y140" s="1166">
        <f t="shared" si="26"/>
        <v>0</v>
      </c>
      <c r="Z140" s="1155">
        <f t="shared" si="27"/>
        <v>0</v>
      </c>
    </row>
    <row r="141" spans="2:26" x14ac:dyDescent="0.2">
      <c r="B141" s="198">
        <v>0</v>
      </c>
      <c r="C141" s="200" t="s">
        <v>1845</v>
      </c>
      <c r="D141" s="340"/>
      <c r="E141" s="271"/>
      <c r="F141" s="862"/>
      <c r="G141" s="1163">
        <f t="shared" si="22"/>
        <v>0</v>
      </c>
      <c r="H141" s="862">
        <v>0</v>
      </c>
      <c r="I141" s="1164">
        <f t="shared" si="23"/>
        <v>0</v>
      </c>
      <c r="J141" s="201"/>
      <c r="K141" s="199"/>
      <c r="L141" s="199"/>
      <c r="M141" s="199"/>
      <c r="N141" s="297">
        <v>0</v>
      </c>
      <c r="O141" s="294"/>
      <c r="P141" s="509">
        <f t="shared" si="24"/>
        <v>0</v>
      </c>
      <c r="Q141" s="297">
        <v>0</v>
      </c>
      <c r="R141" s="294"/>
      <c r="S141" s="1165">
        <f t="shared" si="25"/>
        <v>0</v>
      </c>
      <c r="T141" s="297">
        <v>0</v>
      </c>
      <c r="U141" s="294"/>
      <c r="V141" s="1166">
        <f t="shared" si="28"/>
        <v>0</v>
      </c>
      <c r="W141" s="297">
        <v>0</v>
      </c>
      <c r="X141" s="294"/>
      <c r="Y141" s="1166">
        <f t="shared" si="26"/>
        <v>0</v>
      </c>
      <c r="Z141" s="1155">
        <f t="shared" si="27"/>
        <v>0</v>
      </c>
    </row>
    <row r="142" spans="2:26" x14ac:dyDescent="0.2">
      <c r="B142" s="198">
        <v>0</v>
      </c>
      <c r="C142" s="200" t="s">
        <v>1845</v>
      </c>
      <c r="D142" s="340"/>
      <c r="E142" s="271"/>
      <c r="F142" s="862"/>
      <c r="G142" s="1163">
        <f t="shared" si="22"/>
        <v>0</v>
      </c>
      <c r="H142" s="862">
        <v>0</v>
      </c>
      <c r="I142" s="1164">
        <f t="shared" si="23"/>
        <v>0</v>
      </c>
      <c r="J142" s="201"/>
      <c r="K142" s="199"/>
      <c r="L142" s="199"/>
      <c r="M142" s="199"/>
      <c r="N142" s="297">
        <v>0</v>
      </c>
      <c r="O142" s="294"/>
      <c r="P142" s="509">
        <f t="shared" si="24"/>
        <v>0</v>
      </c>
      <c r="Q142" s="297">
        <v>0</v>
      </c>
      <c r="R142" s="294"/>
      <c r="S142" s="1165">
        <f t="shared" si="25"/>
        <v>0</v>
      </c>
      <c r="T142" s="297">
        <v>0</v>
      </c>
      <c r="U142" s="294"/>
      <c r="V142" s="1166">
        <f t="shared" si="28"/>
        <v>0</v>
      </c>
      <c r="W142" s="297">
        <v>0</v>
      </c>
      <c r="X142" s="294"/>
      <c r="Y142" s="1166">
        <f t="shared" si="26"/>
        <v>0</v>
      </c>
      <c r="Z142" s="1155">
        <f t="shared" si="27"/>
        <v>0</v>
      </c>
    </row>
    <row r="143" spans="2:26" x14ac:dyDescent="0.2">
      <c r="B143" s="198">
        <v>0</v>
      </c>
      <c r="C143" s="200" t="s">
        <v>1845</v>
      </c>
      <c r="D143" s="340"/>
      <c r="E143" s="271"/>
      <c r="F143" s="862"/>
      <c r="G143" s="1163">
        <f t="shared" si="22"/>
        <v>0</v>
      </c>
      <c r="H143" s="862">
        <v>0</v>
      </c>
      <c r="I143" s="1164">
        <f t="shared" si="23"/>
        <v>0</v>
      </c>
      <c r="J143" s="201"/>
      <c r="K143" s="199"/>
      <c r="L143" s="199"/>
      <c r="M143" s="199"/>
      <c r="N143" s="297">
        <v>0</v>
      </c>
      <c r="O143" s="294"/>
      <c r="P143" s="509">
        <f t="shared" si="24"/>
        <v>0</v>
      </c>
      <c r="Q143" s="297">
        <v>0</v>
      </c>
      <c r="R143" s="294"/>
      <c r="S143" s="1165">
        <f t="shared" si="25"/>
        <v>0</v>
      </c>
      <c r="T143" s="297">
        <v>0</v>
      </c>
      <c r="U143" s="294"/>
      <c r="V143" s="1166">
        <f t="shared" si="28"/>
        <v>0</v>
      </c>
      <c r="W143" s="297">
        <v>0</v>
      </c>
      <c r="X143" s="294"/>
      <c r="Y143" s="1166">
        <f t="shared" si="26"/>
        <v>0</v>
      </c>
      <c r="Z143" s="1155">
        <f t="shared" si="27"/>
        <v>0</v>
      </c>
    </row>
    <row r="144" spans="2:26" x14ac:dyDescent="0.2">
      <c r="B144" s="198">
        <v>0</v>
      </c>
      <c r="C144" s="200" t="s">
        <v>1845</v>
      </c>
      <c r="D144" s="340"/>
      <c r="E144" s="271"/>
      <c r="F144" s="862"/>
      <c r="G144" s="1163">
        <f t="shared" si="22"/>
        <v>0</v>
      </c>
      <c r="H144" s="862">
        <v>0</v>
      </c>
      <c r="I144" s="1164">
        <f t="shared" si="23"/>
        <v>0</v>
      </c>
      <c r="J144" s="201"/>
      <c r="K144" s="199"/>
      <c r="L144" s="199"/>
      <c r="M144" s="199"/>
      <c r="N144" s="297">
        <v>0</v>
      </c>
      <c r="O144" s="294"/>
      <c r="P144" s="509">
        <f t="shared" si="24"/>
        <v>0</v>
      </c>
      <c r="Q144" s="297">
        <v>0</v>
      </c>
      <c r="R144" s="294"/>
      <c r="S144" s="1165">
        <f t="shared" si="25"/>
        <v>0</v>
      </c>
      <c r="T144" s="297">
        <v>0</v>
      </c>
      <c r="U144" s="294"/>
      <c r="V144" s="1166">
        <f t="shared" si="28"/>
        <v>0</v>
      </c>
      <c r="W144" s="297">
        <v>0</v>
      </c>
      <c r="X144" s="294"/>
      <c r="Y144" s="1166">
        <f t="shared" si="26"/>
        <v>0</v>
      </c>
      <c r="Z144" s="1155">
        <f t="shared" si="27"/>
        <v>0</v>
      </c>
    </row>
    <row r="145" spans="2:26" x14ac:dyDescent="0.2">
      <c r="B145" s="198">
        <v>0</v>
      </c>
      <c r="C145" s="200" t="s">
        <v>1845</v>
      </c>
      <c r="D145" s="340"/>
      <c r="E145" s="271"/>
      <c r="F145" s="862"/>
      <c r="G145" s="1163">
        <f t="shared" si="22"/>
        <v>0</v>
      </c>
      <c r="H145" s="862">
        <v>0</v>
      </c>
      <c r="I145" s="1164">
        <f t="shared" si="23"/>
        <v>0</v>
      </c>
      <c r="J145" s="201"/>
      <c r="K145" s="199"/>
      <c r="L145" s="199"/>
      <c r="M145" s="199"/>
      <c r="N145" s="297">
        <v>0</v>
      </c>
      <c r="O145" s="294"/>
      <c r="P145" s="509">
        <f t="shared" si="24"/>
        <v>0</v>
      </c>
      <c r="Q145" s="297">
        <v>0</v>
      </c>
      <c r="R145" s="294"/>
      <c r="S145" s="1165">
        <f t="shared" si="25"/>
        <v>0</v>
      </c>
      <c r="T145" s="297">
        <v>0</v>
      </c>
      <c r="U145" s="294"/>
      <c r="V145" s="1166">
        <f t="shared" si="28"/>
        <v>0</v>
      </c>
      <c r="W145" s="297">
        <v>0</v>
      </c>
      <c r="X145" s="294"/>
      <c r="Y145" s="1166">
        <f t="shared" si="26"/>
        <v>0</v>
      </c>
      <c r="Z145" s="1155">
        <f t="shared" si="27"/>
        <v>0</v>
      </c>
    </row>
    <row r="146" spans="2:26" x14ac:dyDescent="0.2">
      <c r="B146" s="198">
        <v>0</v>
      </c>
      <c r="C146" s="200" t="s">
        <v>1845</v>
      </c>
      <c r="D146" s="340"/>
      <c r="E146" s="271"/>
      <c r="F146" s="862"/>
      <c r="G146" s="1163">
        <f t="shared" si="22"/>
        <v>0</v>
      </c>
      <c r="H146" s="862">
        <v>0</v>
      </c>
      <c r="I146" s="1164">
        <f t="shared" si="23"/>
        <v>0</v>
      </c>
      <c r="J146" s="201"/>
      <c r="K146" s="199"/>
      <c r="L146" s="199"/>
      <c r="M146" s="199"/>
      <c r="N146" s="297">
        <v>0</v>
      </c>
      <c r="O146" s="294"/>
      <c r="P146" s="509">
        <f t="shared" si="24"/>
        <v>0</v>
      </c>
      <c r="Q146" s="297">
        <v>0</v>
      </c>
      <c r="R146" s="294"/>
      <c r="S146" s="1165">
        <f t="shared" si="25"/>
        <v>0</v>
      </c>
      <c r="T146" s="297">
        <v>0</v>
      </c>
      <c r="U146" s="294"/>
      <c r="V146" s="1166">
        <f t="shared" si="28"/>
        <v>0</v>
      </c>
      <c r="W146" s="297">
        <v>0</v>
      </c>
      <c r="X146" s="294"/>
      <c r="Y146" s="1166">
        <f t="shared" si="26"/>
        <v>0</v>
      </c>
      <c r="Z146" s="1155">
        <f t="shared" si="27"/>
        <v>0</v>
      </c>
    </row>
    <row r="147" spans="2:26" x14ac:dyDescent="0.2">
      <c r="B147" s="198">
        <v>0</v>
      </c>
      <c r="C147" s="200" t="s">
        <v>1845</v>
      </c>
      <c r="D147" s="340"/>
      <c r="E147" s="271"/>
      <c r="F147" s="862"/>
      <c r="G147" s="1163">
        <f t="shared" si="22"/>
        <v>0</v>
      </c>
      <c r="H147" s="862">
        <v>0</v>
      </c>
      <c r="I147" s="1164">
        <f t="shared" si="23"/>
        <v>0</v>
      </c>
      <c r="J147" s="201"/>
      <c r="K147" s="199"/>
      <c r="L147" s="199"/>
      <c r="M147" s="199"/>
      <c r="N147" s="297">
        <v>0</v>
      </c>
      <c r="O147" s="294"/>
      <c r="P147" s="509">
        <f t="shared" si="24"/>
        <v>0</v>
      </c>
      <c r="Q147" s="297">
        <v>0</v>
      </c>
      <c r="R147" s="294"/>
      <c r="S147" s="1165">
        <f t="shared" si="25"/>
        <v>0</v>
      </c>
      <c r="T147" s="297">
        <v>0</v>
      </c>
      <c r="U147" s="294"/>
      <c r="V147" s="1166">
        <f t="shared" si="28"/>
        <v>0</v>
      </c>
      <c r="W147" s="297">
        <v>0</v>
      </c>
      <c r="X147" s="294"/>
      <c r="Y147" s="1166">
        <f t="shared" si="26"/>
        <v>0</v>
      </c>
      <c r="Z147" s="1155">
        <f t="shared" si="27"/>
        <v>0</v>
      </c>
    </row>
    <row r="148" spans="2:26" x14ac:dyDescent="0.2">
      <c r="B148" s="198">
        <v>0</v>
      </c>
      <c r="C148" s="200" t="s">
        <v>1845</v>
      </c>
      <c r="D148" s="340"/>
      <c r="E148" s="271"/>
      <c r="F148" s="862"/>
      <c r="G148" s="1163">
        <f t="shared" ref="G148:G159" si="29">Z148</f>
        <v>0</v>
      </c>
      <c r="H148" s="862">
        <v>0</v>
      </c>
      <c r="I148" s="1164">
        <f t="shared" ref="I148:I159" si="30">H148*B148</f>
        <v>0</v>
      </c>
      <c r="J148" s="201"/>
      <c r="K148" s="199"/>
      <c r="L148" s="199"/>
      <c r="M148" s="199"/>
      <c r="N148" s="297">
        <v>0</v>
      </c>
      <c r="O148" s="294"/>
      <c r="P148" s="509">
        <f t="shared" ref="P148:P159" si="31">N148*B148</f>
        <v>0</v>
      </c>
      <c r="Q148" s="297">
        <v>0</v>
      </c>
      <c r="R148" s="294"/>
      <c r="S148" s="1165">
        <f t="shared" ref="S148:S159" si="32">Q148*B148</f>
        <v>0</v>
      </c>
      <c r="T148" s="297">
        <v>0</v>
      </c>
      <c r="U148" s="294"/>
      <c r="V148" s="1166">
        <f t="shared" si="28"/>
        <v>0</v>
      </c>
      <c r="W148" s="297">
        <v>0</v>
      </c>
      <c r="X148" s="294"/>
      <c r="Y148" s="1166">
        <f t="shared" ref="Y148:Y159" si="33">W148*B148</f>
        <v>0</v>
      </c>
      <c r="Z148" s="1155">
        <f t="shared" si="27"/>
        <v>0</v>
      </c>
    </row>
    <row r="149" spans="2:26" x14ac:dyDescent="0.2">
      <c r="B149" s="198">
        <v>0</v>
      </c>
      <c r="C149" s="200" t="s">
        <v>1845</v>
      </c>
      <c r="D149" s="340"/>
      <c r="E149" s="271"/>
      <c r="F149" s="862"/>
      <c r="G149" s="1163">
        <f t="shared" si="29"/>
        <v>0</v>
      </c>
      <c r="H149" s="862">
        <v>0</v>
      </c>
      <c r="I149" s="1164">
        <f t="shared" si="30"/>
        <v>0</v>
      </c>
      <c r="J149" s="201"/>
      <c r="K149" s="199"/>
      <c r="L149" s="199"/>
      <c r="M149" s="199"/>
      <c r="N149" s="297">
        <v>0</v>
      </c>
      <c r="O149" s="294"/>
      <c r="P149" s="509">
        <f t="shared" si="31"/>
        <v>0</v>
      </c>
      <c r="Q149" s="297">
        <v>0</v>
      </c>
      <c r="R149" s="294"/>
      <c r="S149" s="1165">
        <f t="shared" si="32"/>
        <v>0</v>
      </c>
      <c r="T149" s="297">
        <v>0</v>
      </c>
      <c r="U149" s="294"/>
      <c r="V149" s="1166">
        <f t="shared" si="28"/>
        <v>0</v>
      </c>
      <c r="W149" s="297">
        <v>0</v>
      </c>
      <c r="X149" s="294"/>
      <c r="Y149" s="1166">
        <f t="shared" si="33"/>
        <v>0</v>
      </c>
      <c r="Z149" s="1155">
        <f t="shared" si="27"/>
        <v>0</v>
      </c>
    </row>
    <row r="150" spans="2:26" x14ac:dyDescent="0.2">
      <c r="B150" s="198">
        <v>0</v>
      </c>
      <c r="C150" s="200" t="s">
        <v>1845</v>
      </c>
      <c r="D150" s="340"/>
      <c r="E150" s="271"/>
      <c r="F150" s="862"/>
      <c r="G150" s="1163">
        <f t="shared" si="29"/>
        <v>0</v>
      </c>
      <c r="H150" s="862">
        <v>0</v>
      </c>
      <c r="I150" s="1164">
        <f t="shared" si="30"/>
        <v>0</v>
      </c>
      <c r="J150" s="201"/>
      <c r="K150" s="199"/>
      <c r="L150" s="199"/>
      <c r="M150" s="199"/>
      <c r="N150" s="297">
        <v>0</v>
      </c>
      <c r="O150" s="294"/>
      <c r="P150" s="509">
        <f t="shared" si="31"/>
        <v>0</v>
      </c>
      <c r="Q150" s="297">
        <v>0</v>
      </c>
      <c r="R150" s="294"/>
      <c r="S150" s="1165">
        <f t="shared" si="32"/>
        <v>0</v>
      </c>
      <c r="T150" s="297">
        <v>0</v>
      </c>
      <c r="U150" s="294"/>
      <c r="V150" s="1166">
        <f t="shared" si="28"/>
        <v>0</v>
      </c>
      <c r="W150" s="297">
        <v>0</v>
      </c>
      <c r="X150" s="294"/>
      <c r="Y150" s="1166">
        <f t="shared" si="33"/>
        <v>0</v>
      </c>
      <c r="Z150" s="1155">
        <f t="shared" si="27"/>
        <v>0</v>
      </c>
    </row>
    <row r="151" spans="2:26" x14ac:dyDescent="0.2">
      <c r="B151" s="198">
        <v>0</v>
      </c>
      <c r="C151" s="200" t="s">
        <v>1845</v>
      </c>
      <c r="D151" s="340"/>
      <c r="E151" s="271"/>
      <c r="F151" s="862"/>
      <c r="G151" s="1163">
        <f t="shared" si="29"/>
        <v>0</v>
      </c>
      <c r="H151" s="862">
        <v>0</v>
      </c>
      <c r="I151" s="1164">
        <f t="shared" si="30"/>
        <v>0</v>
      </c>
      <c r="J151" s="201"/>
      <c r="K151" s="199"/>
      <c r="L151" s="199"/>
      <c r="M151" s="199"/>
      <c r="N151" s="297">
        <v>0</v>
      </c>
      <c r="O151" s="294"/>
      <c r="P151" s="509">
        <f t="shared" si="31"/>
        <v>0</v>
      </c>
      <c r="Q151" s="297">
        <v>0</v>
      </c>
      <c r="R151" s="294"/>
      <c r="S151" s="1165">
        <f t="shared" si="32"/>
        <v>0</v>
      </c>
      <c r="T151" s="297">
        <v>0</v>
      </c>
      <c r="U151" s="294"/>
      <c r="V151" s="1166">
        <f t="shared" si="28"/>
        <v>0</v>
      </c>
      <c r="W151" s="297">
        <v>0</v>
      </c>
      <c r="X151" s="294"/>
      <c r="Y151" s="1166">
        <f t="shared" si="33"/>
        <v>0</v>
      </c>
      <c r="Z151" s="1155">
        <f t="shared" si="27"/>
        <v>0</v>
      </c>
    </row>
    <row r="152" spans="2:26" x14ac:dyDescent="0.2">
      <c r="B152" s="198">
        <v>0</v>
      </c>
      <c r="C152" s="200" t="s">
        <v>1845</v>
      </c>
      <c r="D152" s="340"/>
      <c r="E152" s="271"/>
      <c r="F152" s="862"/>
      <c r="G152" s="1163">
        <f t="shared" si="29"/>
        <v>0</v>
      </c>
      <c r="H152" s="862">
        <v>0</v>
      </c>
      <c r="I152" s="1164">
        <f t="shared" si="30"/>
        <v>0</v>
      </c>
      <c r="J152" s="201"/>
      <c r="K152" s="199"/>
      <c r="L152" s="199"/>
      <c r="M152" s="199"/>
      <c r="N152" s="297">
        <v>0</v>
      </c>
      <c r="O152" s="294"/>
      <c r="P152" s="509">
        <f t="shared" si="31"/>
        <v>0</v>
      </c>
      <c r="Q152" s="297">
        <v>0</v>
      </c>
      <c r="R152" s="294"/>
      <c r="S152" s="1165">
        <f t="shared" si="32"/>
        <v>0</v>
      </c>
      <c r="T152" s="297">
        <v>0</v>
      </c>
      <c r="U152" s="294"/>
      <c r="V152" s="1166">
        <f t="shared" si="28"/>
        <v>0</v>
      </c>
      <c r="W152" s="297">
        <v>0</v>
      </c>
      <c r="X152" s="294"/>
      <c r="Y152" s="1166">
        <f t="shared" si="33"/>
        <v>0</v>
      </c>
      <c r="Z152" s="1155">
        <f t="shared" si="27"/>
        <v>0</v>
      </c>
    </row>
    <row r="153" spans="2:26" x14ac:dyDescent="0.2">
      <c r="B153" s="198">
        <v>0</v>
      </c>
      <c r="C153" s="200" t="s">
        <v>1845</v>
      </c>
      <c r="D153" s="340"/>
      <c r="E153" s="271"/>
      <c r="F153" s="862"/>
      <c r="G153" s="1163">
        <f t="shared" si="29"/>
        <v>0</v>
      </c>
      <c r="H153" s="862">
        <v>0</v>
      </c>
      <c r="I153" s="1164">
        <f t="shared" si="30"/>
        <v>0</v>
      </c>
      <c r="J153" s="201"/>
      <c r="K153" s="199"/>
      <c r="L153" s="199"/>
      <c r="M153" s="199"/>
      <c r="N153" s="297">
        <v>0</v>
      </c>
      <c r="O153" s="294"/>
      <c r="P153" s="509">
        <f t="shared" si="31"/>
        <v>0</v>
      </c>
      <c r="Q153" s="297">
        <v>0</v>
      </c>
      <c r="R153" s="294"/>
      <c r="S153" s="1165">
        <f t="shared" si="32"/>
        <v>0</v>
      </c>
      <c r="T153" s="297">
        <v>0</v>
      </c>
      <c r="U153" s="294"/>
      <c r="V153" s="1166">
        <f t="shared" si="28"/>
        <v>0</v>
      </c>
      <c r="W153" s="297">
        <v>0</v>
      </c>
      <c r="X153" s="294"/>
      <c r="Y153" s="1166">
        <f t="shared" si="33"/>
        <v>0</v>
      </c>
      <c r="Z153" s="1155">
        <f t="shared" si="27"/>
        <v>0</v>
      </c>
    </row>
    <row r="154" spans="2:26" x14ac:dyDescent="0.2">
      <c r="B154" s="198">
        <v>0</v>
      </c>
      <c r="C154" s="200" t="s">
        <v>1845</v>
      </c>
      <c r="D154" s="340"/>
      <c r="E154" s="271"/>
      <c r="F154" s="862"/>
      <c r="G154" s="1163">
        <f t="shared" si="29"/>
        <v>0</v>
      </c>
      <c r="H154" s="862">
        <v>0</v>
      </c>
      <c r="I154" s="1164">
        <f t="shared" si="30"/>
        <v>0</v>
      </c>
      <c r="J154" s="201"/>
      <c r="K154" s="199"/>
      <c r="L154" s="199"/>
      <c r="M154" s="199"/>
      <c r="N154" s="297">
        <v>0</v>
      </c>
      <c r="O154" s="294"/>
      <c r="P154" s="509">
        <f t="shared" si="31"/>
        <v>0</v>
      </c>
      <c r="Q154" s="297">
        <v>0</v>
      </c>
      <c r="R154" s="294"/>
      <c r="S154" s="1165">
        <f t="shared" si="32"/>
        <v>0</v>
      </c>
      <c r="T154" s="297">
        <v>0</v>
      </c>
      <c r="U154" s="294"/>
      <c r="V154" s="1166">
        <f t="shared" si="28"/>
        <v>0</v>
      </c>
      <c r="W154" s="297">
        <v>0</v>
      </c>
      <c r="X154" s="294"/>
      <c r="Y154" s="1166">
        <f t="shared" si="33"/>
        <v>0</v>
      </c>
      <c r="Z154" s="1155">
        <f t="shared" si="27"/>
        <v>0</v>
      </c>
    </row>
    <row r="155" spans="2:26" x14ac:dyDescent="0.2">
      <c r="B155" s="198">
        <v>0</v>
      </c>
      <c r="C155" s="200" t="s">
        <v>1845</v>
      </c>
      <c r="D155" s="340"/>
      <c r="E155" s="271"/>
      <c r="F155" s="862"/>
      <c r="G155" s="1163">
        <f t="shared" si="29"/>
        <v>0</v>
      </c>
      <c r="H155" s="862">
        <v>0</v>
      </c>
      <c r="I155" s="1164">
        <f t="shared" si="30"/>
        <v>0</v>
      </c>
      <c r="J155" s="201"/>
      <c r="K155" s="199"/>
      <c r="L155" s="199"/>
      <c r="M155" s="199"/>
      <c r="N155" s="297">
        <v>0</v>
      </c>
      <c r="O155" s="294"/>
      <c r="P155" s="509">
        <f t="shared" si="31"/>
        <v>0</v>
      </c>
      <c r="Q155" s="297">
        <v>0</v>
      </c>
      <c r="R155" s="294"/>
      <c r="S155" s="1165">
        <f t="shared" si="32"/>
        <v>0</v>
      </c>
      <c r="T155" s="297">
        <v>0</v>
      </c>
      <c r="U155" s="294"/>
      <c r="V155" s="1166">
        <f t="shared" si="28"/>
        <v>0</v>
      </c>
      <c r="W155" s="297">
        <v>0</v>
      </c>
      <c r="X155" s="294"/>
      <c r="Y155" s="1166">
        <f t="shared" si="33"/>
        <v>0</v>
      </c>
      <c r="Z155" s="1155">
        <f t="shared" si="27"/>
        <v>0</v>
      </c>
    </row>
    <row r="156" spans="2:26" x14ac:dyDescent="0.2">
      <c r="B156" s="198">
        <v>0</v>
      </c>
      <c r="C156" s="200" t="s">
        <v>1845</v>
      </c>
      <c r="D156" s="340"/>
      <c r="E156" s="271"/>
      <c r="F156" s="862"/>
      <c r="G156" s="1163">
        <f t="shared" si="29"/>
        <v>0</v>
      </c>
      <c r="H156" s="862">
        <v>0</v>
      </c>
      <c r="I156" s="1164">
        <f t="shared" si="30"/>
        <v>0</v>
      </c>
      <c r="J156" s="201"/>
      <c r="K156" s="199"/>
      <c r="L156" s="199"/>
      <c r="M156" s="199"/>
      <c r="N156" s="297">
        <v>0</v>
      </c>
      <c r="O156" s="294"/>
      <c r="P156" s="509">
        <f t="shared" si="31"/>
        <v>0</v>
      </c>
      <c r="Q156" s="297">
        <v>0</v>
      </c>
      <c r="R156" s="294"/>
      <c r="S156" s="1165">
        <f t="shared" si="32"/>
        <v>0</v>
      </c>
      <c r="T156" s="297">
        <v>0</v>
      </c>
      <c r="U156" s="294"/>
      <c r="V156" s="1166">
        <f t="shared" si="28"/>
        <v>0</v>
      </c>
      <c r="W156" s="297">
        <v>0</v>
      </c>
      <c r="X156" s="294"/>
      <c r="Y156" s="1166">
        <f t="shared" si="33"/>
        <v>0</v>
      </c>
      <c r="Z156" s="1155">
        <f t="shared" si="27"/>
        <v>0</v>
      </c>
    </row>
    <row r="157" spans="2:26" x14ac:dyDescent="0.2">
      <c r="B157" s="198">
        <v>0</v>
      </c>
      <c r="C157" s="200" t="s">
        <v>1845</v>
      </c>
      <c r="D157" s="340"/>
      <c r="E157" s="271"/>
      <c r="F157" s="862"/>
      <c r="G157" s="1163">
        <f t="shared" si="29"/>
        <v>0</v>
      </c>
      <c r="H157" s="862">
        <v>0</v>
      </c>
      <c r="I157" s="1164">
        <f t="shared" si="30"/>
        <v>0</v>
      </c>
      <c r="J157" s="201"/>
      <c r="K157" s="199"/>
      <c r="L157" s="199"/>
      <c r="M157" s="199"/>
      <c r="N157" s="297">
        <v>0</v>
      </c>
      <c r="O157" s="294"/>
      <c r="P157" s="509">
        <f t="shared" si="31"/>
        <v>0</v>
      </c>
      <c r="Q157" s="297">
        <v>0</v>
      </c>
      <c r="R157" s="294"/>
      <c r="S157" s="1165">
        <f t="shared" si="32"/>
        <v>0</v>
      </c>
      <c r="T157" s="297">
        <v>0</v>
      </c>
      <c r="U157" s="294"/>
      <c r="V157" s="1166">
        <f t="shared" si="28"/>
        <v>0</v>
      </c>
      <c r="W157" s="297">
        <v>0</v>
      </c>
      <c r="X157" s="294"/>
      <c r="Y157" s="1166">
        <f t="shared" si="33"/>
        <v>0</v>
      </c>
      <c r="Z157" s="1155">
        <f t="shared" si="27"/>
        <v>0</v>
      </c>
    </row>
    <row r="158" spans="2:26" x14ac:dyDescent="0.2">
      <c r="B158" s="198">
        <v>0</v>
      </c>
      <c r="C158" s="200" t="s">
        <v>1845</v>
      </c>
      <c r="D158" s="340"/>
      <c r="E158" s="271"/>
      <c r="F158" s="862"/>
      <c r="G158" s="1163">
        <f t="shared" si="29"/>
        <v>0</v>
      </c>
      <c r="H158" s="862">
        <v>0</v>
      </c>
      <c r="I158" s="1164">
        <f t="shared" si="30"/>
        <v>0</v>
      </c>
      <c r="J158" s="201"/>
      <c r="K158" s="199"/>
      <c r="L158" s="199"/>
      <c r="M158" s="199"/>
      <c r="N158" s="297">
        <v>0</v>
      </c>
      <c r="O158" s="294"/>
      <c r="P158" s="509">
        <f t="shared" si="31"/>
        <v>0</v>
      </c>
      <c r="Q158" s="297">
        <v>0</v>
      </c>
      <c r="R158" s="294"/>
      <c r="S158" s="1165">
        <f t="shared" si="32"/>
        <v>0</v>
      </c>
      <c r="T158" s="297">
        <v>0</v>
      </c>
      <c r="U158" s="294"/>
      <c r="V158" s="1166">
        <f t="shared" si="28"/>
        <v>0</v>
      </c>
      <c r="W158" s="297">
        <v>0</v>
      </c>
      <c r="X158" s="294"/>
      <c r="Y158" s="1166">
        <f t="shared" si="33"/>
        <v>0</v>
      </c>
      <c r="Z158" s="1155">
        <f t="shared" ref="Z158:Z183" si="34">IF(O158="SELECTED",((P158)),0)+IF(R158="SELECTED",((S158)),0)+IF(U158="SELECTED",((V158)),0)+IF(X158="SELECTED",((Y158)))</f>
        <v>0</v>
      </c>
    </row>
    <row r="159" spans="2:26" x14ac:dyDescent="0.2">
      <c r="B159" s="198">
        <v>0</v>
      </c>
      <c r="C159" s="200" t="s">
        <v>1845</v>
      </c>
      <c r="D159" s="340"/>
      <c r="E159" s="271"/>
      <c r="F159" s="862"/>
      <c r="G159" s="1163">
        <f t="shared" si="29"/>
        <v>0</v>
      </c>
      <c r="H159" s="862">
        <v>0</v>
      </c>
      <c r="I159" s="1164">
        <f t="shared" si="30"/>
        <v>0</v>
      </c>
      <c r="J159" s="201"/>
      <c r="K159" s="199"/>
      <c r="L159" s="199"/>
      <c r="M159" s="199"/>
      <c r="N159" s="297">
        <v>0</v>
      </c>
      <c r="O159" s="294"/>
      <c r="P159" s="509">
        <f t="shared" si="31"/>
        <v>0</v>
      </c>
      <c r="Q159" s="297">
        <v>0</v>
      </c>
      <c r="R159" s="294"/>
      <c r="S159" s="1165">
        <f t="shared" si="32"/>
        <v>0</v>
      </c>
      <c r="T159" s="297">
        <v>0</v>
      </c>
      <c r="U159" s="294"/>
      <c r="V159" s="1166">
        <f t="shared" ref="V159:V183" si="35">T159*B159</f>
        <v>0</v>
      </c>
      <c r="W159" s="297">
        <v>0</v>
      </c>
      <c r="X159" s="294"/>
      <c r="Y159" s="1166">
        <f t="shared" si="33"/>
        <v>0</v>
      </c>
      <c r="Z159" s="1155">
        <f t="shared" si="34"/>
        <v>0</v>
      </c>
    </row>
    <row r="160" spans="2:26" x14ac:dyDescent="0.2">
      <c r="B160" s="198">
        <v>0</v>
      </c>
      <c r="C160" s="200" t="s">
        <v>1845</v>
      </c>
      <c r="D160" s="340"/>
      <c r="E160" s="271"/>
      <c r="F160" s="862"/>
      <c r="G160" s="1163">
        <f t="shared" ref="G160:G167" si="36">Z160</f>
        <v>0</v>
      </c>
      <c r="H160" s="862">
        <v>0</v>
      </c>
      <c r="I160" s="1164">
        <f t="shared" ref="I160:I167" si="37">H160*B160</f>
        <v>0</v>
      </c>
      <c r="J160" s="201"/>
      <c r="K160" s="199"/>
      <c r="L160" s="199"/>
      <c r="M160" s="199"/>
      <c r="N160" s="297">
        <v>0</v>
      </c>
      <c r="O160" s="294"/>
      <c r="P160" s="509">
        <f t="shared" ref="P160:P167" si="38">N160*B160</f>
        <v>0</v>
      </c>
      <c r="Q160" s="297">
        <v>0</v>
      </c>
      <c r="R160" s="294"/>
      <c r="S160" s="1165">
        <f t="shared" ref="S160:S167" si="39">Q160*B160</f>
        <v>0</v>
      </c>
      <c r="T160" s="297">
        <v>0</v>
      </c>
      <c r="U160" s="294"/>
      <c r="V160" s="1166">
        <f t="shared" si="35"/>
        <v>0</v>
      </c>
      <c r="W160" s="297">
        <v>0</v>
      </c>
      <c r="X160" s="294"/>
      <c r="Y160" s="1166">
        <f t="shared" ref="Y160:Y167" si="40">W160*B160</f>
        <v>0</v>
      </c>
      <c r="Z160" s="1155">
        <f t="shared" si="34"/>
        <v>0</v>
      </c>
    </row>
    <row r="161" spans="2:26" x14ac:dyDescent="0.2">
      <c r="B161" s="198">
        <v>0</v>
      </c>
      <c r="C161" s="200" t="s">
        <v>1845</v>
      </c>
      <c r="D161" s="340"/>
      <c r="E161" s="271"/>
      <c r="F161" s="862"/>
      <c r="G161" s="1163">
        <f t="shared" si="36"/>
        <v>0</v>
      </c>
      <c r="H161" s="862">
        <v>0</v>
      </c>
      <c r="I161" s="1164">
        <f t="shared" si="37"/>
        <v>0</v>
      </c>
      <c r="J161" s="201"/>
      <c r="K161" s="199"/>
      <c r="L161" s="199"/>
      <c r="M161" s="199"/>
      <c r="N161" s="297">
        <v>0</v>
      </c>
      <c r="O161" s="294"/>
      <c r="P161" s="509">
        <f t="shared" si="38"/>
        <v>0</v>
      </c>
      <c r="Q161" s="297">
        <v>0</v>
      </c>
      <c r="R161" s="294"/>
      <c r="S161" s="1165">
        <f t="shared" si="39"/>
        <v>0</v>
      </c>
      <c r="T161" s="297">
        <v>0</v>
      </c>
      <c r="U161" s="294"/>
      <c r="V161" s="1166">
        <f t="shared" si="35"/>
        <v>0</v>
      </c>
      <c r="W161" s="297">
        <v>0</v>
      </c>
      <c r="X161" s="294"/>
      <c r="Y161" s="1166">
        <f t="shared" si="40"/>
        <v>0</v>
      </c>
      <c r="Z161" s="1155">
        <f t="shared" si="34"/>
        <v>0</v>
      </c>
    </row>
    <row r="162" spans="2:26" x14ac:dyDescent="0.2">
      <c r="B162" s="198">
        <v>0</v>
      </c>
      <c r="C162" s="200" t="s">
        <v>1845</v>
      </c>
      <c r="D162" s="340"/>
      <c r="E162" s="271"/>
      <c r="F162" s="862"/>
      <c r="G162" s="1163">
        <f t="shared" si="36"/>
        <v>0</v>
      </c>
      <c r="H162" s="862">
        <v>0</v>
      </c>
      <c r="I162" s="1164">
        <f t="shared" si="37"/>
        <v>0</v>
      </c>
      <c r="J162" s="201"/>
      <c r="K162" s="199"/>
      <c r="L162" s="199"/>
      <c r="M162" s="199"/>
      <c r="N162" s="297">
        <v>0</v>
      </c>
      <c r="O162" s="294"/>
      <c r="P162" s="509">
        <f t="shared" si="38"/>
        <v>0</v>
      </c>
      <c r="Q162" s="297">
        <v>0</v>
      </c>
      <c r="R162" s="294"/>
      <c r="S162" s="1165">
        <f t="shared" si="39"/>
        <v>0</v>
      </c>
      <c r="T162" s="297">
        <v>0</v>
      </c>
      <c r="U162" s="294"/>
      <c r="V162" s="1166">
        <f t="shared" si="35"/>
        <v>0</v>
      </c>
      <c r="W162" s="297">
        <v>0</v>
      </c>
      <c r="X162" s="294"/>
      <c r="Y162" s="1166">
        <f t="shared" si="40"/>
        <v>0</v>
      </c>
      <c r="Z162" s="1155">
        <f t="shared" si="34"/>
        <v>0</v>
      </c>
    </row>
    <row r="163" spans="2:26" x14ac:dyDescent="0.2">
      <c r="B163" s="198">
        <v>0</v>
      </c>
      <c r="C163" s="200" t="s">
        <v>1845</v>
      </c>
      <c r="D163" s="340"/>
      <c r="E163" s="271"/>
      <c r="F163" s="862"/>
      <c r="G163" s="1163">
        <f t="shared" si="36"/>
        <v>0</v>
      </c>
      <c r="H163" s="862">
        <v>0</v>
      </c>
      <c r="I163" s="1164">
        <f t="shared" si="37"/>
        <v>0</v>
      </c>
      <c r="J163" s="201"/>
      <c r="K163" s="199"/>
      <c r="L163" s="199"/>
      <c r="M163" s="199"/>
      <c r="N163" s="297">
        <v>0</v>
      </c>
      <c r="O163" s="294"/>
      <c r="P163" s="509">
        <f t="shared" si="38"/>
        <v>0</v>
      </c>
      <c r="Q163" s="297">
        <v>0</v>
      </c>
      <c r="R163" s="294"/>
      <c r="S163" s="1165">
        <f t="shared" si="39"/>
        <v>0</v>
      </c>
      <c r="T163" s="297">
        <v>0</v>
      </c>
      <c r="U163" s="294"/>
      <c r="V163" s="1166">
        <f t="shared" si="35"/>
        <v>0</v>
      </c>
      <c r="W163" s="297">
        <v>0</v>
      </c>
      <c r="X163" s="294"/>
      <c r="Y163" s="1166">
        <f t="shared" si="40"/>
        <v>0</v>
      </c>
      <c r="Z163" s="1155">
        <f t="shared" si="34"/>
        <v>0</v>
      </c>
    </row>
    <row r="164" spans="2:26" x14ac:dyDescent="0.2">
      <c r="B164" s="198">
        <v>0</v>
      </c>
      <c r="C164" s="200" t="s">
        <v>1845</v>
      </c>
      <c r="D164" s="340"/>
      <c r="E164" s="271"/>
      <c r="F164" s="862"/>
      <c r="G164" s="1163">
        <f t="shared" si="36"/>
        <v>0</v>
      </c>
      <c r="H164" s="862">
        <v>0</v>
      </c>
      <c r="I164" s="1164">
        <f t="shared" si="37"/>
        <v>0</v>
      </c>
      <c r="J164" s="201"/>
      <c r="K164" s="199"/>
      <c r="L164" s="199"/>
      <c r="M164" s="199"/>
      <c r="N164" s="297">
        <v>0</v>
      </c>
      <c r="O164" s="294"/>
      <c r="P164" s="509">
        <f t="shared" si="38"/>
        <v>0</v>
      </c>
      <c r="Q164" s="297">
        <v>0</v>
      </c>
      <c r="R164" s="294"/>
      <c r="S164" s="1165">
        <f t="shared" si="39"/>
        <v>0</v>
      </c>
      <c r="T164" s="297">
        <v>0</v>
      </c>
      <c r="U164" s="294"/>
      <c r="V164" s="1166">
        <f t="shared" si="35"/>
        <v>0</v>
      </c>
      <c r="W164" s="297">
        <v>0</v>
      </c>
      <c r="X164" s="294"/>
      <c r="Y164" s="1166">
        <f t="shared" si="40"/>
        <v>0</v>
      </c>
      <c r="Z164" s="1155">
        <f t="shared" si="34"/>
        <v>0</v>
      </c>
    </row>
    <row r="165" spans="2:26" x14ac:dyDescent="0.2">
      <c r="B165" s="198">
        <v>0</v>
      </c>
      <c r="C165" s="200" t="s">
        <v>1845</v>
      </c>
      <c r="D165" s="340"/>
      <c r="E165" s="271"/>
      <c r="F165" s="862"/>
      <c r="G165" s="1163">
        <f t="shared" si="36"/>
        <v>0</v>
      </c>
      <c r="H165" s="862">
        <v>0</v>
      </c>
      <c r="I165" s="1164">
        <f t="shared" si="37"/>
        <v>0</v>
      </c>
      <c r="J165" s="201"/>
      <c r="K165" s="199"/>
      <c r="L165" s="199"/>
      <c r="M165" s="199"/>
      <c r="N165" s="297">
        <v>0</v>
      </c>
      <c r="O165" s="294"/>
      <c r="P165" s="509">
        <f t="shared" si="38"/>
        <v>0</v>
      </c>
      <c r="Q165" s="297">
        <v>0</v>
      </c>
      <c r="R165" s="294"/>
      <c r="S165" s="1165">
        <f t="shared" si="39"/>
        <v>0</v>
      </c>
      <c r="T165" s="297">
        <v>0</v>
      </c>
      <c r="U165" s="294"/>
      <c r="V165" s="1166">
        <f t="shared" si="35"/>
        <v>0</v>
      </c>
      <c r="W165" s="297">
        <v>0</v>
      </c>
      <c r="X165" s="294"/>
      <c r="Y165" s="1166">
        <f t="shared" si="40"/>
        <v>0</v>
      </c>
      <c r="Z165" s="1155">
        <f t="shared" si="34"/>
        <v>0</v>
      </c>
    </row>
    <row r="166" spans="2:26" x14ac:dyDescent="0.2">
      <c r="B166" s="198">
        <v>0</v>
      </c>
      <c r="C166" s="200" t="s">
        <v>1845</v>
      </c>
      <c r="D166" s="340"/>
      <c r="E166" s="271"/>
      <c r="F166" s="862"/>
      <c r="G166" s="1163">
        <f t="shared" si="36"/>
        <v>0</v>
      </c>
      <c r="H166" s="862">
        <v>0</v>
      </c>
      <c r="I166" s="1164">
        <f t="shared" si="37"/>
        <v>0</v>
      </c>
      <c r="J166" s="201"/>
      <c r="K166" s="199"/>
      <c r="L166" s="199"/>
      <c r="M166" s="199"/>
      <c r="N166" s="297">
        <v>0</v>
      </c>
      <c r="O166" s="294"/>
      <c r="P166" s="509">
        <f t="shared" si="38"/>
        <v>0</v>
      </c>
      <c r="Q166" s="297">
        <v>0</v>
      </c>
      <c r="R166" s="294"/>
      <c r="S166" s="1165">
        <f t="shared" si="39"/>
        <v>0</v>
      </c>
      <c r="T166" s="297">
        <v>0</v>
      </c>
      <c r="U166" s="294"/>
      <c r="V166" s="1166">
        <f t="shared" si="35"/>
        <v>0</v>
      </c>
      <c r="W166" s="297">
        <v>0</v>
      </c>
      <c r="X166" s="294"/>
      <c r="Y166" s="1166">
        <f t="shared" si="40"/>
        <v>0</v>
      </c>
      <c r="Z166" s="1155">
        <f t="shared" si="34"/>
        <v>0</v>
      </c>
    </row>
    <row r="167" spans="2:26" x14ac:dyDescent="0.2">
      <c r="B167" s="198">
        <v>0</v>
      </c>
      <c r="C167" s="200" t="s">
        <v>1845</v>
      </c>
      <c r="D167" s="340"/>
      <c r="E167" s="271"/>
      <c r="F167" s="862"/>
      <c r="G167" s="1163">
        <f t="shared" si="36"/>
        <v>0</v>
      </c>
      <c r="H167" s="862">
        <v>0</v>
      </c>
      <c r="I167" s="1164">
        <f t="shared" si="37"/>
        <v>0</v>
      </c>
      <c r="J167" s="201"/>
      <c r="K167" s="199"/>
      <c r="L167" s="199"/>
      <c r="M167" s="199"/>
      <c r="N167" s="297">
        <v>0</v>
      </c>
      <c r="O167" s="294"/>
      <c r="P167" s="509">
        <f t="shared" si="38"/>
        <v>0</v>
      </c>
      <c r="Q167" s="297">
        <v>0</v>
      </c>
      <c r="R167" s="294"/>
      <c r="S167" s="1165">
        <f t="shared" si="39"/>
        <v>0</v>
      </c>
      <c r="T167" s="297">
        <v>0</v>
      </c>
      <c r="U167" s="294"/>
      <c r="V167" s="1166">
        <f t="shared" si="35"/>
        <v>0</v>
      </c>
      <c r="W167" s="297">
        <v>0</v>
      </c>
      <c r="X167" s="294"/>
      <c r="Y167" s="1166">
        <f t="shared" si="40"/>
        <v>0</v>
      </c>
      <c r="Z167" s="1155">
        <f t="shared" si="34"/>
        <v>0</v>
      </c>
    </row>
    <row r="168" spans="2:26" x14ac:dyDescent="0.2">
      <c r="B168" s="198">
        <v>0</v>
      </c>
      <c r="C168" s="200" t="s">
        <v>1845</v>
      </c>
      <c r="D168" s="340"/>
      <c r="E168" s="271"/>
      <c r="F168" s="862"/>
      <c r="G168" s="1163">
        <f t="shared" ref="G168:G183" si="41">Z168</f>
        <v>0</v>
      </c>
      <c r="H168" s="862">
        <v>0</v>
      </c>
      <c r="I168" s="1164">
        <f t="shared" ref="I168:I183" si="42">H168*B168</f>
        <v>0</v>
      </c>
      <c r="J168" s="201"/>
      <c r="K168" s="199"/>
      <c r="L168" s="199"/>
      <c r="M168" s="199"/>
      <c r="N168" s="297">
        <v>0</v>
      </c>
      <c r="O168" s="294"/>
      <c r="P168" s="509">
        <f t="shared" ref="P168:P183" si="43">N168*B168</f>
        <v>0</v>
      </c>
      <c r="Q168" s="297">
        <v>0</v>
      </c>
      <c r="R168" s="294"/>
      <c r="S168" s="1165">
        <f t="shared" ref="S168:S183" si="44">Q168*B168</f>
        <v>0</v>
      </c>
      <c r="T168" s="297">
        <v>0</v>
      </c>
      <c r="U168" s="294"/>
      <c r="V168" s="1166">
        <f t="shared" si="35"/>
        <v>0</v>
      </c>
      <c r="W168" s="297">
        <v>0</v>
      </c>
      <c r="X168" s="294"/>
      <c r="Y168" s="1166">
        <f t="shared" ref="Y168:Y183" si="45">W168*B168</f>
        <v>0</v>
      </c>
      <c r="Z168" s="1155">
        <f t="shared" si="34"/>
        <v>0</v>
      </c>
    </row>
    <row r="169" spans="2:26" x14ac:dyDescent="0.2">
      <c r="B169" s="198">
        <v>0</v>
      </c>
      <c r="C169" s="200" t="s">
        <v>1845</v>
      </c>
      <c r="D169" s="340"/>
      <c r="E169" s="271"/>
      <c r="F169" s="862"/>
      <c r="G169" s="1163">
        <f t="shared" si="41"/>
        <v>0</v>
      </c>
      <c r="H169" s="862">
        <v>0</v>
      </c>
      <c r="I169" s="1164">
        <f t="shared" si="42"/>
        <v>0</v>
      </c>
      <c r="J169" s="201"/>
      <c r="K169" s="199"/>
      <c r="L169" s="199"/>
      <c r="M169" s="199"/>
      <c r="N169" s="297">
        <v>0</v>
      </c>
      <c r="O169" s="294"/>
      <c r="P169" s="509">
        <f t="shared" si="43"/>
        <v>0</v>
      </c>
      <c r="Q169" s="297">
        <v>0</v>
      </c>
      <c r="R169" s="294"/>
      <c r="S169" s="1165">
        <f t="shared" si="44"/>
        <v>0</v>
      </c>
      <c r="T169" s="297">
        <v>0</v>
      </c>
      <c r="U169" s="294"/>
      <c r="V169" s="1166">
        <f t="shared" si="35"/>
        <v>0</v>
      </c>
      <c r="W169" s="297">
        <v>0</v>
      </c>
      <c r="X169" s="294"/>
      <c r="Y169" s="1166">
        <f t="shared" si="45"/>
        <v>0</v>
      </c>
      <c r="Z169" s="1155">
        <f t="shared" si="34"/>
        <v>0</v>
      </c>
    </row>
    <row r="170" spans="2:26" x14ac:dyDescent="0.2">
      <c r="B170" s="198">
        <v>0</v>
      </c>
      <c r="C170" s="200" t="s">
        <v>1845</v>
      </c>
      <c r="D170" s="340"/>
      <c r="E170" s="271"/>
      <c r="F170" s="862"/>
      <c r="G170" s="1163">
        <f t="shared" si="41"/>
        <v>0</v>
      </c>
      <c r="H170" s="862">
        <v>0</v>
      </c>
      <c r="I170" s="1164">
        <f t="shared" si="42"/>
        <v>0</v>
      </c>
      <c r="J170" s="201"/>
      <c r="K170" s="199"/>
      <c r="L170" s="199"/>
      <c r="M170" s="199"/>
      <c r="N170" s="297">
        <v>0</v>
      </c>
      <c r="O170" s="294"/>
      <c r="P170" s="509">
        <f t="shared" si="43"/>
        <v>0</v>
      </c>
      <c r="Q170" s="297">
        <v>0</v>
      </c>
      <c r="R170" s="294"/>
      <c r="S170" s="1165">
        <f t="shared" si="44"/>
        <v>0</v>
      </c>
      <c r="T170" s="297">
        <v>0</v>
      </c>
      <c r="U170" s="294"/>
      <c r="V170" s="1166">
        <f t="shared" si="35"/>
        <v>0</v>
      </c>
      <c r="W170" s="297">
        <v>0</v>
      </c>
      <c r="X170" s="294"/>
      <c r="Y170" s="1166">
        <f t="shared" si="45"/>
        <v>0</v>
      </c>
      <c r="Z170" s="1155">
        <f t="shared" si="34"/>
        <v>0</v>
      </c>
    </row>
    <row r="171" spans="2:26" x14ac:dyDescent="0.2">
      <c r="B171" s="198">
        <v>0</v>
      </c>
      <c r="C171" s="200" t="s">
        <v>1845</v>
      </c>
      <c r="D171" s="340"/>
      <c r="E171" s="271"/>
      <c r="F171" s="862"/>
      <c r="G171" s="1163">
        <f t="shared" si="41"/>
        <v>0</v>
      </c>
      <c r="H171" s="862">
        <v>0</v>
      </c>
      <c r="I171" s="1164">
        <f t="shared" si="42"/>
        <v>0</v>
      </c>
      <c r="J171" s="201"/>
      <c r="K171" s="199"/>
      <c r="L171" s="199"/>
      <c r="M171" s="199"/>
      <c r="N171" s="297">
        <v>0</v>
      </c>
      <c r="O171" s="294"/>
      <c r="P171" s="509">
        <f t="shared" si="43"/>
        <v>0</v>
      </c>
      <c r="Q171" s="297">
        <v>0</v>
      </c>
      <c r="R171" s="294"/>
      <c r="S171" s="1165">
        <f t="shared" si="44"/>
        <v>0</v>
      </c>
      <c r="T171" s="297">
        <v>0</v>
      </c>
      <c r="U171" s="294"/>
      <c r="V171" s="1166">
        <f t="shared" si="35"/>
        <v>0</v>
      </c>
      <c r="W171" s="297">
        <v>0</v>
      </c>
      <c r="X171" s="294"/>
      <c r="Y171" s="1166">
        <f t="shared" si="45"/>
        <v>0</v>
      </c>
      <c r="Z171" s="1155">
        <f t="shared" si="34"/>
        <v>0</v>
      </c>
    </row>
    <row r="172" spans="2:26" x14ac:dyDescent="0.2">
      <c r="B172" s="198">
        <v>0</v>
      </c>
      <c r="C172" s="200" t="s">
        <v>1845</v>
      </c>
      <c r="D172" s="340"/>
      <c r="E172" s="271"/>
      <c r="F172" s="862"/>
      <c r="G172" s="1163">
        <f t="shared" si="41"/>
        <v>0</v>
      </c>
      <c r="H172" s="862">
        <v>0</v>
      </c>
      <c r="I172" s="1164">
        <f t="shared" si="42"/>
        <v>0</v>
      </c>
      <c r="J172" s="201"/>
      <c r="K172" s="199"/>
      <c r="L172" s="199"/>
      <c r="M172" s="199"/>
      <c r="N172" s="297">
        <v>0</v>
      </c>
      <c r="O172" s="294"/>
      <c r="P172" s="509">
        <f t="shared" si="43"/>
        <v>0</v>
      </c>
      <c r="Q172" s="297">
        <v>0</v>
      </c>
      <c r="R172" s="294"/>
      <c r="S172" s="1165">
        <f t="shared" si="44"/>
        <v>0</v>
      </c>
      <c r="T172" s="297">
        <v>0</v>
      </c>
      <c r="U172" s="294"/>
      <c r="V172" s="1166">
        <f t="shared" si="35"/>
        <v>0</v>
      </c>
      <c r="W172" s="297">
        <v>0</v>
      </c>
      <c r="X172" s="294"/>
      <c r="Y172" s="1166">
        <f t="shared" si="45"/>
        <v>0</v>
      </c>
      <c r="Z172" s="1155">
        <f t="shared" si="34"/>
        <v>0</v>
      </c>
    </row>
    <row r="173" spans="2:26" x14ac:dyDescent="0.2">
      <c r="B173" s="198">
        <v>0</v>
      </c>
      <c r="C173" s="200" t="s">
        <v>1845</v>
      </c>
      <c r="D173" s="340"/>
      <c r="E173" s="271"/>
      <c r="F173" s="862"/>
      <c r="G173" s="1163">
        <f t="shared" si="41"/>
        <v>0</v>
      </c>
      <c r="H173" s="862">
        <v>0</v>
      </c>
      <c r="I173" s="1164">
        <f t="shared" si="42"/>
        <v>0</v>
      </c>
      <c r="J173" s="201"/>
      <c r="K173" s="199"/>
      <c r="L173" s="199"/>
      <c r="M173" s="199"/>
      <c r="N173" s="297">
        <v>0</v>
      </c>
      <c r="O173" s="294"/>
      <c r="P173" s="509">
        <f t="shared" si="43"/>
        <v>0</v>
      </c>
      <c r="Q173" s="297">
        <v>0</v>
      </c>
      <c r="R173" s="294"/>
      <c r="S173" s="1165">
        <f t="shared" si="44"/>
        <v>0</v>
      </c>
      <c r="T173" s="297">
        <v>0</v>
      </c>
      <c r="U173" s="294"/>
      <c r="V173" s="1166">
        <f t="shared" si="35"/>
        <v>0</v>
      </c>
      <c r="W173" s="297">
        <v>0</v>
      </c>
      <c r="X173" s="294"/>
      <c r="Y173" s="1166">
        <f t="shared" si="45"/>
        <v>0</v>
      </c>
      <c r="Z173" s="1155">
        <f t="shared" si="34"/>
        <v>0</v>
      </c>
    </row>
    <row r="174" spans="2:26" x14ac:dyDescent="0.2">
      <c r="B174" s="198">
        <v>0</v>
      </c>
      <c r="C174" s="200" t="s">
        <v>1845</v>
      </c>
      <c r="D174" s="340"/>
      <c r="E174" s="271"/>
      <c r="F174" s="862"/>
      <c r="G174" s="1163">
        <f t="shared" si="41"/>
        <v>0</v>
      </c>
      <c r="H174" s="862">
        <v>0</v>
      </c>
      <c r="I174" s="1164">
        <f t="shared" si="42"/>
        <v>0</v>
      </c>
      <c r="J174" s="201"/>
      <c r="K174" s="199"/>
      <c r="L174" s="199"/>
      <c r="M174" s="199"/>
      <c r="N174" s="297">
        <v>0</v>
      </c>
      <c r="O174" s="294"/>
      <c r="P174" s="509">
        <f t="shared" si="43"/>
        <v>0</v>
      </c>
      <c r="Q174" s="297">
        <v>0</v>
      </c>
      <c r="R174" s="294"/>
      <c r="S174" s="1165">
        <f t="shared" si="44"/>
        <v>0</v>
      </c>
      <c r="T174" s="297">
        <v>0</v>
      </c>
      <c r="U174" s="294"/>
      <c r="V174" s="1166">
        <f t="shared" si="35"/>
        <v>0</v>
      </c>
      <c r="W174" s="297">
        <v>0</v>
      </c>
      <c r="X174" s="294"/>
      <c r="Y174" s="1166">
        <f t="shared" si="45"/>
        <v>0</v>
      </c>
      <c r="Z174" s="1155">
        <f t="shared" si="34"/>
        <v>0</v>
      </c>
    </row>
    <row r="175" spans="2:26" x14ac:dyDescent="0.2">
      <c r="B175" s="198">
        <v>0</v>
      </c>
      <c r="C175" s="200" t="s">
        <v>1845</v>
      </c>
      <c r="D175" s="340"/>
      <c r="E175" s="271"/>
      <c r="F175" s="862"/>
      <c r="G175" s="1163">
        <f t="shared" si="41"/>
        <v>0</v>
      </c>
      <c r="H175" s="862">
        <v>0</v>
      </c>
      <c r="I175" s="1164">
        <f t="shared" si="42"/>
        <v>0</v>
      </c>
      <c r="J175" s="201"/>
      <c r="K175" s="199"/>
      <c r="L175" s="199"/>
      <c r="M175" s="199"/>
      <c r="N175" s="297">
        <v>0</v>
      </c>
      <c r="O175" s="294"/>
      <c r="P175" s="509">
        <f t="shared" si="43"/>
        <v>0</v>
      </c>
      <c r="Q175" s="297">
        <v>0</v>
      </c>
      <c r="R175" s="294"/>
      <c r="S175" s="1165">
        <f t="shared" si="44"/>
        <v>0</v>
      </c>
      <c r="T175" s="297">
        <v>0</v>
      </c>
      <c r="U175" s="294"/>
      <c r="V175" s="1166">
        <f t="shared" si="35"/>
        <v>0</v>
      </c>
      <c r="W175" s="297">
        <v>0</v>
      </c>
      <c r="X175" s="294"/>
      <c r="Y175" s="1166">
        <f t="shared" si="45"/>
        <v>0</v>
      </c>
      <c r="Z175" s="1155">
        <f t="shared" si="34"/>
        <v>0</v>
      </c>
    </row>
    <row r="176" spans="2:26" x14ac:dyDescent="0.2">
      <c r="B176" s="198">
        <v>0</v>
      </c>
      <c r="C176" s="200" t="s">
        <v>1845</v>
      </c>
      <c r="D176" s="340"/>
      <c r="E176" s="271"/>
      <c r="F176" s="862"/>
      <c r="G176" s="1163">
        <f t="shared" si="41"/>
        <v>0</v>
      </c>
      <c r="H176" s="862">
        <v>0</v>
      </c>
      <c r="I176" s="1164">
        <f t="shared" si="42"/>
        <v>0</v>
      </c>
      <c r="J176" s="201"/>
      <c r="K176" s="199"/>
      <c r="L176" s="199"/>
      <c r="M176" s="199"/>
      <c r="N176" s="297">
        <v>0</v>
      </c>
      <c r="O176" s="294"/>
      <c r="P176" s="509">
        <f t="shared" si="43"/>
        <v>0</v>
      </c>
      <c r="Q176" s="297">
        <v>0</v>
      </c>
      <c r="R176" s="294"/>
      <c r="S176" s="1165">
        <f t="shared" si="44"/>
        <v>0</v>
      </c>
      <c r="T176" s="297">
        <v>0</v>
      </c>
      <c r="U176" s="294"/>
      <c r="V176" s="1166">
        <f t="shared" si="35"/>
        <v>0</v>
      </c>
      <c r="W176" s="297">
        <v>0</v>
      </c>
      <c r="X176" s="294"/>
      <c r="Y176" s="1166">
        <f t="shared" si="45"/>
        <v>0</v>
      </c>
      <c r="Z176" s="1155">
        <f t="shared" si="34"/>
        <v>0</v>
      </c>
    </row>
    <row r="177" spans="2:26" x14ac:dyDescent="0.2">
      <c r="B177" s="198">
        <v>0</v>
      </c>
      <c r="C177" s="200" t="s">
        <v>1845</v>
      </c>
      <c r="D177" s="340"/>
      <c r="E177" s="271"/>
      <c r="F177" s="862"/>
      <c r="G177" s="1163">
        <f t="shared" si="41"/>
        <v>0</v>
      </c>
      <c r="H177" s="862">
        <v>0</v>
      </c>
      <c r="I177" s="1164">
        <f t="shared" si="42"/>
        <v>0</v>
      </c>
      <c r="J177" s="201"/>
      <c r="K177" s="199"/>
      <c r="L177" s="199"/>
      <c r="M177" s="199"/>
      <c r="N177" s="297">
        <v>0</v>
      </c>
      <c r="O177" s="294"/>
      <c r="P177" s="509">
        <f t="shared" si="43"/>
        <v>0</v>
      </c>
      <c r="Q177" s="297">
        <v>0</v>
      </c>
      <c r="R177" s="294"/>
      <c r="S177" s="1165">
        <f t="shared" si="44"/>
        <v>0</v>
      </c>
      <c r="T177" s="297">
        <v>0</v>
      </c>
      <c r="U177" s="294"/>
      <c r="V177" s="1166">
        <f t="shared" si="35"/>
        <v>0</v>
      </c>
      <c r="W177" s="297">
        <v>0</v>
      </c>
      <c r="X177" s="294"/>
      <c r="Y177" s="1166">
        <f t="shared" si="45"/>
        <v>0</v>
      </c>
      <c r="Z177" s="1155">
        <f t="shared" si="34"/>
        <v>0</v>
      </c>
    </row>
    <row r="178" spans="2:26" x14ac:dyDescent="0.2">
      <c r="B178" s="198">
        <v>0</v>
      </c>
      <c r="C178" s="200" t="s">
        <v>1845</v>
      </c>
      <c r="D178" s="340"/>
      <c r="E178" s="271"/>
      <c r="F178" s="862"/>
      <c r="G178" s="1163">
        <f t="shared" si="41"/>
        <v>0</v>
      </c>
      <c r="H178" s="862">
        <v>0</v>
      </c>
      <c r="I178" s="1164">
        <f t="shared" si="42"/>
        <v>0</v>
      </c>
      <c r="J178" s="201"/>
      <c r="K178" s="199"/>
      <c r="L178" s="199"/>
      <c r="M178" s="199"/>
      <c r="N178" s="297">
        <v>0</v>
      </c>
      <c r="O178" s="294"/>
      <c r="P178" s="509">
        <f t="shared" si="43"/>
        <v>0</v>
      </c>
      <c r="Q178" s="297">
        <v>0</v>
      </c>
      <c r="R178" s="294"/>
      <c r="S178" s="1165">
        <f t="shared" si="44"/>
        <v>0</v>
      </c>
      <c r="T178" s="297">
        <v>0</v>
      </c>
      <c r="U178" s="294"/>
      <c r="V178" s="1166">
        <f t="shared" si="35"/>
        <v>0</v>
      </c>
      <c r="W178" s="297">
        <v>0</v>
      </c>
      <c r="X178" s="294"/>
      <c r="Y178" s="1166">
        <f t="shared" si="45"/>
        <v>0</v>
      </c>
      <c r="Z178" s="1155">
        <f t="shared" si="34"/>
        <v>0</v>
      </c>
    </row>
    <row r="179" spans="2:26" x14ac:dyDescent="0.2">
      <c r="B179" s="198">
        <v>0</v>
      </c>
      <c r="C179" s="200" t="s">
        <v>1845</v>
      </c>
      <c r="D179" s="340"/>
      <c r="E179" s="271"/>
      <c r="F179" s="862"/>
      <c r="G179" s="1163">
        <f t="shared" si="41"/>
        <v>0</v>
      </c>
      <c r="H179" s="862">
        <v>0</v>
      </c>
      <c r="I179" s="1164">
        <f t="shared" si="42"/>
        <v>0</v>
      </c>
      <c r="J179" s="201"/>
      <c r="K179" s="199"/>
      <c r="L179" s="199"/>
      <c r="M179" s="199"/>
      <c r="N179" s="297">
        <v>0</v>
      </c>
      <c r="O179" s="294"/>
      <c r="P179" s="509">
        <f t="shared" si="43"/>
        <v>0</v>
      </c>
      <c r="Q179" s="297">
        <v>0</v>
      </c>
      <c r="R179" s="294"/>
      <c r="S179" s="1165">
        <f t="shared" si="44"/>
        <v>0</v>
      </c>
      <c r="T179" s="297">
        <v>0</v>
      </c>
      <c r="U179" s="294"/>
      <c r="V179" s="1166">
        <f t="shared" si="35"/>
        <v>0</v>
      </c>
      <c r="W179" s="297">
        <v>0</v>
      </c>
      <c r="X179" s="294"/>
      <c r="Y179" s="1166">
        <f t="shared" si="45"/>
        <v>0</v>
      </c>
      <c r="Z179" s="1155">
        <f t="shared" si="34"/>
        <v>0</v>
      </c>
    </row>
    <row r="180" spans="2:26" x14ac:dyDescent="0.2">
      <c r="B180" s="198">
        <v>0</v>
      </c>
      <c r="C180" s="200" t="s">
        <v>1845</v>
      </c>
      <c r="D180" s="340"/>
      <c r="E180" s="271"/>
      <c r="F180" s="862"/>
      <c r="G180" s="1163">
        <f t="shared" si="41"/>
        <v>0</v>
      </c>
      <c r="H180" s="862">
        <v>0</v>
      </c>
      <c r="I180" s="1164">
        <f t="shared" si="42"/>
        <v>0</v>
      </c>
      <c r="J180" s="201"/>
      <c r="K180" s="199"/>
      <c r="L180" s="199"/>
      <c r="M180" s="199"/>
      <c r="N180" s="297">
        <v>0</v>
      </c>
      <c r="O180" s="294"/>
      <c r="P180" s="509">
        <f t="shared" si="43"/>
        <v>0</v>
      </c>
      <c r="Q180" s="297">
        <v>0</v>
      </c>
      <c r="R180" s="294"/>
      <c r="S180" s="1165">
        <f t="shared" si="44"/>
        <v>0</v>
      </c>
      <c r="T180" s="297">
        <v>0</v>
      </c>
      <c r="U180" s="294"/>
      <c r="V180" s="1166">
        <f t="shared" si="35"/>
        <v>0</v>
      </c>
      <c r="W180" s="297">
        <v>0</v>
      </c>
      <c r="X180" s="294"/>
      <c r="Y180" s="1166">
        <f t="shared" si="45"/>
        <v>0</v>
      </c>
      <c r="Z180" s="1155">
        <f t="shared" si="34"/>
        <v>0</v>
      </c>
    </row>
    <row r="181" spans="2:26" x14ac:dyDescent="0.2">
      <c r="B181" s="198">
        <v>0</v>
      </c>
      <c r="C181" s="200" t="s">
        <v>1845</v>
      </c>
      <c r="D181" s="340"/>
      <c r="E181" s="271"/>
      <c r="F181" s="862"/>
      <c r="G181" s="1163">
        <f t="shared" si="41"/>
        <v>0</v>
      </c>
      <c r="H181" s="862">
        <v>0</v>
      </c>
      <c r="I181" s="1164">
        <f t="shared" si="42"/>
        <v>0</v>
      </c>
      <c r="J181" s="201"/>
      <c r="K181" s="199"/>
      <c r="L181" s="199"/>
      <c r="M181" s="199"/>
      <c r="N181" s="297">
        <v>0</v>
      </c>
      <c r="O181" s="294"/>
      <c r="P181" s="509">
        <f t="shared" si="43"/>
        <v>0</v>
      </c>
      <c r="Q181" s="297">
        <v>0</v>
      </c>
      <c r="R181" s="294"/>
      <c r="S181" s="1165">
        <f t="shared" si="44"/>
        <v>0</v>
      </c>
      <c r="T181" s="297">
        <v>0</v>
      </c>
      <c r="U181" s="294"/>
      <c r="V181" s="1166">
        <f t="shared" si="35"/>
        <v>0</v>
      </c>
      <c r="W181" s="297">
        <v>0</v>
      </c>
      <c r="X181" s="294"/>
      <c r="Y181" s="1166">
        <f t="shared" si="45"/>
        <v>0</v>
      </c>
      <c r="Z181" s="1155">
        <f t="shared" si="34"/>
        <v>0</v>
      </c>
    </row>
    <row r="182" spans="2:26" x14ac:dyDescent="0.2">
      <c r="B182" s="198">
        <v>0</v>
      </c>
      <c r="C182" s="200" t="s">
        <v>1845</v>
      </c>
      <c r="D182" s="340"/>
      <c r="E182" s="271"/>
      <c r="F182" s="862"/>
      <c r="G182" s="1163">
        <f t="shared" si="41"/>
        <v>0</v>
      </c>
      <c r="H182" s="862">
        <v>0</v>
      </c>
      <c r="I182" s="1164">
        <f t="shared" si="42"/>
        <v>0</v>
      </c>
      <c r="J182" s="201"/>
      <c r="K182" s="199"/>
      <c r="L182" s="199"/>
      <c r="M182" s="199"/>
      <c r="N182" s="297">
        <v>0</v>
      </c>
      <c r="O182" s="294"/>
      <c r="P182" s="509">
        <f t="shared" si="43"/>
        <v>0</v>
      </c>
      <c r="Q182" s="297">
        <v>0</v>
      </c>
      <c r="R182" s="294"/>
      <c r="S182" s="1165">
        <f t="shared" si="44"/>
        <v>0</v>
      </c>
      <c r="T182" s="297">
        <v>0</v>
      </c>
      <c r="U182" s="294"/>
      <c r="V182" s="1166">
        <f t="shared" si="35"/>
        <v>0</v>
      </c>
      <c r="W182" s="297">
        <v>0</v>
      </c>
      <c r="X182" s="294"/>
      <c r="Y182" s="1166">
        <f t="shared" si="45"/>
        <v>0</v>
      </c>
      <c r="Z182" s="1155">
        <f t="shared" si="34"/>
        <v>0</v>
      </c>
    </row>
    <row r="183" spans="2:26" ht="13.5" thickBot="1" x14ac:dyDescent="0.25">
      <c r="B183" s="202">
        <v>0</v>
      </c>
      <c r="C183" s="487" t="s">
        <v>1845</v>
      </c>
      <c r="D183" s="1056"/>
      <c r="E183" s="487"/>
      <c r="F183" s="1146"/>
      <c r="G183" s="1167">
        <f t="shared" si="41"/>
        <v>0</v>
      </c>
      <c r="H183" s="862">
        <v>0</v>
      </c>
      <c r="I183" s="1168">
        <f t="shared" si="42"/>
        <v>0</v>
      </c>
      <c r="J183" s="204"/>
      <c r="K183" s="203"/>
      <c r="L183" s="203"/>
      <c r="M183" s="203"/>
      <c r="N183" s="299">
        <v>0</v>
      </c>
      <c r="O183" s="295"/>
      <c r="P183" s="1169">
        <f t="shared" si="43"/>
        <v>0</v>
      </c>
      <c r="Q183" s="299">
        <v>0</v>
      </c>
      <c r="R183" s="295"/>
      <c r="S183" s="1170">
        <f t="shared" si="44"/>
        <v>0</v>
      </c>
      <c r="T183" s="299">
        <v>0</v>
      </c>
      <c r="U183" s="295"/>
      <c r="V183" s="517">
        <f t="shared" si="35"/>
        <v>0</v>
      </c>
      <c r="W183" s="299">
        <v>0</v>
      </c>
      <c r="X183" s="295"/>
      <c r="Y183" s="517">
        <f t="shared" si="45"/>
        <v>0</v>
      </c>
      <c r="Z183" s="1156">
        <f t="shared" si="34"/>
        <v>0</v>
      </c>
    </row>
    <row r="184" spans="2:26" x14ac:dyDescent="0.2">
      <c r="H184" s="165"/>
    </row>
    <row r="185" spans="2:26" x14ac:dyDescent="0.2">
      <c r="H185" s="165"/>
    </row>
    <row r="186" spans="2:26" x14ac:dyDescent="0.2">
      <c r="H186" s="165"/>
    </row>
    <row r="187" spans="2:26" x14ac:dyDescent="0.2">
      <c r="H187" s="165"/>
    </row>
    <row r="188" spans="2:26" x14ac:dyDescent="0.2">
      <c r="H188" s="165"/>
    </row>
    <row r="189" spans="2:26" x14ac:dyDescent="0.2">
      <c r="H189" s="165"/>
    </row>
    <row r="190" spans="2:26" x14ac:dyDescent="0.2">
      <c r="H190" s="165"/>
    </row>
    <row r="191" spans="2:26" x14ac:dyDescent="0.2">
      <c r="H191" s="165"/>
    </row>
    <row r="192" spans="2:26" x14ac:dyDescent="0.2">
      <c r="H192" s="165"/>
    </row>
    <row r="193" spans="8:8" x14ac:dyDescent="0.2">
      <c r="H193" s="165"/>
    </row>
    <row r="194" spans="8:8" x14ac:dyDescent="0.2">
      <c r="H194" s="165"/>
    </row>
    <row r="195" spans="8:8" x14ac:dyDescent="0.2">
      <c r="H195" s="165"/>
    </row>
    <row r="196" spans="8:8" x14ac:dyDescent="0.2">
      <c r="H196" s="165"/>
    </row>
    <row r="197" spans="8:8" x14ac:dyDescent="0.2">
      <c r="H197" s="165"/>
    </row>
    <row r="198" spans="8:8" x14ac:dyDescent="0.2">
      <c r="H198" s="165"/>
    </row>
    <row r="199" spans="8:8" x14ac:dyDescent="0.2">
      <c r="H199" s="165"/>
    </row>
    <row r="200" spans="8:8" x14ac:dyDescent="0.2">
      <c r="H200" s="165"/>
    </row>
    <row r="201" spans="8:8" x14ac:dyDescent="0.2">
      <c r="H201" s="165"/>
    </row>
    <row r="202" spans="8:8" x14ac:dyDescent="0.2">
      <c r="H202" s="165"/>
    </row>
    <row r="203" spans="8:8" x14ac:dyDescent="0.2">
      <c r="H203" s="165"/>
    </row>
    <row r="204" spans="8:8" x14ac:dyDescent="0.2">
      <c r="H204" s="165"/>
    </row>
    <row r="205" spans="8:8" x14ac:dyDescent="0.2">
      <c r="H205" s="165"/>
    </row>
    <row r="206" spans="8:8" x14ac:dyDescent="0.2">
      <c r="H206" s="165"/>
    </row>
    <row r="207" spans="8:8" x14ac:dyDescent="0.2">
      <c r="H207" s="165"/>
    </row>
    <row r="208" spans="8:8" x14ac:dyDescent="0.2">
      <c r="H208" s="165"/>
    </row>
    <row r="209" spans="8:8" x14ac:dyDescent="0.2">
      <c r="H209" s="165"/>
    </row>
    <row r="210" spans="8:8" x14ac:dyDescent="0.2">
      <c r="H210" s="165"/>
    </row>
    <row r="211" spans="8:8" x14ac:dyDescent="0.2">
      <c r="H211" s="165"/>
    </row>
    <row r="212" spans="8:8" x14ac:dyDescent="0.2">
      <c r="H212" s="165"/>
    </row>
    <row r="213" spans="8:8" x14ac:dyDescent="0.2">
      <c r="H213" s="165"/>
    </row>
    <row r="214" spans="8:8" x14ac:dyDescent="0.2">
      <c r="H214" s="165"/>
    </row>
    <row r="215" spans="8:8" x14ac:dyDescent="0.2">
      <c r="H215" s="165"/>
    </row>
    <row r="216" spans="8:8" x14ac:dyDescent="0.2">
      <c r="H216" s="165"/>
    </row>
    <row r="217" spans="8:8" x14ac:dyDescent="0.2">
      <c r="H217" s="165"/>
    </row>
    <row r="218" spans="8:8" x14ac:dyDescent="0.2">
      <c r="H218" s="165"/>
    </row>
    <row r="219" spans="8:8" x14ac:dyDescent="0.2">
      <c r="H219" s="165"/>
    </row>
    <row r="220" spans="8:8" x14ac:dyDescent="0.2">
      <c r="H220" s="165"/>
    </row>
    <row r="221" spans="8:8" x14ac:dyDescent="0.2">
      <c r="H221" s="165"/>
    </row>
    <row r="222" spans="8:8" x14ac:dyDescent="0.2">
      <c r="H222" s="165"/>
    </row>
    <row r="223" spans="8:8" x14ac:dyDescent="0.2">
      <c r="H223" s="165"/>
    </row>
    <row r="224" spans="8:8" x14ac:dyDescent="0.2">
      <c r="H224" s="165"/>
    </row>
    <row r="225" spans="8:8" x14ac:dyDescent="0.2">
      <c r="H225" s="165"/>
    </row>
    <row r="226" spans="8:8" x14ac:dyDescent="0.2">
      <c r="H226" s="165"/>
    </row>
    <row r="227" spans="8:8" x14ac:dyDescent="0.2">
      <c r="H227" s="165"/>
    </row>
    <row r="228" spans="8:8" x14ac:dyDescent="0.2">
      <c r="H228" s="165"/>
    </row>
    <row r="229" spans="8:8" x14ac:dyDescent="0.2">
      <c r="H229" s="165"/>
    </row>
    <row r="230" spans="8:8" x14ac:dyDescent="0.2">
      <c r="H230" s="165"/>
    </row>
    <row r="231" spans="8:8" x14ac:dyDescent="0.2">
      <c r="H231" s="165"/>
    </row>
    <row r="232" spans="8:8" x14ac:dyDescent="0.2">
      <c r="H232" s="165"/>
    </row>
    <row r="233" spans="8:8" x14ac:dyDescent="0.2">
      <c r="H233" s="165"/>
    </row>
    <row r="234" spans="8:8" x14ac:dyDescent="0.2">
      <c r="H234" s="165"/>
    </row>
    <row r="235" spans="8:8" x14ac:dyDescent="0.2">
      <c r="H235" s="165"/>
    </row>
    <row r="236" spans="8:8" x14ac:dyDescent="0.2">
      <c r="H236" s="165"/>
    </row>
    <row r="237" spans="8:8" x14ac:dyDescent="0.2">
      <c r="H237" s="165"/>
    </row>
    <row r="238" spans="8:8" x14ac:dyDescent="0.2">
      <c r="H238" s="165"/>
    </row>
    <row r="239" spans="8:8" x14ac:dyDescent="0.2">
      <c r="H239" s="165"/>
    </row>
    <row r="240" spans="8:8" x14ac:dyDescent="0.2">
      <c r="H240" s="165"/>
    </row>
    <row r="241" spans="8:8" x14ac:dyDescent="0.2">
      <c r="H241" s="165"/>
    </row>
    <row r="242" spans="8:8" x14ac:dyDescent="0.2">
      <c r="H242" s="165"/>
    </row>
    <row r="243" spans="8:8" x14ac:dyDescent="0.2">
      <c r="H243" s="165"/>
    </row>
    <row r="244" spans="8:8" x14ac:dyDescent="0.2">
      <c r="H244" s="165"/>
    </row>
    <row r="245" spans="8:8" x14ac:dyDescent="0.2">
      <c r="H245" s="165"/>
    </row>
    <row r="246" spans="8:8" x14ac:dyDescent="0.2">
      <c r="H246" s="165"/>
    </row>
    <row r="247" spans="8:8" x14ac:dyDescent="0.2">
      <c r="H247" s="165"/>
    </row>
    <row r="248" spans="8:8" x14ac:dyDescent="0.2">
      <c r="H248" s="165"/>
    </row>
    <row r="249" spans="8:8" x14ac:dyDescent="0.2">
      <c r="H249" s="165"/>
    </row>
    <row r="250" spans="8:8" x14ac:dyDescent="0.2">
      <c r="H250" s="165"/>
    </row>
    <row r="251" spans="8:8" x14ac:dyDescent="0.2">
      <c r="H251" s="165"/>
    </row>
    <row r="252" spans="8:8" x14ac:dyDescent="0.2">
      <c r="H252" s="165"/>
    </row>
    <row r="253" spans="8:8" x14ac:dyDescent="0.2">
      <c r="H253" s="165"/>
    </row>
    <row r="254" spans="8:8" x14ac:dyDescent="0.2">
      <c r="H254" s="165"/>
    </row>
    <row r="255" spans="8:8" x14ac:dyDescent="0.2">
      <c r="H255" s="165"/>
    </row>
    <row r="256" spans="8:8" x14ac:dyDescent="0.2">
      <c r="H256" s="165"/>
    </row>
    <row r="257" spans="8:8" x14ac:dyDescent="0.2">
      <c r="H257" s="165"/>
    </row>
    <row r="258" spans="8:8" x14ac:dyDescent="0.2">
      <c r="H258" s="165"/>
    </row>
    <row r="259" spans="8:8" x14ac:dyDescent="0.2">
      <c r="H259" s="165"/>
    </row>
    <row r="260" spans="8:8" x14ac:dyDescent="0.2">
      <c r="H260" s="165"/>
    </row>
    <row r="261" spans="8:8" x14ac:dyDescent="0.2">
      <c r="H261" s="165"/>
    </row>
    <row r="262" spans="8:8" x14ac:dyDescent="0.2">
      <c r="H262" s="165"/>
    </row>
    <row r="263" spans="8:8" x14ac:dyDescent="0.2">
      <c r="H263" s="165"/>
    </row>
    <row r="264" spans="8:8" x14ac:dyDescent="0.2">
      <c r="H264" s="165"/>
    </row>
    <row r="265" spans="8:8" x14ac:dyDescent="0.2">
      <c r="H265" s="165"/>
    </row>
    <row r="266" spans="8:8" x14ac:dyDescent="0.2">
      <c r="H266" s="165"/>
    </row>
    <row r="267" spans="8:8" x14ac:dyDescent="0.2">
      <c r="H267" s="165"/>
    </row>
    <row r="268" spans="8:8" x14ac:dyDescent="0.2">
      <c r="H268" s="165"/>
    </row>
    <row r="269" spans="8:8" x14ac:dyDescent="0.2">
      <c r="H269" s="165"/>
    </row>
    <row r="270" spans="8:8" x14ac:dyDescent="0.2">
      <c r="H270" s="165"/>
    </row>
    <row r="271" spans="8:8" x14ac:dyDescent="0.2">
      <c r="H271" s="165"/>
    </row>
    <row r="272" spans="8:8" x14ac:dyDescent="0.2">
      <c r="H272" s="165"/>
    </row>
    <row r="273" spans="8:8" x14ac:dyDescent="0.2">
      <c r="H273" s="165"/>
    </row>
    <row r="274" spans="8:8" x14ac:dyDescent="0.2">
      <c r="H274" s="165"/>
    </row>
    <row r="275" spans="8:8" x14ac:dyDescent="0.2">
      <c r="H275" s="165"/>
    </row>
    <row r="276" spans="8:8" x14ac:dyDescent="0.2">
      <c r="H276" s="165"/>
    </row>
    <row r="277" spans="8:8" x14ac:dyDescent="0.2">
      <c r="H277" s="165"/>
    </row>
    <row r="278" spans="8:8" x14ac:dyDescent="0.2">
      <c r="H278" s="165"/>
    </row>
    <row r="279" spans="8:8" x14ac:dyDescent="0.2">
      <c r="H279" s="165"/>
    </row>
    <row r="280" spans="8:8" x14ac:dyDescent="0.2">
      <c r="H280" s="165"/>
    </row>
    <row r="281" spans="8:8" x14ac:dyDescent="0.2">
      <c r="H281" s="165"/>
    </row>
    <row r="282" spans="8:8" x14ac:dyDescent="0.2">
      <c r="H282" s="165"/>
    </row>
    <row r="283" spans="8:8" x14ac:dyDescent="0.2">
      <c r="H283" s="165"/>
    </row>
    <row r="284" spans="8:8" x14ac:dyDescent="0.2">
      <c r="H284" s="165"/>
    </row>
    <row r="285" spans="8:8" x14ac:dyDescent="0.2">
      <c r="H285" s="165"/>
    </row>
    <row r="286" spans="8:8" x14ac:dyDescent="0.2">
      <c r="H286" s="165"/>
    </row>
    <row r="287" spans="8:8" x14ac:dyDescent="0.2">
      <c r="H287" s="165"/>
    </row>
    <row r="288" spans="8:8" x14ac:dyDescent="0.2">
      <c r="H288" s="165"/>
    </row>
    <row r="289" spans="8:8" x14ac:dyDescent="0.2">
      <c r="H289" s="165"/>
    </row>
    <row r="290" spans="8:8" x14ac:dyDescent="0.2">
      <c r="H290" s="165"/>
    </row>
    <row r="291" spans="8:8" x14ac:dyDescent="0.2">
      <c r="H291" s="165"/>
    </row>
    <row r="292" spans="8:8" x14ac:dyDescent="0.2">
      <c r="H292" s="165"/>
    </row>
    <row r="293" spans="8:8" x14ac:dyDescent="0.2">
      <c r="H293" s="165"/>
    </row>
    <row r="294" spans="8:8" x14ac:dyDescent="0.2">
      <c r="H294" s="165"/>
    </row>
    <row r="295" spans="8:8" x14ac:dyDescent="0.2">
      <c r="H295" s="165"/>
    </row>
    <row r="296" spans="8:8" x14ac:dyDescent="0.2">
      <c r="H296" s="165"/>
    </row>
    <row r="297" spans="8:8" x14ac:dyDescent="0.2">
      <c r="H297" s="165"/>
    </row>
    <row r="298" spans="8:8" x14ac:dyDescent="0.2">
      <c r="H298" s="165"/>
    </row>
    <row r="299" spans="8:8" x14ac:dyDescent="0.2">
      <c r="H299" s="165"/>
    </row>
    <row r="300" spans="8:8" x14ac:dyDescent="0.2">
      <c r="H300" s="165"/>
    </row>
    <row r="301" spans="8:8" x14ac:dyDescent="0.2">
      <c r="H301" s="165"/>
    </row>
    <row r="302" spans="8:8" x14ac:dyDescent="0.2">
      <c r="H302" s="165"/>
    </row>
    <row r="303" spans="8:8" x14ac:dyDescent="0.2">
      <c r="H303" s="165"/>
    </row>
    <row r="304" spans="8:8" x14ac:dyDescent="0.2">
      <c r="H304" s="165"/>
    </row>
    <row r="305" spans="8:8" x14ac:dyDescent="0.2">
      <c r="H305" s="165"/>
    </row>
    <row r="306" spans="8:8" x14ac:dyDescent="0.2">
      <c r="H306" s="165"/>
    </row>
    <row r="307" spans="8:8" x14ac:dyDescent="0.2">
      <c r="H307" s="165"/>
    </row>
    <row r="308" spans="8:8" x14ac:dyDescent="0.2">
      <c r="H308" s="165"/>
    </row>
    <row r="309" spans="8:8" x14ac:dyDescent="0.2">
      <c r="H309" s="165"/>
    </row>
    <row r="310" spans="8:8" x14ac:dyDescent="0.2">
      <c r="H310" s="165"/>
    </row>
    <row r="311" spans="8:8" x14ac:dyDescent="0.2">
      <c r="H311" s="165"/>
    </row>
    <row r="312" spans="8:8" x14ac:dyDescent="0.2">
      <c r="H312" s="165"/>
    </row>
    <row r="313" spans="8:8" x14ac:dyDescent="0.2">
      <c r="H313" s="165"/>
    </row>
    <row r="314" spans="8:8" x14ac:dyDescent="0.2">
      <c r="H314" s="165"/>
    </row>
    <row r="315" spans="8:8" x14ac:dyDescent="0.2">
      <c r="H315" s="165"/>
    </row>
    <row r="316" spans="8:8" x14ac:dyDescent="0.2">
      <c r="H316" s="165"/>
    </row>
    <row r="317" spans="8:8" x14ac:dyDescent="0.2">
      <c r="H317" s="165"/>
    </row>
    <row r="318" spans="8:8" x14ac:dyDescent="0.2">
      <c r="H318" s="165"/>
    </row>
    <row r="319" spans="8:8" x14ac:dyDescent="0.2">
      <c r="H319" s="165"/>
    </row>
    <row r="320" spans="8:8" x14ac:dyDescent="0.2">
      <c r="H320" s="165"/>
    </row>
    <row r="321" spans="8:8" x14ac:dyDescent="0.2">
      <c r="H321" s="165"/>
    </row>
    <row r="322" spans="8:8" x14ac:dyDescent="0.2">
      <c r="H322" s="165"/>
    </row>
    <row r="323" spans="8:8" x14ac:dyDescent="0.2">
      <c r="H323" s="165"/>
    </row>
    <row r="324" spans="8:8" x14ac:dyDescent="0.2">
      <c r="H324" s="165"/>
    </row>
    <row r="325" spans="8:8" x14ac:dyDescent="0.2">
      <c r="H325" s="165"/>
    </row>
    <row r="326" spans="8:8" x14ac:dyDescent="0.2">
      <c r="H326" s="165"/>
    </row>
    <row r="327" spans="8:8" x14ac:dyDescent="0.2">
      <c r="H327" s="165"/>
    </row>
    <row r="328" spans="8:8" x14ac:dyDescent="0.2">
      <c r="H328" s="165"/>
    </row>
    <row r="329" spans="8:8" x14ac:dyDescent="0.2">
      <c r="H329" s="165"/>
    </row>
    <row r="330" spans="8:8" x14ac:dyDescent="0.2">
      <c r="H330" s="165"/>
    </row>
    <row r="331" spans="8:8" x14ac:dyDescent="0.2">
      <c r="H331" s="165"/>
    </row>
    <row r="332" spans="8:8" x14ac:dyDescent="0.2">
      <c r="H332" s="165"/>
    </row>
    <row r="333" spans="8:8" x14ac:dyDescent="0.2">
      <c r="H333" s="165"/>
    </row>
    <row r="334" spans="8:8" x14ac:dyDescent="0.2">
      <c r="H334" s="165"/>
    </row>
    <row r="335" spans="8:8" x14ac:dyDescent="0.2">
      <c r="H335" s="165"/>
    </row>
    <row r="336" spans="8:8" x14ac:dyDescent="0.2">
      <c r="H336" s="165"/>
    </row>
    <row r="337" spans="8:8" x14ac:dyDescent="0.2">
      <c r="H337" s="165"/>
    </row>
    <row r="338" spans="8:8" x14ac:dyDescent="0.2">
      <c r="H338" s="165"/>
    </row>
    <row r="339" spans="8:8" x14ac:dyDescent="0.2">
      <c r="H339" s="165"/>
    </row>
    <row r="340" spans="8:8" x14ac:dyDescent="0.2">
      <c r="H340" s="165"/>
    </row>
    <row r="341" spans="8:8" x14ac:dyDescent="0.2">
      <c r="H341" s="165"/>
    </row>
    <row r="342" spans="8:8" x14ac:dyDescent="0.2">
      <c r="H342" s="165"/>
    </row>
    <row r="343" spans="8:8" x14ac:dyDescent="0.2">
      <c r="H343" s="165"/>
    </row>
    <row r="344" spans="8:8" x14ac:dyDescent="0.2">
      <c r="H344" s="165"/>
    </row>
    <row r="345" spans="8:8" x14ac:dyDescent="0.2">
      <c r="H345" s="165"/>
    </row>
    <row r="346" spans="8:8" x14ac:dyDescent="0.2">
      <c r="H346" s="165"/>
    </row>
    <row r="347" spans="8:8" x14ac:dyDescent="0.2">
      <c r="H347" s="165"/>
    </row>
    <row r="348" spans="8:8" x14ac:dyDescent="0.2">
      <c r="H348" s="165"/>
    </row>
    <row r="349" spans="8:8" x14ac:dyDescent="0.2">
      <c r="H349" s="165"/>
    </row>
    <row r="350" spans="8:8" x14ac:dyDescent="0.2">
      <c r="H350" s="165"/>
    </row>
    <row r="351" spans="8:8" x14ac:dyDescent="0.2">
      <c r="H351" s="165"/>
    </row>
    <row r="352" spans="8:8" x14ac:dyDescent="0.2">
      <c r="H352" s="165"/>
    </row>
    <row r="353" spans="8:8" x14ac:dyDescent="0.2">
      <c r="H353" s="165"/>
    </row>
    <row r="354" spans="8:8" x14ac:dyDescent="0.2">
      <c r="H354" s="165"/>
    </row>
    <row r="355" spans="8:8" x14ac:dyDescent="0.2">
      <c r="H355" s="165"/>
    </row>
    <row r="356" spans="8:8" x14ac:dyDescent="0.2">
      <c r="H356" s="165"/>
    </row>
    <row r="357" spans="8:8" x14ac:dyDescent="0.2">
      <c r="H357" s="165"/>
    </row>
    <row r="358" spans="8:8" x14ac:dyDescent="0.2">
      <c r="H358" s="165"/>
    </row>
    <row r="359" spans="8:8" x14ac:dyDescent="0.2">
      <c r="H359" s="165"/>
    </row>
    <row r="360" spans="8:8" x14ac:dyDescent="0.2">
      <c r="H360" s="165"/>
    </row>
    <row r="361" spans="8:8" x14ac:dyDescent="0.2">
      <c r="H361" s="165"/>
    </row>
    <row r="362" spans="8:8" x14ac:dyDescent="0.2">
      <c r="H362" s="165"/>
    </row>
    <row r="363" spans="8:8" x14ac:dyDescent="0.2">
      <c r="H363" s="165"/>
    </row>
    <row r="364" spans="8:8" x14ac:dyDescent="0.2">
      <c r="H364" s="165"/>
    </row>
    <row r="365" spans="8:8" x14ac:dyDescent="0.2">
      <c r="H365" s="165"/>
    </row>
    <row r="366" spans="8:8" x14ac:dyDescent="0.2">
      <c r="H366" s="165"/>
    </row>
    <row r="367" spans="8:8" x14ac:dyDescent="0.2">
      <c r="H367" s="165"/>
    </row>
    <row r="368" spans="8:8" x14ac:dyDescent="0.2">
      <c r="H368" s="165"/>
    </row>
    <row r="369" spans="8:8" x14ac:dyDescent="0.2">
      <c r="H369" s="165"/>
    </row>
    <row r="370" spans="8:8" x14ac:dyDescent="0.2">
      <c r="H370" s="165"/>
    </row>
    <row r="371" spans="8:8" x14ac:dyDescent="0.2">
      <c r="H371" s="165"/>
    </row>
    <row r="372" spans="8:8" x14ac:dyDescent="0.2">
      <c r="H372" s="165"/>
    </row>
    <row r="373" spans="8:8" x14ac:dyDescent="0.2">
      <c r="H373" s="165"/>
    </row>
    <row r="374" spans="8:8" x14ac:dyDescent="0.2">
      <c r="H374" s="165"/>
    </row>
    <row r="375" spans="8:8" x14ac:dyDescent="0.2">
      <c r="H375" s="165"/>
    </row>
    <row r="376" spans="8:8" x14ac:dyDescent="0.2">
      <c r="H376" s="165"/>
    </row>
    <row r="377" spans="8:8" x14ac:dyDescent="0.2">
      <c r="H377" s="165"/>
    </row>
    <row r="378" spans="8:8" x14ac:dyDescent="0.2">
      <c r="H378" s="165"/>
    </row>
    <row r="379" spans="8:8" x14ac:dyDescent="0.2">
      <c r="H379" s="165"/>
    </row>
    <row r="380" spans="8:8" x14ac:dyDescent="0.2">
      <c r="H380" s="165"/>
    </row>
    <row r="381" spans="8:8" x14ac:dyDescent="0.2">
      <c r="H381" s="165"/>
    </row>
    <row r="382" spans="8:8" x14ac:dyDescent="0.2">
      <c r="H382" s="165"/>
    </row>
    <row r="383" spans="8:8" x14ac:dyDescent="0.2">
      <c r="H383" s="165"/>
    </row>
  </sheetData>
  <sheetProtection formatCells="0" formatColumns="0" formatRows="0" insertColumns="0" insertRows="0" deleteColumns="0" deleteRows="0" selectLockedCells="1" sort="0" autoFilter="0" pivotTables="0"/>
  <customSheetViews>
    <customSheetView guid="{C88CD669-B349-4A86-8041-5686C62E698E}" scale="95" showPageBreaks="1" fitToPage="1" printArea="1">
      <pageMargins left="0.75" right="0.25" top="1" bottom="1" header="0.5" footer="0.5"/>
      <printOptions horizontalCentered="1" verticalCentered="1" gridLines="1"/>
      <pageSetup scale="58"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6" sqref="E6"/>
      <pageMargins left="0.75" right="0.25" top="1" bottom="1" header="0.5" footer="0.5"/>
      <printOptions horizontalCentered="1" verticalCentered="1" gridLines="1"/>
      <pageSetup scale="65" fitToHeight="0" orientation="portrait" horizontalDpi="300" verticalDpi="300" r:id="rId2"/>
      <headerFooter alignWithMargins="0"/>
    </customSheetView>
    <customSheetView guid="{198460B7-6D23-4AED-A971-BF824A975991}" fitToPage="1">
      <pane ySplit="7" topLeftCell="A9" activePane="bottomLeft" state="frozen"/>
      <selection pane="bottomLeft" activeCell="R3" sqref="R3:T3"/>
      <pageMargins left="0.75" right="0.25" top="1" bottom="1" header="0.5" footer="0.5"/>
      <printOptions horizontalCentered="1" verticalCentered="1" gridLines="1"/>
      <pageSetup scale="65" fitToHeight="0" orientation="portrait" horizontalDpi="300" verticalDpi="300" r:id="rId3"/>
      <headerFooter alignWithMargins="0"/>
    </customSheetView>
  </customSheetViews>
  <mergeCells count="19">
    <mergeCell ref="N5:P5"/>
    <mergeCell ref="Q5:S5"/>
    <mergeCell ref="W5:Y5"/>
    <mergeCell ref="B6:E6"/>
    <mergeCell ref="T3:V3"/>
    <mergeCell ref="T5:V5"/>
    <mergeCell ref="T6:V6"/>
    <mergeCell ref="B1:Z1"/>
    <mergeCell ref="K2:M2"/>
    <mergeCell ref="N3:P3"/>
    <mergeCell ref="Q3:S3"/>
    <mergeCell ref="W3:Y3"/>
    <mergeCell ref="K8:Z8"/>
    <mergeCell ref="K29:Z29"/>
    <mergeCell ref="F8:I8"/>
    <mergeCell ref="F29:I29"/>
    <mergeCell ref="N6:P6"/>
    <mergeCell ref="Q6:S6"/>
    <mergeCell ref="W6:Y6"/>
  </mergeCells>
  <phoneticPr fontId="0" type="noConversion"/>
  <conditionalFormatting sqref="G9:G28">
    <cfRule type="cellIs" dxfId="130" priority="123" operator="equal">
      <formula>0</formula>
    </cfRule>
    <cfRule type="cellIs" dxfId="129" priority="124" operator="equal">
      <formula>0</formula>
    </cfRule>
  </conditionalFormatting>
  <conditionalFormatting sqref="G168:G183 G30:G83">
    <cfRule type="cellIs" dxfId="128" priority="122" operator="equal">
      <formula>0</formula>
    </cfRule>
  </conditionalFormatting>
  <conditionalFormatting sqref="I9:I19 I30:I83">
    <cfRule type="cellIs" dxfId="127" priority="121" operator="equal">
      <formula>0</formula>
    </cfRule>
  </conditionalFormatting>
  <conditionalFormatting sqref="I168:I183">
    <cfRule type="cellIs" dxfId="126" priority="120" operator="equal">
      <formula>0</formula>
    </cfRule>
  </conditionalFormatting>
  <conditionalFormatting sqref="F6">
    <cfRule type="cellIs" dxfId="125" priority="119" operator="equal">
      <formula>0</formula>
    </cfRule>
  </conditionalFormatting>
  <conditionalFormatting sqref="G6">
    <cfRule type="cellIs" dxfId="124" priority="118" operator="equal">
      <formula>0</formula>
    </cfRule>
  </conditionalFormatting>
  <conditionalFormatting sqref="O9:O28">
    <cfRule type="containsText" dxfId="123" priority="51" operator="containsText" text="SELECTED">
      <formula>NOT(ISERROR(SEARCH("SELECTED",O9)))</formula>
    </cfRule>
  </conditionalFormatting>
  <conditionalFormatting sqref="I20:I28">
    <cfRule type="cellIs" dxfId="122" priority="34" operator="equal">
      <formula>0</formula>
    </cfRule>
  </conditionalFormatting>
  <conditionalFormatting sqref="G84:G159">
    <cfRule type="cellIs" dxfId="121" priority="31" operator="equal">
      <formula>0</formula>
    </cfRule>
  </conditionalFormatting>
  <conditionalFormatting sqref="I84:I159">
    <cfRule type="cellIs" dxfId="120" priority="30" operator="equal">
      <formula>0</formula>
    </cfRule>
  </conditionalFormatting>
  <conditionalFormatting sqref="G160:G167">
    <cfRule type="cellIs" dxfId="119" priority="27" operator="equal">
      <formula>0</formula>
    </cfRule>
  </conditionalFormatting>
  <conditionalFormatting sqref="I160:I167">
    <cfRule type="cellIs" dxfId="118" priority="26" operator="equal">
      <formula>0</formula>
    </cfRule>
  </conditionalFormatting>
  <conditionalFormatting sqref="R9:R28">
    <cfRule type="containsText" dxfId="117" priority="11" operator="containsText" text="SELECTED">
      <formula>NOT(ISERROR(SEARCH("SELECTED",R9)))</formula>
    </cfRule>
  </conditionalFormatting>
  <conditionalFormatting sqref="U9:U28">
    <cfRule type="containsText" dxfId="116" priority="10" operator="containsText" text="SELECTED">
      <formula>NOT(ISERROR(SEARCH("SELECTED",U9)))</formula>
    </cfRule>
  </conditionalFormatting>
  <conditionalFormatting sqref="X9:X28">
    <cfRule type="containsText" dxfId="115" priority="9" operator="containsText" text="SELECTED">
      <formula>NOT(ISERROR(SEARCH("SELECTED",X9)))</formula>
    </cfRule>
  </conditionalFormatting>
  <conditionalFormatting sqref="O30">
    <cfRule type="containsText" dxfId="114" priority="8" operator="containsText" text="SELECTED">
      <formula>NOT(ISERROR(SEARCH("SELECTED",O30)))</formula>
    </cfRule>
  </conditionalFormatting>
  <conditionalFormatting sqref="O31:O183">
    <cfRule type="containsText" dxfId="113" priority="7" operator="containsText" text="SELECTED">
      <formula>NOT(ISERROR(SEARCH("SELECTED",O31)))</formula>
    </cfRule>
  </conditionalFormatting>
  <conditionalFormatting sqref="R30">
    <cfRule type="containsText" dxfId="112" priority="6" operator="containsText" text="SELECTED">
      <formula>NOT(ISERROR(SEARCH("SELECTED",R30)))</formula>
    </cfRule>
  </conditionalFormatting>
  <conditionalFormatting sqref="R31:R183">
    <cfRule type="containsText" dxfId="111" priority="5" operator="containsText" text="SELECTED">
      <formula>NOT(ISERROR(SEARCH("SELECTED",R31)))</formula>
    </cfRule>
  </conditionalFormatting>
  <conditionalFormatting sqref="U30">
    <cfRule type="containsText" dxfId="110" priority="4" operator="containsText" text="SELECTED">
      <formula>NOT(ISERROR(SEARCH("SELECTED",U30)))</formula>
    </cfRule>
  </conditionalFormatting>
  <conditionalFormatting sqref="U31:U183">
    <cfRule type="containsText" dxfId="109" priority="3" operator="containsText" text="SELECTED">
      <formula>NOT(ISERROR(SEARCH("SELECTED",U31)))</formula>
    </cfRule>
  </conditionalFormatting>
  <conditionalFormatting sqref="X30">
    <cfRule type="containsText" dxfId="108" priority="2" operator="containsText" text="SELECTED">
      <formula>NOT(ISERROR(SEARCH("SELECTED",X30)))</formula>
    </cfRule>
  </conditionalFormatting>
  <conditionalFormatting sqref="X31:X183">
    <cfRule type="containsText" dxfId="107" priority="1" operator="containsText" text="SELECTED">
      <formula>NOT(ISERROR(SEARCH("SELECTED",X31)))</formula>
    </cfRule>
  </conditionalFormatting>
  <printOptions horizontalCentered="1" verticalCentered="1" gridLines="1"/>
  <pageMargins left="0.75" right="0.25" top="1" bottom="1" header="0.5" footer="0.5"/>
  <pageSetup scale="36" fitToHeight="0" orientation="landscape" verticalDpi="300" r:id="rId4"/>
  <headerFooter alignWithMargins="0"/>
  <extLst>
    <ext xmlns:x14="http://schemas.microsoft.com/office/spreadsheetml/2009/9/main" uri="{CCE6A557-97BC-4b89-ADB6-D9C93CAAB3DF}">
      <x14:dataValidations xmlns:xm="http://schemas.microsoft.com/office/excel/2006/main" count="3">
        <x14:dataValidation type="list" allowBlank="1" showInputMessage="1" xr:uid="{00000000-0002-0000-0700-000001000000}">
          <x14:formula1>
            <xm:f>DATA!$N$71:$N$92</xm:f>
          </x14:formula1>
          <xm:sqref>F6</xm:sqref>
        </x14:dataValidation>
        <x14:dataValidation type="list" allowBlank="1" showInputMessage="1" xr:uid="{00000000-0002-0000-0700-000003000000}">
          <x14:formula1>
            <xm:f>DATA!$H$74:$H$111</xm:f>
          </x14:formula1>
          <xm:sqref>N6:Y6</xm:sqref>
        </x14:dataValidation>
        <x14:dataValidation type="list" allowBlank="1" showInputMessage="1" xr:uid="{00000000-0002-0000-0700-000004000000}">
          <x14:formula1>
            <xm:f>DATA!$H$74:$H$112</xm:f>
          </x14:formula1>
          <xm:sqref>O9:O28 R9:R28 U9:U28 X9:X28 R30:R183 X30:X183 U30:U183 O30:O183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11</vt:i4>
      </vt:variant>
    </vt:vector>
  </HeadingPairs>
  <TitlesOfParts>
    <vt:vector size="42" baseType="lpstr">
      <vt:lpstr>GO-NO-GO CHECKLIST</vt:lpstr>
      <vt:lpstr>PROJECT INFO</vt:lpstr>
      <vt:lpstr>PROPOSAL</vt:lpstr>
      <vt:lpstr>Project Cost Recap</vt:lpstr>
      <vt:lpstr>BREAKOUT</vt:lpstr>
      <vt:lpstr>Subs</vt:lpstr>
      <vt:lpstr>Heating Recap</vt:lpstr>
      <vt:lpstr>Plumbing Recap</vt:lpstr>
      <vt:lpstr>Htg</vt:lpstr>
      <vt:lpstr>Plbg</vt:lpstr>
      <vt:lpstr>QP Reports</vt:lpstr>
      <vt:lpstr>HOISTING EQP</vt:lpstr>
      <vt:lpstr>PF CREW</vt:lpstr>
      <vt:lpstr>PLBR CREW</vt:lpstr>
      <vt:lpstr>REG BOND</vt:lpstr>
      <vt:lpstr>DB BOND</vt:lpstr>
      <vt:lpstr>ALT #1</vt:lpstr>
      <vt:lpstr>ALT #2</vt:lpstr>
      <vt:lpstr>ALT #3</vt:lpstr>
      <vt:lpstr>ALT #4</vt:lpstr>
      <vt:lpstr>ALT #5</vt:lpstr>
      <vt:lpstr>ALT #6</vt:lpstr>
      <vt:lpstr>ALT #7</vt:lpstr>
      <vt:lpstr>ALT #8</vt:lpstr>
      <vt:lpstr>Taxes&amp;Permits</vt:lpstr>
      <vt:lpstr>DATA</vt:lpstr>
      <vt:lpstr>Signatures</vt:lpstr>
      <vt:lpstr>Equipment-Install Matrix</vt:lpstr>
      <vt:lpstr>Turnover</vt:lpstr>
      <vt:lpstr>Plumbing Fixtures</vt:lpstr>
      <vt:lpstr>Rentals</vt:lpstr>
      <vt:lpstr>_797_VENTURA_STREET</vt:lpstr>
      <vt:lpstr>PREFERRED_CLIENTS</vt:lpstr>
      <vt:lpstr>'Heating Recap'!Print_Area</vt:lpstr>
      <vt:lpstr>Htg!Print_Area</vt:lpstr>
      <vt:lpstr>Plbg!Print_Area</vt:lpstr>
      <vt:lpstr>'Plumbing Recap'!Print_Area</vt:lpstr>
      <vt:lpstr>'Project Cost Recap'!Print_Area</vt:lpstr>
      <vt:lpstr>PROPOSAL!Print_Area</vt:lpstr>
      <vt:lpstr>'Equipment-Install Matrix'!Print_Titles</vt:lpstr>
      <vt:lpstr>PROPOSAL!Print_Titles</vt:lpstr>
      <vt:lpstr>'PROJECT INFO'!solver_opt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WS20</dc:creator>
  <cp:lastModifiedBy>Bobby Cullen</cp:lastModifiedBy>
  <cp:lastPrinted>2022-05-12T13:11:24Z</cp:lastPrinted>
  <dcterms:created xsi:type="dcterms:W3CDTF">2005-08-05T17:56:06Z</dcterms:created>
  <dcterms:modified xsi:type="dcterms:W3CDTF">2022-06-06T18:28:14Z</dcterms:modified>
</cp:coreProperties>
</file>